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kit\Documents\final year project\implosion_prediction\Stock-Implosion-Prediction-FYP\"/>
    </mc:Choice>
  </mc:AlternateContent>
  <xr:revisionPtr revIDLastSave="0" documentId="13_ncr:1_{7F46AF3C-9CAC-4C01-AFE3-0CAEB67DFB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Characteristics!$A$1:$O$1784</definedName>
    <definedName name="_xlnm._FilterDatabase" localSheetId="1" hidden="1">Performance!$A$1:$I$1784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4" i="2" l="1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<sst xmlns="http://schemas.openxmlformats.org/spreadsheetml/2006/main" count="8991" uniqueCount="1819">
  <si>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</si>
  <si>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</si>
  <si>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</si>
  <si>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</si>
  <si>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</si>
  <si>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</si>
  <si>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</si>
  <si>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</si>
  <si>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</si>
  <si>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</si>
  <si>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</si>
  <si>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</si>
  <si>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</si>
  <si>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</si>
  <si>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AADI</t>
  </si>
  <si>
    <t>AAN</t>
  </si>
  <si>
    <t>AAON</t>
  </si>
  <si>
    <t>AAT</t>
  </si>
  <si>
    <t>ABCB</t>
  </si>
  <si>
    <t>ABCL</t>
  </si>
  <si>
    <t>ABG</t>
  </si>
  <si>
    <t>ABM</t>
  </si>
  <si>
    <t>ABR</t>
  </si>
  <si>
    <t>ABSI</t>
  </si>
  <si>
    <t>ABUS</t>
  </si>
  <si>
    <t>AC</t>
  </si>
  <si>
    <t>ACA</t>
  </si>
  <si>
    <t>ACAD</t>
  </si>
  <si>
    <t>ACCD</t>
  </si>
  <si>
    <t>ACCO</t>
  </si>
  <si>
    <t>ACEL</t>
  </si>
  <si>
    <t>ACET</t>
  </si>
  <si>
    <t>ACHR</t>
  </si>
  <si>
    <t>ACIW</t>
  </si>
  <si>
    <t>ACLS</t>
  </si>
  <si>
    <t>ACLX</t>
  </si>
  <si>
    <t>ACMR</t>
  </si>
  <si>
    <t>ACNB</t>
  </si>
  <si>
    <t>ACRE</t>
  </si>
  <si>
    <t>ACRS</t>
  </si>
  <si>
    <t>ACRV</t>
  </si>
  <si>
    <t>ACT</t>
  </si>
  <si>
    <t>ACVA</t>
  </si>
  <si>
    <t>ADC</t>
  </si>
  <si>
    <t>ADEA</t>
  </si>
  <si>
    <t>ADMA</t>
  </si>
  <si>
    <t>ADNT</t>
  </si>
  <si>
    <t>ADPT</t>
  </si>
  <si>
    <t>ADTH</t>
  </si>
  <si>
    <t>ADTN</t>
  </si>
  <si>
    <t>ADUS</t>
  </si>
  <si>
    <t>ADV</t>
  </si>
  <si>
    <t>AEIS</t>
  </si>
  <si>
    <t>AEL</t>
  </si>
  <si>
    <t>AEO</t>
  </si>
  <si>
    <t>AEVA</t>
  </si>
  <si>
    <t>AFCG</t>
  </si>
  <si>
    <t>AFMD</t>
  </si>
  <si>
    <t>AGEN</t>
  </si>
  <si>
    <t>AGIO</t>
  </si>
  <si>
    <t>AGM</t>
  </si>
  <si>
    <t>AGTI</t>
  </si>
  <si>
    <t>AGX</t>
  </si>
  <si>
    <t>AGYS</t>
  </si>
  <si>
    <t>AHCO</t>
  </si>
  <si>
    <t>AHH</t>
  </si>
  <si>
    <t>AHT</t>
  </si>
  <si>
    <t>AI</t>
  </si>
  <si>
    <t>AIN</t>
  </si>
  <si>
    <t>AIP</t>
  </si>
  <si>
    <t>AIR</t>
  </si>
  <si>
    <t>AIRS</t>
  </si>
  <si>
    <t>AIT</t>
  </si>
  <si>
    <t>AIV</t>
  </si>
  <si>
    <t>AJRD</t>
  </si>
  <si>
    <t>AKA</t>
  </si>
  <si>
    <t>AKR</t>
  </si>
  <si>
    <t>AKRO</t>
  </si>
  <si>
    <t>AKTS</t>
  </si>
  <si>
    <t>AKYA</t>
  </si>
  <si>
    <t>ALCO</t>
  </si>
  <si>
    <t>ALE</t>
  </si>
  <si>
    <t>ALEC</t>
  </si>
  <si>
    <t>ALEX</t>
  </si>
  <si>
    <t>ALG</t>
  </si>
  <si>
    <t>ALGT</t>
  </si>
  <si>
    <t>ALHC</t>
  </si>
  <si>
    <t>ALIT</t>
  </si>
  <si>
    <t>ALKS</t>
  </si>
  <si>
    <t>ALKT</t>
  </si>
  <si>
    <t>ALLO</t>
  </si>
  <si>
    <t>ALPN</t>
  </si>
  <si>
    <t>ALRM</t>
  </si>
  <si>
    <t>ALRS</t>
  </si>
  <si>
    <t>ALTG</t>
  </si>
  <si>
    <t>ALTO</t>
  </si>
  <si>
    <t>ALTR</t>
  </si>
  <si>
    <t>ALVR</t>
  </si>
  <si>
    <t>ALX</t>
  </si>
  <si>
    <t>ALXO</t>
  </si>
  <si>
    <t>AMAL</t>
  </si>
  <si>
    <t>AMBA</t>
  </si>
  <si>
    <t>AMBC</t>
  </si>
  <si>
    <t>AMCX</t>
  </si>
  <si>
    <t>AMEH</t>
  </si>
  <si>
    <t>AMK</t>
  </si>
  <si>
    <t>AMKR</t>
  </si>
  <si>
    <t>AMLX</t>
  </si>
  <si>
    <t>AMN</t>
  </si>
  <si>
    <t>AMNB</t>
  </si>
  <si>
    <t>AMPH</t>
  </si>
  <si>
    <t>AMPL</t>
  </si>
  <si>
    <t>AMPS</t>
  </si>
  <si>
    <t>AMPY</t>
  </si>
  <si>
    <t>AMR</t>
  </si>
  <si>
    <t>AMRC</t>
  </si>
  <si>
    <t>AMRK</t>
  </si>
  <si>
    <t>AMRS</t>
  </si>
  <si>
    <t>AMRX</t>
  </si>
  <si>
    <t>AMSF</t>
  </si>
  <si>
    <t>AMSWA</t>
  </si>
  <si>
    <t>AMTB</t>
  </si>
  <si>
    <t>AMTX</t>
  </si>
  <si>
    <t>AMWD</t>
  </si>
  <si>
    <t>AMWL</t>
  </si>
  <si>
    <t>ANAB</t>
  </si>
  <si>
    <t>ANDE</t>
  </si>
  <si>
    <t>ANF</t>
  </si>
  <si>
    <t>ANGO</t>
  </si>
  <si>
    <t>ANIK</t>
  </si>
  <si>
    <t>ANIP</t>
  </si>
  <si>
    <t>ANTX</t>
  </si>
  <si>
    <t>AOMR</t>
  </si>
  <si>
    <t>AORT</t>
  </si>
  <si>
    <t>AOSL</t>
  </si>
  <si>
    <t>APAM</t>
  </si>
  <si>
    <t>APEI</t>
  </si>
  <si>
    <t>APG</t>
  </si>
  <si>
    <t>APLD</t>
  </si>
  <si>
    <t>APLE</t>
  </si>
  <si>
    <t>APLS</t>
  </si>
  <si>
    <t>APOG</t>
  </si>
  <si>
    <t>APPF</t>
  </si>
  <si>
    <t>APPH</t>
  </si>
  <si>
    <t>APPN</t>
  </si>
  <si>
    <t>APPS</t>
  </si>
  <si>
    <t>ARCB</t>
  </si>
  <si>
    <t>ARCH</t>
  </si>
  <si>
    <t>ARCT</t>
  </si>
  <si>
    <t>AREN</t>
  </si>
  <si>
    <t>ARGO</t>
  </si>
  <si>
    <t>ARI</t>
  </si>
  <si>
    <t>ARIS</t>
  </si>
  <si>
    <t>ARKO</t>
  </si>
  <si>
    <t>ARL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</si>
  <si>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</si>
  <si>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</si>
  <si>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</si>
  <si>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</si>
  <si>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</si>
  <si>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</si>
  <si>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</si>
  <si>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</si>
  <si>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</si>
  <si>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</si>
  <si>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</si>
  <si>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</si>
  <si>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ASC</t>
  </si>
  <si>
    <t>ASGN</t>
  </si>
  <si>
    <t>ASIX</t>
  </si>
  <si>
    <t>ASLE</t>
  </si>
  <si>
    <t>ASO</t>
  </si>
  <si>
    <t>ASPN</t>
  </si>
  <si>
    <t>ASTE</t>
  </si>
  <si>
    <t>ASTR</t>
  </si>
  <si>
    <t>ATEC</t>
  </si>
  <si>
    <t>ATEN</t>
  </si>
  <si>
    <t>ATER</t>
  </si>
  <si>
    <t>ATEX</t>
  </si>
  <si>
    <t>ATGE</t>
  </si>
  <si>
    <t>ATHA</t>
  </si>
  <si>
    <t>ATI</t>
  </si>
  <si>
    <t>ATIP</t>
  </si>
  <si>
    <t>ATKR</t>
  </si>
  <si>
    <t>ATLC</t>
  </si>
  <si>
    <t>ATNI</t>
  </si>
  <si>
    <t>ATOM</t>
  </si>
  <si>
    <t>ATRA</t>
  </si>
  <si>
    <t>ATRC</t>
  </si>
  <si>
    <t>ATRI</t>
  </si>
  <si>
    <t>ATRO</t>
  </si>
  <si>
    <t>ATSG</t>
  </si>
  <si>
    <t>AUB</t>
  </si>
  <si>
    <t>AUPH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</si>
  <si>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</si>
  <si>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</si>
  <si>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</si>
  <si>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</si>
  <si>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</si>
  <si>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</si>
  <si>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</si>
  <si>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</si>
  <si>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</si>
  <si>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</si>
  <si>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</si>
  <si>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</si>
  <si>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AVPT</t>
  </si>
  <si>
    <t>AVTA</t>
  </si>
  <si>
    <t>AVTE</t>
  </si>
  <si>
    <t>AVXL</t>
  </si>
  <si>
    <t>AWR</t>
  </si>
  <si>
    <t>AX</t>
  </si>
  <si>
    <t>BTAI</t>
  </si>
  <si>
    <t>BTU</t>
  </si>
  <si>
    <t>BUSE</t>
  </si>
  <si>
    <t>BV</t>
  </si>
  <si>
    <t>BVH</t>
  </si>
  <si>
    <t>BVS</t>
  </si>
  <si>
    <t>BW</t>
  </si>
  <si>
    <t>BWB</t>
  </si>
  <si>
    <t>BWFG</t>
  </si>
  <si>
    <t>BXC</t>
  </si>
  <si>
    <t>BXMT</t>
  </si>
  <si>
    <t>BY</t>
  </si>
  <si>
    <t>BYND</t>
  </si>
  <si>
    <t>BZH</t>
  </si>
  <si>
    <t>CAC</t>
  </si>
  <si>
    <t>CADE</t>
  </si>
  <si>
    <t>CAKE</t>
  </si>
  <si>
    <t>CAL</t>
  </si>
  <si>
    <t>CALM</t>
  </si>
  <si>
    <t>CALX</t>
  </si>
  <si>
    <t>CANO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</si>
  <si>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</si>
  <si>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</si>
  <si>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</si>
  <si>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</si>
  <si>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</si>
  <si>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</si>
  <si>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</si>
  <si>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</si>
  <si>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</si>
  <si>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</si>
  <si>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CBAN</t>
  </si>
  <si>
    <t>CBL</t>
  </si>
  <si>
    <t>CBNK</t>
  </si>
  <si>
    <t>CBRL</t>
  </si>
  <si>
    <t>CBT</t>
  </si>
  <si>
    <t>CBU</t>
  </si>
  <si>
    <t>CBZ</t>
  </si>
  <si>
    <t>CCB</t>
  </si>
  <si>
    <t>CCBG</t>
  </si>
  <si>
    <t>CCCC</t>
  </si>
  <si>
    <t>CCF</t>
  </si>
  <si>
    <t>CCNE</t>
  </si>
  <si>
    <t>CCO</t>
  </si>
  <si>
    <t>CCOI</t>
  </si>
  <si>
    <t>CCRN</t>
  </si>
  <si>
    <t>CCS</t>
  </si>
  <si>
    <t>CCSI</t>
  </si>
  <si>
    <t>CDE</t>
  </si>
  <si>
    <t>CDLX</t>
  </si>
  <si>
    <t>CDMO</t>
  </si>
  <si>
    <t>CDNA</t>
  </si>
  <si>
    <t>CDRE</t>
  </si>
  <si>
    <t>CDXS</t>
  </si>
  <si>
    <t>CEIX</t>
  </si>
  <si>
    <t>CELH</t>
  </si>
  <si>
    <t>CELL</t>
  </si>
  <si>
    <t>CELU</t>
  </si>
  <si>
    <t>CENN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</si>
  <si>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</si>
  <si>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</si>
  <si>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</si>
  <si>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</si>
  <si>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</si>
  <si>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</si>
  <si>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</si>
  <si>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</si>
  <si>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</si>
  <si>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</si>
  <si>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</si>
  <si>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</si>
  <si>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CHGG</t>
  </si>
  <si>
    <t>CHRD</t>
  </si>
  <si>
    <t>CHRS</t>
  </si>
  <si>
    <t>CHS</t>
  </si>
  <si>
    <t>CHUY</t>
  </si>
  <si>
    <t>CHX</t>
  </si>
  <si>
    <t>CIFR</t>
  </si>
  <si>
    <t>CIM</t>
  </si>
  <si>
    <t>CIO</t>
  </si>
  <si>
    <t>CIR</t>
  </si>
  <si>
    <t>CISO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</si>
  <si>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</si>
  <si>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</si>
  <si>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</si>
  <si>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</si>
  <si>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</si>
  <si>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</si>
  <si>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</si>
  <si>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</si>
  <si>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</si>
  <si>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CLOV</t>
  </si>
  <si>
    <t>CLPR</t>
  </si>
  <si>
    <t>CLSK</t>
  </si>
  <si>
    <t>CLW</t>
  </si>
  <si>
    <t>CMAX</t>
  </si>
  <si>
    <t>CMBM</t>
  </si>
  <si>
    <t>CMC</t>
  </si>
  <si>
    <t>CMCO</t>
  </si>
  <si>
    <t>CMLS</t>
  </si>
  <si>
    <t>CMP</t>
  </si>
  <si>
    <t>CMPO</t>
  </si>
  <si>
    <t>CMPR</t>
  </si>
  <si>
    <t>CMRE</t>
  </si>
  <si>
    <t>CMRX</t>
  </si>
  <si>
    <t>CMTG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</si>
  <si>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</si>
  <si>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</si>
  <si>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</si>
  <si>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</si>
  <si>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</si>
  <si>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</si>
  <si>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</si>
  <si>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</si>
  <si>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</si>
  <si>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</si>
  <si>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</si>
  <si>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</si>
  <si>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COCO</t>
  </si>
  <si>
    <t>CODI</t>
  </si>
  <si>
    <t>COGT</t>
  </si>
  <si>
    <t>COHU</t>
  </si>
  <si>
    <t>COKE</t>
  </si>
  <si>
    <t>COLL</t>
  </si>
  <si>
    <t>COMM</t>
  </si>
  <si>
    <t>COMP</t>
  </si>
  <si>
    <t>CONN</t>
  </si>
  <si>
    <t>COOK</t>
  </si>
  <si>
    <t>COOP</t>
  </si>
  <si>
    <t>CORT</t>
  </si>
  <si>
    <t>COUR</t>
  </si>
  <si>
    <t>CPE</t>
  </si>
  <si>
    <t>CPF</t>
  </si>
  <si>
    <t>CPK</t>
  </si>
  <si>
    <t>CPRX</t>
  </si>
  <si>
    <t>CPSI</t>
  </si>
  <si>
    <t>CPSS</t>
  </si>
  <si>
    <t>CPTN</t>
  </si>
  <si>
    <t>CRAI</t>
  </si>
  <si>
    <t>CRBU</t>
  </si>
  <si>
    <t>CRC</t>
  </si>
  <si>
    <t>CRDO</t>
  </si>
  <si>
    <t>CRGE</t>
  </si>
  <si>
    <t>CRGY</t>
  </si>
  <si>
    <t>CRK</t>
  </si>
  <si>
    <t>CRMT</t>
  </si>
  <si>
    <t>CRNC</t>
  </si>
  <si>
    <t>CRNX</t>
  </si>
  <si>
    <t>CROX</t>
  </si>
  <si>
    <t>CRS</t>
  </si>
  <si>
    <t>CRSR</t>
  </si>
  <si>
    <t>CRVL</t>
  </si>
  <si>
    <t>CSGS</t>
  </si>
  <si>
    <t>CSR</t>
  </si>
  <si>
    <t>CSTE</t>
  </si>
  <si>
    <t>CSTL</t>
  </si>
  <si>
    <t>CSTM</t>
  </si>
  <si>
    <t>CSTR</t>
  </si>
  <si>
    <t>CSV</t>
  </si>
  <si>
    <t>CSWI</t>
  </si>
  <si>
    <t>CTBI</t>
  </si>
  <si>
    <t>CTIC</t>
  </si>
  <si>
    <t>CTKB</t>
  </si>
  <si>
    <t>CTLP</t>
  </si>
  <si>
    <t>CTO</t>
  </si>
  <si>
    <t>CTOS</t>
  </si>
  <si>
    <t>CTRE</t>
  </si>
  <si>
    <t>CTRN</t>
  </si>
  <si>
    <t>CTS</t>
  </si>
  <si>
    <t>CTV</t>
  </si>
  <si>
    <t>CUBI</t>
  </si>
  <si>
    <t>CURO</t>
  </si>
  <si>
    <t>CURV</t>
  </si>
  <si>
    <t>CUTR</t>
  </si>
  <si>
    <t>CVBF</t>
  </si>
  <si>
    <t>CVCO</t>
  </si>
  <si>
    <t>CVGW</t>
  </si>
  <si>
    <t>CVI</t>
  </si>
  <si>
    <t>CVLG</t>
  </si>
  <si>
    <t>CVLT</t>
  </si>
  <si>
    <t>CVT</t>
  </si>
  <si>
    <t>CWEN</t>
  </si>
  <si>
    <t>CWH</t>
  </si>
  <si>
    <t>CWK</t>
  </si>
  <si>
    <t>CWST</t>
  </si>
  <si>
    <t>CWT</t>
  </si>
  <si>
    <t>CXW</t>
  </si>
  <si>
    <t>CYH</t>
  </si>
  <si>
    <t>CYRX</t>
  </si>
  <si>
    <t>CYTK</t>
  </si>
  <si>
    <t>CZNC</t>
  </si>
  <si>
    <t>DAN</t>
  </si>
  <si>
    <t>DAWN</t>
  </si>
  <si>
    <t>DBI</t>
  </si>
  <si>
    <t>DBRG</t>
  </si>
  <si>
    <t>DC</t>
  </si>
  <si>
    <t>DCGO</t>
  </si>
  <si>
    <t>DCO</t>
  </si>
  <si>
    <t>DCOM</t>
  </si>
  <si>
    <t>DCPH</t>
  </si>
  <si>
    <t>DDD</t>
  </si>
  <si>
    <t>DDS</t>
  </si>
  <si>
    <t>DEA</t>
  </si>
  <si>
    <t>DEN</t>
  </si>
  <si>
    <t>DENN</t>
  </si>
  <si>
    <t>DFH</t>
  </si>
  <si>
    <t>DFIN</t>
  </si>
  <si>
    <t>DGICA</t>
  </si>
  <si>
    <t>DGII</t>
  </si>
  <si>
    <t>DHC</t>
  </si>
  <si>
    <t>DHIL</t>
  </si>
  <si>
    <t>DHT</t>
  </si>
  <si>
    <t>DHX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</si>
  <si>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</si>
  <si>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</si>
  <si>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</si>
  <si>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</si>
  <si>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</si>
  <si>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</si>
  <si>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</si>
  <si>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</si>
  <si>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</si>
  <si>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</si>
  <si>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DNLI</t>
  </si>
  <si>
    <t>DNMR</t>
  </si>
  <si>
    <t>DNOW</t>
  </si>
  <si>
    <t>DNUT</t>
  </si>
  <si>
    <t>DO</t>
  </si>
  <si>
    <t>DOC</t>
  </si>
  <si>
    <t>DOCN</t>
  </si>
  <si>
    <t>DOMA</t>
  </si>
  <si>
    <t>DOMO</t>
  </si>
  <si>
    <t>DOOR</t>
  </si>
  <si>
    <t>DORM</t>
  </si>
  <si>
    <t>DOUG</t>
  </si>
  <si>
    <t>DRH</t>
  </si>
  <si>
    <t>DRQ</t>
  </si>
  <si>
    <t>DSEY</t>
  </si>
  <si>
    <t>DSGN</t>
  </si>
  <si>
    <t>DSGR</t>
  </si>
  <si>
    <t>DSKE</t>
  </si>
  <si>
    <t>DSP</t>
  </si>
  <si>
    <t>DTC</t>
  </si>
  <si>
    <t>DUOL</t>
  </si>
  <si>
    <t>DVAX</t>
  </si>
  <si>
    <t>DX</t>
  </si>
  <si>
    <t>DXLG</t>
  </si>
  <si>
    <t>DXPE</t>
  </si>
  <si>
    <t>DY</t>
  </si>
  <si>
    <t>DYN</t>
  </si>
  <si>
    <t>DZSI</t>
  </si>
  <si>
    <t>EAF</t>
  </si>
  <si>
    <t>EAT</t>
  </si>
  <si>
    <t>EB</t>
  </si>
  <si>
    <t>EBC</t>
  </si>
  <si>
    <t>EBF</t>
  </si>
  <si>
    <t>EBIX</t>
  </si>
  <si>
    <t>EBS</t>
  </si>
  <si>
    <t>EBTC</t>
  </si>
  <si>
    <t>ECPG</t>
  </si>
  <si>
    <t>ECVT</t>
  </si>
  <si>
    <t>EDIT</t>
  </si>
  <si>
    <t>EE</t>
  </si>
  <si>
    <t>EFC</t>
  </si>
  <si>
    <t>EFSC</t>
  </si>
  <si>
    <t>EGAN</t>
  </si>
  <si>
    <t>EGBN</t>
  </si>
  <si>
    <t>EGHT</t>
  </si>
  <si>
    <t>EGIO</t>
  </si>
  <si>
    <t>EGLE</t>
  </si>
  <si>
    <t>EGRX</t>
  </si>
  <si>
    <t>EGY</t>
  </si>
  <si>
    <t>EHTH</t>
  </si>
  <si>
    <t>EIG</t>
  </si>
  <si>
    <t>EIGR</t>
  </si>
  <si>
    <t>ELF</t>
  </si>
  <si>
    <t>ELME</t>
  </si>
  <si>
    <t>EMBC</t>
  </si>
  <si>
    <t>EME</t>
  </si>
  <si>
    <t>ENFN</t>
  </si>
  <si>
    <t>ENOB</t>
  </si>
  <si>
    <t>ENR</t>
  </si>
  <si>
    <t>ENS</t>
  </si>
  <si>
    <t>ENSG</t>
  </si>
  <si>
    <t>ENTA</t>
  </si>
  <si>
    <t>ENV</t>
  </si>
  <si>
    <t>ENVA</t>
  </si>
  <si>
    <t>ENVX</t>
  </si>
  <si>
    <t>EOLS</t>
  </si>
  <si>
    <t>EP</t>
  </si>
  <si>
    <t>EPAC</t>
  </si>
  <si>
    <t>EPC</t>
  </si>
  <si>
    <t>EPRT</t>
  </si>
  <si>
    <t>EQBK</t>
  </si>
  <si>
    <t>EQC</t>
  </si>
  <si>
    <t>EQRX</t>
  </si>
  <si>
    <t>ERAS</t>
  </si>
  <si>
    <t>ERII</t>
  </si>
  <si>
    <t>ESE</t>
  </si>
  <si>
    <t>ESGR</t>
  </si>
  <si>
    <t>ESMT</t>
  </si>
  <si>
    <t>ESNT</t>
  </si>
  <si>
    <t>ESPR</t>
  </si>
  <si>
    <t>ESQ</t>
  </si>
  <si>
    <t>ESRT</t>
  </si>
  <si>
    <t>ESTE</t>
  </si>
  <si>
    <t>ETD</t>
  </si>
  <si>
    <t>ETRN</t>
  </si>
  <si>
    <t>ETWO</t>
  </si>
  <si>
    <t>EVBG</t>
  </si>
  <si>
    <t>EVC</t>
  </si>
  <si>
    <t>EVCM</t>
  </si>
  <si>
    <t>EVER</t>
  </si>
  <si>
    <t>EVGO</t>
  </si>
  <si>
    <t>EVH</t>
  </si>
  <si>
    <t>EVLV</t>
  </si>
  <si>
    <t>EVRI</t>
  </si>
  <si>
    <t>EVTC</t>
  </si>
  <si>
    <t>EWCZ</t>
  </si>
  <si>
    <t>EWTX</t>
  </si>
  <si>
    <t>EXLS</t>
  </si>
  <si>
    <t>EXPI</t>
  </si>
  <si>
    <t>EXPO</t>
  </si>
  <si>
    <t>EXPR</t>
  </si>
  <si>
    <t>EXTR</t>
  </si>
  <si>
    <t>EYE</t>
  </si>
  <si>
    <t>EYPT</t>
  </si>
  <si>
    <t>EZPW</t>
  </si>
  <si>
    <t>FA</t>
  </si>
  <si>
    <t>FARO</t>
  </si>
  <si>
    <t>FATE</t>
  </si>
  <si>
    <t>FBIZ</t>
  </si>
  <si>
    <t>FBK</t>
  </si>
  <si>
    <t>FBMS</t>
  </si>
  <si>
    <t>FBNC</t>
  </si>
  <si>
    <t>FBP</t>
  </si>
  <si>
    <t>FBRT</t>
  </si>
  <si>
    <t>FC</t>
  </si>
  <si>
    <t>FCBC</t>
  </si>
  <si>
    <t>FCEL</t>
  </si>
  <si>
    <t>FCF</t>
  </si>
  <si>
    <t>FCFS</t>
  </si>
  <si>
    <t>FCPT</t>
  </si>
  <si>
    <t>FCUV</t>
  </si>
  <si>
    <t>FDMT</t>
  </si>
  <si>
    <t>FDP</t>
  </si>
  <si>
    <t>FEAM</t>
  </si>
  <si>
    <t>FELE</t>
  </si>
  <si>
    <t>FF</t>
  </si>
  <si>
    <t>FFBC</t>
  </si>
  <si>
    <t>FFIC</t>
  </si>
  <si>
    <t>FFIE</t>
  </si>
  <si>
    <t>FFIN</t>
  </si>
  <si>
    <t>FFWM</t>
  </si>
  <si>
    <t>FGBI</t>
  </si>
  <si>
    <t>FGEN</t>
  </si>
  <si>
    <t>FHI</t>
  </si>
  <si>
    <t>FHTX</t>
  </si>
  <si>
    <t>FIBK</t>
  </si>
  <si>
    <t>FIGS</t>
  </si>
  <si>
    <t>FISI</t>
  </si>
  <si>
    <t>FIX</t>
  </si>
  <si>
    <t>FIZZ</t>
  </si>
  <si>
    <t>FL</t>
  </si>
  <si>
    <t>FLGT</t>
  </si>
  <si>
    <t>FLIC</t>
  </si>
  <si>
    <t>FLL</t>
  </si>
  <si>
    <t>FLNC</t>
  </si>
  <si>
    <t>FLNG</t>
  </si>
  <si>
    <t>FLR</t>
  </si>
  <si>
    <t>FLWS</t>
  </si>
  <si>
    <t>FLYW</t>
  </si>
  <si>
    <t>FMAO</t>
  </si>
  <si>
    <t>FMBH</t>
  </si>
  <si>
    <t>FMNB</t>
  </si>
  <si>
    <t>FN</t>
  </si>
  <si>
    <t>FNA</t>
  </si>
  <si>
    <t>FNKO</t>
  </si>
  <si>
    <t>FNLC</t>
  </si>
  <si>
    <t>FOA</t>
  </si>
  <si>
    <t>FOCS</t>
  </si>
  <si>
    <t>FOLD</t>
  </si>
  <si>
    <t>FOR</t>
  </si>
  <si>
    <t>FORG</t>
  </si>
  <si>
    <t>FORM</t>
  </si>
  <si>
    <t>FORR</t>
  </si>
  <si>
    <t>FOSL</t>
  </si>
  <si>
    <t>FOXF</t>
  </si>
  <si>
    <t>FPI</t>
  </si>
  <si>
    <t>FRBA</t>
  </si>
  <si>
    <t>FRBK</t>
  </si>
  <si>
    <t>FREE</t>
  </si>
  <si>
    <t>FRG</t>
  </si>
  <si>
    <t>FRME</t>
  </si>
  <si>
    <t>FRO</t>
  </si>
  <si>
    <t>FRPH</t>
  </si>
  <si>
    <t>FRST</t>
  </si>
  <si>
    <t>FSBC</t>
  </si>
  <si>
    <t>FSLY</t>
  </si>
  <si>
    <t>FSP</t>
  </si>
  <si>
    <t>FSR</t>
  </si>
  <si>
    <t>FSS</t>
  </si>
  <si>
    <t>FTCI</t>
  </si>
  <si>
    <t>FTDR</t>
  </si>
  <si>
    <t>FUBO</t>
  </si>
  <si>
    <t>FUL</t>
  </si>
  <si>
    <t>FULC</t>
  </si>
  <si>
    <t>FULT</t>
  </si>
  <si>
    <t>FVCB</t>
  </si>
  <si>
    <t>FWRD</t>
  </si>
  <si>
    <t>FWRG</t>
  </si>
  <si>
    <t>FXLV</t>
  </si>
  <si>
    <t>GABC</t>
  </si>
  <si>
    <t>GAMB</t>
  </si>
  <si>
    <t>GATX</t>
  </si>
  <si>
    <t>GBCI</t>
  </si>
  <si>
    <t>GBIO</t>
  </si>
  <si>
    <t>GBX</t>
  </si>
  <si>
    <t>GCBC</t>
  </si>
  <si>
    <t>GCI</t>
  </si>
  <si>
    <t>GCMG</t>
  </si>
  <si>
    <t>GCO</t>
  </si>
  <si>
    <t>GDEN</t>
  </si>
  <si>
    <t>GDOT</t>
  </si>
  <si>
    <t>GDYN</t>
  </si>
  <si>
    <t>GEF</t>
  </si>
  <si>
    <t>GEO</t>
  </si>
  <si>
    <t>GERN</t>
  </si>
  <si>
    <t>GES</t>
  </si>
  <si>
    <t>GEVO</t>
  </si>
  <si>
    <t>GFF</t>
  </si>
  <si>
    <t>GHC</t>
  </si>
  <si>
    <t>GIC</t>
  </si>
  <si>
    <t>GIII</t>
  </si>
  <si>
    <t>GKOS</t>
  </si>
  <si>
    <t>GLDD</t>
  </si>
  <si>
    <t>GLNG</t>
  </si>
  <si>
    <t>GLRE</t>
  </si>
  <si>
    <t>GLT</t>
  </si>
  <si>
    <t>GLUE</t>
  </si>
  <si>
    <t>GMRE</t>
  </si>
  <si>
    <t>GMS</t>
  </si>
  <si>
    <t>GNK</t>
  </si>
  <si>
    <t>GNL</t>
  </si>
  <si>
    <t>GNTY</t>
  </si>
  <si>
    <t>GNW</t>
  </si>
  <si>
    <t>GOEV</t>
  </si>
  <si>
    <t>GOGL</t>
  </si>
  <si>
    <t>GOGO</t>
  </si>
  <si>
    <t>GOLF</t>
  </si>
  <si>
    <t>GOOD</t>
  </si>
  <si>
    <t>GOSS</t>
  </si>
  <si>
    <t>GPI</t>
  </si>
  <si>
    <t>GPMT</t>
  </si>
  <si>
    <t>GPOR</t>
  </si>
  <si>
    <t>GPRE</t>
  </si>
  <si>
    <t>GPRO</t>
  </si>
  <si>
    <t>GRBK</t>
  </si>
  <si>
    <t>GRC</t>
  </si>
  <si>
    <t>GREE</t>
  </si>
  <si>
    <t>GRNA</t>
  </si>
  <si>
    <t>GRPN</t>
  </si>
  <si>
    <t>GRWG</t>
  </si>
  <si>
    <t>GSAT</t>
  </si>
  <si>
    <t>GSBC</t>
  </si>
  <si>
    <t>GSHD</t>
  </si>
  <si>
    <t>GT</t>
  </si>
  <si>
    <t>GTLS</t>
  </si>
  <si>
    <t>GTN</t>
  </si>
  <si>
    <t>GTY</t>
  </si>
  <si>
    <t>GVA</t>
  </si>
  <si>
    <t>GWH</t>
  </si>
  <si>
    <t>GWRS</t>
  </si>
  <si>
    <t>HA</t>
  </si>
  <si>
    <t>HAE</t>
  </si>
  <si>
    <t>HAFC</t>
  </si>
  <si>
    <t>HAIN</t>
  </si>
  <si>
    <t>HALO</t>
  </si>
  <si>
    <t>HASI</t>
  </si>
  <si>
    <t>HAYN</t>
  </si>
  <si>
    <t>HBCP</t>
  </si>
  <si>
    <t>HBNC</t>
  </si>
  <si>
    <t>HBT</t>
  </si>
  <si>
    <t>HCAT</t>
  </si>
  <si>
    <t>HCC</t>
  </si>
  <si>
    <t>HCCI</t>
  </si>
  <si>
    <t>HCI</t>
  </si>
  <si>
    <t>HCKT</t>
  </si>
  <si>
    <t>HCSG</t>
  </si>
  <si>
    <t>HDSN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</si>
  <si>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</si>
  <si>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</si>
  <si>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</si>
  <si>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</si>
  <si>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</si>
  <si>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</si>
  <si>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</si>
  <si>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</si>
  <si>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</si>
  <si>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HIMS</t>
  </si>
  <si>
    <t>HIPO</t>
  </si>
  <si>
    <t>HL</t>
  </si>
  <si>
    <t>HLF</t>
  </si>
  <si>
    <t>HLGN</t>
  </si>
  <si>
    <t>HLI</t>
  </si>
  <si>
    <t>HLIO</t>
  </si>
  <si>
    <t>HLIT</t>
  </si>
  <si>
    <t>HLLY</t>
  </si>
  <si>
    <t>HLMN</t>
  </si>
  <si>
    <t>HLNE</t>
  </si>
  <si>
    <t>HLTH</t>
  </si>
  <si>
    <t>HLVX</t>
  </si>
  <si>
    <t>HLX</t>
  </si>
  <si>
    <t>HMN</t>
  </si>
  <si>
    <t>HMPT</t>
  </si>
  <si>
    <t>HMST</t>
  </si>
  <si>
    <t>HNI</t>
  </si>
  <si>
    <t>HNST</t>
  </si>
  <si>
    <t>HOMB</t>
  </si>
  <si>
    <t>HONE</t>
  </si>
  <si>
    <t>HOPE</t>
  </si>
  <si>
    <t>HOUS</t>
  </si>
  <si>
    <t>HOV</t>
  </si>
  <si>
    <t>HP</t>
  </si>
  <si>
    <t>HPK</t>
  </si>
  <si>
    <t>HQY</t>
  </si>
  <si>
    <t>HRI</t>
  </si>
  <si>
    <t>HRMY</t>
  </si>
  <si>
    <t>HRT</t>
  </si>
  <si>
    <t>HRTX</t>
  </si>
  <si>
    <t>HSII</t>
  </si>
  <si>
    <t>HSTM</t>
  </si>
  <si>
    <t>HT</t>
  </si>
  <si>
    <t>HTBI</t>
  </si>
  <si>
    <t>HTBK</t>
  </si>
  <si>
    <t>HTH</t>
  </si>
  <si>
    <t>HTLD</t>
  </si>
  <si>
    <t>HTLF</t>
  </si>
  <si>
    <t>HUBG</t>
  </si>
  <si>
    <t>HUMA</t>
  </si>
  <si>
    <t>HURN</t>
  </si>
  <si>
    <t>HVT</t>
  </si>
  <si>
    <t>HWC</t>
  </si>
  <si>
    <t>HWKN</t>
  </si>
  <si>
    <t>HY</t>
  </si>
  <si>
    <t>HYFM</t>
  </si>
  <si>
    <t>HYLN</t>
  </si>
  <si>
    <t>HYMC</t>
  </si>
  <si>
    <t>HYZN</t>
  </si>
  <si>
    <t>HZO</t>
  </si>
  <si>
    <t>IAS</t>
  </si>
  <si>
    <t>IBCP</t>
  </si>
  <si>
    <t>IBEX</t>
  </si>
  <si>
    <t>IBOC</t>
  </si>
  <si>
    <t>IBP</t>
  </si>
  <si>
    <t>IBRX</t>
  </si>
  <si>
    <t>IBTX</t>
  </si>
  <si>
    <t>ICFI</t>
  </si>
  <si>
    <t>ICHR</t>
  </si>
  <si>
    <t>ICPT</t>
  </si>
  <si>
    <t>ICVX</t>
  </si>
  <si>
    <t>IDCC</t>
  </si>
  <si>
    <t>IDT</t>
  </si>
  <si>
    <t>IDYA</t>
  </si>
  <si>
    <t>IE</t>
  </si>
  <si>
    <t>IESC</t>
  </si>
  <si>
    <t>IGMS</t>
  </si>
  <si>
    <t>IGT</t>
  </si>
  <si>
    <t>IHRT</t>
  </si>
  <si>
    <t>III</t>
  </si>
  <si>
    <t>IIIN</t>
  </si>
  <si>
    <t>IIIV</t>
  </si>
  <si>
    <t>IIPR</t>
  </si>
  <si>
    <t>ILPT</t>
  </si>
  <si>
    <t>IMAX</t>
  </si>
  <si>
    <t>IMGN</t>
  </si>
  <si>
    <t>IMKTA</t>
  </si>
  <si>
    <t>IMVT</t>
  </si>
  <si>
    <t>IMXI</t>
  </si>
  <si>
    <t>INBK</t>
  </si>
  <si>
    <t>INBX</t>
  </si>
  <si>
    <t>INDB</t>
  </si>
  <si>
    <t>INDI</t>
  </si>
  <si>
    <t>INDT</t>
  </si>
  <si>
    <t>INFN</t>
  </si>
  <si>
    <t>INGN</t>
  </si>
  <si>
    <t>INN</t>
  </si>
  <si>
    <t>INNV</t>
  </si>
  <si>
    <t>INO</t>
  </si>
  <si>
    <t>INSE</t>
  </si>
  <si>
    <t>INSG</t>
  </si>
  <si>
    <t>INSM</t>
  </si>
  <si>
    <t>INSP</t>
  </si>
  <si>
    <t>INST</t>
  </si>
  <si>
    <t>INSW</t>
  </si>
  <si>
    <t>INTA</t>
  </si>
  <si>
    <t>INVA</t>
  </si>
  <si>
    <t>INVE</t>
  </si>
  <si>
    <t>IONQ</t>
  </si>
  <si>
    <t>IOSP</t>
  </si>
  <si>
    <t>IOVA</t>
  </si>
  <si>
    <t>IPAR</t>
  </si>
  <si>
    <t>IPI</t>
  </si>
  <si>
    <t>IPSC</t>
  </si>
  <si>
    <t>IRBT</t>
  </si>
  <si>
    <t>IRDM</t>
  </si>
  <si>
    <t>IRMD</t>
  </si>
  <si>
    <t>IRNT</t>
  </si>
  <si>
    <t>IRT</t>
  </si>
  <si>
    <t>IRTC</t>
  </si>
  <si>
    <t>IRWD</t>
  </si>
  <si>
    <t>ISEE</t>
  </si>
  <si>
    <t>ISPO</t>
  </si>
  <si>
    <t>ITCI</t>
  </si>
  <si>
    <t>ITGR</t>
  </si>
  <si>
    <t>ITIC</t>
  </si>
  <si>
    <t>ITOS</t>
  </si>
  <si>
    <t>ITRI</t>
  </si>
  <si>
    <t>IVR</t>
  </si>
  <si>
    <t>IVT</t>
  </si>
  <si>
    <t>IVVD</t>
  </si>
  <si>
    <t>JACK</t>
  </si>
  <si>
    <t>JANX</t>
  </si>
  <si>
    <t>JBI</t>
  </si>
  <si>
    <t>JBSS</t>
  </si>
  <si>
    <t>JBT</t>
  </si>
  <si>
    <t>JELD</t>
  </si>
  <si>
    <t>JJSF</t>
  </si>
  <si>
    <t>JMSB</t>
  </si>
  <si>
    <t>JOAN</t>
  </si>
  <si>
    <t>JOBY</t>
  </si>
  <si>
    <t>JOE</t>
  </si>
  <si>
    <t>JOUT</t>
  </si>
  <si>
    <t>JRVR</t>
  </si>
  <si>
    <t>JXN</t>
  </si>
  <si>
    <t>JYNT</t>
  </si>
  <si>
    <t>KAI</t>
  </si>
  <si>
    <t>KALU</t>
  </si>
  <si>
    <t>KALV</t>
  </si>
  <si>
    <t>KAMN</t>
  </si>
  <si>
    <t>KAR</t>
  </si>
  <si>
    <t>KBH</t>
  </si>
  <si>
    <t>KDNY</t>
  </si>
  <si>
    <t>KE</t>
  </si>
  <si>
    <t>KELYA</t>
  </si>
  <si>
    <t>KFRC</t>
  </si>
  <si>
    <t>KFY</t>
  </si>
  <si>
    <t>KIDS</t>
  </si>
  <si>
    <t>KLIC</t>
  </si>
  <si>
    <t>KLR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</si>
  <si>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</si>
  <si>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</si>
  <si>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</si>
  <si>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</si>
  <si>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</si>
  <si>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</si>
  <si>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</si>
  <si>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</si>
  <si>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</si>
  <si>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KORE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</si>
  <si>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</si>
  <si>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</si>
  <si>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</si>
  <si>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</si>
  <si>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</si>
  <si>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</si>
  <si>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</si>
  <si>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</si>
  <si>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</si>
  <si>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</si>
  <si>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</si>
  <si>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</si>
  <si>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</si>
  <si>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</si>
  <si>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</si>
  <si>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KW</t>
  </si>
  <si>
    <t>KWR</t>
  </si>
  <si>
    <t>KYMR</t>
  </si>
  <si>
    <t>KZR</t>
  </si>
  <si>
    <t>LADR</t>
  </si>
  <si>
    <t>LANC</t>
  </si>
  <si>
    <t>LAND</t>
  </si>
  <si>
    <t>LASR</t>
  </si>
  <si>
    <t>LAUR</t>
  </si>
  <si>
    <t>LAW</t>
  </si>
  <si>
    <t>LAZR</t>
  </si>
  <si>
    <t>LBAI</t>
  </si>
  <si>
    <t>LBC</t>
  </si>
  <si>
    <t>LBRT</t>
  </si>
  <si>
    <t>LC</t>
  </si>
  <si>
    <t>LCII</t>
  </si>
  <si>
    <t>LCUT</t>
  </si>
  <si>
    <t>LE</t>
  </si>
  <si>
    <t>LEGH</t>
  </si>
  <si>
    <t>LEU</t>
  </si>
  <si>
    <t>LFCR</t>
  </si>
  <si>
    <t>LFST</t>
  </si>
  <si>
    <t>LGIH</t>
  </si>
  <si>
    <t>LGND</t>
  </si>
  <si>
    <t>LICY</t>
  </si>
  <si>
    <t>LIDR</t>
  </si>
  <si>
    <t>LILA</t>
  </si>
  <si>
    <t>LILAK</t>
  </si>
  <si>
    <t>LIND</t>
  </si>
  <si>
    <t>LIVN</t>
  </si>
  <si>
    <t>LKFN</t>
  </si>
  <si>
    <t>LL</t>
  </si>
  <si>
    <t>LLAP</t>
  </si>
  <si>
    <t>LMAT</t>
  </si>
  <si>
    <t>LMND</t>
  </si>
  <si>
    <t>LNN</t>
  </si>
  <si>
    <t>LNTH</t>
  </si>
  <si>
    <t>LNW</t>
  </si>
  <si>
    <t>LOB</t>
  </si>
  <si>
    <t>LOCL</t>
  </si>
  <si>
    <t>LOCO</t>
  </si>
  <si>
    <t>LOVE</t>
  </si>
  <si>
    <t>LPG</t>
  </si>
  <si>
    <t>LPRO</t>
  </si>
  <si>
    <t>LPSN</t>
  </si>
  <si>
    <t>LQDA</t>
  </si>
  <si>
    <t>LQDT</t>
  </si>
  <si>
    <t>LRN</t>
  </si>
  <si>
    <t>LSEA</t>
  </si>
  <si>
    <t>LTC</t>
  </si>
  <si>
    <t>LTCH</t>
  </si>
  <si>
    <t>LTH</t>
  </si>
  <si>
    <t>LTHM</t>
  </si>
  <si>
    <t>LUNG</t>
  </si>
  <si>
    <t>LVLU</t>
  </si>
  <si>
    <t>LVOX</t>
  </si>
  <si>
    <t>LWLG</t>
  </si>
  <si>
    <t>LXFR</t>
  </si>
  <si>
    <t>LXP</t>
  </si>
  <si>
    <t>LXRX</t>
  </si>
  <si>
    <t>LXU</t>
  </si>
  <si>
    <t>LYEL</t>
  </si>
  <si>
    <t>LZ</t>
  </si>
  <si>
    <t>LZB</t>
  </si>
  <si>
    <t>MAC</t>
  </si>
  <si>
    <t>MAPS</t>
  </si>
  <si>
    <t>MARA</t>
  </si>
  <si>
    <t>MASS</t>
  </si>
  <si>
    <t>MATV</t>
  </si>
  <si>
    <t>MATW</t>
  </si>
  <si>
    <t>MATX</t>
  </si>
  <si>
    <t>MAX</t>
  </si>
  <si>
    <t>MBI</t>
  </si>
  <si>
    <t>MBIN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</si>
  <si>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</si>
  <si>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</si>
  <si>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</si>
  <si>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</si>
  <si>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</si>
  <si>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</si>
  <si>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</si>
  <si>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</si>
  <si>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</si>
  <si>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</si>
  <si>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MCY</t>
  </si>
  <si>
    <t>MD</t>
  </si>
  <si>
    <t>MDC</t>
  </si>
  <si>
    <t>MDGL</t>
  </si>
  <si>
    <t>MDRX</t>
  </si>
  <si>
    <t>MDXG</t>
  </si>
  <si>
    <t>ME</t>
  </si>
  <si>
    <t>MED</t>
  </si>
  <si>
    <t>MEDP</t>
  </si>
  <si>
    <t>MEG</t>
  </si>
  <si>
    <t>MEI</t>
  </si>
  <si>
    <t>METC</t>
  </si>
  <si>
    <t>MFA</t>
  </si>
  <si>
    <t>MGEE</t>
  </si>
  <si>
    <t>MGNI</t>
  </si>
  <si>
    <t>MGNX</t>
  </si>
  <si>
    <t>MGPI</t>
  </si>
  <si>
    <t>MGRC</t>
  </si>
  <si>
    <t>MGTX</t>
  </si>
  <si>
    <t>MGY</t>
  </si>
  <si>
    <t>MHO</t>
  </si>
  <si>
    <t>MIR</t>
  </si>
  <si>
    <t>MIRM</t>
  </si>
  <si>
    <t>MITK</t>
  </si>
  <si>
    <t>MKFG</t>
  </si>
  <si>
    <t>MKTW</t>
  </si>
  <si>
    <t>ML</t>
  </si>
  <si>
    <t>MLAB</t>
  </si>
  <si>
    <t>MLI</t>
  </si>
  <si>
    <t>MLKN</t>
  </si>
  <si>
    <t>MLNK</t>
  </si>
  <si>
    <t>MLR</t>
  </si>
  <si>
    <t>MLYS</t>
  </si>
  <si>
    <t>MMI</t>
  </si>
  <si>
    <t>MMS</t>
  </si>
  <si>
    <t>MMSI</t>
  </si>
  <si>
    <t>MNKD</t>
  </si>
  <si>
    <t>MNRO</t>
  </si>
  <si>
    <t>MNTK</t>
  </si>
  <si>
    <t>MNTS</t>
  </si>
  <si>
    <t>MOD</t>
  </si>
  <si>
    <t>MODG</t>
  </si>
  <si>
    <t>MODN</t>
  </si>
  <si>
    <t>MODV</t>
  </si>
  <si>
    <t>MOFG</t>
  </si>
  <si>
    <t>MORF</t>
  </si>
  <si>
    <t>MOV</t>
  </si>
  <si>
    <t>MPAA</t>
  </si>
  <si>
    <t>MPB</t>
  </si>
  <si>
    <t>MPLN</t>
  </si>
  <si>
    <t>MPX</t>
  </si>
  <si>
    <t>MQ</t>
  </si>
  <si>
    <t>MRC</t>
  </si>
  <si>
    <t>MRSN</t>
  </si>
  <si>
    <t>MRTN</t>
  </si>
  <si>
    <t>MSBI</t>
  </si>
  <si>
    <t>MSEX</t>
  </si>
  <si>
    <t>MSGE</t>
  </si>
  <si>
    <t>MSTR</t>
  </si>
  <si>
    <t>MTDR</t>
  </si>
  <si>
    <t>MTH</t>
  </si>
  <si>
    <t>MTRN</t>
  </si>
  <si>
    <t>MTSI</t>
  </si>
  <si>
    <t>MTTR</t>
  </si>
  <si>
    <t>MTW</t>
  </si>
  <si>
    <t>MTX</t>
  </si>
  <si>
    <t>MULN</t>
  </si>
  <si>
    <t>MUR</t>
  </si>
  <si>
    <t>MUSA</t>
  </si>
  <si>
    <t>MVBF</t>
  </si>
  <si>
    <t>MVIS</t>
  </si>
  <si>
    <t>MVST</t>
  </si>
  <si>
    <t>MWA</t>
  </si>
  <si>
    <t>MXCT</t>
  </si>
  <si>
    <t>MXL</t>
  </si>
  <si>
    <t>MYE</t>
  </si>
  <si>
    <t>MYFW</t>
  </si>
  <si>
    <t>MYGN</t>
  </si>
  <si>
    <t>MYPS</t>
  </si>
  <si>
    <t>MYRG</t>
  </si>
  <si>
    <t>NABL</t>
  </si>
  <si>
    <t>NAPA</t>
  </si>
  <si>
    <t>NARI</t>
  </si>
  <si>
    <t>NAT</t>
  </si>
  <si>
    <t>NATR</t>
  </si>
  <si>
    <t>NAUT</t>
  </si>
  <si>
    <t>NAVI</t>
  </si>
  <si>
    <t>NBHC</t>
  </si>
  <si>
    <t>NBN</t>
  </si>
  <si>
    <t>NBR</t>
  </si>
  <si>
    <t>NBTB</t>
  </si>
  <si>
    <t>NC</t>
  </si>
  <si>
    <t>NDLS</t>
  </si>
  <si>
    <t>NE</t>
  </si>
  <si>
    <t>NEO</t>
  </si>
  <si>
    <t>NEOG</t>
  </si>
  <si>
    <t>NETI</t>
  </si>
  <si>
    <t>NEX</t>
  </si>
  <si>
    <t>NEXT</t>
  </si>
  <si>
    <t>NFBK</t>
  </si>
  <si>
    <t>NG</t>
  </si>
  <si>
    <t>NGM</t>
  </si>
  <si>
    <t>NGMS</t>
  </si>
  <si>
    <t>NGVC</t>
  </si>
  <si>
    <t>NGVT</t>
  </si>
  <si>
    <t>NHC</t>
  </si>
  <si>
    <t>NHI</t>
  </si>
  <si>
    <t>NIC</t>
  </si>
  <si>
    <t>NJR</t>
  </si>
  <si>
    <t>NKLA</t>
  </si>
  <si>
    <t>NKTR</t>
  </si>
  <si>
    <t>NKTX</t>
  </si>
  <si>
    <t>NL</t>
  </si>
  <si>
    <t>NMIH</t>
  </si>
  <si>
    <t>NMRK</t>
  </si>
  <si>
    <t>NN</t>
  </si>
  <si>
    <t>NNI</t>
  </si>
  <si>
    <t>NNOX</t>
  </si>
  <si>
    <t>NODK</t>
  </si>
  <si>
    <t>NOG</t>
  </si>
  <si>
    <t>NOTV</t>
  </si>
  <si>
    <t>NOVA</t>
  </si>
  <si>
    <t>NOVT</t>
  </si>
  <si>
    <t>NPK</t>
  </si>
  <si>
    <t>NPO</t>
  </si>
  <si>
    <t>NR</t>
  </si>
  <si>
    <t>NRC</t>
  </si>
  <si>
    <t>NRDS</t>
  </si>
  <si>
    <t>NRDY</t>
  </si>
  <si>
    <t>NREF</t>
  </si>
  <si>
    <t>NRGV</t>
  </si>
  <si>
    <t>NRIX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</si>
  <si>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</si>
  <si>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</si>
  <si>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</si>
  <si>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</si>
  <si>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</si>
  <si>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</si>
  <si>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</si>
  <si>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</si>
  <si>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</si>
  <si>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NUS</t>
  </si>
  <si>
    <t>NUTX</t>
  </si>
  <si>
    <t>NUVA</t>
  </si>
  <si>
    <t>NUVB</t>
  </si>
  <si>
    <t>NUVL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</si>
  <si>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</si>
  <si>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</si>
  <si>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</si>
  <si>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</si>
  <si>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</si>
  <si>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</si>
  <si>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</si>
  <si>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</si>
  <si>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</si>
  <si>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</si>
  <si>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</si>
  <si>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NXT</t>
  </si>
  <si>
    <t>NYMT</t>
  </si>
  <si>
    <t>OABI</t>
  </si>
  <si>
    <t>OB</t>
  </si>
  <si>
    <t>OBK</t>
  </si>
  <si>
    <t>OCFC</t>
  </si>
  <si>
    <t>OCGN</t>
  </si>
  <si>
    <t>OCTO</t>
  </si>
  <si>
    <t>OCUL</t>
  </si>
  <si>
    <t>ODP</t>
  </si>
  <si>
    <t>OEC</t>
  </si>
  <si>
    <t>OFG</t>
  </si>
  <si>
    <t>OFIX</t>
  </si>
  <si>
    <t>OFLX</t>
  </si>
  <si>
    <t>OGS</t>
  </si>
  <si>
    <t>OI</t>
  </si>
  <si>
    <t>OII</t>
  </si>
  <si>
    <t>OIS</t>
  </si>
  <si>
    <t>OLO</t>
  </si>
  <si>
    <t>OLP</t>
  </si>
  <si>
    <t>OM</t>
  </si>
  <si>
    <t>OMCL</t>
  </si>
  <si>
    <t>OMI</t>
  </si>
  <si>
    <t>OMIC</t>
  </si>
  <si>
    <t>ONB</t>
  </si>
  <si>
    <t>ONDS</t>
  </si>
  <si>
    <t>ONEW</t>
  </si>
  <si>
    <t>ONL</t>
  </si>
  <si>
    <t>ONTF</t>
  </si>
  <si>
    <t>ONTO</t>
  </si>
  <si>
    <t>OOMA</t>
  </si>
  <si>
    <t>OPAD</t>
  </si>
  <si>
    <t>OPCH</t>
  </si>
  <si>
    <t>OPFI</t>
  </si>
  <si>
    <t>OPI</t>
  </si>
  <si>
    <t>OPK</t>
  </si>
  <si>
    <t>OPRT</t>
  </si>
  <si>
    <t>OPRX</t>
  </si>
  <si>
    <t>OPY</t>
  </si>
  <si>
    <t>ORA</t>
  </si>
  <si>
    <t>ORC</t>
  </si>
  <si>
    <t>ORGN</t>
  </si>
  <si>
    <t>ORGO</t>
  </si>
  <si>
    <t>ORRF</t>
  </si>
  <si>
    <t>OSBC</t>
  </si>
  <si>
    <t>OSCR</t>
  </si>
  <si>
    <t>OSIS</t>
  </si>
  <si>
    <t>OSPN</t>
  </si>
  <si>
    <t>OSTK</t>
  </si>
  <si>
    <t>OSUR</t>
  </si>
  <si>
    <t>OSW</t>
  </si>
  <si>
    <t>OTLK</t>
  </si>
  <si>
    <t>OTTR</t>
  </si>
  <si>
    <t>OUST</t>
  </si>
  <si>
    <t>OUT</t>
  </si>
  <si>
    <t>OXM</t>
  </si>
  <si>
    <t>PACB</t>
  </si>
  <si>
    <t>PACK</t>
  </si>
  <si>
    <t>PAHC</t>
  </si>
  <si>
    <t>PAR</t>
  </si>
  <si>
    <t>PARR</t>
  </si>
  <si>
    <t>PATK</t>
  </si>
  <si>
    <t>PAYO</t>
  </si>
  <si>
    <t>PBF</t>
  </si>
  <si>
    <t>PBFS</t>
  </si>
  <si>
    <t>PBH</t>
  </si>
  <si>
    <t>PBI</t>
  </si>
  <si>
    <t>PCB</t>
  </si>
  <si>
    <t>PCH</t>
  </si>
  <si>
    <t>PCRX</t>
  </si>
  <si>
    <t>PCT</t>
  </si>
  <si>
    <t>PCVX</t>
  </si>
  <si>
    <t>PCYO</t>
  </si>
  <si>
    <t>PD</t>
  </si>
  <si>
    <t>PDCO</t>
  </si>
  <si>
    <t>PDFS</t>
  </si>
  <si>
    <t>PDLI</t>
  </si>
  <si>
    <t>PDM</t>
  </si>
  <si>
    <t>PEB</t>
  </si>
  <si>
    <t>PEBO</t>
  </si>
  <si>
    <t>PECO</t>
  </si>
  <si>
    <t>PEPG</t>
  </si>
  <si>
    <t>PETQ</t>
  </si>
  <si>
    <t>PETS</t>
  </si>
  <si>
    <t>PFBC</t>
  </si>
  <si>
    <t>PFC</t>
  </si>
  <si>
    <t>PFIS</t>
  </si>
  <si>
    <t>PFS</t>
  </si>
  <si>
    <t>PFSI</t>
  </si>
  <si>
    <t>PFSW</t>
  </si>
  <si>
    <t>PGC</t>
  </si>
  <si>
    <t>PGEN</t>
  </si>
  <si>
    <t>PGNY</t>
  </si>
  <si>
    <t>PGRE</t>
  </si>
  <si>
    <t>PGTI</t>
  </si>
  <si>
    <t>PHAT</t>
  </si>
  <si>
    <t>PHR</t>
  </si>
  <si>
    <t>PI</t>
  </si>
  <si>
    <t>PIII</t>
  </si>
  <si>
    <t>PIPR</t>
  </si>
  <si>
    <t>PJT</t>
  </si>
  <si>
    <t>PKBK</t>
  </si>
  <si>
    <t>PKE</t>
  </si>
  <si>
    <t>PL</t>
  </si>
  <si>
    <t>PLAB</t>
  </si>
  <si>
    <t>PLAY</t>
  </si>
  <si>
    <t>PLBY</t>
  </si>
  <si>
    <t>PLCE</t>
  </si>
  <si>
    <t>PLL</t>
  </si>
  <si>
    <t>PLM</t>
  </si>
  <si>
    <t>PLMR</t>
  </si>
  <si>
    <t>PLOW</t>
  </si>
  <si>
    <t>PLPC</t>
  </si>
  <si>
    <t>PLUS</t>
  </si>
  <si>
    <t>PLXS</t>
  </si>
  <si>
    <t>PLYM</t>
  </si>
  <si>
    <t>PMT</t>
  </si>
  <si>
    <t>PMVP</t>
  </si>
  <si>
    <t>PNM</t>
  </si>
  <si>
    <t>PNT</t>
  </si>
  <si>
    <t>PNTG</t>
  </si>
  <si>
    <t>POR</t>
  </si>
  <si>
    <t>POWI</t>
  </si>
  <si>
    <t>POWL</t>
  </si>
  <si>
    <t>POWW</t>
  </si>
  <si>
    <t>PPBI</t>
  </si>
  <si>
    <t>PR</t>
  </si>
  <si>
    <t>PRA</t>
  </si>
  <si>
    <t>PRAA</t>
  </si>
  <si>
    <t>PRAX</t>
  </si>
  <si>
    <t>PRCH</t>
  </si>
  <si>
    <t>PRCT</t>
  </si>
  <si>
    <t>PRDO</t>
  </si>
  <si>
    <t>PRDS</t>
  </si>
  <si>
    <t>PRFT</t>
  </si>
  <si>
    <t>PRG</t>
  </si>
  <si>
    <t>PRGS</t>
  </si>
  <si>
    <t>PRIM</t>
  </si>
  <si>
    <t>PRK</t>
  </si>
  <si>
    <t>PRLB</t>
  </si>
  <si>
    <t>PRM</t>
  </si>
  <si>
    <t>PRME</t>
  </si>
  <si>
    <t>PRMW</t>
  </si>
  <si>
    <t>PRO</t>
  </si>
  <si>
    <t>PRPL</t>
  </si>
  <si>
    <t>PRTA</t>
  </si>
  <si>
    <t>PRTH</t>
  </si>
  <si>
    <t>PRTS</t>
  </si>
  <si>
    <t>PRVA</t>
  </si>
  <si>
    <t>PSFE</t>
  </si>
  <si>
    <t>PSMT</t>
  </si>
  <si>
    <t>PSN</t>
  </si>
  <si>
    <t>PSTL</t>
  </si>
  <si>
    <t>PTCT</t>
  </si>
  <si>
    <t>PTEN</t>
  </si>
  <si>
    <t>PTGX</t>
  </si>
  <si>
    <t>PTLO</t>
  </si>
  <si>
    <t>PTRA</t>
  </si>
  <si>
    <t>PTSI</t>
  </si>
  <si>
    <t>PTVE</t>
  </si>
  <si>
    <t>PUBM</t>
  </si>
  <si>
    <t>PUMP</t>
  </si>
  <si>
    <t>PVBC</t>
  </si>
  <si>
    <t>PWP</t>
  </si>
  <si>
    <t>PWSC</t>
  </si>
  <si>
    <t>PZZA</t>
  </si>
  <si>
    <t>QCRH</t>
  </si>
  <si>
    <t>QLYS</t>
  </si>
  <si>
    <t>QNST</t>
  </si>
  <si>
    <t>QRTEA</t>
  </si>
  <si>
    <t>QSI</t>
  </si>
  <si>
    <t>QTRX</t>
  </si>
  <si>
    <t>QTWO</t>
  </si>
  <si>
    <t>QUAD</t>
  </si>
  <si>
    <t>QUOT</t>
  </si>
  <si>
    <t>RAD</t>
  </si>
  <si>
    <t>RADI</t>
  </si>
  <si>
    <t>RAMP</t>
  </si>
  <si>
    <t>RAPT</t>
  </si>
  <si>
    <t>RBB</t>
  </si>
  <si>
    <t>RBBN</t>
  </si>
  <si>
    <t>RBC</t>
  </si>
  <si>
    <t>RBCAA</t>
  </si>
  <si>
    <t>RBOT</t>
  </si>
  <si>
    <t>RC</t>
  </si>
  <si>
    <t>RCKT</t>
  </si>
  <si>
    <t>RCKY</t>
  </si>
  <si>
    <t>RCM</t>
  </si>
  <si>
    <t>RCUS</t>
  </si>
  <si>
    <t>RDFN</t>
  </si>
  <si>
    <t>RDN</t>
  </si>
  <si>
    <t>RDNT</t>
  </si>
  <si>
    <t>RDVT</t>
  </si>
  <si>
    <t>RDW</t>
  </si>
  <si>
    <t>REAL</t>
  </si>
  <si>
    <t>REFI</t>
  </si>
  <si>
    <t>REI</t>
  </si>
  <si>
    <t>RELY</t>
  </si>
  <si>
    <t>RENT</t>
  </si>
  <si>
    <t>REPL</t>
  </si>
  <si>
    <t>REPX</t>
  </si>
  <si>
    <t>RES</t>
  </si>
  <si>
    <t>RETA</t>
  </si>
  <si>
    <t>REVG</t>
  </si>
  <si>
    <t>REX</t>
  </si>
  <si>
    <t>REZI</t>
  </si>
  <si>
    <t>RGNX</t>
  </si>
  <si>
    <t>RGP</t>
  </si>
  <si>
    <t>RGR</t>
  </si>
  <si>
    <t>RGTI</t>
  </si>
  <si>
    <t>RHP</t>
  </si>
  <si>
    <t>RICK</t>
  </si>
  <si>
    <t>RIDE</t>
  </si>
  <si>
    <t>RIGL</t>
  </si>
  <si>
    <t>RILY</t>
  </si>
  <si>
    <t>RIOT</t>
  </si>
  <si>
    <t>RKLB</t>
  </si>
  <si>
    <t>RLAY</t>
  </si>
  <si>
    <t>RLGT</t>
  </si>
  <si>
    <t>RLI</t>
  </si>
  <si>
    <t>RLJ</t>
  </si>
  <si>
    <t>RLMD</t>
  </si>
  <si>
    <t>RLYB</t>
  </si>
  <si>
    <t>RM</t>
  </si>
  <si>
    <t>RMAX</t>
  </si>
  <si>
    <t>RMBL</t>
  </si>
  <si>
    <t>RMBS</t>
  </si>
  <si>
    <t>RMNI</t>
  </si>
  <si>
    <t>RMR</t>
  </si>
  <si>
    <t>RNA</t>
  </si>
  <si>
    <t>RNST</t>
  </si>
  <si>
    <t>ROAD</t>
  </si>
  <si>
    <t>ROCC</t>
  </si>
  <si>
    <t>ROCK</t>
  </si>
  <si>
    <t>ROG</t>
  </si>
  <si>
    <t>ROIC</t>
  </si>
  <si>
    <t>ROOT</t>
  </si>
  <si>
    <t>ROVR</t>
  </si>
  <si>
    <t>RPAY</t>
  </si>
  <si>
    <t>RPD</t>
  </si>
  <si>
    <t>RPT</t>
  </si>
  <si>
    <t>RRBI</t>
  </si>
  <si>
    <t>RRR</t>
  </si>
  <si>
    <t>RSI</t>
  </si>
  <si>
    <t>RSVR</t>
  </si>
  <si>
    <t>RTL</t>
  </si>
  <si>
    <t>RUSHA</t>
  </si>
  <si>
    <t>RUSHB</t>
  </si>
  <si>
    <t>RVLV</t>
  </si>
  <si>
    <t>RVMD</t>
  </si>
  <si>
    <t>RVNC</t>
  </si>
  <si>
    <t>RWT</t>
  </si>
  <si>
    <t>RXDX</t>
  </si>
  <si>
    <t>RXRX</t>
  </si>
  <si>
    <t>RXST</t>
  </si>
  <si>
    <t>RXT</t>
  </si>
  <si>
    <t>RYAM</t>
  </si>
  <si>
    <t>RYI</t>
  </si>
  <si>
    <t>SABR</t>
  </si>
  <si>
    <t>SAFE</t>
  </si>
  <si>
    <t>SAFT</t>
  </si>
  <si>
    <t>SAGE</t>
  </si>
  <si>
    <t>SAH</t>
  </si>
  <si>
    <t>SAIA</t>
  </si>
  <si>
    <t>SAMG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</si>
  <si>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</si>
  <si>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</si>
  <si>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</si>
  <si>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</si>
  <si>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</si>
  <si>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</si>
  <si>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</si>
  <si>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</si>
  <si>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</si>
  <si>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</si>
  <si>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SBOW</t>
  </si>
  <si>
    <t>SBRA</t>
  </si>
  <si>
    <t>SBSI</t>
  </si>
  <si>
    <t>SBT</t>
  </si>
  <si>
    <t>SCHL</t>
  </si>
  <si>
    <t>SCL</t>
  </si>
  <si>
    <t>SCS</t>
  </si>
  <si>
    <t>SCSC</t>
  </si>
  <si>
    <t>SCU</t>
  </si>
  <si>
    <t>SCVL</t>
  </si>
  <si>
    <t>SCWX</t>
  </si>
  <si>
    <t>SD</t>
  </si>
  <si>
    <t>SDGR</t>
  </si>
  <si>
    <t>SEAS</t>
  </si>
  <si>
    <t>SEAT</t>
  </si>
  <si>
    <t>SEER</t>
  </si>
  <si>
    <t>SEM</t>
  </si>
  <si>
    <t>SENEA</t>
  </si>
  <si>
    <t>SENS</t>
  </si>
  <si>
    <t>SFBS</t>
  </si>
  <si>
    <t>SFIX</t>
  </si>
  <si>
    <t>SFL</t>
  </si>
  <si>
    <t>SFM</t>
  </si>
  <si>
    <t>SFNC</t>
  </si>
  <si>
    <t>SFST</t>
  </si>
  <si>
    <t>SG</t>
  </si>
  <si>
    <t>SGC</t>
  </si>
  <si>
    <t>SGH</t>
  </si>
  <si>
    <t>SGHT</t>
  </si>
  <si>
    <t>SGMO</t>
  </si>
  <si>
    <t>SGRY</t>
  </si>
  <si>
    <t>SHAK</t>
  </si>
  <si>
    <t>SHBI</t>
  </si>
  <si>
    <t>SHCR</t>
  </si>
  <si>
    <t>SHEN</t>
  </si>
  <si>
    <t>SHLS</t>
  </si>
  <si>
    <t>SHO</t>
  </si>
  <si>
    <t>SHOO</t>
  </si>
  <si>
    <t>SHYF</t>
  </si>
  <si>
    <t>SIBN</t>
  </si>
  <si>
    <t>SIG</t>
  </si>
  <si>
    <t>SIGA</t>
  </si>
  <si>
    <t>SIGI</t>
  </si>
  <si>
    <t>SILK</t>
  </si>
  <si>
    <t>SITC</t>
  </si>
  <si>
    <t>SITM</t>
  </si>
  <si>
    <t>SJW</t>
  </si>
  <si>
    <t>SKIL</t>
  </si>
  <si>
    <t>SKIN</t>
  </si>
  <si>
    <t>SKLZ</t>
  </si>
  <si>
    <t>SKT</t>
  </si>
  <si>
    <t>SKWD</t>
  </si>
  <si>
    <t>SKY</t>
  </si>
  <si>
    <t>SKYT</t>
  </si>
  <si>
    <t>SKYW</t>
  </si>
  <si>
    <t>SLAB</t>
  </si>
  <si>
    <t>SLCA</t>
  </si>
  <si>
    <t>SLDP</t>
  </si>
  <si>
    <t>SLGC</t>
  </si>
  <si>
    <t>SLP</t>
  </si>
  <si>
    <t>SLQT</t>
  </si>
  <si>
    <t>SLVM</t>
  </si>
  <si>
    <t>SM</t>
  </si>
  <si>
    <t>SMBC</t>
  </si>
  <si>
    <t>SMBK</t>
  </si>
  <si>
    <t>SMCI</t>
  </si>
  <si>
    <t>SMMF</t>
  </si>
  <si>
    <t>SMP</t>
  </si>
  <si>
    <t>SMPL</t>
  </si>
  <si>
    <t>SMR</t>
  </si>
  <si>
    <t>SMRT</t>
  </si>
  <si>
    <t>SMTC</t>
  </si>
  <si>
    <t>SNBR</t>
  </si>
  <si>
    <t>SNCE</t>
  </si>
  <si>
    <t>SNCY</t>
  </si>
  <si>
    <t>SNDX</t>
  </si>
  <si>
    <t>SNEX</t>
  </si>
  <si>
    <t>SNPO</t>
  </si>
  <si>
    <t>SOI</t>
  </si>
  <si>
    <t>SOND</t>
  </si>
  <si>
    <t>SONO</t>
  </si>
  <si>
    <t>SOVO</t>
  </si>
  <si>
    <t>SP</t>
  </si>
  <si>
    <t>SPCE</t>
  </si>
  <si>
    <t>SPFI</t>
  </si>
  <si>
    <t>SPHR</t>
  </si>
  <si>
    <t>SPIR</t>
  </si>
  <si>
    <t>SPNS</t>
  </si>
  <si>
    <t>SPNT</t>
  </si>
  <si>
    <t>SPSC</t>
  </si>
  <si>
    <t>SPT</t>
  </si>
  <si>
    <t>SPTN</t>
  </si>
  <si>
    <t>SPWH</t>
  </si>
  <si>
    <t>SPWR</t>
  </si>
  <si>
    <t>SPXC</t>
  </si>
  <si>
    <t>SQSP</t>
  </si>
  <si>
    <t>SR</t>
  </si>
  <si>
    <t>SRCE</t>
  </si>
  <si>
    <t>SRDX</t>
  </si>
  <si>
    <t>SRI</t>
  </si>
  <si>
    <t>SSB</t>
  </si>
  <si>
    <t>SSD</t>
  </si>
  <si>
    <t>SSP</t>
  </si>
  <si>
    <t>SSTI</t>
  </si>
  <si>
    <t>SSTK</t>
  </si>
  <si>
    <t>STAA</t>
  </si>
  <si>
    <t>STAG</t>
  </si>
  <si>
    <t>STBA</t>
  </si>
  <si>
    <t>STC</t>
  </si>
  <si>
    <t>STEL</t>
  </si>
  <si>
    <t>STEM</t>
  </si>
  <si>
    <t>STEP</t>
  </si>
  <si>
    <t>STER</t>
  </si>
  <si>
    <t>STGW</t>
  </si>
  <si>
    <t>STHO</t>
  </si>
  <si>
    <t>STKL</t>
  </si>
  <si>
    <t>STKS</t>
  </si>
  <si>
    <t>STNE</t>
  </si>
  <si>
    <t>STNG</t>
  </si>
  <si>
    <t>STOK</t>
  </si>
  <si>
    <t>STR</t>
  </si>
  <si>
    <t>STRA</t>
  </si>
  <si>
    <t>STRC</t>
  </si>
  <si>
    <t>STRL</t>
  </si>
  <si>
    <t>STRO</t>
  </si>
  <si>
    <t>STRS</t>
  </si>
  <si>
    <t>SUM</t>
  </si>
  <si>
    <t>SUNL</t>
  </si>
  <si>
    <t>SUPN</t>
  </si>
  <si>
    <t>SVC</t>
  </si>
  <si>
    <t>SWAV</t>
  </si>
  <si>
    <t>SWBI</t>
  </si>
  <si>
    <t>SWI</t>
  </si>
  <si>
    <t>SWIM</t>
  </si>
  <si>
    <t>SWKH</t>
  </si>
  <si>
    <t>SWTX</t>
  </si>
  <si>
    <t>SWX</t>
  </si>
  <si>
    <t>SXC</t>
  </si>
  <si>
    <t>SXI</t>
  </si>
  <si>
    <t>SXT</t>
  </si>
  <si>
    <t>SYBT</t>
  </si>
  <si>
    <t>SYNA</t>
  </si>
  <si>
    <t>TALO</t>
  </si>
  <si>
    <t>TARS</t>
  </si>
  <si>
    <t>TBBK</t>
  </si>
  <si>
    <t>TBI</t>
  </si>
  <si>
    <t>TBPH</t>
  </si>
  <si>
    <t>TCBI</t>
  </si>
  <si>
    <t>TCBK</t>
  </si>
  <si>
    <t>TCBX</t>
  </si>
  <si>
    <t>TCI</t>
  </si>
  <si>
    <t>TCMD</t>
  </si>
  <si>
    <t>TCS</t>
  </si>
  <si>
    <t>TCX</t>
  </si>
  <si>
    <t>TDS</t>
  </si>
  <si>
    <t>TDUP</t>
  </si>
  <si>
    <t>TDW</t>
  </si>
  <si>
    <t>TELL</t>
  </si>
  <si>
    <t>TENB</t>
  </si>
  <si>
    <t>TEX</t>
  </si>
  <si>
    <t>TFIN</t>
  </si>
  <si>
    <t>TFM</t>
  </si>
  <si>
    <t>TG</t>
  </si>
  <si>
    <t>TGAN</t>
  </si>
  <si>
    <t>TGH</t>
  </si>
  <si>
    <t>TGI</t>
  </si>
  <si>
    <t>TGNA</t>
  </si>
  <si>
    <t>TGTX</t>
  </si>
  <si>
    <t>TH</t>
  </si>
  <si>
    <t>THFF</t>
  </si>
  <si>
    <t>THR</t>
  </si>
  <si>
    <t>THRD</t>
  </si>
  <si>
    <t>THRM</t>
  </si>
  <si>
    <t>THRN</t>
  </si>
  <si>
    <t>THRX</t>
  </si>
  <si>
    <t>THRY</t>
  </si>
  <si>
    <t>THS</t>
  </si>
  <si>
    <t>TIL</t>
  </si>
  <si>
    <t>TILE</t>
  </si>
  <si>
    <t>TIPT</t>
  </si>
  <si>
    <t>TITN</t>
  </si>
  <si>
    <t>TK</t>
  </si>
  <si>
    <t>TKNO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</si>
  <si>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</si>
  <si>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</si>
  <si>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</si>
  <si>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</si>
  <si>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</si>
  <si>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</si>
  <si>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</si>
  <si>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</si>
  <si>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</si>
  <si>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TNGX</t>
  </si>
  <si>
    <t>TNK</t>
  </si>
  <si>
    <t>TNYA</t>
  </si>
  <si>
    <t>TOI</t>
  </si>
  <si>
    <t>TOWN</t>
  </si>
  <si>
    <t>TPB</t>
  </si>
  <si>
    <t>TPC</t>
  </si>
  <si>
    <t>TPH</t>
  </si>
  <si>
    <t>TPIC</t>
  </si>
  <si>
    <t>TR</t>
  </si>
  <si>
    <t>TRC</t>
  </si>
  <si>
    <t>TREE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</si>
  <si>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</si>
  <si>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</si>
  <si>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</si>
  <si>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</si>
  <si>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</si>
  <si>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</si>
  <si>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</si>
  <si>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</si>
  <si>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</si>
  <si>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TRUE</t>
  </si>
  <si>
    <t>TRUP</t>
  </si>
  <si>
    <t>TSE</t>
  </si>
  <si>
    <t>TSP</t>
  </si>
  <si>
    <t>TSVT</t>
  </si>
  <si>
    <t>TTCF</t>
  </si>
  <si>
    <t>TTEC</t>
  </si>
  <si>
    <t>TTGT</t>
  </si>
  <si>
    <t>TTI</t>
  </si>
  <si>
    <t>TTMI</t>
  </si>
  <si>
    <t>TTSH</t>
  </si>
  <si>
    <t>TUP</t>
  </si>
  <si>
    <t>TVTX</t>
  </si>
  <si>
    <t>TWI</t>
  </si>
  <si>
    <t>TWNK</t>
  </si>
  <si>
    <t>TWO</t>
  </si>
  <si>
    <t>TWOU</t>
  </si>
  <si>
    <t>TWST</t>
  </si>
  <si>
    <t>TXRH</t>
  </si>
  <si>
    <t>TYRA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</si>
  <si>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</si>
  <si>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</si>
  <si>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</si>
  <si>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</si>
  <si>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</si>
  <si>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</si>
  <si>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</si>
  <si>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</si>
  <si>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</si>
  <si>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</si>
  <si>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</si>
  <si>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</si>
  <si>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</si>
  <si>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UIS</t>
  </si>
  <si>
    <t>ULCC</t>
  </si>
  <si>
    <t>ULH</t>
  </si>
  <si>
    <t>UMBF</t>
  </si>
  <si>
    <t>UMH</t>
  </si>
  <si>
    <t>UNF</t>
  </si>
  <si>
    <t>UNFI</t>
  </si>
  <si>
    <t>UNIT</t>
  </si>
  <si>
    <t>UNTY</t>
  </si>
  <si>
    <t>UONE</t>
  </si>
  <si>
    <t>UONEK</t>
  </si>
  <si>
    <t>UP</t>
  </si>
  <si>
    <t>UPBD</t>
  </si>
  <si>
    <t>UPLD</t>
  </si>
  <si>
    <t>UPWK</t>
  </si>
  <si>
    <t>URBN</t>
  </si>
  <si>
    <t>URG</t>
  </si>
  <si>
    <t>USCB</t>
  </si>
  <si>
    <t>USLM</t>
  </si>
  <si>
    <t>USM</t>
  </si>
  <si>
    <t>USNA</t>
  </si>
  <si>
    <t>USPH</t>
  </si>
  <si>
    <t>UTI</t>
  </si>
  <si>
    <t>UTL</t>
  </si>
  <si>
    <t>UTMD</t>
  </si>
  <si>
    <t>UTZ</t>
  </si>
  <si>
    <t>UUUU</t>
  </si>
  <si>
    <t>UVE</t>
  </si>
  <si>
    <t>UVSP</t>
  </si>
  <si>
    <t>UVV</t>
  </si>
  <si>
    <t>VAL</t>
  </si>
  <si>
    <t>VALU</t>
  </si>
  <si>
    <t>VBIV</t>
  </si>
  <si>
    <t>VBTX</t>
  </si>
  <si>
    <t>VC</t>
  </si>
  <si>
    <t>VCEL</t>
  </si>
  <si>
    <t>VCSA</t>
  </si>
  <si>
    <t>VCTR</t>
  </si>
  <si>
    <t>VCYT</t>
  </si>
  <si>
    <t>VECO</t>
  </si>
  <si>
    <t>VEL</t>
  </si>
  <si>
    <t>VERA</t>
  </si>
  <si>
    <t>VERI</t>
  </si>
  <si>
    <t>VERU</t>
  </si>
  <si>
    <t>VERV</t>
  </si>
  <si>
    <t>VGR</t>
  </si>
  <si>
    <t>VHI</t>
  </si>
  <si>
    <t>VIA</t>
  </si>
  <si>
    <t>VIAV</t>
  </si>
  <si>
    <t>VICR</t>
  </si>
  <si>
    <t>VIEW</t>
  </si>
  <si>
    <t>VIR</t>
  </si>
  <si>
    <t>VITL</t>
  </si>
  <si>
    <t>VLD</t>
  </si>
  <si>
    <t>VLGEA</t>
  </si>
  <si>
    <t>VLY</t>
  </si>
  <si>
    <t>VMEO</t>
  </si>
  <si>
    <t>VNDA</t>
  </si>
  <si>
    <t>VPG</t>
  </si>
  <si>
    <t>VRAY</t>
  </si>
  <si>
    <t>VRDN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</si>
  <si>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</si>
  <si>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</si>
  <si>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</si>
  <si>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</si>
  <si>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</si>
  <si>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</si>
  <si>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</si>
  <si>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</si>
  <si>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</si>
  <si>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VSTO</t>
  </si>
  <si>
    <t>VTGN</t>
  </si>
  <si>
    <t>VTLE</t>
  </si>
  <si>
    <t>VTNR</t>
  </si>
  <si>
    <t>VTOL</t>
  </si>
  <si>
    <t>VTYX</t>
  </si>
  <si>
    <t>VUZI</t>
  </si>
  <si>
    <t>VVI</t>
  </si>
  <si>
    <t>VVX</t>
  </si>
  <si>
    <t>VWE</t>
  </si>
  <si>
    <t>VXRT</t>
  </si>
  <si>
    <t>VZIO</t>
  </si>
  <si>
    <t>WABC</t>
  </si>
  <si>
    <t>WAFD</t>
  </si>
  <si>
    <t>WASH</t>
  </si>
  <si>
    <t>WD</t>
  </si>
  <si>
    <t>WDFC</t>
  </si>
  <si>
    <t>WEAV</t>
  </si>
  <si>
    <t>WERN</t>
  </si>
  <si>
    <t>WEYS</t>
  </si>
  <si>
    <t>WFRD</t>
  </si>
  <si>
    <t>WGO</t>
  </si>
  <si>
    <t>WGS</t>
  </si>
  <si>
    <t>WHD</t>
  </si>
  <si>
    <t>WINA</t>
  </si>
  <si>
    <t>WING</t>
  </si>
  <si>
    <t>WIRE</t>
  </si>
  <si>
    <t>WISH</t>
  </si>
  <si>
    <t>WK</t>
  </si>
  <si>
    <t>WKHS</t>
  </si>
  <si>
    <t>WLDN</t>
  </si>
  <si>
    <t>WLY</t>
  </si>
  <si>
    <t>WMK</t>
  </si>
  <si>
    <t>WNC</t>
  </si>
  <si>
    <t>WOR</t>
  </si>
  <si>
    <t>WOW</t>
  </si>
  <si>
    <t>WRBY</t>
  </si>
  <si>
    <t>WRLD</t>
  </si>
  <si>
    <t>WSBC</t>
  </si>
  <si>
    <t>WSBF</t>
  </si>
  <si>
    <t>WSFS</t>
  </si>
  <si>
    <t>WSR</t>
  </si>
  <si>
    <t>WT</t>
  </si>
  <si>
    <t>WTBA</t>
  </si>
  <si>
    <t>WTI</t>
  </si>
  <si>
    <t>WTS</t>
  </si>
  <si>
    <t>WTTR</t>
  </si>
  <si>
    <t>WULF</t>
  </si>
  <si>
    <t>WW</t>
  </si>
  <si>
    <t>WWW</t>
  </si>
  <si>
    <t>XERS</t>
  </si>
  <si>
    <t>XHR</t>
  </si>
  <si>
    <t>XMTR</t>
  </si>
  <si>
    <t>XNCR</t>
  </si>
  <si>
    <t>XOS</t>
  </si>
  <si>
    <t>XPEL</t>
  </si>
  <si>
    <t>XPER</t>
  </si>
  <si>
    <t>XPOF</t>
  </si>
  <si>
    <t>XPRO</t>
  </si>
  <si>
    <t>XRX</t>
  </si>
  <si>
    <t>XXII</t>
  </si>
  <si>
    <t>YELP</t>
  </si>
  <si>
    <t>YEXT</t>
  </si>
  <si>
    <t>YMAB</t>
  </si>
  <si>
    <t>YORW</t>
  </si>
  <si>
    <t>YOU</t>
  </si>
  <si>
    <t>ZD</t>
  </si>
  <si>
    <t>ZETA</t>
  </si>
  <si>
    <t>ZEUS</t>
  </si>
  <si>
    <t>ZEV</t>
  </si>
  <si>
    <t>ZGN</t>
  </si>
  <si>
    <t>ZIMV</t>
  </si>
  <si>
    <t>ZIP</t>
  </si>
  <si>
    <t>ZNTL</t>
  </si>
  <si>
    <t>ZUMZ</t>
  </si>
  <si>
    <t>ZUO</t>
  </si>
  <si>
    <t>ZWS</t>
  </si>
  <si>
    <t>ZYXI</t>
  </si>
  <si>
    <t>N/A</t>
  </si>
  <si>
    <t>Industrials</t>
  </si>
  <si>
    <t>Real Estate</t>
  </si>
  <si>
    <t>Financial Services</t>
  </si>
  <si>
    <t>Consumer Cyclical</t>
  </si>
  <si>
    <t>Healthcare</t>
  </si>
  <si>
    <t>Technology</t>
  </si>
  <si>
    <t>Consumer Defensive</t>
  </si>
  <si>
    <t>Utilities</t>
  </si>
  <si>
    <t>Communication Services</t>
  </si>
  <si>
    <t>Energy</t>
  </si>
  <si>
    <t>Basic Materials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</si>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</sst>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5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10" width="22.7109375" customWidth="1"/>
    <col min="11" max="11" width="20.7109375" customWidth="1"/>
    <col min="12" max="15" width="15.7109375" customWidth="1"/>
  </cols>
  <sheetData>
    <row r="1" spans="1:14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14</v>
      </c>
      <c r="B2" t="str">
        <f>HYPERLINK("https://www.suredividend.com/sure-analysis-research-database/","Aadi Bioscience Inc")</f>
        <v>Aadi Bioscience Inc</v>
      </c>
      <c r="C2" t="s">
        <v>1797</v>
      </c>
      <c r="D2">
        <v>4.8600000000000003</v>
      </c>
      <c r="E2">
        <v>0</v>
      </c>
      <c r="F2" t="s">
        <v>1797</v>
      </c>
      <c r="G2" t="s">
        <v>1797</v>
      </c>
      <c r="H2">
        <v>0</v>
      </c>
      <c r="I2">
        <v>119.16652000000001</v>
      </c>
      <c r="J2">
        <v>0</v>
      </c>
      <c r="K2" t="s">
        <v>1797</v>
      </c>
      <c r="L2">
        <v>0.7875235818892401</v>
      </c>
      <c r="M2">
        <v>14.13</v>
      </c>
      <c r="N2">
        <v>3.88</v>
      </c>
    </row>
    <row r="3" spans="1:14" x14ac:dyDescent="0.25">
      <c r="A3" s="1" t="s">
        <v>15</v>
      </c>
      <c r="B3" t="str">
        <f>HYPERLINK("https://www.suredividend.com/sure-analysis-research-database/","Aarons Company Inc (The)")</f>
        <v>Aarons Company Inc (The)</v>
      </c>
      <c r="C3" t="s">
        <v>1798</v>
      </c>
      <c r="D3">
        <v>7.47</v>
      </c>
      <c r="E3">
        <v>6.4211415420867002E-2</v>
      </c>
      <c r="F3" t="s">
        <v>1797</v>
      </c>
      <c r="G3" t="s">
        <v>1797</v>
      </c>
      <c r="H3">
        <v>0.47965927319387602</v>
      </c>
      <c r="I3">
        <v>226.559774</v>
      </c>
      <c r="J3">
        <v>24.298560048262551</v>
      </c>
      <c r="K3">
        <v>1.5882757390525699</v>
      </c>
      <c r="L3">
        <v>1.120825948599534</v>
      </c>
      <c r="M3">
        <v>15.96</v>
      </c>
      <c r="N3">
        <v>7</v>
      </c>
    </row>
    <row r="4" spans="1:14" x14ac:dyDescent="0.25">
      <c r="A4" s="1" t="s">
        <v>16</v>
      </c>
      <c r="B4" t="str">
        <f>HYPERLINK("https://www.suredividend.com/sure-analysis-research-database/","AAON Inc.")</f>
        <v>AAON Inc.</v>
      </c>
      <c r="C4" t="s">
        <v>1798</v>
      </c>
      <c r="D4">
        <v>57.87</v>
      </c>
      <c r="E4">
        <v>6.8845417010440007E-3</v>
      </c>
      <c r="F4" t="s">
        <v>1797</v>
      </c>
      <c r="G4" t="s">
        <v>1797</v>
      </c>
      <c r="H4">
        <v>0.39840842823944211</v>
      </c>
      <c r="I4">
        <v>4722.7407810000004</v>
      </c>
      <c r="J4">
        <v>31.724564753840671</v>
      </c>
      <c r="K4">
        <v>0.14701418016215581</v>
      </c>
      <c r="L4">
        <v>1.127096860971722</v>
      </c>
      <c r="M4">
        <v>71.22</v>
      </c>
      <c r="N4">
        <v>43.17</v>
      </c>
    </row>
    <row r="5" spans="1:14" x14ac:dyDescent="0.25">
      <c r="A5" s="1" t="s">
        <v>17</v>
      </c>
      <c r="B5" t="str">
        <f>HYPERLINK("https://www.suredividend.com/sure-analysis-AAT/","American Assets Trust Inc")</f>
        <v>American Assets Trust Inc</v>
      </c>
      <c r="C5" t="s">
        <v>1799</v>
      </c>
      <c r="D5">
        <v>19.95</v>
      </c>
      <c r="E5">
        <v>6.6165413533834594E-2</v>
      </c>
      <c r="F5">
        <v>3.125E-2</v>
      </c>
      <c r="G5">
        <v>3.3406482938779243E-2</v>
      </c>
      <c r="H5">
        <v>1.279426066201472</v>
      </c>
      <c r="I5">
        <v>1211.456369</v>
      </c>
      <c r="J5">
        <v>24.461017818923391</v>
      </c>
      <c r="K5">
        <v>1.971380687521529</v>
      </c>
      <c r="L5">
        <v>1.129894806020745</v>
      </c>
      <c r="M5">
        <v>28.37</v>
      </c>
      <c r="N5">
        <v>15.52</v>
      </c>
    </row>
    <row r="6" spans="1:14" x14ac:dyDescent="0.25">
      <c r="A6" s="1" t="s">
        <v>18</v>
      </c>
      <c r="B6" t="str">
        <f>HYPERLINK("https://www.suredividend.com/sure-analysis-research-database/","Ameris Bancorp")</f>
        <v>Ameris Bancorp</v>
      </c>
      <c r="C6" t="s">
        <v>1800</v>
      </c>
      <c r="D6">
        <v>41.84</v>
      </c>
      <c r="E6">
        <v>1.4177080873901999E-2</v>
      </c>
      <c r="F6">
        <v>0</v>
      </c>
      <c r="G6">
        <v>8.4471771197698553E-2</v>
      </c>
      <c r="H6">
        <v>0.59316906376408007</v>
      </c>
      <c r="I6">
        <v>2892.7878099999998</v>
      </c>
      <c r="J6">
        <v>9.7128173262779018</v>
      </c>
      <c r="K6">
        <v>0.13794629389862331</v>
      </c>
      <c r="L6">
        <v>1.3635640791859669</v>
      </c>
      <c r="M6">
        <v>52.94</v>
      </c>
      <c r="N6">
        <v>27.86</v>
      </c>
    </row>
    <row r="7" spans="1:14" x14ac:dyDescent="0.25">
      <c r="A7" s="1" t="s">
        <v>19</v>
      </c>
      <c r="B7" t="str">
        <f>HYPERLINK("https://www.suredividend.com/sure-analysis-research-database/","AbCellera Biologics Inc")</f>
        <v>AbCellera Biologics Inc</v>
      </c>
      <c r="C7" t="s">
        <v>1797</v>
      </c>
      <c r="D7">
        <v>4.7</v>
      </c>
      <c r="E7">
        <v>0</v>
      </c>
      <c r="F7" t="s">
        <v>1797</v>
      </c>
      <c r="G7" t="s">
        <v>1797</v>
      </c>
      <c r="H7">
        <v>0</v>
      </c>
      <c r="I7">
        <v>1359.972575</v>
      </c>
      <c r="J7" t="s">
        <v>1797</v>
      </c>
      <c r="K7">
        <v>0</v>
      </c>
      <c r="L7">
        <v>1.121209349716344</v>
      </c>
      <c r="M7">
        <v>14.97</v>
      </c>
      <c r="N7">
        <v>3.87</v>
      </c>
    </row>
    <row r="8" spans="1:14" x14ac:dyDescent="0.25">
      <c r="A8" s="1" t="s">
        <v>20</v>
      </c>
      <c r="B8" t="str">
        <f>HYPERLINK("https://www.suredividend.com/sure-analysis-research-database/","Asbury Automotive Group Inc")</f>
        <v>Asbury Automotive Group Inc</v>
      </c>
      <c r="C8" t="s">
        <v>1801</v>
      </c>
      <c r="D8">
        <v>210.02</v>
      </c>
      <c r="E8">
        <v>0</v>
      </c>
      <c r="F8" t="s">
        <v>1797</v>
      </c>
      <c r="G8" t="s">
        <v>1797</v>
      </c>
      <c r="H8">
        <v>0</v>
      </c>
      <c r="I8">
        <v>4321.6596669999999</v>
      </c>
      <c r="J8">
        <v>4.8007772355476561</v>
      </c>
      <c r="K8">
        <v>0</v>
      </c>
      <c r="L8">
        <v>1.40117168149608</v>
      </c>
      <c r="M8">
        <v>256.39</v>
      </c>
      <c r="N8">
        <v>153.69999999999999</v>
      </c>
    </row>
    <row r="9" spans="1:14" x14ac:dyDescent="0.25">
      <c r="A9" s="1" t="s">
        <v>21</v>
      </c>
      <c r="B9" t="str">
        <f>HYPERLINK("https://www.suredividend.com/sure-analysis-ABM/","ABM Industries Inc.")</f>
        <v>ABM Industries Inc.</v>
      </c>
      <c r="C9" t="s">
        <v>1798</v>
      </c>
      <c r="D9">
        <v>40.86</v>
      </c>
      <c r="E9">
        <v>2.1536955457660309E-2</v>
      </c>
      <c r="F9">
        <v>0.12820512820512819</v>
      </c>
      <c r="G9">
        <v>4.0950396969256841E-2</v>
      </c>
      <c r="H9">
        <v>0.87295012233676406</v>
      </c>
      <c r="I9">
        <v>2677.6438119999998</v>
      </c>
      <c r="J9">
        <v>11.28379187711757</v>
      </c>
      <c r="K9">
        <v>0.2459014429117645</v>
      </c>
      <c r="L9">
        <v>0.82580693929019111</v>
      </c>
      <c r="M9">
        <v>48.8</v>
      </c>
      <c r="N9">
        <v>37.4</v>
      </c>
    </row>
    <row r="10" spans="1:14" x14ac:dyDescent="0.25">
      <c r="A10" s="1" t="s">
        <v>22</v>
      </c>
      <c r="B10" t="str">
        <f>HYPERLINK("https://www.suredividend.com/sure-analysis-ABR/","Arbor Realty Trust Inc.")</f>
        <v>Arbor Realty Trust Inc.</v>
      </c>
      <c r="C10" t="s">
        <v>1799</v>
      </c>
      <c r="D10">
        <v>12.89</v>
      </c>
      <c r="E10">
        <v>0.13343677269200929</v>
      </c>
      <c r="F10">
        <v>7.4999999999999956E-2</v>
      </c>
      <c r="G10">
        <v>9.754146869121727E-2</v>
      </c>
      <c r="H10">
        <v>1.5724716691883971</v>
      </c>
      <c r="I10">
        <v>2429.786165</v>
      </c>
      <c r="J10">
        <v>7.4405504819328758</v>
      </c>
      <c r="K10">
        <v>1.0413719663499319</v>
      </c>
      <c r="L10">
        <v>1.2030294560910859</v>
      </c>
      <c r="M10">
        <v>17.28</v>
      </c>
      <c r="N10">
        <v>9.52</v>
      </c>
    </row>
    <row r="11" spans="1:14" x14ac:dyDescent="0.25">
      <c r="A11" s="1" t="s">
        <v>23</v>
      </c>
      <c r="B11" t="str">
        <f>HYPERLINK("https://www.suredividend.com/sure-analysis-research-database/","Absci Corp")</f>
        <v>Absci Corp</v>
      </c>
      <c r="C11" t="s">
        <v>1797</v>
      </c>
      <c r="D11">
        <v>1.42</v>
      </c>
      <c r="E11">
        <v>0</v>
      </c>
      <c r="F11" t="s">
        <v>1797</v>
      </c>
      <c r="G11" t="s">
        <v>1797</v>
      </c>
      <c r="H11">
        <v>0</v>
      </c>
      <c r="I11">
        <v>131.64955499999999</v>
      </c>
      <c r="J11" t="s">
        <v>1797</v>
      </c>
      <c r="K11">
        <v>0</v>
      </c>
      <c r="L11">
        <v>2.3183085843942748</v>
      </c>
      <c r="M11">
        <v>3.71</v>
      </c>
      <c r="N11">
        <v>1.1100000000000001</v>
      </c>
    </row>
    <row r="12" spans="1:14" x14ac:dyDescent="0.25">
      <c r="A12" s="1" t="s">
        <v>24</v>
      </c>
      <c r="B12" t="str">
        <f>HYPERLINK("https://www.suredividend.com/sure-analysis-research-database/","Arbutus Biopharma Corp")</f>
        <v>Arbutus Biopharma Corp</v>
      </c>
      <c r="C12" t="s">
        <v>1802</v>
      </c>
      <c r="D12">
        <v>1.92</v>
      </c>
      <c r="E12">
        <v>0</v>
      </c>
      <c r="F12" t="s">
        <v>1797</v>
      </c>
      <c r="G12" t="s">
        <v>1797</v>
      </c>
      <c r="H12">
        <v>0</v>
      </c>
      <c r="I12">
        <v>321.70878900000002</v>
      </c>
      <c r="J12" t="s">
        <v>1797</v>
      </c>
      <c r="K12">
        <v>0</v>
      </c>
      <c r="L12">
        <v>0.92388485575431611</v>
      </c>
      <c r="M12">
        <v>3.15</v>
      </c>
      <c r="N12">
        <v>1.69</v>
      </c>
    </row>
    <row r="13" spans="1:14" x14ac:dyDescent="0.25">
      <c r="A13" s="1" t="s">
        <v>25</v>
      </c>
      <c r="B13" t="str">
        <f>HYPERLINK("https://www.suredividend.com/sure-analysis-research-database/","Associated Capital Group Inc")</f>
        <v>Associated Capital Group Inc</v>
      </c>
      <c r="C13" t="s">
        <v>1800</v>
      </c>
      <c r="D13">
        <v>34.21</v>
      </c>
      <c r="E13">
        <v>5.8380490169460007E-3</v>
      </c>
      <c r="F13" t="s">
        <v>1797</v>
      </c>
      <c r="G13" t="s">
        <v>1797</v>
      </c>
      <c r="H13">
        <v>0.19971965686974999</v>
      </c>
      <c r="I13">
        <v>93.260120000000001</v>
      </c>
      <c r="J13">
        <v>0</v>
      </c>
      <c r="K13" t="s">
        <v>1797</v>
      </c>
      <c r="M13">
        <v>42.85</v>
      </c>
      <c r="N13">
        <v>30.92</v>
      </c>
    </row>
    <row r="14" spans="1:14" x14ac:dyDescent="0.25">
      <c r="A14" s="1" t="s">
        <v>26</v>
      </c>
      <c r="B14" t="str">
        <f>HYPERLINK("https://www.suredividend.com/sure-analysis-research-database/","Arcosa Inc")</f>
        <v>Arcosa Inc</v>
      </c>
      <c r="C14" t="s">
        <v>1798</v>
      </c>
      <c r="D14">
        <v>67.66</v>
      </c>
      <c r="E14">
        <v>2.9528416442580001E-3</v>
      </c>
      <c r="F14">
        <v>0</v>
      </c>
      <c r="G14">
        <v>0</v>
      </c>
      <c r="H14">
        <v>0.199789265650549</v>
      </c>
      <c r="I14">
        <v>3299.2202080000002</v>
      </c>
      <c r="J14">
        <v>11.543807585654299</v>
      </c>
      <c r="K14">
        <v>3.3977766267100168E-2</v>
      </c>
      <c r="L14">
        <v>0.84295321319050109</v>
      </c>
      <c r="M14">
        <v>79.319999999999993</v>
      </c>
      <c r="N14">
        <v>51.88</v>
      </c>
    </row>
    <row r="15" spans="1:14" x14ac:dyDescent="0.25">
      <c r="A15" s="1" t="s">
        <v>27</v>
      </c>
      <c r="B15" t="str">
        <f>HYPERLINK("https://www.suredividend.com/sure-analysis-research-database/","Acadia Pharmaceuticals Inc")</f>
        <v>Acadia Pharmaceuticals Inc</v>
      </c>
      <c r="C15" t="s">
        <v>1802</v>
      </c>
      <c r="D15">
        <v>24.07</v>
      </c>
      <c r="E15">
        <v>0</v>
      </c>
      <c r="F15" t="s">
        <v>1797</v>
      </c>
      <c r="G15" t="s">
        <v>1797</v>
      </c>
      <c r="H15">
        <v>0</v>
      </c>
      <c r="I15">
        <v>3940.9811</v>
      </c>
      <c r="J15" t="s">
        <v>1797</v>
      </c>
      <c r="K15">
        <v>0</v>
      </c>
      <c r="L15">
        <v>1.11478813539389</v>
      </c>
      <c r="M15">
        <v>33.99</v>
      </c>
      <c r="N15">
        <v>14.43</v>
      </c>
    </row>
    <row r="16" spans="1:14" x14ac:dyDescent="0.25">
      <c r="A16" s="1" t="s">
        <v>28</v>
      </c>
      <c r="B16" t="str">
        <f>HYPERLINK("https://www.suredividend.com/sure-analysis-research-database/","Accolade Inc")</f>
        <v>Accolade Inc</v>
      </c>
      <c r="C16" t="s">
        <v>1797</v>
      </c>
      <c r="D16">
        <v>7.26</v>
      </c>
      <c r="E16">
        <v>0</v>
      </c>
      <c r="F16" t="s">
        <v>1797</v>
      </c>
      <c r="G16" t="s">
        <v>1797</v>
      </c>
      <c r="H16">
        <v>0</v>
      </c>
      <c r="I16">
        <v>553.44571399999995</v>
      </c>
      <c r="J16">
        <v>0</v>
      </c>
      <c r="K16" t="s">
        <v>1797</v>
      </c>
      <c r="L16">
        <v>2.28123487997382</v>
      </c>
      <c r="M16">
        <v>17.010000000000002</v>
      </c>
      <c r="N16">
        <v>6.33</v>
      </c>
    </row>
    <row r="17" spans="1:14" x14ac:dyDescent="0.25">
      <c r="A17" s="1" t="s">
        <v>29</v>
      </c>
      <c r="B17" t="str">
        <f>HYPERLINK("https://www.suredividend.com/sure-analysis-research-database/","Acco Brands Corporation")</f>
        <v>Acco Brands Corporation</v>
      </c>
      <c r="C17" t="s">
        <v>1798</v>
      </c>
      <c r="D17">
        <v>5.05</v>
      </c>
      <c r="E17">
        <v>5.8163185750787001E-2</v>
      </c>
      <c r="F17">
        <v>0</v>
      </c>
      <c r="G17">
        <v>4.5639552591273169E-2</v>
      </c>
      <c r="H17">
        <v>0.29372408804147698</v>
      </c>
      <c r="I17">
        <v>479.245</v>
      </c>
      <c r="J17" t="s">
        <v>1797</v>
      </c>
      <c r="K17" t="s">
        <v>1797</v>
      </c>
      <c r="L17">
        <v>1.071554819773848</v>
      </c>
      <c r="M17">
        <v>6.34</v>
      </c>
      <c r="N17">
        <v>4.17</v>
      </c>
    </row>
    <row r="18" spans="1:14" x14ac:dyDescent="0.25">
      <c r="A18" s="1" t="s">
        <v>30</v>
      </c>
      <c r="B18" t="str">
        <f>HYPERLINK("https://www.suredividend.com/sure-analysis-research-database/","Accel Entertainment Inc")</f>
        <v>Accel Entertainment Inc</v>
      </c>
      <c r="C18" t="s">
        <v>1801</v>
      </c>
      <c r="D18">
        <v>10.38</v>
      </c>
      <c r="E18">
        <v>0</v>
      </c>
      <c r="F18" t="s">
        <v>1797</v>
      </c>
      <c r="G18" t="s">
        <v>1797</v>
      </c>
      <c r="H18">
        <v>0</v>
      </c>
      <c r="I18">
        <v>888.692046</v>
      </c>
      <c r="J18">
        <v>16.15363165536672</v>
      </c>
      <c r="K18">
        <v>0</v>
      </c>
      <c r="L18">
        <v>0.89719067526891805</v>
      </c>
      <c r="M18">
        <v>12.05</v>
      </c>
      <c r="N18">
        <v>7.26</v>
      </c>
    </row>
    <row r="19" spans="1:14" x14ac:dyDescent="0.25">
      <c r="A19" s="1" t="s">
        <v>31</v>
      </c>
      <c r="B19" t="str">
        <f>HYPERLINK("https://www.suredividend.com/sure-analysis-research-database/","Adicet Bio Inc")</f>
        <v>Adicet Bio Inc</v>
      </c>
      <c r="C19" t="s">
        <v>1797</v>
      </c>
      <c r="D19">
        <v>1.65</v>
      </c>
      <c r="E19">
        <v>0</v>
      </c>
      <c r="F19" t="s">
        <v>1797</v>
      </c>
      <c r="G19" t="s">
        <v>1797</v>
      </c>
      <c r="H19">
        <v>0</v>
      </c>
      <c r="I19">
        <v>71.059161000000003</v>
      </c>
      <c r="J19">
        <v>0</v>
      </c>
      <c r="K19" t="s">
        <v>1797</v>
      </c>
      <c r="L19">
        <v>0.97149223380905103</v>
      </c>
      <c r="M19">
        <v>21.87</v>
      </c>
      <c r="N19">
        <v>1.19</v>
      </c>
    </row>
    <row r="20" spans="1:14" x14ac:dyDescent="0.25">
      <c r="A20" s="1" t="s">
        <v>32</v>
      </c>
      <c r="B20" t="str">
        <f>HYPERLINK("https://www.suredividend.com/sure-analysis-research-database/","Archer Aviation Inc")</f>
        <v>Archer Aviation Inc</v>
      </c>
      <c r="C20" t="s">
        <v>1797</v>
      </c>
      <c r="D20">
        <v>5.47</v>
      </c>
      <c r="E20">
        <v>0</v>
      </c>
      <c r="F20" t="s">
        <v>1797</v>
      </c>
      <c r="G20" t="s">
        <v>1797</v>
      </c>
      <c r="H20">
        <v>0</v>
      </c>
      <c r="I20">
        <v>1140.9254510000001</v>
      </c>
      <c r="J20">
        <v>0</v>
      </c>
      <c r="K20" t="s">
        <v>1797</v>
      </c>
      <c r="L20">
        <v>2.3639952381900078</v>
      </c>
      <c r="M20">
        <v>7.49</v>
      </c>
      <c r="N20">
        <v>1.62</v>
      </c>
    </row>
    <row r="21" spans="1:14" x14ac:dyDescent="0.25">
      <c r="A21" s="1" t="s">
        <v>33</v>
      </c>
      <c r="B21" t="str">
        <f>HYPERLINK("https://www.suredividend.com/sure-analysis-research-database/","ACI Worldwide Inc")</f>
        <v>ACI Worldwide Inc</v>
      </c>
      <c r="C21" t="s">
        <v>1803</v>
      </c>
      <c r="D21">
        <v>24.09</v>
      </c>
      <c r="E21">
        <v>0</v>
      </c>
      <c r="F21" t="s">
        <v>1797</v>
      </c>
      <c r="G21" t="s">
        <v>1797</v>
      </c>
      <c r="H21">
        <v>0</v>
      </c>
      <c r="I21">
        <v>2616.174</v>
      </c>
      <c r="J21">
        <v>29.355303463830069</v>
      </c>
      <c r="K21">
        <v>0</v>
      </c>
      <c r="L21">
        <v>1.2615723439431641</v>
      </c>
      <c r="M21">
        <v>29.14</v>
      </c>
      <c r="N21">
        <v>19.559999999999999</v>
      </c>
    </row>
    <row r="22" spans="1:14" x14ac:dyDescent="0.25">
      <c r="A22" s="1" t="s">
        <v>34</v>
      </c>
      <c r="B22" t="str">
        <f>HYPERLINK("https://www.suredividend.com/sure-analysis-research-database/","Axcelis Technologies Inc")</f>
        <v>Axcelis Technologies Inc</v>
      </c>
      <c r="C22" t="s">
        <v>1803</v>
      </c>
      <c r="D22">
        <v>131.11000000000001</v>
      </c>
      <c r="E22">
        <v>0</v>
      </c>
      <c r="F22" t="s">
        <v>1797</v>
      </c>
      <c r="G22" t="s">
        <v>1797</v>
      </c>
      <c r="H22">
        <v>0</v>
      </c>
      <c r="I22">
        <v>4302.6977049999996</v>
      </c>
      <c r="J22">
        <v>18.5301365419466</v>
      </c>
      <c r="K22">
        <v>0</v>
      </c>
      <c r="L22">
        <v>1.719147832767399</v>
      </c>
      <c r="M22">
        <v>201</v>
      </c>
      <c r="N22">
        <v>64.489999999999995</v>
      </c>
    </row>
    <row r="23" spans="1:14" x14ac:dyDescent="0.25">
      <c r="A23" s="1" t="s">
        <v>35</v>
      </c>
      <c r="B23" t="str">
        <f>HYPERLINK("https://www.suredividend.com/sure-analysis-research-database/","Arcellx Inc")</f>
        <v>Arcellx Inc</v>
      </c>
      <c r="C23" t="s">
        <v>1797</v>
      </c>
      <c r="D23">
        <v>44.63</v>
      </c>
      <c r="E23">
        <v>0</v>
      </c>
      <c r="F23" t="s">
        <v>1797</v>
      </c>
      <c r="G23" t="s">
        <v>1797</v>
      </c>
      <c r="H23">
        <v>0</v>
      </c>
      <c r="I23">
        <v>2158.2613219999998</v>
      </c>
      <c r="J23">
        <v>0</v>
      </c>
      <c r="K23" t="s">
        <v>1797</v>
      </c>
      <c r="L23">
        <v>0.92050649406004403</v>
      </c>
      <c r="M23">
        <v>48.92</v>
      </c>
      <c r="N23">
        <v>18.7</v>
      </c>
    </row>
    <row r="24" spans="1:14" x14ac:dyDescent="0.25">
      <c r="A24" s="1" t="s">
        <v>36</v>
      </c>
      <c r="B24" t="str">
        <f>HYPERLINK("https://www.suredividend.com/sure-analysis-research-database/","ACM Research Inc")</f>
        <v>ACM Research Inc</v>
      </c>
      <c r="C24" t="s">
        <v>1803</v>
      </c>
      <c r="D24">
        <v>15.095000000000001</v>
      </c>
      <c r="E24">
        <v>0</v>
      </c>
      <c r="F24" t="s">
        <v>1797</v>
      </c>
      <c r="G24" t="s">
        <v>1797</v>
      </c>
      <c r="H24">
        <v>0</v>
      </c>
      <c r="I24">
        <v>830.23564199999998</v>
      </c>
      <c r="J24">
        <v>12.43184106696315</v>
      </c>
      <c r="K24">
        <v>0</v>
      </c>
      <c r="L24">
        <v>2.1949419713471658</v>
      </c>
      <c r="M24">
        <v>21.07</v>
      </c>
      <c r="N24">
        <v>6.91</v>
      </c>
    </row>
    <row r="25" spans="1:14" x14ac:dyDescent="0.25">
      <c r="A25" s="1" t="s">
        <v>37</v>
      </c>
      <c r="B25" t="str">
        <f>HYPERLINK("https://www.suredividend.com/sure-analysis-research-database/","ACNB Corp.")</f>
        <v>ACNB Corp.</v>
      </c>
      <c r="C25" t="s">
        <v>1800</v>
      </c>
      <c r="D25">
        <v>36.15</v>
      </c>
      <c r="E25">
        <v>3.0262104455717E-2</v>
      </c>
      <c r="F25">
        <v>7.6923076923077094E-2</v>
      </c>
      <c r="G25">
        <v>4.0126207180960938E-2</v>
      </c>
      <c r="H25">
        <v>1.093975076074198</v>
      </c>
      <c r="I25">
        <v>309.598794</v>
      </c>
      <c r="J25">
        <v>0</v>
      </c>
      <c r="K25" t="s">
        <v>1797</v>
      </c>
      <c r="L25">
        <v>0.85916940930100405</v>
      </c>
      <c r="M25">
        <v>39.56</v>
      </c>
      <c r="N25">
        <v>26.07</v>
      </c>
    </row>
    <row r="26" spans="1:14" x14ac:dyDescent="0.25">
      <c r="A26" s="1" t="s">
        <v>38</v>
      </c>
      <c r="B26" t="str">
        <f>HYPERLINK("https://www.suredividend.com/sure-analysis-ACRE/","Ares Commercial Real Estate Corp")</f>
        <v>Ares Commercial Real Estate Corp</v>
      </c>
      <c r="C26" t="s">
        <v>1799</v>
      </c>
      <c r="D26">
        <v>9.9700000000000006</v>
      </c>
      <c r="E26">
        <v>0.13239719157472421</v>
      </c>
      <c r="F26">
        <v>0</v>
      </c>
      <c r="G26">
        <v>0.75184948105088267</v>
      </c>
      <c r="H26">
        <v>1.3110356065422679</v>
      </c>
      <c r="I26">
        <v>539.73864200000003</v>
      </c>
      <c r="J26" t="s">
        <v>1797</v>
      </c>
      <c r="K26" t="s">
        <v>1797</v>
      </c>
      <c r="L26">
        <v>1.3419141969326289</v>
      </c>
      <c r="M26">
        <v>11.49</v>
      </c>
      <c r="N26">
        <v>7.03</v>
      </c>
    </row>
    <row r="27" spans="1:14" x14ac:dyDescent="0.25">
      <c r="A27" s="1" t="s">
        <v>39</v>
      </c>
      <c r="B27" t="str">
        <f>HYPERLINK("https://www.suredividend.com/sure-analysis-research-database/","Aclaris Therapeutics Inc")</f>
        <v>Aclaris Therapeutics Inc</v>
      </c>
      <c r="C27" t="s">
        <v>1802</v>
      </c>
      <c r="D27">
        <v>5.37</v>
      </c>
      <c r="E27">
        <v>0</v>
      </c>
      <c r="F27" t="s">
        <v>1797</v>
      </c>
      <c r="G27" t="s">
        <v>1797</v>
      </c>
      <c r="H27">
        <v>0</v>
      </c>
      <c r="I27">
        <v>380.16722800000002</v>
      </c>
      <c r="J27" t="s">
        <v>1797</v>
      </c>
      <c r="K27">
        <v>0</v>
      </c>
      <c r="L27">
        <v>0.96165838416635607</v>
      </c>
      <c r="M27">
        <v>18.96</v>
      </c>
      <c r="N27">
        <v>4.33</v>
      </c>
    </row>
    <row r="28" spans="1:14" x14ac:dyDescent="0.25">
      <c r="A28" s="1" t="s">
        <v>40</v>
      </c>
      <c r="B28" t="str">
        <f>HYPERLINK("https://www.suredividend.com/sure-analysis-research-database/","Acrivon Therapeutics Inc")</f>
        <v>Acrivon Therapeutics Inc</v>
      </c>
      <c r="C28" t="s">
        <v>1797</v>
      </c>
      <c r="D28">
        <v>5.75</v>
      </c>
      <c r="E28">
        <v>0</v>
      </c>
      <c r="F28" t="s">
        <v>1797</v>
      </c>
      <c r="G28" t="s">
        <v>1797</v>
      </c>
      <c r="H28">
        <v>0</v>
      </c>
      <c r="I28">
        <v>126.919267</v>
      </c>
      <c r="J28">
        <v>0</v>
      </c>
      <c r="K28" t="s">
        <v>1797</v>
      </c>
      <c r="L28">
        <v>0.81564771588556106</v>
      </c>
      <c r="M28">
        <v>25.47</v>
      </c>
      <c r="N28">
        <v>4.96</v>
      </c>
    </row>
    <row r="29" spans="1:14" x14ac:dyDescent="0.25">
      <c r="A29" s="1" t="s">
        <v>41</v>
      </c>
      <c r="B29" t="str">
        <f>HYPERLINK("https://www.suredividend.com/sure-analysis-research-database/","Enact Holdings Inc")</f>
        <v>Enact Holdings Inc</v>
      </c>
      <c r="D29">
        <v>28.23</v>
      </c>
      <c r="E29">
        <v>2.0990080066129999E-2</v>
      </c>
      <c r="F29" t="s">
        <v>1797</v>
      </c>
      <c r="G29" t="s">
        <v>1797</v>
      </c>
      <c r="H29">
        <v>0.59254996026685203</v>
      </c>
      <c r="I29">
        <v>4516.6246350000001</v>
      </c>
      <c r="J29">
        <v>6.927242776157998</v>
      </c>
      <c r="K29">
        <v>0.14776806989198299</v>
      </c>
      <c r="L29">
        <v>0.65430652418629509</v>
      </c>
      <c r="M29">
        <v>29.41</v>
      </c>
      <c r="N29">
        <v>20.48</v>
      </c>
    </row>
    <row r="30" spans="1:14" x14ac:dyDescent="0.25">
      <c r="A30" s="1" t="s">
        <v>42</v>
      </c>
      <c r="B30" t="str">
        <f>HYPERLINK("https://www.suredividend.com/sure-analysis-research-database/","ACV Auctions Inc")</f>
        <v>ACV Auctions Inc</v>
      </c>
      <c r="C30" t="s">
        <v>1797</v>
      </c>
      <c r="D30">
        <v>14.71</v>
      </c>
      <c r="E30">
        <v>0</v>
      </c>
      <c r="F30" t="s">
        <v>1797</v>
      </c>
      <c r="G30" t="s">
        <v>1797</v>
      </c>
      <c r="H30">
        <v>0</v>
      </c>
      <c r="I30">
        <v>1987.2170000000001</v>
      </c>
      <c r="J30" t="s">
        <v>1797</v>
      </c>
      <c r="K30">
        <v>0</v>
      </c>
      <c r="L30">
        <v>2.0952041869049141</v>
      </c>
      <c r="M30">
        <v>18.68</v>
      </c>
      <c r="N30">
        <v>6.51</v>
      </c>
    </row>
    <row r="31" spans="1:14" x14ac:dyDescent="0.25">
      <c r="A31" s="1" t="s">
        <v>43</v>
      </c>
      <c r="B31" t="str">
        <f>HYPERLINK("https://www.suredividend.com/sure-analysis-ADC/","Agree Realty Corp.")</f>
        <v>Agree Realty Corp.</v>
      </c>
      <c r="C31" t="s">
        <v>1799</v>
      </c>
      <c r="D31">
        <v>58.98</v>
      </c>
      <c r="E31">
        <v>5.0186503899626991E-2</v>
      </c>
      <c r="F31">
        <v>1.646090534979416E-2</v>
      </c>
      <c r="G31">
        <v>1.7031066532349651E-2</v>
      </c>
      <c r="H31">
        <v>2.8432339900357082</v>
      </c>
      <c r="I31">
        <v>5928.6529090000004</v>
      </c>
      <c r="J31">
        <v>37.732078973174232</v>
      </c>
      <c r="K31">
        <v>1.672490582373946</v>
      </c>
      <c r="L31">
        <v>0.524528664669901</v>
      </c>
      <c r="M31">
        <v>73.13</v>
      </c>
      <c r="N31">
        <v>52.69</v>
      </c>
    </row>
    <row r="32" spans="1:14" x14ac:dyDescent="0.25">
      <c r="A32" s="1" t="s">
        <v>44</v>
      </c>
      <c r="B32" t="str">
        <f>HYPERLINK("https://www.suredividend.com/sure-analysis-research-database/","Adeia Inc")</f>
        <v>Adeia Inc</v>
      </c>
      <c r="C32" t="s">
        <v>1797</v>
      </c>
      <c r="D32">
        <v>9.08</v>
      </c>
      <c r="E32">
        <v>2.1710651227142001E-2</v>
      </c>
      <c r="F32" t="s">
        <v>1797</v>
      </c>
      <c r="G32" t="s">
        <v>1797</v>
      </c>
      <c r="H32">
        <v>0.19713271314245501</v>
      </c>
      <c r="I32">
        <v>969.32075399999997</v>
      </c>
      <c r="J32">
        <v>0</v>
      </c>
      <c r="K32" t="s">
        <v>1797</v>
      </c>
      <c r="L32">
        <v>0.76849678828217005</v>
      </c>
      <c r="M32">
        <v>12.24</v>
      </c>
      <c r="N32">
        <v>6.97</v>
      </c>
    </row>
    <row r="33" spans="1:14" x14ac:dyDescent="0.25">
      <c r="A33" s="1" t="s">
        <v>45</v>
      </c>
      <c r="B33" t="str">
        <f>HYPERLINK("https://www.suredividend.com/sure-analysis-research-database/","Adma Biologics Inc")</f>
        <v>Adma Biologics Inc</v>
      </c>
      <c r="C33" t="s">
        <v>1802</v>
      </c>
      <c r="D33">
        <v>3.65</v>
      </c>
      <c r="E33">
        <v>0</v>
      </c>
      <c r="F33" t="s">
        <v>1797</v>
      </c>
      <c r="G33" t="s">
        <v>1797</v>
      </c>
      <c r="H33">
        <v>0</v>
      </c>
      <c r="I33">
        <v>820.908455</v>
      </c>
      <c r="J33">
        <v>0</v>
      </c>
      <c r="K33" t="s">
        <v>1797</v>
      </c>
      <c r="L33">
        <v>1.5316902501795271</v>
      </c>
      <c r="M33">
        <v>4.6500000000000004</v>
      </c>
      <c r="N33">
        <v>2.4700000000000002</v>
      </c>
    </row>
    <row r="34" spans="1:14" x14ac:dyDescent="0.25">
      <c r="A34" s="1" t="s">
        <v>46</v>
      </c>
      <c r="B34" t="str">
        <f>HYPERLINK("https://www.suredividend.com/sure-analysis-research-database/","Adient plc")</f>
        <v>Adient plc</v>
      </c>
      <c r="C34" t="s">
        <v>1801</v>
      </c>
      <c r="D34">
        <v>35.909999999999997</v>
      </c>
      <c r="E34">
        <v>0</v>
      </c>
      <c r="F34" t="s">
        <v>1797</v>
      </c>
      <c r="G34" t="s">
        <v>1797</v>
      </c>
      <c r="H34">
        <v>0</v>
      </c>
      <c r="I34">
        <v>3400.7488199999998</v>
      </c>
      <c r="J34">
        <v>29.571728869565209</v>
      </c>
      <c r="K34">
        <v>0</v>
      </c>
      <c r="L34">
        <v>1.5057502389814219</v>
      </c>
      <c r="M34">
        <v>47.5</v>
      </c>
      <c r="N34">
        <v>32.590000000000003</v>
      </c>
    </row>
    <row r="35" spans="1:14" x14ac:dyDescent="0.25">
      <c r="A35" s="1" t="s">
        <v>47</v>
      </c>
      <c r="B35" t="str">
        <f>HYPERLINK("https://www.suredividend.com/sure-analysis-research-database/","Adaptive Biotechnologies Corp")</f>
        <v>Adaptive Biotechnologies Corp</v>
      </c>
      <c r="C35" t="s">
        <v>1802</v>
      </c>
      <c r="D35">
        <v>4.97</v>
      </c>
      <c r="E35">
        <v>0</v>
      </c>
      <c r="F35" t="s">
        <v>1797</v>
      </c>
      <c r="G35" t="s">
        <v>1797</v>
      </c>
      <c r="H35">
        <v>0</v>
      </c>
      <c r="I35">
        <v>718.88623600000005</v>
      </c>
      <c r="J35" t="s">
        <v>1797</v>
      </c>
      <c r="K35">
        <v>0</v>
      </c>
      <c r="L35">
        <v>2.6843544104253678</v>
      </c>
      <c r="M35">
        <v>10.79</v>
      </c>
      <c r="N35">
        <v>3.94</v>
      </c>
    </row>
    <row r="36" spans="1:14" x14ac:dyDescent="0.25">
      <c r="A36" s="1" t="s">
        <v>48</v>
      </c>
      <c r="B36" t="str">
        <f>HYPERLINK("https://www.suredividend.com/sure-analysis-research-database/","AdTheorent Holding Company Inc")</f>
        <v>AdTheorent Holding Company Inc</v>
      </c>
      <c r="C36" t="s">
        <v>1797</v>
      </c>
      <c r="D36">
        <v>1.2</v>
      </c>
      <c r="E36">
        <v>0</v>
      </c>
      <c r="F36" t="s">
        <v>1797</v>
      </c>
      <c r="G36" t="s">
        <v>1797</v>
      </c>
      <c r="H36">
        <v>0</v>
      </c>
      <c r="I36">
        <v>105.845921</v>
      </c>
      <c r="J36">
        <v>6.5498713366336636</v>
      </c>
      <c r="K36">
        <v>0</v>
      </c>
      <c r="L36">
        <v>0.64383005682986805</v>
      </c>
      <c r="M36">
        <v>2.59</v>
      </c>
      <c r="N36">
        <v>1.1100000000000001</v>
      </c>
    </row>
    <row r="37" spans="1:14" x14ac:dyDescent="0.25">
      <c r="A37" s="1" t="s">
        <v>49</v>
      </c>
      <c r="B37" t="str">
        <f>HYPERLINK("https://www.suredividend.com/sure-analysis-research-database/","ADTRAN Holdings Inc")</f>
        <v>ADTRAN Holdings Inc</v>
      </c>
      <c r="C37" t="s">
        <v>1803</v>
      </c>
      <c r="D37">
        <v>7.29</v>
      </c>
      <c r="E37">
        <v>4.8411606590618002E-2</v>
      </c>
      <c r="F37" t="s">
        <v>1797</v>
      </c>
      <c r="G37" t="s">
        <v>1797</v>
      </c>
      <c r="H37">
        <v>0.35292061204560898</v>
      </c>
      <c r="I37">
        <v>573.59053300000005</v>
      </c>
      <c r="J37">
        <v>0</v>
      </c>
      <c r="K37" t="s">
        <v>1797</v>
      </c>
      <c r="L37">
        <v>1.3794506367897059</v>
      </c>
      <c r="M37">
        <v>20.8</v>
      </c>
      <c r="N37">
        <v>6.28</v>
      </c>
    </row>
    <row r="38" spans="1:14" x14ac:dyDescent="0.25">
      <c r="A38" s="1" t="s">
        <v>50</v>
      </c>
      <c r="B38" t="str">
        <f>HYPERLINK("https://www.suredividend.com/sure-analysis-research-database/","Addus HomeCare Corporation")</f>
        <v>Addus HomeCare Corporation</v>
      </c>
      <c r="C38" t="s">
        <v>1802</v>
      </c>
      <c r="D38">
        <v>84.67</v>
      </c>
      <c r="E38">
        <v>0</v>
      </c>
      <c r="F38" t="s">
        <v>1797</v>
      </c>
      <c r="G38" t="s">
        <v>1797</v>
      </c>
      <c r="H38">
        <v>0</v>
      </c>
      <c r="I38">
        <v>1372.8946699999999</v>
      </c>
      <c r="J38">
        <v>23.793668449046791</v>
      </c>
      <c r="K38">
        <v>0</v>
      </c>
      <c r="L38">
        <v>0.559540461175143</v>
      </c>
      <c r="M38">
        <v>114.99</v>
      </c>
      <c r="N38">
        <v>77.3</v>
      </c>
    </row>
    <row r="39" spans="1:14" x14ac:dyDescent="0.25">
      <c r="A39" s="1" t="s">
        <v>51</v>
      </c>
      <c r="B39" t="str">
        <f>HYPERLINK("https://www.suredividend.com/sure-analysis-research-database/","Advantage Solutions Inc.")</f>
        <v>Advantage Solutions Inc.</v>
      </c>
      <c r="C39" t="s">
        <v>1797</v>
      </c>
      <c r="D39">
        <v>2.4</v>
      </c>
      <c r="E39">
        <v>0</v>
      </c>
      <c r="F39" t="s">
        <v>1797</v>
      </c>
      <c r="G39" t="s">
        <v>1797</v>
      </c>
      <c r="H39">
        <v>0</v>
      </c>
      <c r="I39">
        <v>778.91867500000001</v>
      </c>
      <c r="J39" t="s">
        <v>1797</v>
      </c>
      <c r="K39">
        <v>0</v>
      </c>
      <c r="L39">
        <v>0.94728515085502607</v>
      </c>
      <c r="M39">
        <v>3.47</v>
      </c>
      <c r="N39">
        <v>1.1299999999999999</v>
      </c>
    </row>
    <row r="40" spans="1:14" x14ac:dyDescent="0.25">
      <c r="A40" s="1" t="s">
        <v>52</v>
      </c>
      <c r="B40" t="str">
        <f>HYPERLINK("https://www.suredividend.com/sure-analysis-research-database/","Advanced Energy Industries Inc.")</f>
        <v>Advanced Energy Industries Inc.</v>
      </c>
      <c r="C40" t="s">
        <v>1798</v>
      </c>
      <c r="D40">
        <v>91.75</v>
      </c>
      <c r="E40">
        <v>4.3508347035540003E-3</v>
      </c>
      <c r="F40" t="s">
        <v>1797</v>
      </c>
      <c r="G40" t="s">
        <v>1797</v>
      </c>
      <c r="H40">
        <v>0.39918908405115899</v>
      </c>
      <c r="I40">
        <v>3420.5002800000002</v>
      </c>
      <c r="J40">
        <v>25.426124716599642</v>
      </c>
      <c r="K40">
        <v>0.11213176518290981</v>
      </c>
      <c r="L40">
        <v>1.502037521189121</v>
      </c>
      <c r="M40">
        <v>126.27</v>
      </c>
      <c r="N40">
        <v>80.19</v>
      </c>
    </row>
    <row r="41" spans="1:14" x14ac:dyDescent="0.25">
      <c r="A41" s="1" t="s">
        <v>53</v>
      </c>
      <c r="B41" t="str">
        <f>HYPERLINK("https://www.suredividend.com/sure-analysis-AEL/","American Equity Investment Life Holding Co")</f>
        <v>American Equity Investment Life Holding Co</v>
      </c>
      <c r="C41" t="s">
        <v>1800</v>
      </c>
      <c r="D41">
        <v>53.64</v>
      </c>
      <c r="E41">
        <v>7.0842654735272176E-3</v>
      </c>
      <c r="F41" t="s">
        <v>1797</v>
      </c>
      <c r="G41" t="s">
        <v>1797</v>
      </c>
      <c r="H41">
        <v>0.36000001430511402</v>
      </c>
      <c r="I41">
        <v>4200.0119999999997</v>
      </c>
      <c r="J41">
        <v>9.3367834872786695</v>
      </c>
      <c r="K41">
        <v>6.7415733015938964E-2</v>
      </c>
      <c r="L41">
        <v>0.67577003512773404</v>
      </c>
      <c r="M41">
        <v>54.44</v>
      </c>
      <c r="N41">
        <v>28.05</v>
      </c>
    </row>
    <row r="42" spans="1:14" x14ac:dyDescent="0.25">
      <c r="A42" s="1" t="s">
        <v>54</v>
      </c>
      <c r="B42" t="str">
        <f>HYPERLINK("https://www.suredividend.com/sure-analysis-research-database/","American Eagle Outfitters Inc.")</f>
        <v>American Eagle Outfitters Inc.</v>
      </c>
      <c r="C42" t="s">
        <v>1801</v>
      </c>
      <c r="D42">
        <v>18.53</v>
      </c>
      <c r="E42">
        <v>1.6083081013896001E-2</v>
      </c>
      <c r="F42" t="s">
        <v>1797</v>
      </c>
      <c r="G42" t="s">
        <v>1797</v>
      </c>
      <c r="H42">
        <v>0.29801949118749999</v>
      </c>
      <c r="I42">
        <v>3659.3698479999998</v>
      </c>
      <c r="J42">
        <v>18.036670271138821</v>
      </c>
      <c r="K42">
        <v>0.29900621168606412</v>
      </c>
      <c r="L42">
        <v>1.3701279073641519</v>
      </c>
      <c r="M42">
        <v>18.760000000000002</v>
      </c>
      <c r="N42">
        <v>9.81</v>
      </c>
    </row>
    <row r="43" spans="1:14" x14ac:dyDescent="0.25">
      <c r="A43" s="1" t="s">
        <v>55</v>
      </c>
      <c r="B43" t="str">
        <f>HYPERLINK("https://www.suredividend.com/sure-analysis-research-database/","Aeva Technologies Inc")</f>
        <v>Aeva Technologies Inc</v>
      </c>
      <c r="C43" t="s">
        <v>1797</v>
      </c>
      <c r="D43">
        <v>0.61570000000000003</v>
      </c>
      <c r="E43">
        <v>0</v>
      </c>
      <c r="F43" t="s">
        <v>1797</v>
      </c>
      <c r="G43" t="s">
        <v>1797</v>
      </c>
      <c r="H43">
        <v>0</v>
      </c>
      <c r="I43">
        <v>137.13233</v>
      </c>
      <c r="J43" t="s">
        <v>1797</v>
      </c>
      <c r="K43">
        <v>0</v>
      </c>
      <c r="L43">
        <v>2.6390021978199929</v>
      </c>
      <c r="M43">
        <v>2.38</v>
      </c>
      <c r="N43">
        <v>0.46500000000000002</v>
      </c>
    </row>
    <row r="44" spans="1:14" x14ac:dyDescent="0.25">
      <c r="A44" s="1" t="s">
        <v>56</v>
      </c>
      <c r="B44" t="str">
        <f>HYPERLINK("https://www.suredividend.com/sure-analysis-research-database/","AFC Gamma Inc")</f>
        <v>AFC Gamma Inc</v>
      </c>
      <c r="C44" t="s">
        <v>1797</v>
      </c>
      <c r="D44">
        <v>11.14</v>
      </c>
      <c r="E44">
        <v>0.17060589190845599</v>
      </c>
      <c r="F44" t="s">
        <v>1797</v>
      </c>
      <c r="G44" t="s">
        <v>1797</v>
      </c>
      <c r="H44">
        <v>1.900549635860207</v>
      </c>
      <c r="I44">
        <v>227.89874499999999</v>
      </c>
      <c r="J44">
        <v>6.230280488554004</v>
      </c>
      <c r="K44">
        <v>1.0558609088112261</v>
      </c>
      <c r="L44">
        <v>0.84898171861605209</v>
      </c>
      <c r="M44">
        <v>14.57</v>
      </c>
      <c r="N44">
        <v>8.84</v>
      </c>
    </row>
    <row r="45" spans="1:14" x14ac:dyDescent="0.25">
      <c r="A45" s="1" t="s">
        <v>57</v>
      </c>
      <c r="B45" t="str">
        <f>HYPERLINK("https://www.suredividend.com/sure-analysis-research-database/","Affimed N.V.")</f>
        <v>Affimed N.V.</v>
      </c>
      <c r="C45" t="s">
        <v>1802</v>
      </c>
      <c r="D45">
        <v>0.36480000000000001</v>
      </c>
      <c r="E45">
        <v>0</v>
      </c>
      <c r="F45" t="s">
        <v>1797</v>
      </c>
      <c r="G45" t="s">
        <v>1797</v>
      </c>
      <c r="H45">
        <v>0</v>
      </c>
      <c r="I45">
        <v>54.478988999999999</v>
      </c>
      <c r="J45">
        <v>0</v>
      </c>
      <c r="K45" t="s">
        <v>1797</v>
      </c>
      <c r="L45">
        <v>1.1693410948000209</v>
      </c>
      <c r="M45">
        <v>2.5499999999999998</v>
      </c>
      <c r="N45">
        <v>0.2235</v>
      </c>
    </row>
    <row r="46" spans="1:14" x14ac:dyDescent="0.25">
      <c r="A46" s="1" t="s">
        <v>58</v>
      </c>
      <c r="B46" t="str">
        <f>HYPERLINK("https://www.suredividend.com/sure-analysis-research-database/","Agenus Inc")</f>
        <v>Agenus Inc</v>
      </c>
      <c r="C46" t="s">
        <v>1802</v>
      </c>
      <c r="D46">
        <v>0.8449000000000001</v>
      </c>
      <c r="E46">
        <v>0</v>
      </c>
      <c r="F46" t="s">
        <v>1797</v>
      </c>
      <c r="G46" t="s">
        <v>1797</v>
      </c>
      <c r="H46">
        <v>0</v>
      </c>
      <c r="I46">
        <v>320.70054099999999</v>
      </c>
      <c r="J46" t="s">
        <v>1797</v>
      </c>
      <c r="K46">
        <v>0</v>
      </c>
      <c r="L46">
        <v>1.888402938500177</v>
      </c>
      <c r="M46">
        <v>3.24</v>
      </c>
      <c r="N46">
        <v>0.73330000000000006</v>
      </c>
    </row>
    <row r="47" spans="1:14" x14ac:dyDescent="0.25">
      <c r="A47" s="1" t="s">
        <v>59</v>
      </c>
      <c r="B47" t="str">
        <f>HYPERLINK("https://www.suredividend.com/sure-analysis-research-database/","Agios Pharmaceuticals Inc")</f>
        <v>Agios Pharmaceuticals Inc</v>
      </c>
      <c r="C47" t="s">
        <v>1802</v>
      </c>
      <c r="D47">
        <v>22.49</v>
      </c>
      <c r="E47">
        <v>0</v>
      </c>
      <c r="F47" t="s">
        <v>1797</v>
      </c>
      <c r="G47" t="s">
        <v>1797</v>
      </c>
      <c r="H47">
        <v>0</v>
      </c>
      <c r="I47">
        <v>1253.576992</v>
      </c>
      <c r="J47">
        <v>0.78266137969700611</v>
      </c>
      <c r="K47">
        <v>0</v>
      </c>
      <c r="L47">
        <v>1.274589043723515</v>
      </c>
      <c r="M47">
        <v>31.87</v>
      </c>
      <c r="N47">
        <v>19.8</v>
      </c>
    </row>
    <row r="48" spans="1:14" x14ac:dyDescent="0.25">
      <c r="A48" s="1" t="s">
        <v>60</v>
      </c>
      <c r="B48" t="str">
        <f>HYPERLINK("https://www.suredividend.com/sure-analysis-AGM/","Federal Agricultural Mortgage Corp.")</f>
        <v>Federal Agricultural Mortgage Corp.</v>
      </c>
      <c r="C48" t="s">
        <v>1800</v>
      </c>
      <c r="D48">
        <v>162.83000000000001</v>
      </c>
      <c r="E48">
        <v>2.7022047534238161E-2</v>
      </c>
      <c r="F48">
        <v>0.15789473684210531</v>
      </c>
      <c r="G48">
        <v>0.1365614939721804</v>
      </c>
      <c r="H48">
        <v>4.2062397671787943</v>
      </c>
      <c r="I48">
        <v>1652.134223</v>
      </c>
      <c r="J48">
        <v>10.905608296500191</v>
      </c>
      <c r="K48">
        <v>0.30282503723389448</v>
      </c>
      <c r="L48">
        <v>1.070439007511959</v>
      </c>
      <c r="M48">
        <v>178.97</v>
      </c>
      <c r="N48">
        <v>108.8</v>
      </c>
    </row>
    <row r="49" spans="1:14" x14ac:dyDescent="0.25">
      <c r="A49" s="1" t="s">
        <v>61</v>
      </c>
      <c r="B49" t="str">
        <f>HYPERLINK("https://www.suredividend.com/sure-analysis-research-database/","Agiliti Inc")</f>
        <v>Agiliti Inc</v>
      </c>
      <c r="C49" t="s">
        <v>1797</v>
      </c>
      <c r="D49">
        <v>6.01</v>
      </c>
      <c r="E49">
        <v>0</v>
      </c>
      <c r="F49" t="s">
        <v>1797</v>
      </c>
      <c r="G49" t="s">
        <v>1797</v>
      </c>
      <c r="H49">
        <v>0</v>
      </c>
      <c r="I49">
        <v>811.70221600000002</v>
      </c>
      <c r="J49">
        <v>188.37368671385471</v>
      </c>
      <c r="K49">
        <v>0</v>
      </c>
      <c r="L49">
        <v>1.2474222901560461</v>
      </c>
      <c r="M49">
        <v>20.170000000000002</v>
      </c>
      <c r="N49">
        <v>5.07</v>
      </c>
    </row>
    <row r="50" spans="1:14" x14ac:dyDescent="0.25">
      <c r="A50" s="1" t="s">
        <v>62</v>
      </c>
      <c r="B50" t="str">
        <f>HYPERLINK("https://www.suredividend.com/sure-analysis-research-database/","Argan, Inc.")</f>
        <v>Argan, Inc.</v>
      </c>
      <c r="C50" t="s">
        <v>1798</v>
      </c>
      <c r="D50">
        <v>45.13</v>
      </c>
      <c r="E50">
        <v>2.3049793487602999E-2</v>
      </c>
      <c r="F50">
        <v>0.20000000000000021</v>
      </c>
      <c r="G50">
        <v>3.7137289336648172E-2</v>
      </c>
      <c r="H50">
        <v>1.0402371800955581</v>
      </c>
      <c r="I50">
        <v>601.07081000000005</v>
      </c>
      <c r="J50">
        <v>16.573491325171641</v>
      </c>
      <c r="K50">
        <v>0.39106660905848051</v>
      </c>
      <c r="L50">
        <v>0.50904218432098802</v>
      </c>
      <c r="M50">
        <v>47.48</v>
      </c>
      <c r="N50">
        <v>32.119999999999997</v>
      </c>
    </row>
    <row r="51" spans="1:14" x14ac:dyDescent="0.25">
      <c r="A51" s="1" t="s">
        <v>63</v>
      </c>
      <c r="B51" t="str">
        <f>HYPERLINK("https://www.suredividend.com/sure-analysis-research-database/","Agilysys, Inc")</f>
        <v>Agilysys, Inc</v>
      </c>
      <c r="C51" t="s">
        <v>1803</v>
      </c>
      <c r="D51">
        <v>90.06</v>
      </c>
      <c r="E51">
        <v>0</v>
      </c>
      <c r="F51" t="s">
        <v>1797</v>
      </c>
      <c r="G51" t="s">
        <v>1797</v>
      </c>
      <c r="H51">
        <v>0</v>
      </c>
      <c r="I51">
        <v>2285.1175969999999</v>
      </c>
      <c r="J51">
        <v>186.9369761780105</v>
      </c>
      <c r="K51">
        <v>0</v>
      </c>
      <c r="L51">
        <v>0.67337632768899303</v>
      </c>
      <c r="M51">
        <v>90.73</v>
      </c>
      <c r="N51">
        <v>60.59</v>
      </c>
    </row>
    <row r="52" spans="1:14" x14ac:dyDescent="0.25">
      <c r="A52" s="1" t="s">
        <v>64</v>
      </c>
      <c r="B52" t="str">
        <f>HYPERLINK("https://www.suredividend.com/sure-analysis-research-database/","AdaptHealth Corp")</f>
        <v>AdaptHealth Corp</v>
      </c>
      <c r="C52" t="s">
        <v>1802</v>
      </c>
      <c r="D52">
        <v>8.4700000000000006</v>
      </c>
      <c r="E52">
        <v>0</v>
      </c>
      <c r="F52" t="s">
        <v>1797</v>
      </c>
      <c r="G52" t="s">
        <v>1797</v>
      </c>
      <c r="H52">
        <v>0</v>
      </c>
      <c r="I52">
        <v>1152.8179050000001</v>
      </c>
      <c r="J52">
        <v>29.13731592821939</v>
      </c>
      <c r="K52">
        <v>0</v>
      </c>
      <c r="L52">
        <v>1.216562255877869</v>
      </c>
      <c r="M52">
        <v>23.09</v>
      </c>
      <c r="N52">
        <v>6.92</v>
      </c>
    </row>
    <row r="53" spans="1:14" x14ac:dyDescent="0.25">
      <c r="A53" s="1" t="s">
        <v>65</v>
      </c>
      <c r="B53" t="str">
        <f>HYPERLINK("https://www.suredividend.com/sure-analysis-research-database/","Armada Hoffler Properties Inc")</f>
        <v>Armada Hoffler Properties Inc</v>
      </c>
      <c r="C53" t="s">
        <v>1799</v>
      </c>
      <c r="D53">
        <v>10.52</v>
      </c>
      <c r="E53">
        <v>7.1320123929352011E-2</v>
      </c>
      <c r="F53" t="s">
        <v>1797</v>
      </c>
      <c r="G53" t="s">
        <v>1797</v>
      </c>
      <c r="H53">
        <v>0.75028770373678311</v>
      </c>
      <c r="I53">
        <v>714.80027299999995</v>
      </c>
      <c r="J53">
        <v>15.66925934674909</v>
      </c>
      <c r="K53">
        <v>1.1150062471939119</v>
      </c>
      <c r="L53">
        <v>1.036155794356636</v>
      </c>
      <c r="M53">
        <v>13.04</v>
      </c>
      <c r="N53">
        <v>9.81</v>
      </c>
    </row>
    <row r="54" spans="1:14" x14ac:dyDescent="0.25">
      <c r="A54" s="1" t="s">
        <v>66</v>
      </c>
      <c r="B54" t="str">
        <f>HYPERLINK("https://www.suredividend.com/sure-analysis-research-database/","Ashford Hospitality Trust Inc")</f>
        <v>Ashford Hospitality Trust Inc</v>
      </c>
      <c r="C54" t="s">
        <v>1799</v>
      </c>
      <c r="D54">
        <v>2.61</v>
      </c>
      <c r="E54">
        <v>0</v>
      </c>
      <c r="F54" t="s">
        <v>1797</v>
      </c>
      <c r="G54" t="s">
        <v>1797</v>
      </c>
      <c r="H54">
        <v>0</v>
      </c>
      <c r="I54">
        <v>90.027628000000007</v>
      </c>
      <c r="J54" t="s">
        <v>1797</v>
      </c>
      <c r="K54">
        <v>0</v>
      </c>
      <c r="L54">
        <v>2.1320042473783869</v>
      </c>
      <c r="M54">
        <v>7.52</v>
      </c>
      <c r="N54">
        <v>1.92</v>
      </c>
    </row>
    <row r="55" spans="1:14" x14ac:dyDescent="0.25">
      <c r="A55" s="1" t="s">
        <v>67</v>
      </c>
      <c r="B55" t="str">
        <f>HYPERLINK("https://www.suredividend.com/sure-analysis-research-database/","C3.ai Inc")</f>
        <v>C3.ai Inc</v>
      </c>
      <c r="C55" t="s">
        <v>1799</v>
      </c>
      <c r="D55">
        <v>28.59</v>
      </c>
      <c r="E55">
        <v>0</v>
      </c>
      <c r="F55" t="s">
        <v>1797</v>
      </c>
      <c r="G55" t="s">
        <v>1797</v>
      </c>
      <c r="H55">
        <v>0</v>
      </c>
      <c r="I55">
        <v>3279.3236609999999</v>
      </c>
      <c r="J55" t="s">
        <v>1797</v>
      </c>
      <c r="K55">
        <v>0</v>
      </c>
      <c r="L55">
        <v>3.1828053918830328</v>
      </c>
      <c r="M55">
        <v>48.87</v>
      </c>
      <c r="N55">
        <v>10.16</v>
      </c>
    </row>
    <row r="56" spans="1:14" x14ac:dyDescent="0.25">
      <c r="A56" s="1" t="s">
        <v>68</v>
      </c>
      <c r="B56" t="str">
        <f>HYPERLINK("https://www.suredividend.com/sure-analysis-research-database/","Albany International Corp.")</f>
        <v>Albany International Corp.</v>
      </c>
      <c r="C56" t="s">
        <v>1801</v>
      </c>
      <c r="D56">
        <v>87.3</v>
      </c>
      <c r="E56">
        <v>1.1407340980338999E-2</v>
      </c>
      <c r="F56">
        <v>0.19047619047619049</v>
      </c>
      <c r="G56">
        <v>6.790716584560208E-2</v>
      </c>
      <c r="H56">
        <v>0.99586086758364112</v>
      </c>
      <c r="I56">
        <v>2721.9669450000001</v>
      </c>
      <c r="J56">
        <v>33.039593922437327</v>
      </c>
      <c r="K56">
        <v>0.37722002559986412</v>
      </c>
      <c r="L56">
        <v>0.99770797564542613</v>
      </c>
      <c r="M56">
        <v>114.43</v>
      </c>
      <c r="N56">
        <v>78.2</v>
      </c>
    </row>
    <row r="57" spans="1:14" x14ac:dyDescent="0.25">
      <c r="A57" s="1" t="s">
        <v>69</v>
      </c>
      <c r="B57" t="str">
        <f>HYPERLINK("https://www.suredividend.com/sure-analysis-research-database/","Arteris Inc")</f>
        <v>Arteris Inc</v>
      </c>
      <c r="C57" t="s">
        <v>1797</v>
      </c>
      <c r="D57">
        <v>6.66</v>
      </c>
      <c r="E57">
        <v>0</v>
      </c>
      <c r="F57" t="s">
        <v>1797</v>
      </c>
      <c r="G57" t="s">
        <v>1797</v>
      </c>
      <c r="H57">
        <v>0</v>
      </c>
      <c r="I57">
        <v>240.25149500000001</v>
      </c>
      <c r="J57" t="s">
        <v>1797</v>
      </c>
      <c r="K57">
        <v>0</v>
      </c>
      <c r="L57">
        <v>1.894579671209127</v>
      </c>
      <c r="M57">
        <v>8.08</v>
      </c>
      <c r="N57">
        <v>3.27</v>
      </c>
    </row>
    <row r="58" spans="1:14" x14ac:dyDescent="0.25">
      <c r="A58" s="1" t="s">
        <v>70</v>
      </c>
      <c r="B58" t="str">
        <f>HYPERLINK("https://www.suredividend.com/sure-analysis-research-database/","AAR Corp.")</f>
        <v>AAR Corp.</v>
      </c>
      <c r="C58" t="s">
        <v>1798</v>
      </c>
      <c r="D58">
        <v>62.95</v>
      </c>
      <c r="E58">
        <v>0</v>
      </c>
      <c r="F58" t="s">
        <v>1797</v>
      </c>
      <c r="G58" t="s">
        <v>1797</v>
      </c>
      <c r="H58">
        <v>0</v>
      </c>
      <c r="I58">
        <v>2221.8200609999999</v>
      </c>
      <c r="J58">
        <v>33.21106219955157</v>
      </c>
      <c r="K58">
        <v>0</v>
      </c>
      <c r="L58">
        <v>0.89658038749802105</v>
      </c>
      <c r="M58">
        <v>63.88</v>
      </c>
      <c r="N58">
        <v>41.17</v>
      </c>
    </row>
    <row r="59" spans="1:14" x14ac:dyDescent="0.25">
      <c r="A59" s="1" t="s">
        <v>71</v>
      </c>
      <c r="B59" t="str">
        <f>HYPERLINK("https://www.suredividend.com/sure-analysis-research-database/","Airsculpt Technologies Inc")</f>
        <v>Airsculpt Technologies Inc</v>
      </c>
      <c r="C59" t="s">
        <v>1797</v>
      </c>
      <c r="D59">
        <v>6.54</v>
      </c>
      <c r="E59">
        <v>0</v>
      </c>
      <c r="F59" t="s">
        <v>1797</v>
      </c>
      <c r="G59" t="s">
        <v>1797</v>
      </c>
      <c r="H59">
        <v>0</v>
      </c>
      <c r="I59">
        <v>371.37369100000001</v>
      </c>
      <c r="J59" t="s">
        <v>1797</v>
      </c>
      <c r="K59">
        <v>0</v>
      </c>
      <c r="L59">
        <v>1.645076764401491</v>
      </c>
      <c r="M59">
        <v>9.94</v>
      </c>
      <c r="N59">
        <v>2.69</v>
      </c>
    </row>
    <row r="60" spans="1:14" x14ac:dyDescent="0.25">
      <c r="A60" s="1" t="s">
        <v>72</v>
      </c>
      <c r="B60" t="str">
        <f>HYPERLINK("https://www.suredividend.com/sure-analysis-AIT/","Applied Industrial Technologies Inc.")</f>
        <v>Applied Industrial Technologies Inc.</v>
      </c>
      <c r="C60" t="s">
        <v>1798</v>
      </c>
      <c r="D60">
        <v>157.1</v>
      </c>
      <c r="E60">
        <v>8.9115213239974542E-3</v>
      </c>
      <c r="F60">
        <v>2.941176470588247E-2</v>
      </c>
      <c r="G60">
        <v>2.4569138363080611E-2</v>
      </c>
      <c r="H60">
        <v>1.384903491137722</v>
      </c>
      <c r="I60">
        <v>6087.2544010000001</v>
      </c>
      <c r="J60">
        <v>16.73771093418755</v>
      </c>
      <c r="K60">
        <v>0.1495576124338793</v>
      </c>
      <c r="L60">
        <v>0.94271312471092206</v>
      </c>
      <c r="M60">
        <v>164.82</v>
      </c>
      <c r="N60">
        <v>116.07</v>
      </c>
    </row>
    <row r="61" spans="1:14" x14ac:dyDescent="0.25">
      <c r="A61" s="1" t="s">
        <v>73</v>
      </c>
      <c r="B61" t="str">
        <f>HYPERLINK("https://www.suredividend.com/sure-analysis-research-database/","Apartment Investment &amp; Management Co.")</f>
        <v>Apartment Investment &amp; Management Co.</v>
      </c>
      <c r="C61" t="s">
        <v>1799</v>
      </c>
      <c r="D61">
        <v>6.33</v>
      </c>
      <c r="E61">
        <v>0</v>
      </c>
      <c r="F61" t="s">
        <v>1797</v>
      </c>
      <c r="G61" t="s">
        <v>1797</v>
      </c>
      <c r="H61">
        <v>0</v>
      </c>
      <c r="I61">
        <v>935.75467100000003</v>
      </c>
      <c r="J61" t="s">
        <v>1797</v>
      </c>
      <c r="K61">
        <v>0</v>
      </c>
      <c r="L61">
        <v>1.134959080573954</v>
      </c>
      <c r="M61">
        <v>8.93</v>
      </c>
      <c r="N61">
        <v>5.63</v>
      </c>
    </row>
    <row r="62" spans="1:14" x14ac:dyDescent="0.25">
      <c r="A62" s="1" t="s">
        <v>74</v>
      </c>
      <c r="B62" t="str">
        <f>HYPERLINK("https://www.suredividend.com/sure-analysis-research-database/","Aerojet Rocketdyne Holdings Inc")</f>
        <v>Aerojet Rocketdyne Holdings Inc</v>
      </c>
      <c r="C62" t="s">
        <v>1798</v>
      </c>
      <c r="D62">
        <v>57.99</v>
      </c>
      <c r="E62">
        <v>0</v>
      </c>
      <c r="F62" t="s">
        <v>1797</v>
      </c>
      <c r="G62" t="s">
        <v>1797</v>
      </c>
      <c r="H62">
        <v>0</v>
      </c>
      <c r="I62">
        <v>4683.2080889999997</v>
      </c>
      <c r="J62">
        <v>63.458104188211379</v>
      </c>
      <c r="K62">
        <v>0</v>
      </c>
      <c r="L62">
        <v>0.46933273692429611</v>
      </c>
      <c r="M62">
        <v>58.01</v>
      </c>
      <c r="N62">
        <v>39.18</v>
      </c>
    </row>
    <row r="63" spans="1:14" x14ac:dyDescent="0.25">
      <c r="A63" s="1" t="s">
        <v>75</v>
      </c>
      <c r="B63" t="str">
        <f>HYPERLINK("https://www.suredividend.com/sure-analysis-research-database/","a.k.a. Brands Holding Corp")</f>
        <v>a.k.a. Brands Holding Corp</v>
      </c>
      <c r="C63" t="s">
        <v>1797</v>
      </c>
      <c r="D63">
        <v>7.57</v>
      </c>
      <c r="E63">
        <v>0</v>
      </c>
      <c r="F63" t="s">
        <v>1797</v>
      </c>
      <c r="G63" t="s">
        <v>1797</v>
      </c>
      <c r="H63">
        <v>0</v>
      </c>
      <c r="I63">
        <v>970.55572600000005</v>
      </c>
      <c r="J63">
        <v>0</v>
      </c>
      <c r="K63" t="s">
        <v>1797</v>
      </c>
      <c r="L63">
        <v>0.65929509731580305</v>
      </c>
      <c r="M63">
        <v>24.96</v>
      </c>
      <c r="N63">
        <v>3.6</v>
      </c>
    </row>
    <row r="64" spans="1:14" x14ac:dyDescent="0.25">
      <c r="A64" s="1" t="s">
        <v>76</v>
      </c>
      <c r="B64" t="str">
        <f>HYPERLINK("https://www.suredividend.com/sure-analysis-AKR/","Acadia Realty Trust")</f>
        <v>Acadia Realty Trust</v>
      </c>
      <c r="C64" t="s">
        <v>1799</v>
      </c>
      <c r="D64">
        <v>15.33</v>
      </c>
      <c r="E64">
        <v>4.6966731898238738E-2</v>
      </c>
      <c r="F64" t="s">
        <v>1797</v>
      </c>
      <c r="G64" t="s">
        <v>1797</v>
      </c>
      <c r="H64">
        <v>0.70644172199105104</v>
      </c>
      <c r="I64">
        <v>1461.5726239999999</v>
      </c>
      <c r="J64">
        <v>60.759618557472457</v>
      </c>
      <c r="K64">
        <v>2.79557468140503</v>
      </c>
      <c r="L64">
        <v>1.203586013042429</v>
      </c>
      <c r="M64">
        <v>16.16</v>
      </c>
      <c r="N64">
        <v>12.06</v>
      </c>
    </row>
    <row r="65" spans="1:14" x14ac:dyDescent="0.25">
      <c r="A65" s="1" t="s">
        <v>77</v>
      </c>
      <c r="B65" t="str">
        <f>HYPERLINK("https://www.suredividend.com/sure-analysis-research-database/","Akero Therapeutics Inc")</f>
        <v>Akero Therapeutics Inc</v>
      </c>
      <c r="C65" t="s">
        <v>1802</v>
      </c>
      <c r="D65">
        <v>14.58</v>
      </c>
      <c r="E65">
        <v>0</v>
      </c>
      <c r="F65" t="s">
        <v>1797</v>
      </c>
      <c r="G65" t="s">
        <v>1797</v>
      </c>
      <c r="H65">
        <v>0</v>
      </c>
      <c r="I65">
        <v>810.67971199999999</v>
      </c>
      <c r="J65">
        <v>0</v>
      </c>
      <c r="K65" t="s">
        <v>1797</v>
      </c>
      <c r="L65">
        <v>0.69464456172145606</v>
      </c>
      <c r="M65">
        <v>58.38</v>
      </c>
      <c r="N65">
        <v>11.25</v>
      </c>
    </row>
    <row r="66" spans="1:14" x14ac:dyDescent="0.25">
      <c r="A66" s="1" t="s">
        <v>78</v>
      </c>
      <c r="B66" t="str">
        <f>HYPERLINK("https://www.suredividend.com/sure-analysis-research-database/","Akoustis Technologies Inc")</f>
        <v>Akoustis Technologies Inc</v>
      </c>
      <c r="C66" t="s">
        <v>1803</v>
      </c>
      <c r="D66">
        <v>0.64600000000000002</v>
      </c>
      <c r="E66">
        <v>0</v>
      </c>
      <c r="F66" t="s">
        <v>1797</v>
      </c>
      <c r="G66" t="s">
        <v>1797</v>
      </c>
      <c r="H66">
        <v>0</v>
      </c>
      <c r="I66">
        <v>46.741218000000003</v>
      </c>
      <c r="J66">
        <v>0</v>
      </c>
      <c r="K66" t="s">
        <v>1797</v>
      </c>
      <c r="L66">
        <v>2.4803648975306531</v>
      </c>
      <c r="M66">
        <v>4.96</v>
      </c>
      <c r="N66">
        <v>0.46</v>
      </c>
    </row>
    <row r="67" spans="1:14" x14ac:dyDescent="0.25">
      <c r="A67" s="1" t="s">
        <v>79</v>
      </c>
      <c r="B67" t="str">
        <f>HYPERLINK("https://www.suredividend.com/sure-analysis-research-database/","Akoya Biosciences Inc")</f>
        <v>Akoya Biosciences Inc</v>
      </c>
      <c r="C67" t="s">
        <v>1797</v>
      </c>
      <c r="D67">
        <v>3.96</v>
      </c>
      <c r="E67">
        <v>0</v>
      </c>
      <c r="F67" t="s">
        <v>1797</v>
      </c>
      <c r="G67" t="s">
        <v>1797</v>
      </c>
      <c r="H67">
        <v>0</v>
      </c>
      <c r="I67">
        <v>193.80583300000001</v>
      </c>
      <c r="J67" t="s">
        <v>1797</v>
      </c>
      <c r="K67">
        <v>0</v>
      </c>
      <c r="L67">
        <v>1.665113194108141</v>
      </c>
      <c r="M67">
        <v>14.15</v>
      </c>
      <c r="N67">
        <v>3.04</v>
      </c>
    </row>
    <row r="68" spans="1:14" x14ac:dyDescent="0.25">
      <c r="A68" s="1" t="s">
        <v>80</v>
      </c>
      <c r="B68" t="str">
        <f>HYPERLINK("https://www.suredividend.com/sure-analysis-research-database/","Alico Inc.")</f>
        <v>Alico Inc.</v>
      </c>
      <c r="C68" t="s">
        <v>1804</v>
      </c>
      <c r="D68">
        <v>25.62</v>
      </c>
      <c r="E68">
        <v>7.7639403290840009E-3</v>
      </c>
      <c r="F68">
        <v>-0.9</v>
      </c>
      <c r="G68">
        <v>-3.5807495997372762E-2</v>
      </c>
      <c r="H68">
        <v>0.19891215123115</v>
      </c>
      <c r="I68">
        <v>194.98231699999999</v>
      </c>
      <c r="J68" t="s">
        <v>1797</v>
      </c>
      <c r="K68" t="s">
        <v>1797</v>
      </c>
      <c r="L68">
        <v>0.7000519689709721</v>
      </c>
      <c r="M68">
        <v>32.799999999999997</v>
      </c>
      <c r="N68">
        <v>22.4</v>
      </c>
    </row>
    <row r="69" spans="1:14" x14ac:dyDescent="0.25">
      <c r="A69" s="1" t="s">
        <v>81</v>
      </c>
      <c r="B69" t="str">
        <f>HYPERLINK("https://www.suredividend.com/sure-analysis-ALE/","Allete, Inc.")</f>
        <v>Allete, Inc.</v>
      </c>
      <c r="C69" t="s">
        <v>1805</v>
      </c>
      <c r="D69">
        <v>55.98</v>
      </c>
      <c r="E69">
        <v>4.8410146480886027E-2</v>
      </c>
      <c r="F69">
        <v>4.2307692307692157E-2</v>
      </c>
      <c r="G69">
        <v>3.8829453512362333E-2</v>
      </c>
      <c r="H69">
        <v>2.6375360690022291</v>
      </c>
      <c r="I69">
        <v>3213.1488850000001</v>
      </c>
      <c r="J69">
        <v>12.992919065264861</v>
      </c>
      <c r="K69">
        <v>0.61195732459448482</v>
      </c>
      <c r="L69">
        <v>0.50366374539758607</v>
      </c>
      <c r="M69">
        <v>65.19</v>
      </c>
      <c r="N69">
        <v>49.29</v>
      </c>
    </row>
    <row r="70" spans="1:14" x14ac:dyDescent="0.25">
      <c r="A70" s="1" t="s">
        <v>82</v>
      </c>
      <c r="B70" t="str">
        <f>HYPERLINK("https://www.suredividend.com/sure-analysis-research-database/","Alector Inc")</f>
        <v>Alector Inc</v>
      </c>
      <c r="C70" t="s">
        <v>1802</v>
      </c>
      <c r="D70">
        <v>5.88</v>
      </c>
      <c r="E70">
        <v>0</v>
      </c>
      <c r="F70" t="s">
        <v>1797</v>
      </c>
      <c r="G70" t="s">
        <v>1797</v>
      </c>
      <c r="H70">
        <v>0</v>
      </c>
      <c r="I70">
        <v>492.92216400000001</v>
      </c>
      <c r="J70" t="s">
        <v>1797</v>
      </c>
      <c r="K70">
        <v>0</v>
      </c>
      <c r="L70">
        <v>1.6261792405791451</v>
      </c>
      <c r="M70">
        <v>9.86</v>
      </c>
      <c r="N70">
        <v>4.88</v>
      </c>
    </row>
    <row r="71" spans="1:14" x14ac:dyDescent="0.25">
      <c r="A71" s="1" t="s">
        <v>83</v>
      </c>
      <c r="B71" t="str">
        <f>HYPERLINK("https://www.suredividend.com/sure-analysis-research-database/","Alexander &amp; Baldwin Inc.")</f>
        <v>Alexander &amp; Baldwin Inc.</v>
      </c>
      <c r="C71" t="s">
        <v>1799</v>
      </c>
      <c r="D71">
        <v>16.72</v>
      </c>
      <c r="E71">
        <v>5.1665848042441002E-2</v>
      </c>
      <c r="F71" t="s">
        <v>1797</v>
      </c>
      <c r="G71" t="s">
        <v>1797</v>
      </c>
      <c r="H71">
        <v>0.86385297926961302</v>
      </c>
      <c r="I71">
        <v>1214.29</v>
      </c>
      <c r="J71" t="s">
        <v>1797</v>
      </c>
      <c r="K71" t="s">
        <v>1797</v>
      </c>
      <c r="L71">
        <v>0.97603051067345503</v>
      </c>
      <c r="M71">
        <v>19.77</v>
      </c>
      <c r="N71">
        <v>15.56</v>
      </c>
    </row>
    <row r="72" spans="1:14" x14ac:dyDescent="0.25">
      <c r="A72" s="1" t="s">
        <v>84</v>
      </c>
      <c r="B72" t="str">
        <f>HYPERLINK("https://www.suredividend.com/sure-analysis-research-database/","Alamo Group Inc.")</f>
        <v>Alamo Group Inc.</v>
      </c>
      <c r="C72" t="s">
        <v>1798</v>
      </c>
      <c r="D72">
        <v>180.87</v>
      </c>
      <c r="E72">
        <v>4.8564636541830004E-3</v>
      </c>
      <c r="F72">
        <v>0.22222222222222229</v>
      </c>
      <c r="G72">
        <v>0.12888132073019751</v>
      </c>
      <c r="H72">
        <v>0.87838858113217211</v>
      </c>
      <c r="I72">
        <v>2172.3449230000001</v>
      </c>
      <c r="J72">
        <v>16.235397732786261</v>
      </c>
      <c r="K72">
        <v>7.8567851621840087E-2</v>
      </c>
      <c r="L72">
        <v>0.8945806404345521</v>
      </c>
      <c r="M72">
        <v>200.56</v>
      </c>
      <c r="N72">
        <v>136.77000000000001</v>
      </c>
    </row>
    <row r="73" spans="1:14" x14ac:dyDescent="0.25">
      <c r="A73" s="1" t="s">
        <v>85</v>
      </c>
      <c r="B73" t="str">
        <f>HYPERLINK("https://www.suredividend.com/sure-analysis-research-database/","Allegiant Travel")</f>
        <v>Allegiant Travel</v>
      </c>
      <c r="C73" t="s">
        <v>1798</v>
      </c>
      <c r="D73">
        <v>64.81</v>
      </c>
      <c r="E73">
        <v>9.257830949573E-3</v>
      </c>
      <c r="F73" t="s">
        <v>1797</v>
      </c>
      <c r="G73" t="s">
        <v>1797</v>
      </c>
      <c r="H73">
        <v>0.60000002384185702</v>
      </c>
      <c r="I73">
        <v>1195.5573939999999</v>
      </c>
      <c r="J73">
        <v>8.2040897948218241</v>
      </c>
      <c r="K73">
        <v>7.3710076639048772E-2</v>
      </c>
      <c r="L73">
        <v>1.4259572194792161</v>
      </c>
      <c r="M73">
        <v>129.44</v>
      </c>
      <c r="N73">
        <v>60.76</v>
      </c>
    </row>
    <row r="74" spans="1:14" x14ac:dyDescent="0.25">
      <c r="A74" s="1" t="s">
        <v>86</v>
      </c>
      <c r="B74" t="str">
        <f>HYPERLINK("https://www.suredividend.com/sure-analysis-research-database/","Alignment Healthcare Inc")</f>
        <v>Alignment Healthcare Inc</v>
      </c>
      <c r="C74" t="s">
        <v>1797</v>
      </c>
      <c r="D74">
        <v>6.02</v>
      </c>
      <c r="E74">
        <v>0</v>
      </c>
      <c r="F74" t="s">
        <v>1797</v>
      </c>
      <c r="G74" t="s">
        <v>1797</v>
      </c>
      <c r="H74">
        <v>0</v>
      </c>
      <c r="I74">
        <v>1134.1971610000001</v>
      </c>
      <c r="J74" t="s">
        <v>1797</v>
      </c>
      <c r="K74">
        <v>0</v>
      </c>
      <c r="L74">
        <v>1.0374917296885999</v>
      </c>
      <c r="M74">
        <v>13.92</v>
      </c>
      <c r="N74">
        <v>4.88</v>
      </c>
    </row>
    <row r="75" spans="1:14" x14ac:dyDescent="0.25">
      <c r="A75" s="1" t="s">
        <v>87</v>
      </c>
      <c r="B75" t="str">
        <f>HYPERLINK("https://www.suredividend.com/sure-analysis-research-database/","Alight Inc.")</f>
        <v>Alight Inc.</v>
      </c>
      <c r="C75" t="s">
        <v>1797</v>
      </c>
      <c r="D75">
        <v>7.21</v>
      </c>
      <c r="E75">
        <v>0</v>
      </c>
      <c r="F75" t="s">
        <v>1797</v>
      </c>
      <c r="G75" t="s">
        <v>1797</v>
      </c>
      <c r="H75">
        <v>0</v>
      </c>
      <c r="I75">
        <v>3613.5322849999998</v>
      </c>
      <c r="J75" t="s">
        <v>1797</v>
      </c>
      <c r="K75">
        <v>0</v>
      </c>
      <c r="L75">
        <v>1.373917767195374</v>
      </c>
      <c r="M75">
        <v>10.19</v>
      </c>
      <c r="N75">
        <v>6.33</v>
      </c>
    </row>
    <row r="76" spans="1:14" x14ac:dyDescent="0.25">
      <c r="A76" s="1" t="s">
        <v>88</v>
      </c>
      <c r="B76" t="str">
        <f>HYPERLINK("https://www.suredividend.com/sure-analysis-research-database/","Alkermes plc")</f>
        <v>Alkermes plc</v>
      </c>
      <c r="C76" t="s">
        <v>1802</v>
      </c>
      <c r="D76">
        <v>24.79</v>
      </c>
      <c r="E76">
        <v>0</v>
      </c>
      <c r="F76" t="s">
        <v>1797</v>
      </c>
      <c r="G76" t="s">
        <v>1797</v>
      </c>
      <c r="H76">
        <v>0</v>
      </c>
      <c r="I76">
        <v>4136.9870799999999</v>
      </c>
      <c r="J76">
        <v>19.26653322376632</v>
      </c>
      <c r="K76">
        <v>0</v>
      </c>
      <c r="L76">
        <v>0.51462358350722703</v>
      </c>
      <c r="M76">
        <v>33.71</v>
      </c>
      <c r="N76">
        <v>22.01</v>
      </c>
    </row>
    <row r="77" spans="1:14" x14ac:dyDescent="0.25">
      <c r="A77" s="1" t="s">
        <v>89</v>
      </c>
      <c r="B77" t="str">
        <f>HYPERLINK("https://www.suredividend.com/sure-analysis-research-database/","Alkami Technology Inc")</f>
        <v>Alkami Technology Inc</v>
      </c>
      <c r="C77" t="s">
        <v>1797</v>
      </c>
      <c r="D77">
        <v>20.010000000000002</v>
      </c>
      <c r="E77">
        <v>0</v>
      </c>
      <c r="F77" t="s">
        <v>1797</v>
      </c>
      <c r="G77" t="s">
        <v>1797</v>
      </c>
      <c r="H77">
        <v>0</v>
      </c>
      <c r="I77">
        <v>1885.5198089999999</v>
      </c>
      <c r="J77" t="s">
        <v>1797</v>
      </c>
      <c r="K77">
        <v>0</v>
      </c>
      <c r="L77">
        <v>1.2239912415480969</v>
      </c>
      <c r="M77">
        <v>21.24</v>
      </c>
      <c r="N77">
        <v>10.93</v>
      </c>
    </row>
    <row r="78" spans="1:14" x14ac:dyDescent="0.25">
      <c r="A78" s="1" t="s">
        <v>90</v>
      </c>
      <c r="B78" t="str">
        <f>HYPERLINK("https://www.suredividend.com/sure-analysis-research-database/","Allogene Therapeutics Inc")</f>
        <v>Allogene Therapeutics Inc</v>
      </c>
      <c r="C78" t="s">
        <v>1802</v>
      </c>
      <c r="D78">
        <v>3.5</v>
      </c>
      <c r="E78">
        <v>0</v>
      </c>
      <c r="F78" t="s">
        <v>1797</v>
      </c>
      <c r="G78" t="s">
        <v>1797</v>
      </c>
      <c r="H78">
        <v>0</v>
      </c>
      <c r="I78">
        <v>586.69227799999999</v>
      </c>
      <c r="J78" t="s">
        <v>1797</v>
      </c>
      <c r="K78">
        <v>0</v>
      </c>
      <c r="L78">
        <v>1.520599513171464</v>
      </c>
      <c r="M78">
        <v>11.1</v>
      </c>
      <c r="N78">
        <v>2.5299999999999998</v>
      </c>
    </row>
    <row r="79" spans="1:14" x14ac:dyDescent="0.25">
      <c r="A79" s="1" t="s">
        <v>91</v>
      </c>
      <c r="B79" t="str">
        <f>HYPERLINK("https://www.suredividend.com/sure-analysis-research-database/","Alpine Immune Sciences Inc")</f>
        <v>Alpine Immune Sciences Inc</v>
      </c>
      <c r="C79" t="s">
        <v>1802</v>
      </c>
      <c r="D79">
        <v>16.07</v>
      </c>
      <c r="E79">
        <v>0</v>
      </c>
      <c r="F79" t="s">
        <v>1797</v>
      </c>
      <c r="G79" t="s">
        <v>1797</v>
      </c>
      <c r="H79">
        <v>0</v>
      </c>
      <c r="I79">
        <v>790.66886</v>
      </c>
      <c r="J79" t="s">
        <v>1797</v>
      </c>
      <c r="K79">
        <v>0</v>
      </c>
      <c r="L79">
        <v>1.296164956976243</v>
      </c>
      <c r="M79">
        <v>16.25</v>
      </c>
      <c r="N79">
        <v>5.36</v>
      </c>
    </row>
    <row r="80" spans="1:14" x14ac:dyDescent="0.25">
      <c r="A80" s="1" t="s">
        <v>92</v>
      </c>
      <c r="B80" t="str">
        <f>HYPERLINK("https://www.suredividend.com/sure-analysis-research-database/","Alarm.com Holdings Inc")</f>
        <v>Alarm.com Holdings Inc</v>
      </c>
      <c r="C80" t="s">
        <v>1803</v>
      </c>
      <c r="D80">
        <v>52.33</v>
      </c>
      <c r="E80">
        <v>0</v>
      </c>
      <c r="F80" t="s">
        <v>1797</v>
      </c>
      <c r="G80" t="s">
        <v>1797</v>
      </c>
      <c r="H80">
        <v>0</v>
      </c>
      <c r="I80">
        <v>2611.5884110000002</v>
      </c>
      <c r="J80">
        <v>39.194207150618318</v>
      </c>
      <c r="K80">
        <v>0</v>
      </c>
      <c r="L80">
        <v>1.4850106665605201</v>
      </c>
      <c r="M80">
        <v>62.64</v>
      </c>
      <c r="N80">
        <v>44.92</v>
      </c>
    </row>
    <row r="81" spans="1:14" x14ac:dyDescent="0.25">
      <c r="A81" s="1" t="s">
        <v>93</v>
      </c>
      <c r="B81" t="str">
        <f>HYPERLINK("https://www.suredividend.com/sure-analysis-ALRS/","Alerus Financial Corp")</f>
        <v>Alerus Financial Corp</v>
      </c>
      <c r="C81" t="s">
        <v>1800</v>
      </c>
      <c r="D81">
        <v>18.02</v>
      </c>
      <c r="E81">
        <v>4.2175360710321873E-2</v>
      </c>
      <c r="F81">
        <v>5.555555555555558E-2</v>
      </c>
      <c r="G81">
        <v>6.2980048262344379E-2</v>
      </c>
      <c r="H81">
        <v>0.71969186894194803</v>
      </c>
      <c r="I81">
        <v>360.21783599999998</v>
      </c>
      <c r="J81">
        <v>9.6418050273019276</v>
      </c>
      <c r="K81">
        <v>0.38902263186051239</v>
      </c>
      <c r="L81">
        <v>0.9789376320242571</v>
      </c>
      <c r="M81">
        <v>22.75</v>
      </c>
      <c r="N81">
        <v>12.58</v>
      </c>
    </row>
    <row r="82" spans="1:14" x14ac:dyDescent="0.25">
      <c r="A82" s="1" t="s">
        <v>94</v>
      </c>
      <c r="B82" t="str">
        <f>HYPERLINK("https://www.suredividend.com/sure-analysis-research-database/","Alta Equipment Group Inc")</f>
        <v>Alta Equipment Group Inc</v>
      </c>
      <c r="C82" t="s">
        <v>1798</v>
      </c>
      <c r="D82">
        <v>10.35</v>
      </c>
      <c r="E82">
        <v>2.1902642515403001E-2</v>
      </c>
      <c r="F82" t="s">
        <v>1797</v>
      </c>
      <c r="G82" t="s">
        <v>1797</v>
      </c>
      <c r="H82">
        <v>0.22669235003442201</v>
      </c>
      <c r="I82">
        <v>335.00995899999998</v>
      </c>
      <c r="J82">
        <v>69.793741499999996</v>
      </c>
      <c r="K82">
        <v>1.5327407034105609</v>
      </c>
      <c r="L82">
        <v>1.2658652452561019</v>
      </c>
      <c r="M82">
        <v>20.440000000000001</v>
      </c>
      <c r="N82">
        <v>8.76</v>
      </c>
    </row>
    <row r="83" spans="1:14" x14ac:dyDescent="0.25">
      <c r="A83" s="1" t="s">
        <v>95</v>
      </c>
      <c r="B83" t="str">
        <f>HYPERLINK("https://www.suredividend.com/sure-analysis-research-database/","Alto Ingredients Inc")</f>
        <v>Alto Ingredients Inc</v>
      </c>
      <c r="C83" t="s">
        <v>1797</v>
      </c>
      <c r="D83">
        <v>4.62</v>
      </c>
      <c r="E83">
        <v>0</v>
      </c>
      <c r="F83" t="s">
        <v>1797</v>
      </c>
      <c r="G83" t="s">
        <v>1797</v>
      </c>
      <c r="H83">
        <v>0</v>
      </c>
      <c r="I83">
        <v>350.71054800000002</v>
      </c>
      <c r="J83" t="s">
        <v>1797</v>
      </c>
      <c r="K83">
        <v>0</v>
      </c>
      <c r="L83">
        <v>1.8931151370865269</v>
      </c>
      <c r="M83">
        <v>4.6900000000000004</v>
      </c>
      <c r="N83">
        <v>1.2</v>
      </c>
    </row>
    <row r="84" spans="1:14" x14ac:dyDescent="0.25">
      <c r="A84" s="1" t="s">
        <v>96</v>
      </c>
      <c r="B84" t="str">
        <f>HYPERLINK("https://www.suredividend.com/sure-analysis-research-database/","Altair Engineering Inc")</f>
        <v>Altair Engineering Inc</v>
      </c>
      <c r="C84" t="s">
        <v>1803</v>
      </c>
      <c r="D84">
        <v>65.739999999999995</v>
      </c>
      <c r="E84">
        <v>0</v>
      </c>
      <c r="F84" t="s">
        <v>1797</v>
      </c>
      <c r="G84" t="s">
        <v>1797</v>
      </c>
      <c r="H84">
        <v>0</v>
      </c>
      <c r="I84">
        <v>3554.7452800000001</v>
      </c>
      <c r="J84" t="s">
        <v>1797</v>
      </c>
      <c r="K84">
        <v>0</v>
      </c>
      <c r="L84">
        <v>1.1983699999366451</v>
      </c>
      <c r="M84">
        <v>78.489999999999995</v>
      </c>
      <c r="N84">
        <v>43.68</v>
      </c>
    </row>
    <row r="85" spans="1:14" x14ac:dyDescent="0.25">
      <c r="A85" s="1" t="s">
        <v>97</v>
      </c>
      <c r="B85" t="str">
        <f>HYPERLINK("https://www.suredividend.com/sure-analysis-research-database/","AlloVir Inc")</f>
        <v>AlloVir Inc</v>
      </c>
      <c r="C85" t="s">
        <v>1797</v>
      </c>
      <c r="D85">
        <v>1.68</v>
      </c>
      <c r="E85">
        <v>0</v>
      </c>
      <c r="F85" t="s">
        <v>1797</v>
      </c>
      <c r="G85" t="s">
        <v>1797</v>
      </c>
      <c r="H85">
        <v>0</v>
      </c>
      <c r="I85">
        <v>191.51102499999999</v>
      </c>
      <c r="J85">
        <v>0</v>
      </c>
      <c r="K85" t="s">
        <v>1797</v>
      </c>
      <c r="L85">
        <v>2.2918586729650299</v>
      </c>
      <c r="M85">
        <v>8.9499999999999993</v>
      </c>
      <c r="N85">
        <v>1.34</v>
      </c>
    </row>
    <row r="86" spans="1:14" x14ac:dyDescent="0.25">
      <c r="A86" s="1" t="s">
        <v>98</v>
      </c>
      <c r="B86" t="str">
        <f>HYPERLINK("https://www.suredividend.com/sure-analysis-research-database/","Alexander`s Inc.")</f>
        <v>Alexander`s Inc.</v>
      </c>
      <c r="C86" t="s">
        <v>1799</v>
      </c>
      <c r="D86">
        <v>194.52</v>
      </c>
      <c r="E86">
        <v>8.9327424131523003E-2</v>
      </c>
      <c r="F86">
        <v>0</v>
      </c>
      <c r="G86">
        <v>0</v>
      </c>
      <c r="H86">
        <v>17.375970542064039</v>
      </c>
      <c r="I86">
        <v>993.47005100000001</v>
      </c>
      <c r="J86">
        <v>10.004330649319259</v>
      </c>
      <c r="K86">
        <v>0.89751913956942353</v>
      </c>
      <c r="L86">
        <v>0.66726312473459604</v>
      </c>
      <c r="M86">
        <v>225.71</v>
      </c>
      <c r="N86">
        <v>148.49</v>
      </c>
    </row>
    <row r="87" spans="1:14" x14ac:dyDescent="0.25">
      <c r="A87" s="1" t="s">
        <v>99</v>
      </c>
      <c r="B87" t="str">
        <f>HYPERLINK("https://www.suredividend.com/sure-analysis-research-database/","Alx Oncology Holdings Inc")</f>
        <v>Alx Oncology Holdings Inc</v>
      </c>
      <c r="C87" t="s">
        <v>1797</v>
      </c>
      <c r="D87">
        <v>8.32</v>
      </c>
      <c r="E87">
        <v>0</v>
      </c>
      <c r="F87" t="s">
        <v>1797</v>
      </c>
      <c r="G87" t="s">
        <v>1797</v>
      </c>
      <c r="H87">
        <v>0</v>
      </c>
      <c r="I87">
        <v>342.38313399999998</v>
      </c>
      <c r="J87">
        <v>0</v>
      </c>
      <c r="K87" t="s">
        <v>1797</v>
      </c>
      <c r="L87">
        <v>0.94007673247315005</v>
      </c>
      <c r="M87">
        <v>13.64</v>
      </c>
      <c r="N87">
        <v>3.94</v>
      </c>
    </row>
    <row r="88" spans="1:14" x14ac:dyDescent="0.25">
      <c r="A88" s="1" t="s">
        <v>100</v>
      </c>
      <c r="B88" t="str">
        <f>HYPERLINK("https://www.suredividend.com/sure-analysis-research-database/","Amalgamated Financial Corp")</f>
        <v>Amalgamated Financial Corp</v>
      </c>
      <c r="C88" t="s">
        <v>1800</v>
      </c>
      <c r="D88">
        <v>19.47</v>
      </c>
      <c r="E88">
        <v>2.0309045391933001E-2</v>
      </c>
      <c r="F88">
        <v>0</v>
      </c>
      <c r="G88">
        <v>0.10756634324829011</v>
      </c>
      <c r="H88">
        <v>0.39541711378094802</v>
      </c>
      <c r="I88">
        <v>592.98238900000001</v>
      </c>
      <c r="J88">
        <v>6.5393573950969897</v>
      </c>
      <c r="K88">
        <v>0.13495464634162049</v>
      </c>
      <c r="L88">
        <v>0.79203924609428211</v>
      </c>
      <c r="M88">
        <v>26.72</v>
      </c>
      <c r="N88">
        <v>13.93</v>
      </c>
    </row>
    <row r="89" spans="1:14" x14ac:dyDescent="0.25">
      <c r="A89" s="1" t="s">
        <v>101</v>
      </c>
      <c r="B89" t="str">
        <f>HYPERLINK("https://www.suredividend.com/sure-analysis-research-database/","Ambarella Inc")</f>
        <v>Ambarella Inc</v>
      </c>
      <c r="C89" t="s">
        <v>1803</v>
      </c>
      <c r="D89">
        <v>50.16</v>
      </c>
      <c r="E89">
        <v>0</v>
      </c>
      <c r="F89" t="s">
        <v>1797</v>
      </c>
      <c r="G89" t="s">
        <v>1797</v>
      </c>
      <c r="H89">
        <v>0</v>
      </c>
      <c r="I89">
        <v>2000.2920670000001</v>
      </c>
      <c r="J89" t="s">
        <v>1797</v>
      </c>
      <c r="K89">
        <v>0</v>
      </c>
      <c r="L89">
        <v>1.9840148263916251</v>
      </c>
      <c r="M89">
        <v>99.86</v>
      </c>
      <c r="N89">
        <v>43.59</v>
      </c>
    </row>
    <row r="90" spans="1:14" x14ac:dyDescent="0.25">
      <c r="A90" s="1" t="s">
        <v>102</v>
      </c>
      <c r="B90" t="str">
        <f>HYPERLINK("https://www.suredividend.com/sure-analysis-research-database/","AMBAC Financial Group Inc.")</f>
        <v>AMBAC Financial Group Inc.</v>
      </c>
      <c r="C90" t="s">
        <v>1800</v>
      </c>
      <c r="D90">
        <v>12.5</v>
      </c>
      <c r="E90">
        <v>0</v>
      </c>
      <c r="F90" t="s">
        <v>1797</v>
      </c>
      <c r="G90" t="s">
        <v>1797</v>
      </c>
      <c r="H90">
        <v>0</v>
      </c>
      <c r="I90">
        <v>566.29997500000002</v>
      </c>
      <c r="J90">
        <v>1.1997880826271179</v>
      </c>
      <c r="K90">
        <v>0</v>
      </c>
      <c r="L90">
        <v>0.79019016348527205</v>
      </c>
      <c r="M90">
        <v>17.75</v>
      </c>
      <c r="N90">
        <v>11.26</v>
      </c>
    </row>
    <row r="91" spans="1:14" x14ac:dyDescent="0.25">
      <c r="A91" s="1" t="s">
        <v>103</v>
      </c>
      <c r="B91" t="str">
        <f>HYPERLINK("https://www.suredividend.com/sure-analysis-research-database/","AMC Networks Inc")</f>
        <v>AMC Networks Inc</v>
      </c>
      <c r="C91" t="s">
        <v>1806</v>
      </c>
      <c r="D91">
        <v>15</v>
      </c>
      <c r="E91">
        <v>0</v>
      </c>
      <c r="F91" t="s">
        <v>1797</v>
      </c>
      <c r="G91" t="s">
        <v>1797</v>
      </c>
      <c r="H91">
        <v>0</v>
      </c>
      <c r="I91">
        <v>480.30405000000002</v>
      </c>
      <c r="J91" t="s">
        <v>1797</v>
      </c>
      <c r="K91">
        <v>0</v>
      </c>
      <c r="L91">
        <v>1.829741085075085</v>
      </c>
      <c r="M91">
        <v>27.46</v>
      </c>
      <c r="N91">
        <v>9.9600000000000009</v>
      </c>
    </row>
    <row r="92" spans="1:14" x14ac:dyDescent="0.25">
      <c r="A92" s="1" t="s">
        <v>104</v>
      </c>
      <c r="B92" t="str">
        <f>HYPERLINK("https://www.suredividend.com/sure-analysis-research-database/","Apollo Medical Holdings Inc")</f>
        <v>Apollo Medical Holdings Inc</v>
      </c>
      <c r="C92" t="s">
        <v>1802</v>
      </c>
      <c r="D92">
        <v>31.97</v>
      </c>
      <c r="E92">
        <v>0</v>
      </c>
      <c r="F92" t="s">
        <v>1797</v>
      </c>
      <c r="G92" t="s">
        <v>1797</v>
      </c>
      <c r="H92">
        <v>0</v>
      </c>
      <c r="I92">
        <v>1840.2634700000001</v>
      </c>
      <c r="J92">
        <v>40.739932037369108</v>
      </c>
      <c r="K92">
        <v>0</v>
      </c>
      <c r="L92">
        <v>1.145328725272474</v>
      </c>
      <c r="M92">
        <v>40.81</v>
      </c>
      <c r="N92">
        <v>26.89</v>
      </c>
    </row>
    <row r="93" spans="1:14" x14ac:dyDescent="0.25">
      <c r="A93" s="1" t="s">
        <v>105</v>
      </c>
      <c r="B93" t="str">
        <f>HYPERLINK("https://www.suredividend.com/sure-analysis-research-database/","Assetmark Financial Holdings Inc")</f>
        <v>Assetmark Financial Holdings Inc</v>
      </c>
      <c r="C93" t="s">
        <v>1800</v>
      </c>
      <c r="D93">
        <v>24.2</v>
      </c>
      <c r="E93">
        <v>0</v>
      </c>
      <c r="F93" t="s">
        <v>1797</v>
      </c>
      <c r="G93" t="s">
        <v>1797</v>
      </c>
      <c r="H93">
        <v>0</v>
      </c>
      <c r="I93">
        <v>1797.1411989999999</v>
      </c>
      <c r="J93">
        <v>0</v>
      </c>
      <c r="K93" t="s">
        <v>1797</v>
      </c>
      <c r="L93">
        <v>0.92382563919692606</v>
      </c>
      <c r="M93">
        <v>33</v>
      </c>
      <c r="N93">
        <v>22.58</v>
      </c>
    </row>
    <row r="94" spans="1:14" x14ac:dyDescent="0.25">
      <c r="A94" s="1" t="s">
        <v>106</v>
      </c>
      <c r="B94" t="str">
        <f>HYPERLINK("https://www.suredividend.com/sure-analysis-research-database/","AMKOR Technology Inc.")</f>
        <v>AMKOR Technology Inc.</v>
      </c>
      <c r="C94" t="s">
        <v>1803</v>
      </c>
      <c r="D94">
        <v>23.83</v>
      </c>
      <c r="E94">
        <v>1.2554526259314001E-2</v>
      </c>
      <c r="F94" t="s">
        <v>1797</v>
      </c>
      <c r="G94" t="s">
        <v>1797</v>
      </c>
      <c r="H94">
        <v>0.29917436075946402</v>
      </c>
      <c r="I94">
        <v>5856.6541569999999</v>
      </c>
      <c r="J94">
        <v>14.405670508618821</v>
      </c>
      <c r="K94">
        <v>0.18131779439967519</v>
      </c>
      <c r="L94">
        <v>1.6535386362820259</v>
      </c>
      <c r="M94">
        <v>31.2</v>
      </c>
      <c r="N94">
        <v>17.579999999999998</v>
      </c>
    </row>
    <row r="95" spans="1:14" x14ac:dyDescent="0.25">
      <c r="A95" s="1" t="s">
        <v>107</v>
      </c>
      <c r="B95" t="str">
        <f>HYPERLINK("https://www.suredividend.com/sure-analysis-research-database/","Amylyx Pharmaceuticals Inc")</f>
        <v>Amylyx Pharmaceuticals Inc</v>
      </c>
      <c r="C95" t="s">
        <v>1797</v>
      </c>
      <c r="D95">
        <v>18.43</v>
      </c>
      <c r="E95">
        <v>0</v>
      </c>
      <c r="F95" t="s">
        <v>1797</v>
      </c>
      <c r="G95" t="s">
        <v>1797</v>
      </c>
      <c r="H95">
        <v>0</v>
      </c>
      <c r="I95">
        <v>1241.7718030000001</v>
      </c>
      <c r="J95" t="s">
        <v>1797</v>
      </c>
      <c r="K95">
        <v>0</v>
      </c>
      <c r="L95">
        <v>1.0654453699599511</v>
      </c>
      <c r="M95">
        <v>41.93</v>
      </c>
      <c r="N95">
        <v>15.61</v>
      </c>
    </row>
    <row r="96" spans="1:14" x14ac:dyDescent="0.25">
      <c r="A96" s="1" t="s">
        <v>108</v>
      </c>
      <c r="B96" t="str">
        <f>HYPERLINK("https://www.suredividend.com/sure-analysis-research-database/","AMN Healthcare Services Inc.")</f>
        <v>AMN Healthcare Services Inc.</v>
      </c>
      <c r="C96" t="s">
        <v>1802</v>
      </c>
      <c r="D96">
        <v>67.150000000000006</v>
      </c>
      <c r="E96">
        <v>0</v>
      </c>
      <c r="F96" t="s">
        <v>1797</v>
      </c>
      <c r="G96" t="s">
        <v>1797</v>
      </c>
      <c r="H96">
        <v>0</v>
      </c>
      <c r="I96">
        <v>2550.902795</v>
      </c>
      <c r="J96">
        <v>7.9900982753760283</v>
      </c>
      <c r="K96">
        <v>0</v>
      </c>
      <c r="L96">
        <v>0.47039170796390811</v>
      </c>
      <c r="M96">
        <v>125.36</v>
      </c>
      <c r="N96">
        <v>66.81</v>
      </c>
    </row>
    <row r="97" spans="1:14" x14ac:dyDescent="0.25">
      <c r="A97" s="1" t="s">
        <v>109</v>
      </c>
      <c r="B97" t="str">
        <f>HYPERLINK("https://www.suredividend.com/sure-analysis-research-database/","American National Bankshares Inc.")</f>
        <v>American National Bankshares Inc.</v>
      </c>
      <c r="C97" t="s">
        <v>1800</v>
      </c>
      <c r="D97">
        <v>42.52</v>
      </c>
      <c r="E97">
        <v>2.7538480808634001E-2</v>
      </c>
      <c r="F97">
        <v>7.1428571428571397E-2</v>
      </c>
      <c r="G97">
        <v>3.7137289336648172E-2</v>
      </c>
      <c r="H97">
        <v>1.170936203983135</v>
      </c>
      <c r="I97">
        <v>451.94979999999998</v>
      </c>
      <c r="J97">
        <v>13.456493768832249</v>
      </c>
      <c r="K97">
        <v>0.37054943164023257</v>
      </c>
      <c r="L97">
        <v>0.89671446019774004</v>
      </c>
      <c r="M97">
        <v>43.27</v>
      </c>
      <c r="N97">
        <v>24.34</v>
      </c>
    </row>
    <row r="98" spans="1:14" x14ac:dyDescent="0.25">
      <c r="A98" s="1" t="s">
        <v>110</v>
      </c>
      <c r="B98" t="str">
        <f>HYPERLINK("https://www.suredividend.com/sure-analysis-research-database/","Amphastar Pharmaceuticals Inc")</f>
        <v>Amphastar Pharmaceuticals Inc</v>
      </c>
      <c r="C98" t="s">
        <v>1802</v>
      </c>
      <c r="D98">
        <v>46.59</v>
      </c>
      <c r="E98">
        <v>0</v>
      </c>
      <c r="F98" t="s">
        <v>1797</v>
      </c>
      <c r="G98" t="s">
        <v>1797</v>
      </c>
      <c r="H98">
        <v>0</v>
      </c>
      <c r="I98">
        <v>2248.8993</v>
      </c>
      <c r="J98">
        <v>22.060360201288951</v>
      </c>
      <c r="K98">
        <v>0</v>
      </c>
      <c r="L98">
        <v>0.60020064639453308</v>
      </c>
      <c r="M98">
        <v>67.66</v>
      </c>
      <c r="N98">
        <v>26.76</v>
      </c>
    </row>
    <row r="99" spans="1:14" x14ac:dyDescent="0.25">
      <c r="A99" s="1" t="s">
        <v>111</v>
      </c>
      <c r="B99" t="str">
        <f>HYPERLINK("https://www.suredividend.com/sure-analysis-research-database/","Amplitude Inc")</f>
        <v>Amplitude Inc</v>
      </c>
      <c r="C99" t="s">
        <v>1797</v>
      </c>
      <c r="D99">
        <v>10.75</v>
      </c>
      <c r="E99">
        <v>0</v>
      </c>
      <c r="F99" t="s">
        <v>1797</v>
      </c>
      <c r="G99" t="s">
        <v>1797</v>
      </c>
      <c r="H99">
        <v>0</v>
      </c>
      <c r="I99">
        <v>885.88599999999997</v>
      </c>
      <c r="J99" t="s">
        <v>1797</v>
      </c>
      <c r="K99">
        <v>0</v>
      </c>
      <c r="L99">
        <v>1.705797218902914</v>
      </c>
      <c r="M99">
        <v>16.95</v>
      </c>
      <c r="N99">
        <v>8.5</v>
      </c>
    </row>
    <row r="100" spans="1:14" x14ac:dyDescent="0.25">
      <c r="A100" s="1" t="s">
        <v>112</v>
      </c>
      <c r="B100" t="str">
        <f>HYPERLINK("https://www.suredividend.com/sure-analysis-research-database/","Altus Power Inc")</f>
        <v>Altus Power Inc</v>
      </c>
      <c r="C100" t="s">
        <v>1797</v>
      </c>
      <c r="D100">
        <v>5.76</v>
      </c>
      <c r="E100">
        <v>0</v>
      </c>
      <c r="F100" t="s">
        <v>1797</v>
      </c>
      <c r="G100" t="s">
        <v>1797</v>
      </c>
      <c r="H100">
        <v>0</v>
      </c>
      <c r="I100">
        <v>915.78212900000005</v>
      </c>
      <c r="J100" t="s">
        <v>1797</v>
      </c>
      <c r="K100">
        <v>0</v>
      </c>
      <c r="L100">
        <v>1.662031794264913</v>
      </c>
      <c r="M100">
        <v>8.9600000000000009</v>
      </c>
      <c r="N100">
        <v>4.08</v>
      </c>
    </row>
    <row r="101" spans="1:14" x14ac:dyDescent="0.25">
      <c r="A101" s="1" t="s">
        <v>113</v>
      </c>
      <c r="B101" t="str">
        <f>HYPERLINK("https://www.suredividend.com/sure-analysis-research-database/","Amplify Energy Corp.")</f>
        <v>Amplify Energy Corp.</v>
      </c>
      <c r="C101" t="s">
        <v>1807</v>
      </c>
      <c r="D101">
        <v>6.95</v>
      </c>
      <c r="E101">
        <v>0</v>
      </c>
      <c r="F101" t="s">
        <v>1797</v>
      </c>
      <c r="G101" t="s">
        <v>1797</v>
      </c>
      <c r="H101">
        <v>0</v>
      </c>
      <c r="I101">
        <v>271.48300599999999</v>
      </c>
      <c r="J101">
        <v>0</v>
      </c>
      <c r="K101" t="s">
        <v>1797</v>
      </c>
      <c r="L101">
        <v>1.0473051773695581</v>
      </c>
      <c r="M101">
        <v>10.23</v>
      </c>
      <c r="N101">
        <v>5.97</v>
      </c>
    </row>
    <row r="102" spans="1:14" x14ac:dyDescent="0.25">
      <c r="A102" s="1" t="s">
        <v>114</v>
      </c>
      <c r="B102" t="str">
        <f>HYPERLINK("https://www.suredividend.com/sure-analysis-research-database/","Alpha Metallurgical Resources Inc")</f>
        <v>Alpha Metallurgical Resources Inc</v>
      </c>
      <c r="C102" t="s">
        <v>1797</v>
      </c>
      <c r="D102">
        <v>219.81</v>
      </c>
      <c r="E102">
        <v>8.4210863179330006E-3</v>
      </c>
      <c r="F102" t="s">
        <v>1797</v>
      </c>
      <c r="G102" t="s">
        <v>1797</v>
      </c>
      <c r="H102">
        <v>1.8510389835450209</v>
      </c>
      <c r="I102">
        <v>3334.6168339999999</v>
      </c>
      <c r="J102">
        <v>4.349764986968772</v>
      </c>
      <c r="K102">
        <v>3.7065257980477002E-2</v>
      </c>
      <c r="L102">
        <v>0.85559878734953809</v>
      </c>
      <c r="M102">
        <v>267.60000000000002</v>
      </c>
      <c r="N102">
        <v>129.46</v>
      </c>
    </row>
    <row r="103" spans="1:14" x14ac:dyDescent="0.25">
      <c r="A103" s="1" t="s">
        <v>115</v>
      </c>
      <c r="B103" t="str">
        <f>HYPERLINK("https://www.suredividend.com/sure-analysis-research-database/","Ameresco Inc.")</f>
        <v>Ameresco Inc.</v>
      </c>
      <c r="C103" t="s">
        <v>1798</v>
      </c>
      <c r="D103">
        <v>29.81</v>
      </c>
      <c r="E103">
        <v>0</v>
      </c>
      <c r="F103" t="s">
        <v>1797</v>
      </c>
      <c r="G103" t="s">
        <v>1797</v>
      </c>
      <c r="H103">
        <v>0</v>
      </c>
      <c r="I103">
        <v>1019.502</v>
      </c>
      <c r="J103">
        <v>0</v>
      </c>
      <c r="K103" t="s">
        <v>1797</v>
      </c>
      <c r="L103">
        <v>2.0962154978080259</v>
      </c>
      <c r="M103">
        <v>68.75</v>
      </c>
      <c r="N103">
        <v>24.95</v>
      </c>
    </row>
    <row r="104" spans="1:14" x14ac:dyDescent="0.25">
      <c r="A104" s="1" t="s">
        <v>116</v>
      </c>
      <c r="B104" t="str">
        <f>HYPERLINK("https://www.suredividend.com/sure-analysis-research-database/","A-Mark Precious Metals Inc")</f>
        <v>A-Mark Precious Metals Inc</v>
      </c>
      <c r="C104" t="s">
        <v>1800</v>
      </c>
      <c r="D104">
        <v>27.28</v>
      </c>
      <c r="E104">
        <v>2.7628626161441999E-2</v>
      </c>
      <c r="F104" t="s">
        <v>1797</v>
      </c>
      <c r="G104" t="s">
        <v>1797</v>
      </c>
      <c r="H104">
        <v>0.75370892168416304</v>
      </c>
      <c r="I104">
        <v>641.26937799999996</v>
      </c>
      <c r="J104">
        <v>0</v>
      </c>
      <c r="K104" t="s">
        <v>1797</v>
      </c>
      <c r="L104">
        <v>0.74469603241908811</v>
      </c>
      <c r="M104">
        <v>39.270000000000003</v>
      </c>
      <c r="N104">
        <v>24.41</v>
      </c>
    </row>
    <row r="105" spans="1:14" x14ac:dyDescent="0.25">
      <c r="A105" s="1" t="s">
        <v>117</v>
      </c>
      <c r="B105" t="str">
        <f>HYPERLINK("https://www.suredividend.com/sure-analysis-research-database/","Amyris Inc")</f>
        <v>Amyris Inc</v>
      </c>
      <c r="C105" t="s">
        <v>1808</v>
      </c>
      <c r="D105">
        <v>0.05</v>
      </c>
      <c r="E105">
        <v>0</v>
      </c>
      <c r="F105" t="s">
        <v>1797</v>
      </c>
      <c r="G105" t="s">
        <v>1797</v>
      </c>
      <c r="H105">
        <v>0</v>
      </c>
      <c r="I105">
        <v>0</v>
      </c>
      <c r="J105">
        <v>0</v>
      </c>
      <c r="K105" t="s">
        <v>1797</v>
      </c>
    </row>
    <row r="106" spans="1:14" x14ac:dyDescent="0.25">
      <c r="A106" s="1" t="s">
        <v>118</v>
      </c>
      <c r="B106" t="str">
        <f>HYPERLINK("https://www.suredividend.com/sure-analysis-research-database/","Amneal Pharmaceuticals Inc")</f>
        <v>Amneal Pharmaceuticals Inc</v>
      </c>
      <c r="C106" t="s">
        <v>1802</v>
      </c>
      <c r="D106">
        <v>4.29</v>
      </c>
      <c r="E106">
        <v>0</v>
      </c>
      <c r="F106" t="s">
        <v>1797</v>
      </c>
      <c r="G106" t="s">
        <v>1797</v>
      </c>
      <c r="H106">
        <v>0</v>
      </c>
      <c r="I106">
        <v>661.49637800000005</v>
      </c>
      <c r="J106" t="s">
        <v>1797</v>
      </c>
      <c r="K106">
        <v>0</v>
      </c>
      <c r="L106">
        <v>1.4940647900137991</v>
      </c>
      <c r="M106">
        <v>4.74</v>
      </c>
      <c r="N106">
        <v>1.24</v>
      </c>
    </row>
    <row r="107" spans="1:14" x14ac:dyDescent="0.25">
      <c r="A107" s="1" t="s">
        <v>119</v>
      </c>
      <c r="B107" t="str">
        <f>HYPERLINK("https://www.suredividend.com/sure-analysis-research-database/","Amerisafe Inc")</f>
        <v>Amerisafe Inc</v>
      </c>
      <c r="C107" t="s">
        <v>1800</v>
      </c>
      <c r="D107">
        <v>51.58</v>
      </c>
      <c r="E107">
        <v>2.5336516486386001E-2</v>
      </c>
      <c r="F107">
        <v>9.6774193548387233E-2</v>
      </c>
      <c r="G107">
        <v>-0.37269005225670382</v>
      </c>
      <c r="H107">
        <v>1.306857520367791</v>
      </c>
      <c r="I107">
        <v>989.39461300000005</v>
      </c>
      <c r="J107">
        <v>15.530878477670511</v>
      </c>
      <c r="K107">
        <v>0.39482100313226309</v>
      </c>
      <c r="L107">
        <v>0.52936276853251008</v>
      </c>
      <c r="M107">
        <v>57.3</v>
      </c>
      <c r="N107">
        <v>46.31</v>
      </c>
    </row>
    <row r="108" spans="1:14" x14ac:dyDescent="0.25">
      <c r="A108" s="1" t="s">
        <v>120</v>
      </c>
      <c r="B108" t="str">
        <f>HYPERLINK("https://www.suredividend.com/sure-analysis-research-database/","American Software Inc.")</f>
        <v>American Software Inc.</v>
      </c>
      <c r="C108" t="s">
        <v>1803</v>
      </c>
      <c r="D108">
        <v>11.07</v>
      </c>
      <c r="E108">
        <v>3.9209632665392E-2</v>
      </c>
      <c r="F108">
        <v>0</v>
      </c>
      <c r="G108">
        <v>0</v>
      </c>
      <c r="H108">
        <v>0.43405063360589102</v>
      </c>
      <c r="I108">
        <v>358.05763300000001</v>
      </c>
      <c r="J108">
        <v>0</v>
      </c>
      <c r="K108" t="s">
        <v>1797</v>
      </c>
      <c r="L108">
        <v>0.80463247981657704</v>
      </c>
      <c r="M108">
        <v>16.96</v>
      </c>
      <c r="N108">
        <v>10.01</v>
      </c>
    </row>
    <row r="109" spans="1:14" x14ac:dyDescent="0.25">
      <c r="A109" s="1" t="s">
        <v>121</v>
      </c>
      <c r="B109" t="str">
        <f>HYPERLINK("https://www.suredividend.com/sure-analysis-research-database/","Amerant Bancorp Inc")</f>
        <v>Amerant Bancorp Inc</v>
      </c>
      <c r="C109" t="s">
        <v>1800</v>
      </c>
      <c r="D109">
        <v>19.96</v>
      </c>
      <c r="E109">
        <v>0</v>
      </c>
      <c r="F109" t="s">
        <v>1797</v>
      </c>
      <c r="G109" t="s">
        <v>1797</v>
      </c>
      <c r="H109">
        <v>0</v>
      </c>
      <c r="I109">
        <v>670.19480399999998</v>
      </c>
      <c r="J109">
        <v>9.8011787864695314</v>
      </c>
      <c r="K109">
        <v>0</v>
      </c>
      <c r="L109">
        <v>1.0977569602607129</v>
      </c>
      <c r="M109">
        <v>30.34</v>
      </c>
      <c r="N109">
        <v>15.56</v>
      </c>
    </row>
    <row r="110" spans="1:14" x14ac:dyDescent="0.25">
      <c r="A110" s="1" t="s">
        <v>122</v>
      </c>
      <c r="B110" t="str">
        <f>HYPERLINK("https://www.suredividend.com/sure-analysis-research-database/","Aemetis Inc")</f>
        <v>Aemetis Inc</v>
      </c>
      <c r="C110" t="s">
        <v>1807</v>
      </c>
      <c r="D110">
        <v>4.8499999999999996</v>
      </c>
      <c r="E110">
        <v>0</v>
      </c>
      <c r="F110" t="s">
        <v>1797</v>
      </c>
      <c r="G110" t="s">
        <v>1797</v>
      </c>
      <c r="H110">
        <v>0</v>
      </c>
      <c r="I110">
        <v>188.42250000000001</v>
      </c>
      <c r="J110">
        <v>0</v>
      </c>
      <c r="K110" t="s">
        <v>1797</v>
      </c>
      <c r="L110">
        <v>3.1158750232687118</v>
      </c>
      <c r="M110">
        <v>8.99</v>
      </c>
      <c r="N110">
        <v>1.1599999999999999</v>
      </c>
    </row>
    <row r="111" spans="1:14" x14ac:dyDescent="0.25">
      <c r="A111" s="1" t="s">
        <v>123</v>
      </c>
      <c r="B111" t="str">
        <f>HYPERLINK("https://www.suredividend.com/sure-analysis-research-database/","American Woodmark Corp.")</f>
        <v>American Woodmark Corp.</v>
      </c>
      <c r="C111" t="s">
        <v>1801</v>
      </c>
      <c r="D111">
        <v>72.73</v>
      </c>
      <c r="E111">
        <v>0</v>
      </c>
      <c r="F111" t="s">
        <v>1797</v>
      </c>
      <c r="G111" t="s">
        <v>1797</v>
      </c>
      <c r="H111">
        <v>0</v>
      </c>
      <c r="I111">
        <v>1194.2715470000001</v>
      </c>
      <c r="J111">
        <v>10.710667400339</v>
      </c>
      <c r="K111">
        <v>0</v>
      </c>
      <c r="L111">
        <v>1.488728420859381</v>
      </c>
      <c r="M111">
        <v>80.27</v>
      </c>
      <c r="N111">
        <v>43.86</v>
      </c>
    </row>
    <row r="112" spans="1:14" x14ac:dyDescent="0.25">
      <c r="A112" s="1" t="s">
        <v>124</v>
      </c>
      <c r="B112" t="str">
        <f>HYPERLINK("https://www.suredividend.com/sure-analysis-research-database/","American Well Corporation")</f>
        <v>American Well Corporation</v>
      </c>
      <c r="C112" t="s">
        <v>1797</v>
      </c>
      <c r="D112">
        <v>1.42</v>
      </c>
      <c r="E112">
        <v>0</v>
      </c>
      <c r="F112" t="s">
        <v>1797</v>
      </c>
      <c r="G112" t="s">
        <v>1797</v>
      </c>
      <c r="H112">
        <v>0</v>
      </c>
      <c r="I112">
        <v>361.56506300000001</v>
      </c>
      <c r="J112" t="s">
        <v>1797</v>
      </c>
      <c r="K112">
        <v>0</v>
      </c>
      <c r="L112">
        <v>1.9573330290673689</v>
      </c>
      <c r="M112">
        <v>4.3899999999999997</v>
      </c>
      <c r="N112">
        <v>0.92510000000000003</v>
      </c>
    </row>
    <row r="113" spans="1:14" x14ac:dyDescent="0.25">
      <c r="A113" s="1" t="s">
        <v>125</v>
      </c>
      <c r="B113" t="str">
        <f>HYPERLINK("https://www.suredividend.com/sure-analysis-research-database/","AnaptysBio Inc")</f>
        <v>AnaptysBio Inc</v>
      </c>
      <c r="C113" t="s">
        <v>1802</v>
      </c>
      <c r="D113">
        <v>17.53</v>
      </c>
      <c r="E113">
        <v>0</v>
      </c>
      <c r="F113" t="s">
        <v>1797</v>
      </c>
      <c r="G113" t="s">
        <v>1797</v>
      </c>
      <c r="H113">
        <v>0</v>
      </c>
      <c r="I113">
        <v>465.34398199999998</v>
      </c>
      <c r="J113" t="s">
        <v>1797</v>
      </c>
      <c r="K113">
        <v>0</v>
      </c>
      <c r="L113">
        <v>0.46610225862348298</v>
      </c>
      <c r="M113">
        <v>32.44</v>
      </c>
      <c r="N113">
        <v>15.88</v>
      </c>
    </row>
    <row r="114" spans="1:14" x14ac:dyDescent="0.25">
      <c r="A114" s="1" t="s">
        <v>126</v>
      </c>
      <c r="B114" t="str">
        <f>HYPERLINK("https://www.suredividend.com/sure-analysis-ANDE/","Andersons Inc.")</f>
        <v>Andersons Inc.</v>
      </c>
      <c r="C114" t="s">
        <v>1804</v>
      </c>
      <c r="D114">
        <v>52.77</v>
      </c>
      <c r="E114">
        <v>1.4023119196513169E-2</v>
      </c>
      <c r="F114">
        <v>2.7777777777777901E-2</v>
      </c>
      <c r="G114">
        <v>1.7055286171035359E-2</v>
      </c>
      <c r="H114">
        <v>0.73230627635373902</v>
      </c>
      <c r="I114">
        <v>1781.1028550000001</v>
      </c>
      <c r="J114">
        <v>20.69413551168844</v>
      </c>
      <c r="K114">
        <v>0.29059772871180117</v>
      </c>
      <c r="L114">
        <v>0.89563120118765405</v>
      </c>
      <c r="M114">
        <v>53.29</v>
      </c>
      <c r="N114">
        <v>32.380000000000003</v>
      </c>
    </row>
    <row r="115" spans="1:14" x14ac:dyDescent="0.25">
      <c r="A115" s="1" t="s">
        <v>127</v>
      </c>
      <c r="B115" t="str">
        <f>HYPERLINK("https://www.suredividend.com/sure-analysis-research-database/","Abercrombie &amp; Fitch Co.")</f>
        <v>Abercrombie &amp; Fitch Co.</v>
      </c>
      <c r="C115" t="s">
        <v>1801</v>
      </c>
      <c r="D115">
        <v>65.5</v>
      </c>
      <c r="E115">
        <v>0</v>
      </c>
      <c r="F115" t="s">
        <v>1797</v>
      </c>
      <c r="G115" t="s">
        <v>1797</v>
      </c>
      <c r="H115">
        <v>0</v>
      </c>
      <c r="I115">
        <v>3298.3881510000001</v>
      </c>
      <c r="J115">
        <v>30.099176435428529</v>
      </c>
      <c r="K115">
        <v>0</v>
      </c>
      <c r="L115">
        <v>1.4132449035879719</v>
      </c>
      <c r="M115">
        <v>66.17</v>
      </c>
      <c r="N115">
        <v>16.809999999999999</v>
      </c>
    </row>
    <row r="116" spans="1:14" x14ac:dyDescent="0.25">
      <c r="A116" s="1" t="s">
        <v>128</v>
      </c>
      <c r="B116" t="str">
        <f>HYPERLINK("https://www.suredividend.com/sure-analysis-research-database/","Angiodynamic Inc")</f>
        <v>Angiodynamic Inc</v>
      </c>
      <c r="C116" t="s">
        <v>1802</v>
      </c>
      <c r="D116">
        <v>6.81</v>
      </c>
      <c r="E116">
        <v>0</v>
      </c>
      <c r="F116" t="s">
        <v>1797</v>
      </c>
      <c r="G116" t="s">
        <v>1797</v>
      </c>
      <c r="H116">
        <v>0</v>
      </c>
      <c r="I116">
        <v>271.35562499999997</v>
      </c>
      <c r="J116">
        <v>42.09674607663667</v>
      </c>
      <c r="K116">
        <v>0</v>
      </c>
      <c r="L116">
        <v>0.6407709423166581</v>
      </c>
      <c r="M116">
        <v>15.96</v>
      </c>
      <c r="N116">
        <v>6.06</v>
      </c>
    </row>
    <row r="117" spans="1:14" x14ac:dyDescent="0.25">
      <c r="A117" s="1" t="s">
        <v>129</v>
      </c>
      <c r="B117" t="str">
        <f>HYPERLINK("https://www.suredividend.com/sure-analysis-research-database/","Anika Therapeutics Inc.")</f>
        <v>Anika Therapeutics Inc.</v>
      </c>
      <c r="C117" t="s">
        <v>1802</v>
      </c>
      <c r="D117">
        <v>21.12</v>
      </c>
      <c r="E117">
        <v>0</v>
      </c>
      <c r="F117" t="s">
        <v>1797</v>
      </c>
      <c r="G117" t="s">
        <v>1797</v>
      </c>
      <c r="H117">
        <v>0</v>
      </c>
      <c r="I117">
        <v>309.00908500000003</v>
      </c>
      <c r="J117" t="s">
        <v>1797</v>
      </c>
      <c r="K117">
        <v>0</v>
      </c>
      <c r="L117">
        <v>0.85176728851582206</v>
      </c>
      <c r="M117">
        <v>32.51</v>
      </c>
      <c r="N117">
        <v>16.54</v>
      </c>
    </row>
    <row r="118" spans="1:14" x14ac:dyDescent="0.25">
      <c r="A118" s="1" t="s">
        <v>130</v>
      </c>
      <c r="B118" t="str">
        <f>HYPERLINK("https://www.suredividend.com/sure-analysis-research-database/","ANI Pharmaceuticals Inc")</f>
        <v>ANI Pharmaceuticals Inc</v>
      </c>
      <c r="C118" t="s">
        <v>1802</v>
      </c>
      <c r="D118">
        <v>65.430000000000007</v>
      </c>
      <c r="E118">
        <v>0</v>
      </c>
      <c r="F118" t="s">
        <v>1797</v>
      </c>
      <c r="G118" t="s">
        <v>1797</v>
      </c>
      <c r="H118">
        <v>0</v>
      </c>
      <c r="I118">
        <v>1326.9726129999999</v>
      </c>
      <c r="J118" t="s">
        <v>1797</v>
      </c>
      <c r="K118">
        <v>0</v>
      </c>
      <c r="L118">
        <v>0.95844955887539507</v>
      </c>
      <c r="M118">
        <v>65.89</v>
      </c>
      <c r="N118">
        <v>32.159999999999997</v>
      </c>
    </row>
    <row r="119" spans="1:14" x14ac:dyDescent="0.25">
      <c r="A119" s="1" t="s">
        <v>131</v>
      </c>
      <c r="B119" t="str">
        <f>HYPERLINK("https://www.suredividend.com/sure-analysis-research-database/","AN2 Therapeutics Inc")</f>
        <v>AN2 Therapeutics Inc</v>
      </c>
      <c r="C119" t="s">
        <v>1797</v>
      </c>
      <c r="D119">
        <v>15.06</v>
      </c>
      <c r="E119">
        <v>0</v>
      </c>
      <c r="F119" t="s">
        <v>1797</v>
      </c>
      <c r="G119" t="s">
        <v>1797</v>
      </c>
      <c r="H119">
        <v>0</v>
      </c>
      <c r="I119">
        <v>330.24248699999998</v>
      </c>
      <c r="J119">
        <v>0</v>
      </c>
      <c r="K119" t="s">
        <v>1797</v>
      </c>
      <c r="L119">
        <v>0.49368330457504711</v>
      </c>
      <c r="M119">
        <v>17.29</v>
      </c>
      <c r="N119">
        <v>4.87</v>
      </c>
    </row>
    <row r="120" spans="1:14" x14ac:dyDescent="0.25">
      <c r="A120" s="1" t="s">
        <v>132</v>
      </c>
      <c r="B120" t="str">
        <f>HYPERLINK("https://www.suredividend.com/sure-analysis-research-database/","Angel Oak Mortgage REIT Inc")</f>
        <v>Angel Oak Mortgage REIT Inc</v>
      </c>
      <c r="C120" t="s">
        <v>1797</v>
      </c>
      <c r="D120">
        <v>8.6199999999999992</v>
      </c>
      <c r="E120">
        <v>0.14051570665496499</v>
      </c>
      <c r="F120" t="s">
        <v>1797</v>
      </c>
      <c r="G120" t="s">
        <v>1797</v>
      </c>
      <c r="H120">
        <v>1.2112453913658059</v>
      </c>
      <c r="I120">
        <v>215.11697899999999</v>
      </c>
      <c r="J120" t="s">
        <v>1797</v>
      </c>
      <c r="K120" t="s">
        <v>1797</v>
      </c>
      <c r="L120">
        <v>1.420190659728338</v>
      </c>
      <c r="M120">
        <v>9.67</v>
      </c>
      <c r="N120">
        <v>3.94</v>
      </c>
    </row>
    <row r="121" spans="1:14" x14ac:dyDescent="0.25">
      <c r="A121" s="1" t="s">
        <v>133</v>
      </c>
      <c r="B121" t="str">
        <f>HYPERLINK("https://www.suredividend.com/sure-analysis-research-database/","Artivion Inc")</f>
        <v>Artivion Inc</v>
      </c>
      <c r="C121" t="s">
        <v>1797</v>
      </c>
      <c r="D121">
        <v>14.23</v>
      </c>
      <c r="E121">
        <v>0</v>
      </c>
      <c r="F121" t="s">
        <v>1797</v>
      </c>
      <c r="G121" t="s">
        <v>1797</v>
      </c>
      <c r="H121">
        <v>0</v>
      </c>
      <c r="I121">
        <v>583.99579900000003</v>
      </c>
      <c r="J121" t="s">
        <v>1797</v>
      </c>
      <c r="K121">
        <v>0</v>
      </c>
      <c r="L121">
        <v>1.509785549854038</v>
      </c>
      <c r="M121">
        <v>17.97</v>
      </c>
      <c r="N121">
        <v>10.72</v>
      </c>
    </row>
    <row r="122" spans="1:14" x14ac:dyDescent="0.25">
      <c r="A122" s="1" t="s">
        <v>134</v>
      </c>
      <c r="B122" t="str">
        <f>HYPERLINK("https://www.suredividend.com/sure-analysis-research-database/","Alpha &amp; Omega Semiconductor Ltd")</f>
        <v>Alpha &amp; Omega Semiconductor Ltd</v>
      </c>
      <c r="C122" t="s">
        <v>1803</v>
      </c>
      <c r="D122">
        <v>25.81</v>
      </c>
      <c r="E122">
        <v>0</v>
      </c>
      <c r="F122" t="s">
        <v>1797</v>
      </c>
      <c r="G122" t="s">
        <v>1797</v>
      </c>
      <c r="H122">
        <v>0</v>
      </c>
      <c r="I122">
        <v>715.10058400000003</v>
      </c>
      <c r="J122">
        <v>57.83731670818505</v>
      </c>
      <c r="K122">
        <v>0</v>
      </c>
      <c r="L122">
        <v>1.8118705738258469</v>
      </c>
      <c r="M122">
        <v>38.869999999999997</v>
      </c>
      <c r="N122">
        <v>20.64</v>
      </c>
    </row>
    <row r="123" spans="1:14" x14ac:dyDescent="0.25">
      <c r="A123" s="1" t="s">
        <v>135</v>
      </c>
      <c r="B123" t="str">
        <f>HYPERLINK("https://www.suredividend.com/sure-analysis-APAM/","Artisan Partners Asset Management Inc")</f>
        <v>Artisan Partners Asset Management Inc</v>
      </c>
      <c r="C123" t="s">
        <v>1800</v>
      </c>
      <c r="D123">
        <v>36.28</v>
      </c>
      <c r="E123">
        <v>7.1664829106945979E-2</v>
      </c>
      <c r="F123">
        <v>8.9285714285714191E-2</v>
      </c>
      <c r="G123">
        <v>-1.2622342621668061E-2</v>
      </c>
      <c r="H123">
        <v>2.1716720305805688</v>
      </c>
      <c r="I123">
        <v>2484.004782</v>
      </c>
      <c r="J123">
        <v>12.95223108508619</v>
      </c>
      <c r="K123">
        <v>0.71672344243583153</v>
      </c>
      <c r="L123">
        <v>1.3732962193215581</v>
      </c>
      <c r="M123">
        <v>42.27</v>
      </c>
      <c r="N123">
        <v>27.67</v>
      </c>
    </row>
    <row r="124" spans="1:14" x14ac:dyDescent="0.25">
      <c r="A124" s="1" t="s">
        <v>136</v>
      </c>
      <c r="B124" t="str">
        <f>HYPERLINK("https://www.suredividend.com/sure-analysis-research-database/","American Public Education Inc")</f>
        <v>American Public Education Inc</v>
      </c>
      <c r="C124" t="s">
        <v>1804</v>
      </c>
      <c r="D124">
        <v>4.6900000000000004</v>
      </c>
      <c r="E124">
        <v>0</v>
      </c>
      <c r="F124" t="s">
        <v>1797</v>
      </c>
      <c r="G124" t="s">
        <v>1797</v>
      </c>
      <c r="H124">
        <v>0</v>
      </c>
      <c r="I124">
        <v>83.361930999999998</v>
      </c>
      <c r="J124" t="s">
        <v>1797</v>
      </c>
      <c r="K124">
        <v>0</v>
      </c>
      <c r="L124">
        <v>0.74578276237863805</v>
      </c>
      <c r="M124">
        <v>14.22</v>
      </c>
      <c r="N124">
        <v>3.76</v>
      </c>
    </row>
    <row r="125" spans="1:14" x14ac:dyDescent="0.25">
      <c r="A125" s="1" t="s">
        <v>137</v>
      </c>
      <c r="B125" t="str">
        <f>HYPERLINK("https://www.suredividend.com/sure-analysis-research-database/","APi Group Corporation")</f>
        <v>APi Group Corporation</v>
      </c>
      <c r="C125" t="s">
        <v>1797</v>
      </c>
      <c r="D125">
        <v>27.64</v>
      </c>
      <c r="E125">
        <v>0</v>
      </c>
      <c r="F125" t="s">
        <v>1797</v>
      </c>
      <c r="G125" t="s">
        <v>1797</v>
      </c>
      <c r="H125">
        <v>0</v>
      </c>
      <c r="I125">
        <v>6517.1248740000001</v>
      </c>
      <c r="J125">
        <v>61.482310133584903</v>
      </c>
      <c r="K125">
        <v>0</v>
      </c>
      <c r="L125">
        <v>1.2102875601943739</v>
      </c>
      <c r="M125">
        <v>29.57</v>
      </c>
      <c r="N125">
        <v>17.239999999999998</v>
      </c>
    </row>
    <row r="126" spans="1:14" x14ac:dyDescent="0.25">
      <c r="A126" s="1" t="s">
        <v>138</v>
      </c>
      <c r="B126" t="str">
        <f>HYPERLINK("https://www.suredividend.com/sure-analysis-research-database/","Applied Digital Corporation")</f>
        <v>Applied Digital Corporation</v>
      </c>
      <c r="C126" t="s">
        <v>1798</v>
      </c>
      <c r="D126">
        <v>5.46</v>
      </c>
      <c r="E126">
        <v>0</v>
      </c>
      <c r="F126" t="s">
        <v>1797</v>
      </c>
      <c r="G126" t="s">
        <v>1797</v>
      </c>
      <c r="H126">
        <v>0</v>
      </c>
      <c r="I126">
        <v>580.39933799999994</v>
      </c>
      <c r="J126" t="s">
        <v>1797</v>
      </c>
      <c r="K126">
        <v>0</v>
      </c>
      <c r="L126">
        <v>1.881957356857449</v>
      </c>
      <c r="M126">
        <v>11.62</v>
      </c>
      <c r="N126">
        <v>1.45</v>
      </c>
    </row>
    <row r="127" spans="1:14" x14ac:dyDescent="0.25">
      <c r="A127" s="1" t="s">
        <v>139</v>
      </c>
      <c r="B127" t="str">
        <f>HYPERLINK("https://www.suredividend.com/sure-analysis-APLE/","Apple Hospitality REIT Inc")</f>
        <v>Apple Hospitality REIT Inc</v>
      </c>
      <c r="C127" t="s">
        <v>1799</v>
      </c>
      <c r="D127">
        <v>16.86</v>
      </c>
      <c r="E127">
        <v>5.6939501779359428E-2</v>
      </c>
      <c r="F127">
        <v>0</v>
      </c>
      <c r="G127">
        <v>9.8560543306117632E-2</v>
      </c>
      <c r="H127">
        <v>0.93254021081510907</v>
      </c>
      <c r="I127">
        <v>3857.5526909999999</v>
      </c>
      <c r="J127">
        <v>24.159533357048911</v>
      </c>
      <c r="K127">
        <v>1.3377423767251599</v>
      </c>
      <c r="L127">
        <v>0.99194760834072704</v>
      </c>
      <c r="M127">
        <v>17.37</v>
      </c>
      <c r="N127">
        <v>13.08</v>
      </c>
    </row>
    <row r="128" spans="1:14" x14ac:dyDescent="0.25">
      <c r="A128" s="1" t="s">
        <v>140</v>
      </c>
      <c r="B128" t="str">
        <f>HYPERLINK("https://www.suredividend.com/sure-analysis-research-database/","Apellis Pharmaceuticals Inc")</f>
        <v>Apellis Pharmaceuticals Inc</v>
      </c>
      <c r="C128" t="s">
        <v>1802</v>
      </c>
      <c r="D128">
        <v>46.83</v>
      </c>
      <c r="E128">
        <v>0</v>
      </c>
      <c r="F128" t="s">
        <v>1797</v>
      </c>
      <c r="G128" t="s">
        <v>1797</v>
      </c>
      <c r="H128">
        <v>0</v>
      </c>
      <c r="I128">
        <v>5549.3524239999997</v>
      </c>
      <c r="J128">
        <v>0</v>
      </c>
      <c r="K128" t="s">
        <v>1797</v>
      </c>
      <c r="L128">
        <v>0.75269431301883405</v>
      </c>
      <c r="M128">
        <v>94.75</v>
      </c>
      <c r="N128">
        <v>19.829999999999998</v>
      </c>
    </row>
    <row r="129" spans="1:14" x14ac:dyDescent="0.25">
      <c r="A129" s="1" t="s">
        <v>141</v>
      </c>
      <c r="B129" t="str">
        <f>HYPERLINK("https://www.suredividend.com/sure-analysis-APOG/","Apogee Enterprises Inc.")</f>
        <v>Apogee Enterprises Inc.</v>
      </c>
      <c r="C129" t="s">
        <v>1798</v>
      </c>
      <c r="D129">
        <v>44.62</v>
      </c>
      <c r="E129">
        <v>2.1515015688032268E-2</v>
      </c>
      <c r="F129">
        <v>9.0909090909090828E-2</v>
      </c>
      <c r="G129">
        <v>6.5208537533447908E-2</v>
      </c>
      <c r="H129">
        <v>0.94659898103131812</v>
      </c>
      <c r="I129">
        <v>984.86856899999998</v>
      </c>
      <c r="J129">
        <v>9.7618056233521635</v>
      </c>
      <c r="K129">
        <v>0.2089622474682821</v>
      </c>
      <c r="L129">
        <v>1.0462131289747081</v>
      </c>
      <c r="M129">
        <v>51.1</v>
      </c>
      <c r="N129">
        <v>36.020000000000003</v>
      </c>
    </row>
    <row r="130" spans="1:14" x14ac:dyDescent="0.25">
      <c r="A130" s="1" t="s">
        <v>142</v>
      </c>
      <c r="B130" t="str">
        <f>HYPERLINK("https://www.suredividend.com/sure-analysis-research-database/","Appfolio Inc")</f>
        <v>Appfolio Inc</v>
      </c>
      <c r="C130" t="s">
        <v>1803</v>
      </c>
      <c r="D130">
        <v>198.06</v>
      </c>
      <c r="E130">
        <v>0</v>
      </c>
      <c r="F130" t="s">
        <v>1797</v>
      </c>
      <c r="G130" t="s">
        <v>1797</v>
      </c>
      <c r="H130">
        <v>0</v>
      </c>
      <c r="I130">
        <v>4287.1453609999999</v>
      </c>
      <c r="J130" t="s">
        <v>1797</v>
      </c>
      <c r="K130">
        <v>0</v>
      </c>
      <c r="L130">
        <v>1.4321065131457911</v>
      </c>
      <c r="M130">
        <v>207.4</v>
      </c>
      <c r="N130">
        <v>100.2</v>
      </c>
    </row>
    <row r="131" spans="1:14" x14ac:dyDescent="0.25">
      <c r="A131" s="1" t="s">
        <v>143</v>
      </c>
      <c r="B131" t="str">
        <f>HYPERLINK("https://www.suredividend.com/sure-analysis-research-database/","AppHarvest Inc")</f>
        <v>AppHarvest Inc</v>
      </c>
      <c r="C131" t="s">
        <v>1797</v>
      </c>
      <c r="D131">
        <v>6.6600000000000006E-2</v>
      </c>
      <c r="E131">
        <v>0</v>
      </c>
      <c r="F131" t="s">
        <v>1797</v>
      </c>
      <c r="G131" t="s">
        <v>1797</v>
      </c>
      <c r="H131">
        <v>0</v>
      </c>
      <c r="I131">
        <v>0</v>
      </c>
      <c r="J131">
        <v>0</v>
      </c>
      <c r="K131" t="s">
        <v>1797</v>
      </c>
    </row>
    <row r="132" spans="1:14" x14ac:dyDescent="0.25">
      <c r="A132" s="1" t="s">
        <v>144</v>
      </c>
      <c r="B132" t="str">
        <f>HYPERLINK("https://www.suredividend.com/sure-analysis-research-database/","Appian Corp")</f>
        <v>Appian Corp</v>
      </c>
      <c r="C132" t="s">
        <v>1803</v>
      </c>
      <c r="D132">
        <v>39.9</v>
      </c>
      <c r="E132">
        <v>0</v>
      </c>
      <c r="F132" t="s">
        <v>1797</v>
      </c>
      <c r="G132" t="s">
        <v>1797</v>
      </c>
      <c r="H132">
        <v>0</v>
      </c>
      <c r="I132">
        <v>1660.611905</v>
      </c>
      <c r="J132" t="s">
        <v>1797</v>
      </c>
      <c r="K132">
        <v>0</v>
      </c>
      <c r="L132">
        <v>1.786930270873897</v>
      </c>
      <c r="M132">
        <v>54.26</v>
      </c>
      <c r="N132">
        <v>29.8</v>
      </c>
    </row>
    <row r="133" spans="1:14" x14ac:dyDescent="0.25">
      <c r="A133" s="1" t="s">
        <v>145</v>
      </c>
      <c r="B133" t="str">
        <f>HYPERLINK("https://www.suredividend.com/sure-analysis-research-database/","Digital Turbine Inc")</f>
        <v>Digital Turbine Inc</v>
      </c>
      <c r="C133" t="s">
        <v>1803</v>
      </c>
      <c r="D133">
        <v>5.26</v>
      </c>
      <c r="E133">
        <v>0</v>
      </c>
      <c r="F133" t="s">
        <v>1797</v>
      </c>
      <c r="G133" t="s">
        <v>1797</v>
      </c>
      <c r="H133">
        <v>0</v>
      </c>
      <c r="I133">
        <v>528.72016699999995</v>
      </c>
      <c r="J133" t="s">
        <v>1797</v>
      </c>
      <c r="K133">
        <v>0</v>
      </c>
      <c r="L133">
        <v>3.721612548142879</v>
      </c>
      <c r="M133">
        <v>20.399999999999999</v>
      </c>
      <c r="N133">
        <v>4.34</v>
      </c>
    </row>
    <row r="134" spans="1:14" x14ac:dyDescent="0.25">
      <c r="A134" s="1" t="s">
        <v>146</v>
      </c>
      <c r="B134" t="str">
        <f>HYPERLINK("https://www.suredividend.com/sure-analysis-research-database/","ArcBest Corp")</f>
        <v>ArcBest Corp</v>
      </c>
      <c r="C134" t="s">
        <v>1798</v>
      </c>
      <c r="D134">
        <v>120</v>
      </c>
      <c r="E134">
        <v>3.9853209550489996E-3</v>
      </c>
      <c r="F134">
        <v>0</v>
      </c>
      <c r="G134">
        <v>8.4471771197698553E-2</v>
      </c>
      <c r="H134">
        <v>0.47823851460588801</v>
      </c>
      <c r="I134">
        <v>2882.9946</v>
      </c>
      <c r="J134">
        <v>12.11825980958786</v>
      </c>
      <c r="K134">
        <v>5.0393942529598307E-2</v>
      </c>
      <c r="L134">
        <v>1.5219079035059739</v>
      </c>
      <c r="M134">
        <v>122.6</v>
      </c>
      <c r="N134">
        <v>67.59</v>
      </c>
    </row>
    <row r="135" spans="1:14" x14ac:dyDescent="0.25">
      <c r="A135" s="1" t="s">
        <v>147</v>
      </c>
      <c r="B135" t="str">
        <f>HYPERLINK("https://www.suredividend.com/sure-analysis-research-database/","Arch Resources Inc")</f>
        <v>Arch Resources Inc</v>
      </c>
      <c r="C135" t="s">
        <v>1807</v>
      </c>
      <c r="D135">
        <v>150.6</v>
      </c>
      <c r="E135">
        <v>0.13413246477770099</v>
      </c>
      <c r="F135">
        <v>0</v>
      </c>
      <c r="G135">
        <v>-8.9717898486959879E-2</v>
      </c>
      <c r="H135">
        <v>20.20034919552181</v>
      </c>
      <c r="I135">
        <v>2766.4406760000002</v>
      </c>
      <c r="J135">
        <v>3.3752558197417351</v>
      </c>
      <c r="K135">
        <v>0.48096069513147172</v>
      </c>
      <c r="L135">
        <v>0.69501787298713402</v>
      </c>
      <c r="M135">
        <v>175.1</v>
      </c>
      <c r="N135">
        <v>102.23</v>
      </c>
    </row>
    <row r="136" spans="1:14" x14ac:dyDescent="0.25">
      <c r="A136" s="1" t="s">
        <v>148</v>
      </c>
      <c r="B136" t="str">
        <f>HYPERLINK("https://www.suredividend.com/sure-analysis-research-database/","Arcturus Therapeutics Holdings Inc")</f>
        <v>Arcturus Therapeutics Holdings Inc</v>
      </c>
      <c r="C136" t="s">
        <v>1802</v>
      </c>
      <c r="D136">
        <v>19.579999999999998</v>
      </c>
      <c r="E136">
        <v>0</v>
      </c>
      <c r="F136" t="s">
        <v>1797</v>
      </c>
      <c r="G136" t="s">
        <v>1797</v>
      </c>
      <c r="H136">
        <v>0</v>
      </c>
      <c r="I136">
        <v>520.79939400000001</v>
      </c>
      <c r="J136">
        <v>6.4868828999190384</v>
      </c>
      <c r="K136">
        <v>0</v>
      </c>
      <c r="L136">
        <v>1.439104872781851</v>
      </c>
      <c r="M136">
        <v>37.75</v>
      </c>
      <c r="N136">
        <v>14.21</v>
      </c>
    </row>
    <row r="137" spans="1:14" x14ac:dyDescent="0.25">
      <c r="A137" s="1" t="s">
        <v>149</v>
      </c>
      <c r="B137" t="str">
        <f>HYPERLINK("https://www.suredividend.com/sure-analysis-research-database/","Arena Group Holdings Inc (The)")</f>
        <v>Arena Group Holdings Inc (The)</v>
      </c>
      <c r="C137" t="s">
        <v>1797</v>
      </c>
      <c r="D137">
        <v>3.86</v>
      </c>
      <c r="E137">
        <v>0</v>
      </c>
      <c r="F137" t="s">
        <v>1797</v>
      </c>
      <c r="G137" t="s">
        <v>1797</v>
      </c>
      <c r="H137">
        <v>0</v>
      </c>
      <c r="I137">
        <v>91.832746999999998</v>
      </c>
      <c r="J137">
        <v>0</v>
      </c>
      <c r="K137" t="s">
        <v>1797</v>
      </c>
      <c r="L137">
        <v>1.003761500745326</v>
      </c>
      <c r="M137">
        <v>16.5</v>
      </c>
      <c r="N137">
        <v>2.7</v>
      </c>
    </row>
    <row r="138" spans="1:14" x14ac:dyDescent="0.25">
      <c r="A138" s="1" t="s">
        <v>150</v>
      </c>
      <c r="B138" t="str">
        <f>HYPERLINK("https://www.suredividend.com/sure-analysis-research-database/","Argo Group International Holdings Ltd")</f>
        <v>Argo Group International Holdings Ltd</v>
      </c>
      <c r="C138" t="s">
        <v>1800</v>
      </c>
      <c r="D138">
        <v>29.88</v>
      </c>
      <c r="E138">
        <v>1.0374832743781001E-2</v>
      </c>
      <c r="F138" t="s">
        <v>1797</v>
      </c>
      <c r="G138" t="s">
        <v>1797</v>
      </c>
      <c r="H138">
        <v>0.31000000238418501</v>
      </c>
      <c r="I138">
        <v>1051.7251739999999</v>
      </c>
      <c r="J138" t="s">
        <v>1797</v>
      </c>
      <c r="K138" t="s">
        <v>1797</v>
      </c>
      <c r="L138">
        <v>0.37133766972838911</v>
      </c>
      <c r="M138">
        <v>30.13</v>
      </c>
      <c r="N138">
        <v>23.29</v>
      </c>
    </row>
    <row r="139" spans="1:14" x14ac:dyDescent="0.25">
      <c r="A139" s="1" t="s">
        <v>151</v>
      </c>
      <c r="B139" t="str">
        <f>HYPERLINK("https://www.suredividend.com/sure-analysis-ARI/","Apollo Commercial Real Estate Finance Inc")</f>
        <v>Apollo Commercial Real Estate Finance Inc</v>
      </c>
      <c r="C139" t="s">
        <v>1799</v>
      </c>
      <c r="D139">
        <v>10.73</v>
      </c>
      <c r="E139">
        <v>0.13047530288909601</v>
      </c>
      <c r="F139">
        <v>0</v>
      </c>
      <c r="G139">
        <v>-5.3191730288527077E-2</v>
      </c>
      <c r="H139">
        <v>1.3314296791100899</v>
      </c>
      <c r="I139">
        <v>1516.777832</v>
      </c>
      <c r="J139" t="s">
        <v>1797</v>
      </c>
      <c r="K139" t="s">
        <v>1797</v>
      </c>
      <c r="L139">
        <v>1.42293348602664</v>
      </c>
      <c r="M139">
        <v>11.78</v>
      </c>
      <c r="N139">
        <v>7.84</v>
      </c>
    </row>
    <row r="140" spans="1:14" x14ac:dyDescent="0.25">
      <c r="A140" s="1" t="s">
        <v>152</v>
      </c>
      <c r="B140" t="str">
        <f>HYPERLINK("https://www.suredividend.com/sure-analysis-research-database/","Aris Water Solutions Inc")</f>
        <v>Aris Water Solutions Inc</v>
      </c>
      <c r="C140" t="s">
        <v>1797</v>
      </c>
      <c r="D140">
        <v>9.58</v>
      </c>
      <c r="E140">
        <v>3.7046692438440013E-2</v>
      </c>
      <c r="F140" t="s">
        <v>1797</v>
      </c>
      <c r="G140" t="s">
        <v>1797</v>
      </c>
      <c r="H140">
        <v>0.35490731356025601</v>
      </c>
      <c r="I140">
        <v>288.11005</v>
      </c>
      <c r="J140">
        <v>18.80859449275362</v>
      </c>
      <c r="K140">
        <v>0.68409274009301457</v>
      </c>
      <c r="L140">
        <v>1.2462795144028569</v>
      </c>
      <c r="M140">
        <v>17.21</v>
      </c>
      <c r="N140">
        <v>6.57</v>
      </c>
    </row>
    <row r="141" spans="1:14" x14ac:dyDescent="0.25">
      <c r="A141" s="1" t="s">
        <v>153</v>
      </c>
      <c r="B141" t="str">
        <f>HYPERLINK("https://www.suredividend.com/sure-analysis-research-database/","ARKO Corp")</f>
        <v>ARKO Corp</v>
      </c>
      <c r="C141" t="s">
        <v>1797</v>
      </c>
      <c r="D141">
        <v>7.9</v>
      </c>
      <c r="E141">
        <v>1.5062694057227001E-2</v>
      </c>
      <c r="F141" t="s">
        <v>1797</v>
      </c>
      <c r="G141" t="s">
        <v>1797</v>
      </c>
      <c r="H141">
        <v>0.118995283052095</v>
      </c>
      <c r="I141">
        <v>937.38915499999996</v>
      </c>
      <c r="J141">
        <v>0</v>
      </c>
      <c r="K141" t="s">
        <v>1797</v>
      </c>
      <c r="L141">
        <v>0.554630403609217</v>
      </c>
      <c r="M141">
        <v>10.61</v>
      </c>
      <c r="N141">
        <v>6.62</v>
      </c>
    </row>
    <row r="142" spans="1:14" x14ac:dyDescent="0.25">
      <c r="A142" s="1" t="s">
        <v>154</v>
      </c>
      <c r="B142" t="str">
        <f>HYPERLINK("https://www.suredividend.com/sure-analysis-research-database/","American Realty Investors Inc.")</f>
        <v>American Realty Investors Inc.</v>
      </c>
      <c r="C142" t="s">
        <v>1799</v>
      </c>
      <c r="D142">
        <v>13.17</v>
      </c>
      <c r="E142">
        <v>0</v>
      </c>
      <c r="F142" t="s">
        <v>1797</v>
      </c>
      <c r="G142" t="s">
        <v>1797</v>
      </c>
      <c r="H142">
        <v>0</v>
      </c>
      <c r="I142">
        <v>212.72240600000001</v>
      </c>
      <c r="J142">
        <v>0.60982382709431004</v>
      </c>
      <c r="K142">
        <v>0</v>
      </c>
      <c r="L142">
        <v>0.34768409554443902</v>
      </c>
      <c r="M142">
        <v>31.59</v>
      </c>
      <c r="N142">
        <v>11.69</v>
      </c>
    </row>
    <row r="143" spans="1:14" x14ac:dyDescent="0.25">
      <c r="A143" s="1" t="s">
        <v>155</v>
      </c>
      <c r="B143" t="str">
        <f>HYPERLINK("https://www.suredividend.com/sure-analysis-research-database/","Arlo Technologies Inc")</f>
        <v>Arlo Technologies Inc</v>
      </c>
      <c r="C143" t="s">
        <v>1798</v>
      </c>
      <c r="D143">
        <v>9.2100000000000009</v>
      </c>
      <c r="E143">
        <v>0</v>
      </c>
      <c r="F143" t="s">
        <v>1797</v>
      </c>
      <c r="G143" t="s">
        <v>1797</v>
      </c>
      <c r="H143">
        <v>0</v>
      </c>
      <c r="I143">
        <v>866.24602500000003</v>
      </c>
      <c r="J143" t="s">
        <v>1797</v>
      </c>
      <c r="K143">
        <v>0</v>
      </c>
      <c r="L143">
        <v>1.839945099415792</v>
      </c>
      <c r="M143">
        <v>11.54</v>
      </c>
      <c r="N143">
        <v>2.93</v>
      </c>
    </row>
    <row r="144" spans="1:14" x14ac:dyDescent="0.25">
      <c r="A144" s="1" t="s">
        <v>156</v>
      </c>
      <c r="B144" t="str">
        <f>HYPERLINK("https://www.suredividend.com/sure-analysis-research-database/","Arconic Corporation")</f>
        <v>Arconic Corporation</v>
      </c>
      <c r="C144" t="s">
        <v>1798</v>
      </c>
      <c r="D144">
        <v>29.99</v>
      </c>
      <c r="E144">
        <v>0</v>
      </c>
      <c r="F144" t="s">
        <v>1797</v>
      </c>
      <c r="G144" t="s">
        <v>1797</v>
      </c>
      <c r="H144">
        <v>0</v>
      </c>
      <c r="I144">
        <v>3009.3904550000002</v>
      </c>
      <c r="J144" t="s">
        <v>1797</v>
      </c>
      <c r="K144">
        <v>0</v>
      </c>
      <c r="L144">
        <v>1.237765426568983</v>
      </c>
      <c r="M144">
        <v>30.02</v>
      </c>
      <c r="N144">
        <v>16.329999999999998</v>
      </c>
    </row>
    <row r="145" spans="1:14" x14ac:dyDescent="0.25">
      <c r="A145" s="1" t="s">
        <v>157</v>
      </c>
      <c r="B145" t="str">
        <f>HYPERLINK("https://www.suredividend.com/sure-analysis-research-database/","Archrock Inc")</f>
        <v>Archrock Inc</v>
      </c>
      <c r="C145" t="s">
        <v>1807</v>
      </c>
      <c r="D145">
        <v>14.26</v>
      </c>
      <c r="E145">
        <v>4.1238524774976998E-2</v>
      </c>
      <c r="F145">
        <v>6.8965517241379448E-2</v>
      </c>
      <c r="G145">
        <v>3.2646205137032647E-2</v>
      </c>
      <c r="H145">
        <v>0.58806136329117309</v>
      </c>
      <c r="I145">
        <v>2231.6839540000001</v>
      </c>
      <c r="J145">
        <v>27.543152777044121</v>
      </c>
      <c r="K145">
        <v>1.119690333760802</v>
      </c>
      <c r="L145">
        <v>1.013426151810924</v>
      </c>
      <c r="M145">
        <v>14.5</v>
      </c>
      <c r="N145">
        <v>7.63</v>
      </c>
    </row>
    <row r="146" spans="1:14" x14ac:dyDescent="0.25">
      <c r="A146" s="1" t="s">
        <v>158</v>
      </c>
      <c r="B146" t="str">
        <f>HYPERLINK("https://www.suredividend.com/sure-analysis-AROW/","Arrow Financial Corp.")</f>
        <v>Arrow Financial Corp.</v>
      </c>
      <c r="C146" t="s">
        <v>1800</v>
      </c>
      <c r="D146">
        <v>23</v>
      </c>
      <c r="E146">
        <v>4.6956521739130438E-2</v>
      </c>
      <c r="F146">
        <v>-1</v>
      </c>
      <c r="G146">
        <v>-1</v>
      </c>
      <c r="H146">
        <v>1.0195766808018309</v>
      </c>
      <c r="I146">
        <v>380.72033399999998</v>
      </c>
      <c r="J146">
        <v>9.7974815100748884</v>
      </c>
      <c r="K146">
        <v>0.43386241736248121</v>
      </c>
      <c r="L146">
        <v>0.78163272687040708</v>
      </c>
      <c r="M146">
        <v>33.340000000000003</v>
      </c>
      <c r="N146">
        <v>16.14</v>
      </c>
    </row>
    <row r="147" spans="1:14" x14ac:dyDescent="0.25">
      <c r="A147" s="1" t="s">
        <v>159</v>
      </c>
      <c r="B147" t="str">
        <f>HYPERLINK("https://www.suredividend.com/sure-analysis-research-database/","Arcutis Biotherapeutics Inc")</f>
        <v>Arcutis Biotherapeutics Inc</v>
      </c>
      <c r="C147" t="s">
        <v>1802</v>
      </c>
      <c r="D147">
        <v>2.44</v>
      </c>
      <c r="E147">
        <v>0</v>
      </c>
      <c r="F147" t="s">
        <v>1797</v>
      </c>
      <c r="G147" t="s">
        <v>1797</v>
      </c>
      <c r="H147">
        <v>0</v>
      </c>
      <c r="I147">
        <v>150.43570600000001</v>
      </c>
      <c r="J147" t="s">
        <v>1797</v>
      </c>
      <c r="K147">
        <v>0</v>
      </c>
      <c r="L147">
        <v>1.294871426750198</v>
      </c>
      <c r="M147">
        <v>20.11</v>
      </c>
      <c r="N147">
        <v>2.13</v>
      </c>
    </row>
    <row r="148" spans="1:14" x14ac:dyDescent="0.25">
      <c r="A148" s="1" t="s">
        <v>160</v>
      </c>
      <c r="B148" t="str">
        <f>HYPERLINK("https://www.suredividend.com/sure-analysis-ARR/","ARMOUR Residential REIT Inc")</f>
        <v>ARMOUR Residential REIT Inc</v>
      </c>
      <c r="C148" t="s">
        <v>1799</v>
      </c>
      <c r="D148">
        <v>16.12</v>
      </c>
      <c r="E148">
        <v>0.29776674937965258</v>
      </c>
      <c r="F148">
        <v>4</v>
      </c>
      <c r="G148">
        <v>0.3195079107728942</v>
      </c>
      <c r="H148">
        <v>4.726452103772453</v>
      </c>
      <c r="I148">
        <v>789.80559000000005</v>
      </c>
      <c r="J148" t="s">
        <v>1797</v>
      </c>
      <c r="K148" t="s">
        <v>1797</v>
      </c>
      <c r="L148">
        <v>1.081163149167685</v>
      </c>
      <c r="M148">
        <v>28.79</v>
      </c>
      <c r="N148">
        <v>13.32</v>
      </c>
    </row>
    <row r="149" spans="1:14" x14ac:dyDescent="0.25">
      <c r="A149" s="1" t="s">
        <v>161</v>
      </c>
      <c r="B149" t="str">
        <f>HYPERLINK("https://www.suredividend.com/sure-analysis-research-database/","Array Technologies Inc")</f>
        <v>Array Technologies Inc</v>
      </c>
      <c r="C149" t="s">
        <v>1797</v>
      </c>
      <c r="D149">
        <v>18.13</v>
      </c>
      <c r="E149">
        <v>0</v>
      </c>
      <c r="F149" t="s">
        <v>1797</v>
      </c>
      <c r="G149" t="s">
        <v>1797</v>
      </c>
      <c r="H149">
        <v>0</v>
      </c>
      <c r="I149">
        <v>2738.8918480000002</v>
      </c>
      <c r="J149">
        <v>37.458517027270993</v>
      </c>
      <c r="K149">
        <v>0</v>
      </c>
      <c r="L149">
        <v>1.5495324919199609</v>
      </c>
      <c r="M149">
        <v>26.64</v>
      </c>
      <c r="N149">
        <v>15.67</v>
      </c>
    </row>
    <row r="150" spans="1:14" x14ac:dyDescent="0.25">
      <c r="A150" s="1" t="s">
        <v>162</v>
      </c>
      <c r="B150" t="str">
        <f>HYPERLINK("https://www.suredividend.com/sure-analysis-ARTNA/","Artesian Resources Corp.")</f>
        <v>Artesian Resources Corp.</v>
      </c>
      <c r="C150" t="s">
        <v>1805</v>
      </c>
      <c r="D150">
        <v>42.13</v>
      </c>
      <c r="E150">
        <v>2.7059102777118441E-2</v>
      </c>
      <c r="F150">
        <v>2.0114942528735691E-2</v>
      </c>
      <c r="G150">
        <v>3.2269237483088409E-2</v>
      </c>
      <c r="H150">
        <v>1.114188688692443</v>
      </c>
      <c r="I150">
        <v>395.75388500000003</v>
      </c>
      <c r="J150">
        <v>23.81620537281098</v>
      </c>
      <c r="K150">
        <v>0.64403970444649883</v>
      </c>
      <c r="L150">
        <v>0.49603996093854802</v>
      </c>
      <c r="M150">
        <v>62.01</v>
      </c>
      <c r="N150">
        <v>38.76</v>
      </c>
    </row>
    <row r="151" spans="1:14" x14ac:dyDescent="0.25">
      <c r="A151" s="1" t="s">
        <v>163</v>
      </c>
      <c r="B151" t="str">
        <f>HYPERLINK("https://www.suredividend.com/sure-analysis-research-database/","Arvinas Inc")</f>
        <v>Arvinas Inc</v>
      </c>
      <c r="C151" t="s">
        <v>1802</v>
      </c>
      <c r="D151">
        <v>17.52</v>
      </c>
      <c r="E151">
        <v>0</v>
      </c>
      <c r="F151" t="s">
        <v>1797</v>
      </c>
      <c r="G151" t="s">
        <v>1797</v>
      </c>
      <c r="H151">
        <v>0</v>
      </c>
      <c r="I151">
        <v>937.05760299999997</v>
      </c>
      <c r="J151" t="s">
        <v>1797</v>
      </c>
      <c r="K151">
        <v>0</v>
      </c>
      <c r="L151">
        <v>1.7830803856988771</v>
      </c>
      <c r="M151">
        <v>57.96</v>
      </c>
      <c r="N151">
        <v>13.57</v>
      </c>
    </row>
    <row r="152" spans="1:14" x14ac:dyDescent="0.25">
      <c r="A152" s="1" t="s">
        <v>164</v>
      </c>
      <c r="B152" t="str">
        <f>HYPERLINK("https://www.suredividend.com/sure-analysis-research-database/","Arrowhead Pharmaceuticals Inc.")</f>
        <v>Arrowhead Pharmaceuticals Inc.</v>
      </c>
      <c r="C152" t="s">
        <v>1802</v>
      </c>
      <c r="D152">
        <v>28.15</v>
      </c>
      <c r="E152">
        <v>0</v>
      </c>
      <c r="F152" t="s">
        <v>1797</v>
      </c>
      <c r="G152" t="s">
        <v>1797</v>
      </c>
      <c r="H152">
        <v>0</v>
      </c>
      <c r="I152">
        <v>3017.4801630000002</v>
      </c>
      <c r="J152" t="s">
        <v>1797</v>
      </c>
      <c r="K152">
        <v>0</v>
      </c>
      <c r="L152">
        <v>1.410762374073627</v>
      </c>
      <c r="M152">
        <v>42.48</v>
      </c>
      <c r="N152">
        <v>22.87</v>
      </c>
    </row>
    <row r="153" spans="1:14" x14ac:dyDescent="0.25">
      <c r="A153" s="1" t="s">
        <v>165</v>
      </c>
      <c r="B153" t="str">
        <f>HYPERLINK("https://www.suredividend.com/sure-analysis-research-database/","Asana Inc")</f>
        <v>Asana Inc</v>
      </c>
      <c r="C153" t="s">
        <v>1797</v>
      </c>
      <c r="D153">
        <v>20.3</v>
      </c>
      <c r="E153">
        <v>0</v>
      </c>
      <c r="F153" t="s">
        <v>1797</v>
      </c>
      <c r="G153" t="s">
        <v>1797</v>
      </c>
      <c r="H153">
        <v>0</v>
      </c>
      <c r="I153">
        <v>4319.3137020000004</v>
      </c>
      <c r="J153" t="s">
        <v>1797</v>
      </c>
      <c r="K153">
        <v>0</v>
      </c>
      <c r="L153">
        <v>2.4460686009025299</v>
      </c>
      <c r="M153">
        <v>26.27</v>
      </c>
      <c r="N153">
        <v>11.32</v>
      </c>
    </row>
    <row r="154" spans="1:14" x14ac:dyDescent="0.25">
      <c r="A154" s="1" t="s">
        <v>166</v>
      </c>
      <c r="B154" t="str">
        <f>HYPERLINK("https://www.suredividend.com/sure-analysis-ASB/","Associated Banc-Corp.")</f>
        <v>Associated Banc-Corp.</v>
      </c>
      <c r="C154" t="s">
        <v>1800</v>
      </c>
      <c r="D154">
        <v>17.64</v>
      </c>
      <c r="E154">
        <v>4.9886621315192739E-2</v>
      </c>
      <c r="F154">
        <v>4.9999999999999822E-2</v>
      </c>
      <c r="G154">
        <v>4.3167563810134979E-2</v>
      </c>
      <c r="H154">
        <v>0.82479105428921407</v>
      </c>
      <c r="I154">
        <v>2662.5765200000001</v>
      </c>
      <c r="J154">
        <v>7.2193326672667926</v>
      </c>
      <c r="K154">
        <v>0.33802912061033358</v>
      </c>
      <c r="L154">
        <v>1.163947651569236</v>
      </c>
      <c r="M154">
        <v>24.41</v>
      </c>
      <c r="N154">
        <v>14.1</v>
      </c>
    </row>
    <row r="155" spans="1:14" x14ac:dyDescent="0.25">
      <c r="A155" s="1" t="s">
        <v>167</v>
      </c>
      <c r="B155" t="str">
        <f>HYPERLINK("https://www.suredividend.com/sure-analysis-research-database/","Ardmore Shipping Corp")</f>
        <v>Ardmore Shipping Corp</v>
      </c>
      <c r="C155" t="s">
        <v>1807</v>
      </c>
      <c r="D155">
        <v>13.66</v>
      </c>
      <c r="E155">
        <v>7.0735962057565008E-2</v>
      </c>
      <c r="F155" t="s">
        <v>1797</v>
      </c>
      <c r="G155" t="s">
        <v>1797</v>
      </c>
      <c r="H155">
        <v>0.96625324170634108</v>
      </c>
      <c r="I155">
        <v>582.59900000000005</v>
      </c>
      <c r="J155">
        <v>0</v>
      </c>
      <c r="K155" t="s">
        <v>1797</v>
      </c>
      <c r="L155">
        <v>0.81806029495723998</v>
      </c>
      <c r="M155">
        <v>18.600000000000001</v>
      </c>
      <c r="N155">
        <v>11.42</v>
      </c>
    </row>
    <row r="156" spans="1:14" x14ac:dyDescent="0.25">
      <c r="A156" s="1" t="s">
        <v>168</v>
      </c>
      <c r="B156" t="str">
        <f>HYPERLINK("https://www.suredividend.com/sure-analysis-research-database/","ASGN Inc")</f>
        <v>ASGN Inc</v>
      </c>
      <c r="C156" t="s">
        <v>1798</v>
      </c>
      <c r="D156">
        <v>85.5</v>
      </c>
      <c r="E156">
        <v>0</v>
      </c>
      <c r="F156" t="s">
        <v>1797</v>
      </c>
      <c r="G156" t="s">
        <v>1797</v>
      </c>
      <c r="H156">
        <v>0</v>
      </c>
      <c r="I156">
        <v>4138.2</v>
      </c>
      <c r="J156">
        <v>18.424755120213721</v>
      </c>
      <c r="K156">
        <v>0</v>
      </c>
      <c r="L156">
        <v>1.4085316672679249</v>
      </c>
      <c r="M156">
        <v>97.8</v>
      </c>
      <c r="N156">
        <v>63.27</v>
      </c>
    </row>
    <row r="157" spans="1:14" x14ac:dyDescent="0.25">
      <c r="A157" s="1" t="s">
        <v>169</v>
      </c>
      <c r="B157" t="str">
        <f>HYPERLINK("https://www.suredividend.com/sure-analysis-research-database/","AdvanSix Inc")</f>
        <v>AdvanSix Inc</v>
      </c>
      <c r="C157" t="s">
        <v>1808</v>
      </c>
      <c r="D157">
        <v>25.88</v>
      </c>
      <c r="E157">
        <v>2.2851635280130001E-2</v>
      </c>
      <c r="F157" t="s">
        <v>1797</v>
      </c>
      <c r="G157" t="s">
        <v>1797</v>
      </c>
      <c r="H157">
        <v>0.59140032104978302</v>
      </c>
      <c r="I157">
        <v>704.27394100000004</v>
      </c>
      <c r="J157">
        <v>6.3255486989168119</v>
      </c>
      <c r="K157">
        <v>0.15164110796148281</v>
      </c>
      <c r="L157">
        <v>1.111672864459518</v>
      </c>
      <c r="M157">
        <v>44.03</v>
      </c>
      <c r="N157">
        <v>24.2</v>
      </c>
    </row>
    <row r="158" spans="1:14" x14ac:dyDescent="0.25">
      <c r="A158" s="1" t="s">
        <v>170</v>
      </c>
      <c r="B158" t="str">
        <f>HYPERLINK("https://www.suredividend.com/sure-analysis-research-database/","AerSale Corp")</f>
        <v>AerSale Corp</v>
      </c>
      <c r="C158" t="s">
        <v>1797</v>
      </c>
      <c r="D158">
        <v>16.239999999999998</v>
      </c>
      <c r="E158">
        <v>0</v>
      </c>
      <c r="F158" t="s">
        <v>1797</v>
      </c>
      <c r="G158" t="s">
        <v>1797</v>
      </c>
      <c r="H158">
        <v>0</v>
      </c>
      <c r="I158">
        <v>833.57971199999997</v>
      </c>
      <c r="J158" t="s">
        <v>1797</v>
      </c>
      <c r="K158">
        <v>0</v>
      </c>
      <c r="L158">
        <v>1.1206880299235791</v>
      </c>
      <c r="M158">
        <v>20.81</v>
      </c>
      <c r="N158">
        <v>10.39</v>
      </c>
    </row>
    <row r="159" spans="1:14" x14ac:dyDescent="0.25">
      <c r="A159" s="1" t="s">
        <v>171</v>
      </c>
      <c r="B159" t="str">
        <f>HYPERLINK("https://www.suredividend.com/sure-analysis-research-database/","Academy Sports and Outdoors Inc")</f>
        <v>Academy Sports and Outdoors Inc</v>
      </c>
      <c r="C159" t="s">
        <v>1797</v>
      </c>
      <c r="D159">
        <v>48.844999999999999</v>
      </c>
      <c r="E159">
        <v>7.0361841461480008E-3</v>
      </c>
      <c r="F159" t="s">
        <v>1797</v>
      </c>
      <c r="G159" t="s">
        <v>1797</v>
      </c>
      <c r="H159">
        <v>0.34368241461862198</v>
      </c>
      <c r="I159">
        <v>3640.6520129999999</v>
      </c>
      <c r="J159">
        <v>6.7364716701237333</v>
      </c>
      <c r="K159">
        <v>5.0765496989456732E-2</v>
      </c>
      <c r="L159">
        <v>0.94950551310278808</v>
      </c>
      <c r="M159">
        <v>68.650000000000006</v>
      </c>
      <c r="N159">
        <v>40.450000000000003</v>
      </c>
    </row>
    <row r="160" spans="1:14" x14ac:dyDescent="0.25">
      <c r="A160" s="1" t="s">
        <v>172</v>
      </c>
      <c r="B160" t="str">
        <f>HYPERLINK("https://www.suredividend.com/sure-analysis-research-database/","Aspen Aerogels Inc.")</f>
        <v>Aspen Aerogels Inc.</v>
      </c>
      <c r="C160" t="s">
        <v>1798</v>
      </c>
      <c r="D160">
        <v>9.0399999999999991</v>
      </c>
      <c r="E160">
        <v>0</v>
      </c>
      <c r="F160" t="s">
        <v>1797</v>
      </c>
      <c r="G160" t="s">
        <v>1797</v>
      </c>
      <c r="H160">
        <v>0</v>
      </c>
      <c r="I160">
        <v>634.67524900000001</v>
      </c>
      <c r="J160" t="s">
        <v>1797</v>
      </c>
      <c r="K160">
        <v>0</v>
      </c>
      <c r="L160">
        <v>2.6192351957147562</v>
      </c>
      <c r="M160">
        <v>14.44</v>
      </c>
      <c r="N160">
        <v>5.33</v>
      </c>
    </row>
    <row r="161" spans="1:14" x14ac:dyDescent="0.25">
      <c r="A161" s="1" t="s">
        <v>173</v>
      </c>
      <c r="B161" t="str">
        <f>HYPERLINK("https://www.suredividend.com/sure-analysis-research-database/","Astec Industries Inc.")</f>
        <v>Astec Industries Inc.</v>
      </c>
      <c r="C161" t="s">
        <v>1798</v>
      </c>
      <c r="D161">
        <v>31.15</v>
      </c>
      <c r="E161">
        <v>1.6581186581412999E-2</v>
      </c>
      <c r="F161">
        <v>0</v>
      </c>
      <c r="G161">
        <v>3.3975226531950183E-2</v>
      </c>
      <c r="H161">
        <v>0.516503962011027</v>
      </c>
      <c r="I161">
        <v>708.24415599999998</v>
      </c>
      <c r="J161">
        <v>40.241145198863627</v>
      </c>
      <c r="K161">
        <v>0.66585530747844135</v>
      </c>
      <c r="L161">
        <v>1.038783752761316</v>
      </c>
      <c r="M161">
        <v>56.33</v>
      </c>
      <c r="N161">
        <v>28.97</v>
      </c>
    </row>
    <row r="162" spans="1:14" x14ac:dyDescent="0.25">
      <c r="A162" s="1" t="s">
        <v>174</v>
      </c>
      <c r="B162" t="str">
        <f>HYPERLINK("https://www.suredividend.com/sure-analysis-research-database/","Astra Space Inc")</f>
        <v>Astra Space Inc</v>
      </c>
      <c r="C162" t="s">
        <v>1797</v>
      </c>
      <c r="D162">
        <v>0.91800000000000004</v>
      </c>
      <c r="E162">
        <v>0</v>
      </c>
      <c r="F162" t="s">
        <v>1797</v>
      </c>
      <c r="G162" t="s">
        <v>1797</v>
      </c>
      <c r="H162">
        <v>0</v>
      </c>
      <c r="I162">
        <v>13.631625</v>
      </c>
      <c r="J162" t="s">
        <v>1797</v>
      </c>
      <c r="K162">
        <v>0</v>
      </c>
      <c r="L162">
        <v>2.1820181901272391</v>
      </c>
      <c r="M162">
        <v>11.1</v>
      </c>
      <c r="N162">
        <v>0.62119999999999997</v>
      </c>
    </row>
    <row r="163" spans="1:14" x14ac:dyDescent="0.25">
      <c r="A163" s="1" t="s">
        <v>175</v>
      </c>
      <c r="B163" t="str">
        <f>HYPERLINK("https://www.suredividend.com/sure-analysis-research-database/","Alphatec Holdings Inc")</f>
        <v>Alphatec Holdings Inc</v>
      </c>
      <c r="C163" t="s">
        <v>1802</v>
      </c>
      <c r="D163">
        <v>10.36</v>
      </c>
      <c r="E163">
        <v>0</v>
      </c>
      <c r="F163" t="s">
        <v>1797</v>
      </c>
      <c r="G163" t="s">
        <v>1797</v>
      </c>
      <c r="H163">
        <v>0</v>
      </c>
      <c r="I163">
        <v>1246.5072230000001</v>
      </c>
      <c r="J163" t="s">
        <v>1797</v>
      </c>
      <c r="K163">
        <v>0</v>
      </c>
      <c r="L163">
        <v>1.326140989768682</v>
      </c>
      <c r="M163">
        <v>19.14</v>
      </c>
      <c r="N163">
        <v>8.66</v>
      </c>
    </row>
    <row r="164" spans="1:14" x14ac:dyDescent="0.25">
      <c r="A164" s="1" t="s">
        <v>176</v>
      </c>
      <c r="B164" t="str">
        <f>HYPERLINK("https://www.suredividend.com/sure-analysis-research-database/","A10 Networks Inc")</f>
        <v>A10 Networks Inc</v>
      </c>
      <c r="C164" t="s">
        <v>1803</v>
      </c>
      <c r="D164">
        <v>10.93</v>
      </c>
      <c r="E164">
        <v>2.1824006285236001E-2</v>
      </c>
      <c r="F164" t="s">
        <v>1797</v>
      </c>
      <c r="G164" t="s">
        <v>1797</v>
      </c>
      <c r="H164">
        <v>0.23853638869763599</v>
      </c>
      <c r="I164">
        <v>809.91300000000001</v>
      </c>
      <c r="J164">
        <v>17.711920747042232</v>
      </c>
      <c r="K164">
        <v>0.39696520002934937</v>
      </c>
      <c r="L164">
        <v>0.76961589840740308</v>
      </c>
      <c r="M164">
        <v>19.48</v>
      </c>
      <c r="N164">
        <v>10.039999999999999</v>
      </c>
    </row>
    <row r="165" spans="1:14" x14ac:dyDescent="0.25">
      <c r="A165" s="1" t="s">
        <v>177</v>
      </c>
      <c r="B165" t="str">
        <f>HYPERLINK("https://www.suredividend.com/sure-analysis-research-database/","Aterian Inc")</f>
        <v>Aterian Inc</v>
      </c>
      <c r="C165" t="s">
        <v>1797</v>
      </c>
      <c r="D165">
        <v>0.32090000000000002</v>
      </c>
      <c r="E165">
        <v>0</v>
      </c>
      <c r="F165" t="s">
        <v>1797</v>
      </c>
      <c r="G165" t="s">
        <v>1797</v>
      </c>
      <c r="H165">
        <v>0</v>
      </c>
      <c r="I165">
        <v>27.379988000000001</v>
      </c>
      <c r="J165" t="s">
        <v>1797</v>
      </c>
      <c r="K165">
        <v>0</v>
      </c>
      <c r="L165">
        <v>2.1024803544495492</v>
      </c>
      <c r="M165">
        <v>1.68</v>
      </c>
      <c r="N165">
        <v>0.26019999999999999</v>
      </c>
    </row>
    <row r="166" spans="1:14" x14ac:dyDescent="0.25">
      <c r="A166" s="1" t="s">
        <v>178</v>
      </c>
      <c r="B166" t="str">
        <f>HYPERLINK("https://www.suredividend.com/sure-analysis-research-database/","Anterix Inc")</f>
        <v>Anterix Inc</v>
      </c>
      <c r="C166" t="s">
        <v>1806</v>
      </c>
      <c r="D166">
        <v>31.45</v>
      </c>
      <c r="E166">
        <v>0</v>
      </c>
      <c r="F166" t="s">
        <v>1797</v>
      </c>
      <c r="G166" t="s">
        <v>1797</v>
      </c>
      <c r="H166">
        <v>0</v>
      </c>
      <c r="I166">
        <v>599.03315099999998</v>
      </c>
      <c r="J166" t="s">
        <v>1797</v>
      </c>
      <c r="K166">
        <v>0</v>
      </c>
      <c r="L166">
        <v>0.95236879323983703</v>
      </c>
      <c r="M166">
        <v>40.11</v>
      </c>
      <c r="N166">
        <v>27.2</v>
      </c>
    </row>
    <row r="167" spans="1:14" x14ac:dyDescent="0.25">
      <c r="A167" s="1" t="s">
        <v>179</v>
      </c>
      <c r="B167" t="str">
        <f>HYPERLINK("https://www.suredividend.com/sure-analysis-research-database/","Adtalem Global Education Inc")</f>
        <v>Adtalem Global Education Inc</v>
      </c>
      <c r="C167" t="s">
        <v>1804</v>
      </c>
      <c r="D167">
        <v>55.2</v>
      </c>
      <c r="E167">
        <v>0</v>
      </c>
      <c r="F167" t="s">
        <v>1797</v>
      </c>
      <c r="G167" t="s">
        <v>1797</v>
      </c>
      <c r="H167">
        <v>0</v>
      </c>
      <c r="I167">
        <v>2198.5306609999998</v>
      </c>
      <c r="J167">
        <v>21.59402291281971</v>
      </c>
      <c r="K167">
        <v>0</v>
      </c>
      <c r="L167">
        <v>0.45230252121502601</v>
      </c>
      <c r="M167">
        <v>55.92</v>
      </c>
      <c r="N167">
        <v>33.590000000000003</v>
      </c>
    </row>
    <row r="168" spans="1:14" x14ac:dyDescent="0.25">
      <c r="A168" s="1" t="s">
        <v>180</v>
      </c>
      <c r="B168" t="str">
        <f>HYPERLINK("https://www.suredividend.com/sure-analysis-research-database/","Athira Pharma Inc")</f>
        <v>Athira Pharma Inc</v>
      </c>
      <c r="C168" t="s">
        <v>1797</v>
      </c>
      <c r="D168">
        <v>1.62</v>
      </c>
      <c r="E168">
        <v>0</v>
      </c>
      <c r="F168" t="s">
        <v>1797</v>
      </c>
      <c r="G168" t="s">
        <v>1797</v>
      </c>
      <c r="H168">
        <v>0</v>
      </c>
      <c r="I168">
        <v>61.648423999999999</v>
      </c>
      <c r="J168">
        <v>0</v>
      </c>
      <c r="K168" t="s">
        <v>1797</v>
      </c>
      <c r="L168">
        <v>1.520127712426538</v>
      </c>
      <c r="M168">
        <v>4.41</v>
      </c>
      <c r="N168">
        <v>1.38</v>
      </c>
    </row>
    <row r="169" spans="1:14" x14ac:dyDescent="0.25">
      <c r="A169" s="1" t="s">
        <v>181</v>
      </c>
      <c r="B169" t="str">
        <f>HYPERLINK("https://www.suredividend.com/sure-analysis-research-database/","ATI Inc")</f>
        <v>ATI Inc</v>
      </c>
      <c r="C169" t="s">
        <v>1798</v>
      </c>
      <c r="D169">
        <v>41.7</v>
      </c>
      <c r="E169">
        <v>0</v>
      </c>
      <c r="F169" t="s">
        <v>1797</v>
      </c>
      <c r="G169" t="s">
        <v>1797</v>
      </c>
      <c r="H169">
        <v>0</v>
      </c>
      <c r="I169">
        <v>5361.9831160000003</v>
      </c>
      <c r="J169">
        <v>17.951065001339138</v>
      </c>
      <c r="K169">
        <v>0</v>
      </c>
      <c r="L169">
        <v>1.2281926416347959</v>
      </c>
      <c r="M169">
        <v>47.92</v>
      </c>
      <c r="N169">
        <v>27.76</v>
      </c>
    </row>
    <row r="170" spans="1:14" x14ac:dyDescent="0.25">
      <c r="A170" s="1" t="s">
        <v>182</v>
      </c>
      <c r="B170" t="str">
        <f>HYPERLINK("https://www.suredividend.com/sure-analysis-research-database/","ATI Physical Therapy Inc")</f>
        <v>ATI Physical Therapy Inc</v>
      </c>
      <c r="C170" t="s">
        <v>1797</v>
      </c>
      <c r="D170">
        <v>7.7298999999999998</v>
      </c>
      <c r="E170">
        <v>0</v>
      </c>
      <c r="F170" t="s">
        <v>1797</v>
      </c>
      <c r="G170" t="s">
        <v>1797</v>
      </c>
      <c r="H170">
        <v>0</v>
      </c>
      <c r="I170">
        <v>32.51097</v>
      </c>
      <c r="J170" t="s">
        <v>1797</v>
      </c>
      <c r="K170">
        <v>0</v>
      </c>
      <c r="L170">
        <v>0.666214024541537</v>
      </c>
      <c r="M170">
        <v>56</v>
      </c>
      <c r="N170">
        <v>6</v>
      </c>
    </row>
    <row r="171" spans="1:14" x14ac:dyDescent="0.25">
      <c r="A171" s="1" t="s">
        <v>183</v>
      </c>
      <c r="B171" t="str">
        <f>HYPERLINK("https://www.suredividend.com/sure-analysis-research-database/","Atkore Inc")</f>
        <v>Atkore Inc</v>
      </c>
      <c r="C171" t="s">
        <v>1798</v>
      </c>
      <c r="D171">
        <v>132.03</v>
      </c>
      <c r="E171">
        <v>0</v>
      </c>
      <c r="F171" t="s">
        <v>1797</v>
      </c>
      <c r="G171" t="s">
        <v>1797</v>
      </c>
      <c r="H171">
        <v>0</v>
      </c>
      <c r="I171">
        <v>4989.9200350000001</v>
      </c>
      <c r="J171">
        <v>6.585579639344652</v>
      </c>
      <c r="K171">
        <v>0</v>
      </c>
      <c r="L171">
        <v>1.43110999772492</v>
      </c>
      <c r="M171">
        <v>164.76</v>
      </c>
      <c r="N171">
        <v>90.95</v>
      </c>
    </row>
    <row r="172" spans="1:14" x14ac:dyDescent="0.25">
      <c r="A172" s="1" t="s">
        <v>184</v>
      </c>
      <c r="B172" t="str">
        <f>HYPERLINK("https://www.suredividend.com/sure-analysis-research-database/","Atlanticus Holdings Corp")</f>
        <v>Atlanticus Holdings Corp</v>
      </c>
      <c r="C172" t="s">
        <v>1800</v>
      </c>
      <c r="D172">
        <v>30</v>
      </c>
      <c r="E172">
        <v>0</v>
      </c>
      <c r="F172" t="s">
        <v>1797</v>
      </c>
      <c r="G172" t="s">
        <v>1797</v>
      </c>
      <c r="H172">
        <v>0</v>
      </c>
      <c r="I172">
        <v>432.93216000000001</v>
      </c>
      <c r="J172">
        <v>5.2328203640583073</v>
      </c>
      <c r="K172">
        <v>0</v>
      </c>
      <c r="L172">
        <v>1.8782838102400541</v>
      </c>
      <c r="M172">
        <v>43.7</v>
      </c>
      <c r="N172">
        <v>21.65</v>
      </c>
    </row>
    <row r="173" spans="1:14" x14ac:dyDescent="0.25">
      <c r="A173" s="1" t="s">
        <v>185</v>
      </c>
      <c r="B173" t="str">
        <f>HYPERLINK("https://www.suredividend.com/sure-analysis-research-database/","ATN International Inc")</f>
        <v>ATN International Inc</v>
      </c>
      <c r="C173" t="s">
        <v>1806</v>
      </c>
      <c r="D173">
        <v>33.880000000000003</v>
      </c>
      <c r="E173">
        <v>2.437661879693E-2</v>
      </c>
      <c r="F173">
        <v>0.23529411764705871</v>
      </c>
      <c r="G173">
        <v>4.3167563810134979E-2</v>
      </c>
      <c r="H173">
        <v>0.82587984484000609</v>
      </c>
      <c r="I173">
        <v>528.58901800000001</v>
      </c>
      <c r="J173" t="s">
        <v>1797</v>
      </c>
      <c r="K173" t="s">
        <v>1797</v>
      </c>
      <c r="L173">
        <v>0.60538246100375004</v>
      </c>
      <c r="M173">
        <v>48.78</v>
      </c>
      <c r="N173">
        <v>27.53</v>
      </c>
    </row>
    <row r="174" spans="1:14" x14ac:dyDescent="0.25">
      <c r="A174" s="1" t="s">
        <v>186</v>
      </c>
      <c r="B174" t="str">
        <f>HYPERLINK("https://www.suredividend.com/sure-analysis-research-database/","Atomera Inc")</f>
        <v>Atomera Inc</v>
      </c>
      <c r="C174" t="s">
        <v>1803</v>
      </c>
      <c r="D174">
        <v>5.84</v>
      </c>
      <c r="E174">
        <v>0</v>
      </c>
      <c r="F174" t="s">
        <v>1797</v>
      </c>
      <c r="G174" t="s">
        <v>1797</v>
      </c>
      <c r="H174">
        <v>0</v>
      </c>
      <c r="I174">
        <v>150.66626500000001</v>
      </c>
      <c r="J174" t="s">
        <v>1797</v>
      </c>
      <c r="K174">
        <v>0</v>
      </c>
      <c r="L174">
        <v>2.3516588996806518</v>
      </c>
      <c r="M174">
        <v>10.72</v>
      </c>
      <c r="N174">
        <v>5.03</v>
      </c>
    </row>
    <row r="175" spans="1:14" x14ac:dyDescent="0.25">
      <c r="A175" s="1" t="s">
        <v>187</v>
      </c>
      <c r="B175" t="str">
        <f>HYPERLINK("https://www.suredividend.com/sure-analysis-research-database/","Atara Biotherapeutics Inc")</f>
        <v>Atara Biotherapeutics Inc</v>
      </c>
      <c r="C175" t="s">
        <v>1802</v>
      </c>
      <c r="D175">
        <v>1.29</v>
      </c>
      <c r="E175">
        <v>0</v>
      </c>
      <c r="F175" t="s">
        <v>1797</v>
      </c>
      <c r="G175" t="s">
        <v>1797</v>
      </c>
      <c r="H175">
        <v>0</v>
      </c>
      <c r="I175">
        <v>131.479703</v>
      </c>
      <c r="J175" t="s">
        <v>1797</v>
      </c>
      <c r="K175">
        <v>0</v>
      </c>
      <c r="L175">
        <v>2.4708475727246282</v>
      </c>
      <c r="M175">
        <v>5.64</v>
      </c>
      <c r="N175">
        <v>1.17</v>
      </c>
    </row>
    <row r="176" spans="1:14" x14ac:dyDescent="0.25">
      <c r="A176" s="1" t="s">
        <v>188</v>
      </c>
      <c r="B176" t="str">
        <f>HYPERLINK("https://www.suredividend.com/sure-analysis-research-database/","Atricure Inc")</f>
        <v>Atricure Inc</v>
      </c>
      <c r="C176" t="s">
        <v>1802</v>
      </c>
      <c r="D176">
        <v>36.979999999999997</v>
      </c>
      <c r="E176">
        <v>0</v>
      </c>
      <c r="F176" t="s">
        <v>1797</v>
      </c>
      <c r="G176" t="s">
        <v>1797</v>
      </c>
      <c r="H176">
        <v>0</v>
      </c>
      <c r="I176">
        <v>1752.8520000000001</v>
      </c>
      <c r="J176">
        <v>0</v>
      </c>
      <c r="K176" t="s">
        <v>1797</v>
      </c>
      <c r="L176">
        <v>1.1809752708194381</v>
      </c>
      <c r="M176">
        <v>59.61</v>
      </c>
      <c r="N176">
        <v>32.9</v>
      </c>
    </row>
    <row r="177" spans="1:14" x14ac:dyDescent="0.25">
      <c r="A177" s="1" t="s">
        <v>189</v>
      </c>
      <c r="B177" t="str">
        <f>HYPERLINK("https://www.suredividend.com/sure-analysis-ATRI/","Atrion Corp.")</f>
        <v>Atrion Corp.</v>
      </c>
      <c r="C177" t="s">
        <v>1802</v>
      </c>
      <c r="D177">
        <v>336.8</v>
      </c>
      <c r="E177">
        <v>2.6128266033254161E-2</v>
      </c>
      <c r="F177">
        <v>2.325581395348841E-2</v>
      </c>
      <c r="G177">
        <v>0.1025994778190622</v>
      </c>
      <c r="H177">
        <v>8.5573288070648861</v>
      </c>
      <c r="I177">
        <v>592.65012000000002</v>
      </c>
      <c r="J177">
        <v>21.781400271968831</v>
      </c>
      <c r="K177">
        <v>0.55675528998470314</v>
      </c>
      <c r="L177">
        <v>0.73592484578489203</v>
      </c>
      <c r="M177">
        <v>692.25</v>
      </c>
      <c r="N177">
        <v>305.05</v>
      </c>
    </row>
    <row r="178" spans="1:14" x14ac:dyDescent="0.25">
      <c r="A178" s="1" t="s">
        <v>190</v>
      </c>
      <c r="B178" t="str">
        <f>HYPERLINK("https://www.suredividend.com/sure-analysis-research-database/","Astronics Corp.")</f>
        <v>Astronics Corp.</v>
      </c>
      <c r="C178" t="s">
        <v>1798</v>
      </c>
      <c r="D178">
        <v>16.05</v>
      </c>
      <c r="E178">
        <v>0</v>
      </c>
      <c r="F178" t="s">
        <v>1797</v>
      </c>
      <c r="G178" t="s">
        <v>1797</v>
      </c>
      <c r="H178">
        <v>0</v>
      </c>
      <c r="I178">
        <v>425.55376100000001</v>
      </c>
      <c r="J178" t="s">
        <v>1797</v>
      </c>
      <c r="K178">
        <v>0</v>
      </c>
      <c r="L178">
        <v>1.735118618372834</v>
      </c>
      <c r="M178">
        <v>22.44</v>
      </c>
      <c r="N178">
        <v>7.46</v>
      </c>
    </row>
    <row r="179" spans="1:14" x14ac:dyDescent="0.25">
      <c r="A179" s="1" t="s">
        <v>191</v>
      </c>
      <c r="B179" t="str">
        <f>HYPERLINK("https://www.suredividend.com/sure-analysis-research-database/","Air Transport Services Group Inc")</f>
        <v>Air Transport Services Group Inc</v>
      </c>
      <c r="C179" t="s">
        <v>1798</v>
      </c>
      <c r="D179">
        <v>20.62</v>
      </c>
      <c r="E179">
        <v>0</v>
      </c>
      <c r="F179" t="s">
        <v>1797</v>
      </c>
      <c r="G179" t="s">
        <v>1797</v>
      </c>
      <c r="H179">
        <v>0</v>
      </c>
      <c r="I179">
        <v>1459.0968310000001</v>
      </c>
      <c r="J179">
        <v>9.6084239717890636</v>
      </c>
      <c r="K179">
        <v>0</v>
      </c>
      <c r="L179">
        <v>0.84729381831110107</v>
      </c>
      <c r="M179">
        <v>29.47</v>
      </c>
      <c r="N179">
        <v>14.39</v>
      </c>
    </row>
    <row r="180" spans="1:14" x14ac:dyDescent="0.25">
      <c r="A180" s="1" t="s">
        <v>192</v>
      </c>
      <c r="B180" t="str">
        <f>HYPERLINK("https://www.suredividend.com/sure-analysis-research-database/","Atlantic Union Bankshares Corp")</f>
        <v>Atlantic Union Bankshares Corp</v>
      </c>
      <c r="C180" t="s">
        <v>1800</v>
      </c>
      <c r="D180">
        <v>31.99</v>
      </c>
      <c r="E180">
        <v>1.8216239476723999E-2</v>
      </c>
      <c r="F180">
        <v>0</v>
      </c>
      <c r="G180">
        <v>5.4577943305794463E-2</v>
      </c>
      <c r="H180">
        <v>0.58273750086042109</v>
      </c>
      <c r="I180">
        <v>2399.400545</v>
      </c>
      <c r="J180">
        <v>11.78678540696675</v>
      </c>
      <c r="K180">
        <v>0.21424172825750781</v>
      </c>
      <c r="L180">
        <v>1.285876291973741</v>
      </c>
      <c r="M180">
        <v>40.19</v>
      </c>
      <c r="N180">
        <v>22.84</v>
      </c>
    </row>
    <row r="181" spans="1:14" x14ac:dyDescent="0.25">
      <c r="A181" s="1" t="s">
        <v>193</v>
      </c>
      <c r="B181" t="str">
        <f>HYPERLINK("https://www.suredividend.com/sure-analysis-research-database/","Aurinia Pharmaceuticals Inc")</f>
        <v>Aurinia Pharmaceuticals Inc</v>
      </c>
      <c r="C181" t="s">
        <v>1802</v>
      </c>
      <c r="D181">
        <v>8.23</v>
      </c>
      <c r="E181">
        <v>0</v>
      </c>
      <c r="F181" t="s">
        <v>1797</v>
      </c>
      <c r="G181" t="s">
        <v>1797</v>
      </c>
      <c r="H181">
        <v>0</v>
      </c>
      <c r="I181">
        <v>1180.3668789999999</v>
      </c>
      <c r="J181">
        <v>0</v>
      </c>
      <c r="K181" t="s">
        <v>1797</v>
      </c>
      <c r="L181">
        <v>1.4657855236990831</v>
      </c>
      <c r="M181">
        <v>12.43</v>
      </c>
      <c r="N181">
        <v>4.07</v>
      </c>
    </row>
    <row r="182" spans="1:14" x14ac:dyDescent="0.25">
      <c r="A182" s="1" t="s">
        <v>194</v>
      </c>
      <c r="B182" t="str">
        <f>HYPERLINK("https://www.suredividend.com/sure-analysis-research-database/","Aura Biosciences Inc")</f>
        <v>Aura Biosciences Inc</v>
      </c>
      <c r="C182" t="s">
        <v>1797</v>
      </c>
      <c r="D182">
        <v>11.98</v>
      </c>
      <c r="E182">
        <v>0</v>
      </c>
      <c r="F182" t="s">
        <v>1797</v>
      </c>
      <c r="G182" t="s">
        <v>1797</v>
      </c>
      <c r="H182">
        <v>0</v>
      </c>
      <c r="I182">
        <v>457.60123399999998</v>
      </c>
      <c r="J182">
        <v>0</v>
      </c>
      <c r="K182" t="s">
        <v>1797</v>
      </c>
      <c r="L182">
        <v>1.4158768659001</v>
      </c>
      <c r="M182">
        <v>14.38</v>
      </c>
      <c r="N182">
        <v>6.6</v>
      </c>
    </row>
    <row r="183" spans="1:14" x14ac:dyDescent="0.25">
      <c r="A183" s="1" t="s">
        <v>195</v>
      </c>
      <c r="B183" t="str">
        <f>HYPERLINK("https://www.suredividend.com/sure-analysis-AVA/","Avista Corp.")</f>
        <v>Avista Corp.</v>
      </c>
      <c r="C183" t="s">
        <v>1805</v>
      </c>
      <c r="D183">
        <v>35.04</v>
      </c>
      <c r="E183">
        <v>5.2511415525114159E-2</v>
      </c>
      <c r="F183">
        <v>4.5454545454545407E-2</v>
      </c>
      <c r="G183">
        <v>4.3100877907665147E-2</v>
      </c>
      <c r="H183">
        <v>1.786961746803267</v>
      </c>
      <c r="I183">
        <v>2710.9611239999999</v>
      </c>
      <c r="J183">
        <v>16.429967845528211</v>
      </c>
      <c r="K183">
        <v>0.81970722330425083</v>
      </c>
      <c r="L183">
        <v>0.6141646494589571</v>
      </c>
      <c r="M183">
        <v>44.03</v>
      </c>
      <c r="N183">
        <v>30.53</v>
      </c>
    </row>
    <row r="184" spans="1:14" x14ac:dyDescent="0.25">
      <c r="A184" s="1" t="s">
        <v>196</v>
      </c>
      <c r="B184" t="str">
        <f>HYPERLINK("https://www.suredividend.com/sure-analysis-research-database/","Aveanna Healthcare Holdings Inc")</f>
        <v>Aveanna Healthcare Holdings Inc</v>
      </c>
      <c r="C184" t="s">
        <v>1797</v>
      </c>
      <c r="D184">
        <v>1.47</v>
      </c>
      <c r="E184">
        <v>0</v>
      </c>
      <c r="F184" t="s">
        <v>1797</v>
      </c>
      <c r="G184" t="s">
        <v>1797</v>
      </c>
      <c r="H184">
        <v>0</v>
      </c>
      <c r="I184">
        <v>279.92489399999999</v>
      </c>
      <c r="J184" t="s">
        <v>1797</v>
      </c>
      <c r="K184">
        <v>0</v>
      </c>
      <c r="L184">
        <v>1.0351711236407091</v>
      </c>
      <c r="M184">
        <v>2.0499999999999998</v>
      </c>
      <c r="N184">
        <v>0.66639999999999999</v>
      </c>
    </row>
    <row r="185" spans="1:14" x14ac:dyDescent="0.25">
      <c r="A185" s="1" t="s">
        <v>197</v>
      </c>
      <c r="B185" t="str">
        <f>HYPERLINK("https://www.suredividend.com/sure-analysis-research-database/","AeroVironment Inc.")</f>
        <v>AeroVironment Inc.</v>
      </c>
      <c r="C185" t="s">
        <v>1798</v>
      </c>
      <c r="D185">
        <v>119.82</v>
      </c>
      <c r="E185">
        <v>0</v>
      </c>
      <c r="F185" t="s">
        <v>1797</v>
      </c>
      <c r="G185" t="s">
        <v>1797</v>
      </c>
      <c r="H185">
        <v>0</v>
      </c>
      <c r="I185">
        <v>3150.1205209999998</v>
      </c>
      <c r="J185" t="s">
        <v>1797</v>
      </c>
      <c r="K185">
        <v>0</v>
      </c>
      <c r="L185">
        <v>1.0896572719994519</v>
      </c>
      <c r="M185">
        <v>124.33</v>
      </c>
      <c r="N185">
        <v>80.58</v>
      </c>
    </row>
    <row r="186" spans="1:14" x14ac:dyDescent="0.25">
      <c r="A186" s="1" t="s">
        <v>198</v>
      </c>
      <c r="B186" t="str">
        <f>HYPERLINK("https://www.suredividend.com/sure-analysis-research-database/","American Vanguard Corp.")</f>
        <v>American Vanguard Corp.</v>
      </c>
      <c r="C186" t="s">
        <v>1808</v>
      </c>
      <c r="D186">
        <v>9.84</v>
      </c>
      <c r="E186">
        <v>1.2157424837074E-2</v>
      </c>
      <c r="F186" t="s">
        <v>1797</v>
      </c>
      <c r="G186" t="s">
        <v>1797</v>
      </c>
      <c r="H186">
        <v>0.119629060396811</v>
      </c>
      <c r="I186">
        <v>288.28269599999999</v>
      </c>
      <c r="J186">
        <v>25.059344269819189</v>
      </c>
      <c r="K186">
        <v>0.30262853629347591</v>
      </c>
      <c r="L186">
        <v>0.59909032591046207</v>
      </c>
      <c r="M186">
        <v>23.96</v>
      </c>
      <c r="N186">
        <v>8.7799999999999994</v>
      </c>
    </row>
    <row r="187" spans="1:14" x14ac:dyDescent="0.25">
      <c r="A187" s="1" t="s">
        <v>199</v>
      </c>
      <c r="B187" t="str">
        <f>HYPERLINK("https://www.suredividend.com/sure-analysis-research-database/","AvidXchange Holdings Inc")</f>
        <v>AvidXchange Holdings Inc</v>
      </c>
      <c r="C187" t="s">
        <v>1802</v>
      </c>
      <c r="D187">
        <v>7.6</v>
      </c>
      <c r="E187">
        <v>0</v>
      </c>
      <c r="F187" t="s">
        <v>1797</v>
      </c>
      <c r="G187" t="s">
        <v>1797</v>
      </c>
      <c r="H187">
        <v>0</v>
      </c>
      <c r="I187">
        <v>1536.316227</v>
      </c>
      <c r="J187">
        <v>0</v>
      </c>
      <c r="K187" t="s">
        <v>1797</v>
      </c>
      <c r="L187">
        <v>1.3346654453224021</v>
      </c>
      <c r="M187">
        <v>12.75</v>
      </c>
      <c r="N187">
        <v>6.88</v>
      </c>
    </row>
    <row r="188" spans="1:14" x14ac:dyDescent="0.25">
      <c r="A188" s="1" t="s">
        <v>200</v>
      </c>
      <c r="B188" t="str">
        <f>HYPERLINK("https://www.suredividend.com/sure-analysis-research-database/","Avid Technology, Inc.")</f>
        <v>Avid Technology, Inc.</v>
      </c>
      <c r="C188" t="s">
        <v>1806</v>
      </c>
      <c r="D188">
        <v>27.04</v>
      </c>
      <c r="E188">
        <v>0</v>
      </c>
      <c r="F188" t="s">
        <v>1797</v>
      </c>
      <c r="G188" t="s">
        <v>1797</v>
      </c>
      <c r="H188">
        <v>0</v>
      </c>
      <c r="I188">
        <v>1190.779949</v>
      </c>
      <c r="J188">
        <v>36.860546317907442</v>
      </c>
      <c r="K188">
        <v>0</v>
      </c>
      <c r="L188">
        <v>1.0673168195243239</v>
      </c>
      <c r="M188">
        <v>33.409999999999997</v>
      </c>
      <c r="N188">
        <v>19.78</v>
      </c>
    </row>
    <row r="189" spans="1:14" x14ac:dyDescent="0.25">
      <c r="A189" s="1" t="s">
        <v>201</v>
      </c>
      <c r="B189" t="str">
        <f>HYPERLINK("https://www.suredividend.com/sure-analysis-research-database/","Atea Pharmaceuticals Inc")</f>
        <v>Atea Pharmaceuticals Inc</v>
      </c>
      <c r="C189" t="s">
        <v>1797</v>
      </c>
      <c r="D189">
        <v>3.27</v>
      </c>
      <c r="E189">
        <v>0</v>
      </c>
      <c r="F189" t="s">
        <v>1797</v>
      </c>
      <c r="G189" t="s">
        <v>1797</v>
      </c>
      <c r="H189">
        <v>0</v>
      </c>
      <c r="I189">
        <v>272.71596299999999</v>
      </c>
      <c r="J189">
        <v>0</v>
      </c>
      <c r="K189" t="s">
        <v>1797</v>
      </c>
      <c r="L189">
        <v>1.0840755560404429</v>
      </c>
      <c r="M189">
        <v>6.21</v>
      </c>
      <c r="N189">
        <v>2.85</v>
      </c>
    </row>
    <row r="190" spans="1:14" x14ac:dyDescent="0.25">
      <c r="A190" s="1" t="s">
        <v>202</v>
      </c>
      <c r="B190" t="str">
        <f>HYPERLINK("https://www.suredividend.com/sure-analysis-research-database/","Avanos Medical Inc")</f>
        <v>Avanos Medical Inc</v>
      </c>
      <c r="C190" t="s">
        <v>1802</v>
      </c>
      <c r="D190">
        <v>22.09</v>
      </c>
      <c r="E190">
        <v>0</v>
      </c>
      <c r="F190" t="s">
        <v>1797</v>
      </c>
      <c r="G190" t="s">
        <v>1797</v>
      </c>
      <c r="H190">
        <v>0</v>
      </c>
      <c r="I190">
        <v>1025.5408190000001</v>
      </c>
      <c r="J190" t="s">
        <v>1797</v>
      </c>
      <c r="K190">
        <v>0</v>
      </c>
      <c r="L190">
        <v>1.1104912308209189</v>
      </c>
      <c r="M190">
        <v>31.99</v>
      </c>
      <c r="N190">
        <v>17.239999999999998</v>
      </c>
    </row>
    <row r="191" spans="1:14" x14ac:dyDescent="0.25">
      <c r="A191" s="1" t="s">
        <v>203</v>
      </c>
      <c r="B191" t="str">
        <f>HYPERLINK("https://www.suredividend.com/sure-analysis-AVNT/","Avient Corp")</f>
        <v>Avient Corp</v>
      </c>
      <c r="C191" t="s">
        <v>1797</v>
      </c>
      <c r="D191">
        <v>33.97</v>
      </c>
      <c r="E191">
        <v>3.0320871357079782E-2</v>
      </c>
      <c r="F191">
        <v>4.2105263157894868E-2</v>
      </c>
      <c r="G191">
        <v>4.8837286784054523E-2</v>
      </c>
      <c r="H191">
        <v>0.98046393585177405</v>
      </c>
      <c r="I191">
        <v>3094.0098840000001</v>
      </c>
      <c r="J191">
        <v>5.2299017652467876</v>
      </c>
      <c r="K191">
        <v>0.15295849233257011</v>
      </c>
      <c r="L191">
        <v>1.587974354953342</v>
      </c>
      <c r="M191">
        <v>43.89</v>
      </c>
      <c r="N191">
        <v>27.51</v>
      </c>
    </row>
    <row r="192" spans="1:14" x14ac:dyDescent="0.25">
      <c r="A192" s="1" t="s">
        <v>204</v>
      </c>
      <c r="B192" t="str">
        <f>HYPERLINK("https://www.suredividend.com/sure-analysis-research-database/","Aviat Networks Inc")</f>
        <v>Aviat Networks Inc</v>
      </c>
      <c r="C192" t="s">
        <v>1803</v>
      </c>
      <c r="D192">
        <v>30.51</v>
      </c>
      <c r="E192">
        <v>0</v>
      </c>
      <c r="F192" t="s">
        <v>1797</v>
      </c>
      <c r="G192" t="s">
        <v>1797</v>
      </c>
      <c r="H192">
        <v>0</v>
      </c>
      <c r="I192">
        <v>357.57863400000002</v>
      </c>
      <c r="J192">
        <v>19.562264564254061</v>
      </c>
      <c r="K192">
        <v>0</v>
      </c>
      <c r="L192">
        <v>1.1728661008670429</v>
      </c>
      <c r="M192">
        <v>39.799999999999997</v>
      </c>
      <c r="N192">
        <v>21.15</v>
      </c>
    </row>
    <row r="193" spans="1:14" x14ac:dyDescent="0.25">
      <c r="A193" s="1" t="s">
        <v>205</v>
      </c>
      <c r="B193" t="str">
        <f>HYPERLINK("https://www.suredividend.com/sure-analysis-research-database/","Mission Produce Inc")</f>
        <v>Mission Produce Inc</v>
      </c>
      <c r="C193" t="s">
        <v>1797</v>
      </c>
      <c r="D193">
        <v>9.4499999999999993</v>
      </c>
      <c r="E193">
        <v>0</v>
      </c>
      <c r="F193" t="s">
        <v>1797</v>
      </c>
      <c r="G193" t="s">
        <v>1797</v>
      </c>
      <c r="H193">
        <v>0</v>
      </c>
      <c r="I193">
        <v>668.98553400000003</v>
      </c>
      <c r="J193" t="s">
        <v>1797</v>
      </c>
      <c r="K193">
        <v>0</v>
      </c>
      <c r="L193">
        <v>0.52530236228072802</v>
      </c>
      <c r="M193">
        <v>16.8</v>
      </c>
      <c r="N193">
        <v>8.5500000000000007</v>
      </c>
    </row>
    <row r="194" spans="1:14" x14ac:dyDescent="0.25">
      <c r="A194" s="1" t="s">
        <v>206</v>
      </c>
      <c r="B194" t="str">
        <f>HYPERLINK("https://www.suredividend.com/sure-analysis-research-database/","AvePoint Inc")</f>
        <v>AvePoint Inc</v>
      </c>
      <c r="C194" t="s">
        <v>1797</v>
      </c>
      <c r="D194">
        <v>7.6</v>
      </c>
      <c r="E194">
        <v>0</v>
      </c>
      <c r="F194" t="s">
        <v>1797</v>
      </c>
      <c r="G194" t="s">
        <v>1797</v>
      </c>
      <c r="H194">
        <v>0</v>
      </c>
      <c r="I194">
        <v>1409.024625</v>
      </c>
      <c r="J194" t="s">
        <v>1797</v>
      </c>
      <c r="K194">
        <v>0</v>
      </c>
      <c r="L194">
        <v>1.2407303741291471</v>
      </c>
      <c r="M194">
        <v>7.67</v>
      </c>
      <c r="N194">
        <v>3.75</v>
      </c>
    </row>
    <row r="195" spans="1:14" x14ac:dyDescent="0.25">
      <c r="A195" s="1" t="s">
        <v>207</v>
      </c>
      <c r="B195" t="str">
        <f>HYPERLINK("https://www.suredividend.com/sure-analysis-research-database/","Avantax Inc")</f>
        <v>Avantax Inc</v>
      </c>
      <c r="C195" t="s">
        <v>1797</v>
      </c>
      <c r="D195">
        <v>25.83</v>
      </c>
      <c r="E195">
        <v>0</v>
      </c>
      <c r="F195" t="s">
        <v>1797</v>
      </c>
      <c r="G195" t="s">
        <v>1797</v>
      </c>
      <c r="H195">
        <v>0</v>
      </c>
      <c r="I195">
        <v>949.51167799999996</v>
      </c>
      <c r="J195">
        <v>2.701651638384321</v>
      </c>
      <c r="K195">
        <v>0</v>
      </c>
      <c r="L195">
        <v>0.82337218092616804</v>
      </c>
      <c r="M195">
        <v>30.23</v>
      </c>
      <c r="N195">
        <v>19.13</v>
      </c>
    </row>
    <row r="196" spans="1:14" x14ac:dyDescent="0.25">
      <c r="A196" s="1" t="s">
        <v>208</v>
      </c>
      <c r="B196" t="str">
        <f>HYPERLINK("https://www.suredividend.com/sure-analysis-research-database/","Aerovate Therapeutics Inc")</f>
        <v>Aerovate Therapeutics Inc</v>
      </c>
      <c r="C196" t="s">
        <v>1797</v>
      </c>
      <c r="D196">
        <v>11.47</v>
      </c>
      <c r="E196">
        <v>0</v>
      </c>
      <c r="F196" t="s">
        <v>1797</v>
      </c>
      <c r="G196" t="s">
        <v>1797</v>
      </c>
      <c r="H196">
        <v>0</v>
      </c>
      <c r="I196">
        <v>317.14550000000003</v>
      </c>
      <c r="J196">
        <v>0</v>
      </c>
      <c r="K196" t="s">
        <v>1797</v>
      </c>
      <c r="L196">
        <v>1.674088482522248</v>
      </c>
      <c r="M196">
        <v>30.79</v>
      </c>
      <c r="N196">
        <v>9.41</v>
      </c>
    </row>
    <row r="197" spans="1:14" x14ac:dyDescent="0.25">
      <c r="A197" s="1" t="s">
        <v>209</v>
      </c>
      <c r="B197" t="str">
        <f>HYPERLINK("https://www.suredividend.com/sure-analysis-research-database/","Anavex Life Sciences Corporation")</f>
        <v>Anavex Life Sciences Corporation</v>
      </c>
      <c r="C197" t="s">
        <v>1802</v>
      </c>
      <c r="D197">
        <v>6.04</v>
      </c>
      <c r="E197">
        <v>0</v>
      </c>
      <c r="F197" t="s">
        <v>1797</v>
      </c>
      <c r="G197" t="s">
        <v>1797</v>
      </c>
      <c r="H197">
        <v>0</v>
      </c>
      <c r="I197">
        <v>494.984735</v>
      </c>
      <c r="J197">
        <v>0</v>
      </c>
      <c r="K197" t="s">
        <v>1797</v>
      </c>
      <c r="L197">
        <v>1.8038548871671769</v>
      </c>
      <c r="M197">
        <v>15.24</v>
      </c>
      <c r="N197">
        <v>4.9000000000000004</v>
      </c>
    </row>
    <row r="198" spans="1:14" x14ac:dyDescent="0.25">
      <c r="A198" s="1" t="s">
        <v>210</v>
      </c>
      <c r="B198" t="str">
        <f>HYPERLINK("https://www.suredividend.com/sure-analysis-AWR/","American States Water Co.")</f>
        <v>American States Water Co.</v>
      </c>
      <c r="C198" t="s">
        <v>1805</v>
      </c>
      <c r="D198">
        <v>82.91</v>
      </c>
      <c r="E198">
        <v>2.074538656374382E-2</v>
      </c>
      <c r="F198">
        <v>8.1761006289308158E-2</v>
      </c>
      <c r="G198">
        <v>9.3521062182361669E-2</v>
      </c>
      <c r="H198">
        <v>1.6116056541934221</v>
      </c>
      <c r="I198">
        <v>3065.7451609999998</v>
      </c>
      <c r="J198">
        <v>26.225140601363549</v>
      </c>
      <c r="K198">
        <v>0.51162084260108642</v>
      </c>
      <c r="L198">
        <v>0.61512722474620607</v>
      </c>
      <c r="M198">
        <v>99.16</v>
      </c>
      <c r="N198">
        <v>75.2</v>
      </c>
    </row>
    <row r="199" spans="1:14" x14ac:dyDescent="0.25">
      <c r="A199" s="1" t="s">
        <v>211</v>
      </c>
      <c r="B199" t="str">
        <f>HYPERLINK("https://www.suredividend.com/sure-analysis-research-database/","Axos Financial Inc.")</f>
        <v>Axos Financial Inc.</v>
      </c>
      <c r="C199" t="s">
        <v>1800</v>
      </c>
      <c r="D199">
        <v>40.700000000000003</v>
      </c>
      <c r="E199">
        <v>0</v>
      </c>
      <c r="F199" t="s">
        <v>1797</v>
      </c>
      <c r="G199" t="s">
        <v>1797</v>
      </c>
      <c r="H199">
        <v>0</v>
      </c>
      <c r="I199">
        <v>2349.6991969999999</v>
      </c>
      <c r="J199">
        <v>7.0901566880806763</v>
      </c>
      <c r="K199">
        <v>0</v>
      </c>
      <c r="L199">
        <v>1.7952575465541361</v>
      </c>
      <c r="M199">
        <v>51.46</v>
      </c>
      <c r="N199">
        <v>33.15</v>
      </c>
    </row>
    <row r="200" spans="1:14" x14ac:dyDescent="0.25">
      <c r="A200" s="1" t="s">
        <v>212</v>
      </c>
      <c r="B200" t="str">
        <f>HYPERLINK("https://www.suredividend.com/sure-analysis-research-database/","BioXcel Therapeutics Inc")</f>
        <v>BioXcel Therapeutics Inc</v>
      </c>
      <c r="C200" t="s">
        <v>1802</v>
      </c>
      <c r="D200">
        <v>4.6399999999999997</v>
      </c>
      <c r="E200">
        <v>0</v>
      </c>
      <c r="F200" t="s">
        <v>1797</v>
      </c>
      <c r="G200" t="s">
        <v>1797</v>
      </c>
      <c r="H200">
        <v>0</v>
      </c>
      <c r="I200">
        <v>135.81280000000001</v>
      </c>
      <c r="J200" t="s">
        <v>1797</v>
      </c>
      <c r="K200">
        <v>0</v>
      </c>
      <c r="L200">
        <v>1.6379918661814541</v>
      </c>
      <c r="M200">
        <v>34.130000000000003</v>
      </c>
      <c r="N200">
        <v>2.23</v>
      </c>
    </row>
    <row r="201" spans="1:14" x14ac:dyDescent="0.25">
      <c r="A201" s="1" t="s">
        <v>213</v>
      </c>
      <c r="B201" t="str">
        <f>HYPERLINK("https://www.suredividend.com/sure-analysis-research-database/","Peabody Energy Corp.")</f>
        <v>Peabody Energy Corp.</v>
      </c>
      <c r="C201" t="s">
        <v>1807</v>
      </c>
      <c r="D201">
        <v>23.7</v>
      </c>
      <c r="E201">
        <v>6.3185384299240003E-3</v>
      </c>
      <c r="F201" t="s">
        <v>1797</v>
      </c>
      <c r="G201" t="s">
        <v>1797</v>
      </c>
      <c r="H201">
        <v>0.149749360789214</v>
      </c>
      <c r="I201">
        <v>3147.36</v>
      </c>
      <c r="J201">
        <v>2.163431399505086</v>
      </c>
      <c r="K201">
        <v>1.675048778402842E-2</v>
      </c>
      <c r="L201">
        <v>0.9910108481619031</v>
      </c>
      <c r="M201">
        <v>32.67</v>
      </c>
      <c r="N201">
        <v>17.649999999999999</v>
      </c>
    </row>
    <row r="202" spans="1:14" x14ac:dyDescent="0.25">
      <c r="A202" s="1" t="s">
        <v>214</v>
      </c>
      <c r="B202" t="str">
        <f>HYPERLINK("https://www.suredividend.com/sure-analysis-research-database/","First Busey Corp.")</f>
        <v>First Busey Corp.</v>
      </c>
      <c r="C202" t="s">
        <v>1800</v>
      </c>
      <c r="D202">
        <v>20.88</v>
      </c>
      <c r="E202">
        <v>4.4399443714873997E-2</v>
      </c>
      <c r="F202">
        <v>4.3478260869565188E-2</v>
      </c>
      <c r="G202">
        <v>2.7066087089351761E-2</v>
      </c>
      <c r="H202">
        <v>0.92706038476657504</v>
      </c>
      <c r="I202">
        <v>1154.2773649999999</v>
      </c>
      <c r="J202">
        <v>8.7976446044678855</v>
      </c>
      <c r="K202">
        <v>0.39787999346204939</v>
      </c>
      <c r="L202">
        <v>0.86699010707234403</v>
      </c>
      <c r="M202">
        <v>25.81</v>
      </c>
      <c r="N202">
        <v>15.53</v>
      </c>
    </row>
    <row r="203" spans="1:14" x14ac:dyDescent="0.25">
      <c r="A203" s="1" t="s">
        <v>215</v>
      </c>
      <c r="B203" t="str">
        <f>HYPERLINK("https://www.suredividend.com/sure-analysis-research-database/","BrightView Holdings Inc")</f>
        <v>BrightView Holdings Inc</v>
      </c>
      <c r="C203" t="s">
        <v>1798</v>
      </c>
      <c r="D203">
        <v>7.26</v>
      </c>
      <c r="E203">
        <v>0</v>
      </c>
      <c r="F203" t="s">
        <v>1797</v>
      </c>
      <c r="G203" t="s">
        <v>1797</v>
      </c>
      <c r="H203">
        <v>0</v>
      </c>
      <c r="I203">
        <v>678.25726699999996</v>
      </c>
      <c r="J203" t="s">
        <v>1797</v>
      </c>
      <c r="K203">
        <v>0</v>
      </c>
      <c r="L203">
        <v>0.99890766784333607</v>
      </c>
      <c r="M203">
        <v>9.32</v>
      </c>
      <c r="N203">
        <v>5.16</v>
      </c>
    </row>
    <row r="204" spans="1:14" x14ac:dyDescent="0.25">
      <c r="A204" s="1" t="s">
        <v>216</v>
      </c>
      <c r="B204" t="str">
        <f>HYPERLINK("https://www.suredividend.com/sure-analysis-research-database/","Bluegreen Vacations Holding Corporation")</f>
        <v>Bluegreen Vacations Holding Corporation</v>
      </c>
      <c r="C204" t="s">
        <v>1797</v>
      </c>
      <c r="D204">
        <v>35.520000000000003</v>
      </c>
      <c r="E204">
        <v>1.6796504641902001E-2</v>
      </c>
      <c r="F204" t="s">
        <v>1797</v>
      </c>
      <c r="G204" t="s">
        <v>1797</v>
      </c>
      <c r="H204">
        <v>0.59661184488039309</v>
      </c>
      <c r="I204">
        <v>475.03261600000002</v>
      </c>
      <c r="J204">
        <v>0</v>
      </c>
      <c r="K204" t="s">
        <v>1797</v>
      </c>
      <c r="L204">
        <v>0.96359231753355212</v>
      </c>
      <c r="M204">
        <v>40.700000000000003</v>
      </c>
      <c r="N204">
        <v>19.64</v>
      </c>
    </row>
    <row r="205" spans="1:14" x14ac:dyDescent="0.25">
      <c r="A205" s="1" t="s">
        <v>217</v>
      </c>
      <c r="B205" t="str">
        <f>HYPERLINK("https://www.suredividend.com/sure-analysis-research-database/","Bioventus Inc")</f>
        <v>Bioventus Inc</v>
      </c>
      <c r="C205" t="s">
        <v>1797</v>
      </c>
      <c r="D205">
        <v>3.84</v>
      </c>
      <c r="E205">
        <v>0</v>
      </c>
      <c r="F205" t="s">
        <v>1797</v>
      </c>
      <c r="G205" t="s">
        <v>1797</v>
      </c>
      <c r="H205">
        <v>0</v>
      </c>
      <c r="I205">
        <v>241.12454399999999</v>
      </c>
      <c r="J205" t="s">
        <v>1797</v>
      </c>
      <c r="K205">
        <v>0</v>
      </c>
      <c r="L205">
        <v>2.0601722589916278</v>
      </c>
      <c r="M205">
        <v>7.51</v>
      </c>
      <c r="N205">
        <v>0.79990000000000006</v>
      </c>
    </row>
    <row r="206" spans="1:14" x14ac:dyDescent="0.25">
      <c r="A206" s="1" t="s">
        <v>218</v>
      </c>
      <c r="B206" t="str">
        <f>HYPERLINK("https://www.suredividend.com/sure-analysis-research-database/","Babcock &amp; Wilcox Enterprises Inc")</f>
        <v>Babcock &amp; Wilcox Enterprises Inc</v>
      </c>
      <c r="C206" t="s">
        <v>1798</v>
      </c>
      <c r="D206">
        <v>2.5499999999999998</v>
      </c>
      <c r="E206">
        <v>0</v>
      </c>
      <c r="F206" t="s">
        <v>1797</v>
      </c>
      <c r="G206" t="s">
        <v>1797</v>
      </c>
      <c r="H206">
        <v>0</v>
      </c>
      <c r="I206">
        <v>227.15695299999999</v>
      </c>
      <c r="J206" t="s">
        <v>1797</v>
      </c>
      <c r="K206">
        <v>0</v>
      </c>
      <c r="L206">
        <v>1.3495996096111109</v>
      </c>
      <c r="M206">
        <v>6.83</v>
      </c>
      <c r="N206">
        <v>2.31</v>
      </c>
    </row>
    <row r="207" spans="1:14" x14ac:dyDescent="0.25">
      <c r="A207" s="1" t="s">
        <v>219</v>
      </c>
      <c r="B207" t="str">
        <f>HYPERLINK("https://www.suredividend.com/sure-analysis-research-database/","Bridgewater Bancshares Inc")</f>
        <v>Bridgewater Bancshares Inc</v>
      </c>
      <c r="C207" t="s">
        <v>1800</v>
      </c>
      <c r="D207">
        <v>10.3</v>
      </c>
      <c r="E207">
        <v>0</v>
      </c>
      <c r="F207" t="s">
        <v>1797</v>
      </c>
      <c r="G207" t="s">
        <v>1797</v>
      </c>
      <c r="H207">
        <v>0</v>
      </c>
      <c r="I207">
        <v>288.15194500000001</v>
      </c>
      <c r="J207">
        <v>7.0680912750196239</v>
      </c>
      <c r="K207">
        <v>0</v>
      </c>
      <c r="L207">
        <v>1.143775271024196</v>
      </c>
      <c r="M207">
        <v>20.2</v>
      </c>
      <c r="N207">
        <v>7.9</v>
      </c>
    </row>
    <row r="208" spans="1:14" x14ac:dyDescent="0.25">
      <c r="A208" s="1" t="s">
        <v>220</v>
      </c>
      <c r="B208" t="str">
        <f>HYPERLINK("https://www.suredividend.com/sure-analysis-research-database/","Bankwell Financial Group Inc")</f>
        <v>Bankwell Financial Group Inc</v>
      </c>
      <c r="C208" t="s">
        <v>1800</v>
      </c>
      <c r="D208">
        <v>26.28</v>
      </c>
      <c r="E208">
        <v>2.9879594461275E-2</v>
      </c>
      <c r="F208">
        <v>0</v>
      </c>
      <c r="G208">
        <v>8.9976987048345336E-2</v>
      </c>
      <c r="H208">
        <v>0.78523574244232708</v>
      </c>
      <c r="I208">
        <v>205.81486799999999</v>
      </c>
      <c r="J208">
        <v>0</v>
      </c>
      <c r="K208" t="s">
        <v>1797</v>
      </c>
      <c r="L208">
        <v>0.81762653142101105</v>
      </c>
      <c r="M208">
        <v>30.87</v>
      </c>
      <c r="N208">
        <v>20.72</v>
      </c>
    </row>
    <row r="209" spans="1:14" x14ac:dyDescent="0.25">
      <c r="A209" s="1" t="s">
        <v>221</v>
      </c>
      <c r="B209" t="str">
        <f>HYPERLINK("https://www.suredividend.com/sure-analysis-research-database/","Bluelinx Hldgs Inc")</f>
        <v>Bluelinx Hldgs Inc</v>
      </c>
      <c r="C209" t="s">
        <v>1798</v>
      </c>
      <c r="D209">
        <v>80.22</v>
      </c>
      <c r="E209">
        <v>0</v>
      </c>
      <c r="F209" t="s">
        <v>1797</v>
      </c>
      <c r="G209" t="s">
        <v>1797</v>
      </c>
      <c r="H209">
        <v>0</v>
      </c>
      <c r="I209">
        <v>703.30486399999995</v>
      </c>
      <c r="J209">
        <v>7.1295831987105407</v>
      </c>
      <c r="K209">
        <v>0</v>
      </c>
      <c r="L209">
        <v>1.6044473146574101</v>
      </c>
      <c r="M209">
        <v>98.33</v>
      </c>
      <c r="N209">
        <v>61.8</v>
      </c>
    </row>
    <row r="210" spans="1:14" x14ac:dyDescent="0.25">
      <c r="A210" s="1" t="s">
        <v>222</v>
      </c>
      <c r="B210" t="str">
        <f>HYPERLINK("https://www.suredividend.com/sure-analysis-BXMT/","Blackstone Mortgage Trust Inc")</f>
        <v>Blackstone Mortgage Trust Inc</v>
      </c>
      <c r="C210" t="s">
        <v>1799</v>
      </c>
      <c r="D210">
        <v>21.71</v>
      </c>
      <c r="E210">
        <v>0.1142330723169046</v>
      </c>
      <c r="F210">
        <v>0</v>
      </c>
      <c r="G210">
        <v>0</v>
      </c>
      <c r="H210">
        <v>2.9359009351192999</v>
      </c>
      <c r="I210">
        <v>3740.5800060000001</v>
      </c>
      <c r="J210">
        <v>18.57371980818408</v>
      </c>
      <c r="K210">
        <v>2.446584112599417</v>
      </c>
      <c r="L210">
        <v>1.2818401663354391</v>
      </c>
      <c r="M210">
        <v>23.15</v>
      </c>
      <c r="N210">
        <v>15.43</v>
      </c>
    </row>
    <row r="211" spans="1:14" x14ac:dyDescent="0.25">
      <c r="A211" s="1" t="s">
        <v>223</v>
      </c>
      <c r="B211" t="str">
        <f>HYPERLINK("https://www.suredividend.com/sure-analysis-research-database/","Byline Bancorp Inc")</f>
        <v>Byline Bancorp Inc</v>
      </c>
      <c r="C211" t="s">
        <v>1800</v>
      </c>
      <c r="D211">
        <v>20.13</v>
      </c>
      <c r="E211">
        <v>1.7770465429549999E-2</v>
      </c>
      <c r="F211" t="s">
        <v>1797</v>
      </c>
      <c r="G211" t="s">
        <v>1797</v>
      </c>
      <c r="H211">
        <v>0.35771946909684699</v>
      </c>
      <c r="I211">
        <v>879.53515800000002</v>
      </c>
      <c r="J211">
        <v>9.2182865692994582</v>
      </c>
      <c r="K211">
        <v>0.13973416761595589</v>
      </c>
      <c r="L211">
        <v>1.0796683656264121</v>
      </c>
      <c r="M211">
        <v>25.68</v>
      </c>
      <c r="N211">
        <v>16.25</v>
      </c>
    </row>
    <row r="212" spans="1:14" x14ac:dyDescent="0.25">
      <c r="A212" s="1" t="s">
        <v>224</v>
      </c>
      <c r="B212" t="str">
        <f>HYPERLINK("https://www.suredividend.com/sure-analysis-research-database/","Beyond Meat Inc")</f>
        <v>Beyond Meat Inc</v>
      </c>
      <c r="C212" t="s">
        <v>1804</v>
      </c>
      <c r="D212">
        <v>6.99</v>
      </c>
      <c r="E212">
        <v>0</v>
      </c>
      <c r="F212" t="s">
        <v>1797</v>
      </c>
      <c r="G212" t="s">
        <v>1797</v>
      </c>
      <c r="H212">
        <v>0</v>
      </c>
      <c r="I212">
        <v>450.05667899999997</v>
      </c>
      <c r="J212" t="s">
        <v>1797</v>
      </c>
      <c r="K212">
        <v>0</v>
      </c>
      <c r="L212">
        <v>2.7353175861699479</v>
      </c>
      <c r="M212">
        <v>22.87</v>
      </c>
      <c r="N212">
        <v>5.58</v>
      </c>
    </row>
    <row r="213" spans="1:14" x14ac:dyDescent="0.25">
      <c r="A213" s="1" t="s">
        <v>225</v>
      </c>
      <c r="B213" t="str">
        <f>HYPERLINK("https://www.suredividend.com/sure-analysis-research-database/","Beazer Homes USA Inc.")</f>
        <v>Beazer Homes USA Inc.</v>
      </c>
      <c r="C213" t="s">
        <v>1801</v>
      </c>
      <c r="D213">
        <v>28.67</v>
      </c>
      <c r="E213">
        <v>0</v>
      </c>
      <c r="F213" t="s">
        <v>1797</v>
      </c>
      <c r="G213" t="s">
        <v>1797</v>
      </c>
      <c r="H213">
        <v>0</v>
      </c>
      <c r="I213">
        <v>898.49526500000002</v>
      </c>
      <c r="J213">
        <v>4.7369503336180268</v>
      </c>
      <c r="K213">
        <v>0</v>
      </c>
      <c r="L213">
        <v>1.750119732577087</v>
      </c>
      <c r="M213">
        <v>35.93</v>
      </c>
      <c r="N213">
        <v>10.74</v>
      </c>
    </row>
    <row r="214" spans="1:14" x14ac:dyDescent="0.25">
      <c r="A214" s="1" t="s">
        <v>226</v>
      </c>
      <c r="B214" t="str">
        <f>HYPERLINK("https://www.suredividend.com/sure-analysis-research-database/","Camden National Corp.")</f>
        <v>Camden National Corp.</v>
      </c>
      <c r="C214" t="s">
        <v>1800</v>
      </c>
      <c r="D214">
        <v>32.28</v>
      </c>
      <c r="E214">
        <v>4.9907226722016002E-2</v>
      </c>
      <c r="F214">
        <v>4.9999999999999822E-2</v>
      </c>
      <c r="G214">
        <v>6.9610375725068785E-2</v>
      </c>
      <c r="H214">
        <v>1.61100527858669</v>
      </c>
      <c r="I214">
        <v>469.83252700000003</v>
      </c>
      <c r="J214">
        <v>8.6029430186951839</v>
      </c>
      <c r="K214">
        <v>0.4319049004253861</v>
      </c>
      <c r="L214">
        <v>0.75740212348797709</v>
      </c>
      <c r="M214">
        <v>40.58</v>
      </c>
      <c r="N214">
        <v>26.2</v>
      </c>
    </row>
    <row r="215" spans="1:14" x14ac:dyDescent="0.25">
      <c r="A215" s="1" t="s">
        <v>227</v>
      </c>
      <c r="B215" t="str">
        <f>HYPERLINK("https://www.suredividend.com/sure-analysis-research-database/","Cadence Bank")</f>
        <v>Cadence Bank</v>
      </c>
      <c r="C215" t="s">
        <v>1800</v>
      </c>
      <c r="D215">
        <v>23.46</v>
      </c>
      <c r="E215">
        <v>3.8799077436819013E-2</v>
      </c>
      <c r="F215">
        <v>6.8181818181818343E-2</v>
      </c>
      <c r="G215">
        <v>6.0732713038533337E-2</v>
      </c>
      <c r="H215">
        <v>0.91022635666777407</v>
      </c>
      <c r="I215">
        <v>2408.0782330000002</v>
      </c>
      <c r="J215">
        <v>5.9827881999299386</v>
      </c>
      <c r="K215">
        <v>0.41562847336428038</v>
      </c>
      <c r="L215">
        <v>1.418709349703603</v>
      </c>
      <c r="M215">
        <v>28.21</v>
      </c>
      <c r="N215">
        <v>16.579999999999998</v>
      </c>
    </row>
    <row r="216" spans="1:14" x14ac:dyDescent="0.25">
      <c r="A216" s="1" t="s">
        <v>228</v>
      </c>
      <c r="B216" t="str">
        <f>HYPERLINK("https://www.suredividend.com/sure-analysis-CAKE/","Cheesecake Factory Inc.")</f>
        <v>Cheesecake Factory Inc.</v>
      </c>
      <c r="C216" t="s">
        <v>1801</v>
      </c>
      <c r="D216">
        <v>31.09</v>
      </c>
      <c r="E216">
        <v>3.4737857832100358E-2</v>
      </c>
      <c r="F216" t="s">
        <v>1797</v>
      </c>
      <c r="G216" t="s">
        <v>1797</v>
      </c>
      <c r="H216">
        <v>1.0567117807042421</v>
      </c>
      <c r="I216">
        <v>1594.1562899999999</v>
      </c>
      <c r="J216">
        <v>24.51454412462132</v>
      </c>
      <c r="K216">
        <v>0.80665021427804739</v>
      </c>
      <c r="L216">
        <v>0.94263616592957911</v>
      </c>
      <c r="M216">
        <v>39.68</v>
      </c>
      <c r="N216">
        <v>28.58</v>
      </c>
    </row>
    <row r="217" spans="1:14" x14ac:dyDescent="0.25">
      <c r="A217" s="1" t="s">
        <v>229</v>
      </c>
      <c r="B217" t="str">
        <f>HYPERLINK("https://www.suredividend.com/sure-analysis-research-database/","Caleres Inc")</f>
        <v>Caleres Inc</v>
      </c>
      <c r="C217" t="s">
        <v>1801</v>
      </c>
      <c r="D217">
        <v>27.93</v>
      </c>
      <c r="E217">
        <v>9.9829122708090003E-3</v>
      </c>
      <c r="F217">
        <v>0</v>
      </c>
      <c r="G217">
        <v>0</v>
      </c>
      <c r="H217">
        <v>0.27882273972369698</v>
      </c>
      <c r="I217">
        <v>992.61384999999996</v>
      </c>
      <c r="J217">
        <v>6.9774136972887861</v>
      </c>
      <c r="K217">
        <v>6.7675422263033261E-2</v>
      </c>
      <c r="L217">
        <v>1.1158636596531319</v>
      </c>
      <c r="M217">
        <v>29.9</v>
      </c>
      <c r="N217">
        <v>16.760000000000002</v>
      </c>
    </row>
    <row r="218" spans="1:14" x14ac:dyDescent="0.25">
      <c r="A218" s="1" t="s">
        <v>230</v>
      </c>
      <c r="B218" t="str">
        <f>HYPERLINK("https://www.suredividend.com/sure-analysis-research-database/","Cal-Maine Foods, Inc.")</f>
        <v>Cal-Maine Foods, Inc.</v>
      </c>
      <c r="C218" t="s">
        <v>1804</v>
      </c>
      <c r="D218">
        <v>49.54</v>
      </c>
      <c r="E218">
        <v>8.3632095301236012E-2</v>
      </c>
      <c r="F218" t="s">
        <v>1797</v>
      </c>
      <c r="G218" t="s">
        <v>1797</v>
      </c>
      <c r="H218">
        <v>4.1431340012232596</v>
      </c>
      <c r="I218">
        <v>2188.8066480000002</v>
      </c>
      <c r="J218">
        <v>3.4542124883731571</v>
      </c>
      <c r="K218">
        <v>0.31943978421150798</v>
      </c>
      <c r="L218">
        <v>8.0448965006507001E-2</v>
      </c>
      <c r="M218">
        <v>59.16</v>
      </c>
      <c r="N218">
        <v>41.89</v>
      </c>
    </row>
    <row r="219" spans="1:14" x14ac:dyDescent="0.25">
      <c r="A219" s="1" t="s">
        <v>231</v>
      </c>
      <c r="B219" t="str">
        <f>HYPERLINK("https://www.suredividend.com/sure-analysis-research-database/","Calix Inc")</f>
        <v>Calix Inc</v>
      </c>
      <c r="C219" t="s">
        <v>1803</v>
      </c>
      <c r="D219">
        <v>35.590000000000003</v>
      </c>
      <c r="E219">
        <v>0</v>
      </c>
      <c r="F219" t="s">
        <v>1797</v>
      </c>
      <c r="G219" t="s">
        <v>1797</v>
      </c>
      <c r="H219">
        <v>0</v>
      </c>
      <c r="I219">
        <v>2345.3809999999999</v>
      </c>
      <c r="J219">
        <v>49.01425257570375</v>
      </c>
      <c r="K219">
        <v>0</v>
      </c>
      <c r="L219">
        <v>1.27556495461761</v>
      </c>
      <c r="M219">
        <v>77.44</v>
      </c>
      <c r="N219">
        <v>31.95</v>
      </c>
    </row>
    <row r="220" spans="1:14" x14ac:dyDescent="0.25">
      <c r="A220" s="1" t="s">
        <v>232</v>
      </c>
      <c r="B220" t="str">
        <f>HYPERLINK("https://www.suredividend.com/sure-analysis-research-database/","Cano Health Inc")</f>
        <v>Cano Health Inc</v>
      </c>
      <c r="C220" t="s">
        <v>1797</v>
      </c>
      <c r="D220">
        <v>10.210000000000001</v>
      </c>
      <c r="E220">
        <v>0</v>
      </c>
      <c r="F220" t="s">
        <v>1797</v>
      </c>
      <c r="G220" t="s">
        <v>1797</v>
      </c>
      <c r="H220">
        <v>0</v>
      </c>
      <c r="I220">
        <v>2943.8534249999998</v>
      </c>
      <c r="J220" t="s">
        <v>1797</v>
      </c>
      <c r="K220">
        <v>0</v>
      </c>
      <c r="L220">
        <v>0.32105705929571299</v>
      </c>
      <c r="M220">
        <v>378</v>
      </c>
      <c r="N220">
        <v>9.6199999999999992</v>
      </c>
    </row>
    <row r="221" spans="1:14" x14ac:dyDescent="0.25">
      <c r="A221" s="1" t="s">
        <v>233</v>
      </c>
      <c r="B221" t="str">
        <f>HYPERLINK("https://www.suredividend.com/sure-analysis-research-database/","Cara Therapeutics Inc")</f>
        <v>Cara Therapeutics Inc</v>
      </c>
      <c r="C221" t="s">
        <v>1802</v>
      </c>
      <c r="D221">
        <v>1.35</v>
      </c>
      <c r="E221">
        <v>0</v>
      </c>
      <c r="F221" t="s">
        <v>1797</v>
      </c>
      <c r="G221" t="s">
        <v>1797</v>
      </c>
      <c r="H221">
        <v>0</v>
      </c>
      <c r="I221">
        <v>73.004868999999999</v>
      </c>
      <c r="J221" t="s">
        <v>1797</v>
      </c>
      <c r="K221">
        <v>0</v>
      </c>
      <c r="L221">
        <v>1.6692285202232879</v>
      </c>
      <c r="M221">
        <v>12.81</v>
      </c>
      <c r="N221">
        <v>1.03</v>
      </c>
    </row>
    <row r="222" spans="1:14" x14ac:dyDescent="0.25">
      <c r="A222" s="1" t="s">
        <v>234</v>
      </c>
      <c r="B222" t="str">
        <f>HYPERLINK("https://www.suredividend.com/sure-analysis-research-database/","Carter Bankshares Inc")</f>
        <v>Carter Bankshares Inc</v>
      </c>
      <c r="C222" t="s">
        <v>1800</v>
      </c>
      <c r="D222">
        <v>11.67</v>
      </c>
      <c r="E222">
        <v>0</v>
      </c>
      <c r="F222" t="s">
        <v>1797</v>
      </c>
      <c r="G222" t="s">
        <v>1797</v>
      </c>
      <c r="H222">
        <v>0</v>
      </c>
      <c r="I222">
        <v>267.89363800000001</v>
      </c>
      <c r="J222">
        <v>6.5530108732663086</v>
      </c>
      <c r="K222">
        <v>0</v>
      </c>
      <c r="L222">
        <v>0.89647656932954811</v>
      </c>
      <c r="M222">
        <v>18.84</v>
      </c>
      <c r="N222">
        <v>10.43</v>
      </c>
    </row>
    <row r="223" spans="1:14" x14ac:dyDescent="0.25">
      <c r="A223" s="1" t="s">
        <v>235</v>
      </c>
      <c r="B223" t="str">
        <f>HYPERLINK("https://www.suredividend.com/sure-analysis-research-database/","CarGurus Inc")</f>
        <v>CarGurus Inc</v>
      </c>
      <c r="C223" t="s">
        <v>1806</v>
      </c>
      <c r="D223">
        <v>18.670000000000002</v>
      </c>
      <c r="E223">
        <v>0</v>
      </c>
      <c r="F223" t="s">
        <v>1797</v>
      </c>
      <c r="G223" t="s">
        <v>1797</v>
      </c>
      <c r="H223">
        <v>0</v>
      </c>
      <c r="I223">
        <v>1820.306722</v>
      </c>
      <c r="J223">
        <v>6.0929545249969879</v>
      </c>
      <c r="K223">
        <v>0</v>
      </c>
      <c r="L223">
        <v>1.5334025996214391</v>
      </c>
      <c r="M223">
        <v>24.22</v>
      </c>
      <c r="N223">
        <v>9.14</v>
      </c>
    </row>
    <row r="224" spans="1:14" x14ac:dyDescent="0.25">
      <c r="A224" s="1" t="s">
        <v>236</v>
      </c>
      <c r="B224" t="str">
        <f>HYPERLINK("https://www.suredividend.com/sure-analysis-research-database/","Cars.com")</f>
        <v>Cars.com</v>
      </c>
      <c r="C224" t="s">
        <v>1801</v>
      </c>
      <c r="D224">
        <v>18.12</v>
      </c>
      <c r="E224">
        <v>0</v>
      </c>
      <c r="F224" t="s">
        <v>1797</v>
      </c>
      <c r="G224" t="s">
        <v>1797</v>
      </c>
      <c r="H224">
        <v>0</v>
      </c>
      <c r="I224">
        <v>1204.40257</v>
      </c>
      <c r="J224">
        <v>10.006834360491199</v>
      </c>
      <c r="K224">
        <v>0</v>
      </c>
      <c r="L224">
        <v>1.3103523657670411</v>
      </c>
      <c r="M224">
        <v>22.84</v>
      </c>
      <c r="N224">
        <v>12.7</v>
      </c>
    </row>
    <row r="225" spans="1:14" x14ac:dyDescent="0.25">
      <c r="A225" s="1" t="s">
        <v>237</v>
      </c>
      <c r="B225" t="str">
        <f>HYPERLINK("https://www.suredividend.com/sure-analysis-research-database/","Casa Systems Inc")</f>
        <v>Casa Systems Inc</v>
      </c>
      <c r="C225" t="s">
        <v>1803</v>
      </c>
      <c r="D225">
        <v>0.68500000000000005</v>
      </c>
      <c r="E225">
        <v>0</v>
      </c>
      <c r="F225" t="s">
        <v>1797</v>
      </c>
      <c r="G225" t="s">
        <v>1797</v>
      </c>
      <c r="H225">
        <v>0</v>
      </c>
      <c r="I225">
        <v>66.562363000000005</v>
      </c>
      <c r="J225" t="s">
        <v>1797</v>
      </c>
      <c r="K225">
        <v>0</v>
      </c>
      <c r="L225">
        <v>1.405852293046296</v>
      </c>
      <c r="M225">
        <v>3.97</v>
      </c>
      <c r="N225">
        <v>0.49</v>
      </c>
    </row>
    <row r="226" spans="1:14" x14ac:dyDescent="0.25">
      <c r="A226" s="1" t="s">
        <v>238</v>
      </c>
      <c r="B226" t="str">
        <f>HYPERLINK("https://www.suredividend.com/sure-analysis-research-database/","Pathward Financial Inc")</f>
        <v>Pathward Financial Inc</v>
      </c>
      <c r="C226" t="s">
        <v>1800</v>
      </c>
      <c r="D226">
        <v>48.62</v>
      </c>
      <c r="E226">
        <v>4.10408350899E-3</v>
      </c>
      <c r="F226">
        <v>0</v>
      </c>
      <c r="G226">
        <v>0</v>
      </c>
      <c r="H226">
        <v>0.19954054020711601</v>
      </c>
      <c r="I226">
        <v>1275.086873</v>
      </c>
      <c r="J226">
        <v>8.5705721597042501</v>
      </c>
      <c r="K226">
        <v>3.6951951890206669E-2</v>
      </c>
      <c r="L226">
        <v>1.2434207825622641</v>
      </c>
      <c r="M226">
        <v>60.37</v>
      </c>
      <c r="N226">
        <v>39.630000000000003</v>
      </c>
    </row>
    <row r="227" spans="1:14" x14ac:dyDescent="0.25">
      <c r="A227" s="1" t="s">
        <v>239</v>
      </c>
      <c r="B227" t="str">
        <f>HYPERLINK("https://www.suredividend.com/sure-analysis-CASS/","Cass Information Systems Inc")</f>
        <v>Cass Information Systems Inc</v>
      </c>
      <c r="C227" t="s">
        <v>1798</v>
      </c>
      <c r="D227">
        <v>39.520000000000003</v>
      </c>
      <c r="E227">
        <v>3.0364372469635619E-2</v>
      </c>
      <c r="F227">
        <v>3.5714285714285587E-2</v>
      </c>
      <c r="G227">
        <v>2.20800938152379E-2</v>
      </c>
      <c r="H227">
        <v>1.13669306765723</v>
      </c>
      <c r="I227">
        <v>540.11806200000001</v>
      </c>
      <c r="J227">
        <v>16.701755205788679</v>
      </c>
      <c r="K227">
        <v>0.48576626822958552</v>
      </c>
      <c r="L227">
        <v>0.74803015158710007</v>
      </c>
      <c r="M227">
        <v>49.65</v>
      </c>
      <c r="N227">
        <v>34.01</v>
      </c>
    </row>
    <row r="228" spans="1:14" x14ac:dyDescent="0.25">
      <c r="A228" s="1" t="s">
        <v>240</v>
      </c>
      <c r="B228" t="str">
        <f>HYPERLINK("https://www.suredividend.com/sure-analysis-CATC/","Cambridge Bancorp")</f>
        <v>Cambridge Bancorp</v>
      </c>
      <c r="C228" t="s">
        <v>1800</v>
      </c>
      <c r="D228">
        <v>57.46</v>
      </c>
      <c r="E228">
        <v>4.6641141663766102E-2</v>
      </c>
      <c r="F228" t="s">
        <v>1797</v>
      </c>
      <c r="G228" t="s">
        <v>1797</v>
      </c>
      <c r="H228">
        <v>2.584717066849735</v>
      </c>
      <c r="I228">
        <v>450.82357500000001</v>
      </c>
      <c r="J228">
        <v>12.056040415039851</v>
      </c>
      <c r="K228">
        <v>0.54186940604816247</v>
      </c>
      <c r="L228">
        <v>0.9426399165289191</v>
      </c>
      <c r="M228">
        <v>85.6</v>
      </c>
      <c r="N228">
        <v>41.4</v>
      </c>
    </row>
    <row r="229" spans="1:14" x14ac:dyDescent="0.25">
      <c r="A229" s="1" t="s">
        <v>241</v>
      </c>
      <c r="B229" t="str">
        <f>HYPERLINK("https://www.suredividend.com/sure-analysis-research-database/","Cato Corp.")</f>
        <v>Cato Corp.</v>
      </c>
      <c r="C229" t="s">
        <v>1801</v>
      </c>
      <c r="D229">
        <v>7.17</v>
      </c>
      <c r="E229">
        <v>9.1871895095639006E-2</v>
      </c>
      <c r="F229" t="s">
        <v>1797</v>
      </c>
      <c r="G229" t="s">
        <v>1797</v>
      </c>
      <c r="H229">
        <v>0.65872148783573403</v>
      </c>
      <c r="I229">
        <v>134.980785</v>
      </c>
      <c r="J229" t="s">
        <v>1797</v>
      </c>
      <c r="K229" t="s">
        <v>1797</v>
      </c>
      <c r="L229">
        <v>0.76379205311247711</v>
      </c>
      <c r="M229">
        <v>10.99</v>
      </c>
      <c r="N229">
        <v>6.91</v>
      </c>
    </row>
    <row r="230" spans="1:14" x14ac:dyDescent="0.25">
      <c r="A230" s="1" t="s">
        <v>242</v>
      </c>
      <c r="B230" t="str">
        <f>HYPERLINK("https://www.suredividend.com/sure-analysis-research-database/","Cathay General Bancorp")</f>
        <v>Cathay General Bancorp</v>
      </c>
      <c r="C230" t="s">
        <v>1800</v>
      </c>
      <c r="D230">
        <v>37.229999999999997</v>
      </c>
      <c r="E230">
        <v>3.5540713765478002E-2</v>
      </c>
      <c r="F230">
        <v>0</v>
      </c>
      <c r="G230">
        <v>1.8646376444729999E-2</v>
      </c>
      <c r="H230">
        <v>1.3231807734887779</v>
      </c>
      <c r="I230">
        <v>2701.5274519999998</v>
      </c>
      <c r="J230">
        <v>7.0012606858133584</v>
      </c>
      <c r="K230">
        <v>0.25155528013094641</v>
      </c>
      <c r="L230">
        <v>1.1797914055105669</v>
      </c>
      <c r="M230">
        <v>44.69</v>
      </c>
      <c r="N230">
        <v>26.13</v>
      </c>
    </row>
    <row r="231" spans="1:14" x14ac:dyDescent="0.25">
      <c r="A231" s="1" t="s">
        <v>243</v>
      </c>
      <c r="B231" t="str">
        <f>HYPERLINK("https://www.suredividend.com/sure-analysis-research-database/","Colony Bankcorp, Inc.")</f>
        <v>Colony Bankcorp, Inc.</v>
      </c>
      <c r="C231" t="s">
        <v>1800</v>
      </c>
      <c r="D231">
        <v>10.42</v>
      </c>
      <c r="E231">
        <v>3.1002613511700999E-2</v>
      </c>
      <c r="F231">
        <v>2.325581395348841E-2</v>
      </c>
      <c r="G231">
        <v>7.9608473046602901E-2</v>
      </c>
      <c r="H231">
        <v>0.32304723279193298</v>
      </c>
      <c r="I231">
        <v>183.045806</v>
      </c>
      <c r="J231">
        <v>0</v>
      </c>
      <c r="K231" t="s">
        <v>1797</v>
      </c>
      <c r="L231">
        <v>0.63416238642024503</v>
      </c>
      <c r="M231">
        <v>13.49</v>
      </c>
      <c r="N231">
        <v>8.2200000000000006</v>
      </c>
    </row>
    <row r="232" spans="1:14" x14ac:dyDescent="0.25">
      <c r="A232" s="1" t="s">
        <v>244</v>
      </c>
      <c r="B232" t="str">
        <f>HYPERLINK("https://www.suredividend.com/sure-analysis-research-database/","CBL&amp; Associates Properties, Inc.")</f>
        <v>CBL&amp; Associates Properties, Inc.</v>
      </c>
      <c r="C232" t="s">
        <v>1799</v>
      </c>
      <c r="D232">
        <v>21.68</v>
      </c>
      <c r="E232">
        <v>6.1165876538248003E-2</v>
      </c>
      <c r="F232" t="s">
        <v>1797</v>
      </c>
      <c r="G232" t="s">
        <v>1797</v>
      </c>
      <c r="H232">
        <v>1.3260762033492359</v>
      </c>
      <c r="I232">
        <v>694.93984699999999</v>
      </c>
      <c r="J232" t="s">
        <v>1797</v>
      </c>
      <c r="K232" t="s">
        <v>1797</v>
      </c>
      <c r="L232">
        <v>0.72347273780123611</v>
      </c>
      <c r="M232">
        <v>27.34</v>
      </c>
      <c r="N232">
        <v>19.899999999999999</v>
      </c>
    </row>
    <row r="233" spans="1:14" x14ac:dyDescent="0.25">
      <c r="A233" s="1" t="s">
        <v>245</v>
      </c>
      <c r="B233" t="str">
        <f>HYPERLINK("https://www.suredividend.com/sure-analysis-research-database/","Capital Bancorp Inc")</f>
        <v>Capital Bancorp Inc</v>
      </c>
      <c r="C233" t="s">
        <v>1800</v>
      </c>
      <c r="D233">
        <v>20.94</v>
      </c>
      <c r="E233">
        <v>1.3239619021193E-2</v>
      </c>
      <c r="F233" t="s">
        <v>1797</v>
      </c>
      <c r="G233" t="s">
        <v>1797</v>
      </c>
      <c r="H233">
        <v>0.27723762230379601</v>
      </c>
      <c r="I233">
        <v>291.925545</v>
      </c>
      <c r="J233">
        <v>0</v>
      </c>
      <c r="K233" t="s">
        <v>1797</v>
      </c>
      <c r="L233">
        <v>0.68601603259551303</v>
      </c>
      <c r="M233">
        <v>24.44</v>
      </c>
      <c r="N233">
        <v>15.02</v>
      </c>
    </row>
    <row r="234" spans="1:14" x14ac:dyDescent="0.25">
      <c r="A234" s="1" t="s">
        <v>246</v>
      </c>
      <c r="B234" t="str">
        <f>HYPERLINK("https://www.suredividend.com/sure-analysis-CBRL/","Cracker Barrel Old Country Store Inc")</f>
        <v>Cracker Barrel Old Country Store Inc</v>
      </c>
      <c r="C234" t="s">
        <v>1801</v>
      </c>
      <c r="D234">
        <v>68.69</v>
      </c>
      <c r="E234">
        <v>7.5702431212694724E-2</v>
      </c>
      <c r="F234" t="s">
        <v>1797</v>
      </c>
      <c r="G234" t="s">
        <v>1797</v>
      </c>
      <c r="H234">
        <v>4.9808130581867758</v>
      </c>
      <c r="I234">
        <v>1522.0100090000001</v>
      </c>
      <c r="J234">
        <v>15.366077827864711</v>
      </c>
      <c r="K234">
        <v>1.1192838333003989</v>
      </c>
      <c r="L234">
        <v>0.82302342061421407</v>
      </c>
      <c r="M234">
        <v>112.49</v>
      </c>
      <c r="N234">
        <v>60.45</v>
      </c>
    </row>
    <row r="235" spans="1:14" x14ac:dyDescent="0.25">
      <c r="A235" s="1" t="s">
        <v>247</v>
      </c>
      <c r="B235" t="str">
        <f>HYPERLINK("https://www.suredividend.com/sure-analysis-research-database/","Cabot Corp.")</f>
        <v>Cabot Corp.</v>
      </c>
      <c r="C235" t="s">
        <v>1808</v>
      </c>
      <c r="D235">
        <v>67.900000000000006</v>
      </c>
      <c r="E235">
        <v>2.2496205266799001E-2</v>
      </c>
      <c r="F235">
        <v>8.1081081081081141E-2</v>
      </c>
      <c r="G235">
        <v>3.9224101567206349E-2</v>
      </c>
      <c r="H235">
        <v>1.527492337615695</v>
      </c>
      <c r="I235">
        <v>3798.1212139999998</v>
      </c>
      <c r="J235">
        <v>12.61834290232558</v>
      </c>
      <c r="K235">
        <v>0.28766334041726838</v>
      </c>
      <c r="L235">
        <v>1.4227479922529349</v>
      </c>
      <c r="M235">
        <v>82.78</v>
      </c>
      <c r="N235">
        <v>63.36</v>
      </c>
    </row>
    <row r="236" spans="1:14" x14ac:dyDescent="0.25">
      <c r="A236" s="1" t="s">
        <v>248</v>
      </c>
      <c r="B236" t="str">
        <f>HYPERLINK("https://www.suredividend.com/sure-analysis-CBU/","Community Bank System, Inc.")</f>
        <v>Community Bank System, Inc.</v>
      </c>
      <c r="C236" t="s">
        <v>1800</v>
      </c>
      <c r="D236">
        <v>43.8</v>
      </c>
      <c r="E236">
        <v>4.1095890410958909E-2</v>
      </c>
      <c r="F236">
        <v>2.2727272727272711E-2</v>
      </c>
      <c r="G236">
        <v>3.4393501436834388E-2</v>
      </c>
      <c r="H236">
        <v>1.7453276805911611</v>
      </c>
      <c r="I236">
        <v>2344.4743659999999</v>
      </c>
      <c r="J236">
        <v>15.14400928610185</v>
      </c>
      <c r="K236">
        <v>0.60812811170423731</v>
      </c>
      <c r="L236">
        <v>1.1341408961279269</v>
      </c>
      <c r="M236">
        <v>63.69</v>
      </c>
      <c r="N236">
        <v>35.380000000000003</v>
      </c>
    </row>
    <row r="237" spans="1:14" x14ac:dyDescent="0.25">
      <c r="A237" s="1" t="s">
        <v>249</v>
      </c>
      <c r="B237" t="str">
        <f>HYPERLINK("https://www.suredividend.com/sure-analysis-research-database/","Cbiz Inc")</f>
        <v>Cbiz Inc</v>
      </c>
      <c r="C237" t="s">
        <v>1798</v>
      </c>
      <c r="D237">
        <v>54.85</v>
      </c>
      <c r="E237">
        <v>0</v>
      </c>
      <c r="F237" t="s">
        <v>1797</v>
      </c>
      <c r="G237" t="s">
        <v>1797</v>
      </c>
      <c r="H237">
        <v>0</v>
      </c>
      <c r="I237">
        <v>2733.8244850000001</v>
      </c>
      <c r="J237">
        <v>22.370441015653771</v>
      </c>
      <c r="K237">
        <v>0</v>
      </c>
      <c r="L237">
        <v>0.87265113748343204</v>
      </c>
      <c r="M237">
        <v>56.96</v>
      </c>
      <c r="N237">
        <v>45.22</v>
      </c>
    </row>
    <row r="238" spans="1:14" x14ac:dyDescent="0.25">
      <c r="A238" s="1" t="s">
        <v>250</v>
      </c>
      <c r="B238" t="str">
        <f>HYPERLINK("https://www.suredividend.com/sure-analysis-research-database/","Coastal Financial Corp")</f>
        <v>Coastal Financial Corp</v>
      </c>
      <c r="C238" t="s">
        <v>1800</v>
      </c>
      <c r="D238">
        <v>40.47</v>
      </c>
      <c r="E238">
        <v>0</v>
      </c>
      <c r="F238" t="s">
        <v>1797</v>
      </c>
      <c r="G238" t="s">
        <v>1797</v>
      </c>
      <c r="H238">
        <v>0</v>
      </c>
      <c r="I238">
        <v>538.31894899999998</v>
      </c>
      <c r="J238">
        <v>10.87161622768398</v>
      </c>
      <c r="K238">
        <v>0</v>
      </c>
      <c r="L238">
        <v>1.1660151982043929</v>
      </c>
      <c r="M238">
        <v>54.53</v>
      </c>
      <c r="N238">
        <v>29.91</v>
      </c>
    </row>
    <row r="239" spans="1:14" x14ac:dyDescent="0.25">
      <c r="A239" s="1" t="s">
        <v>251</v>
      </c>
      <c r="B239" t="str">
        <f>HYPERLINK("https://www.suredividend.com/sure-analysis-research-database/","Capital City Bank Group, Inc.")</f>
        <v>Capital City Bank Group, Inc.</v>
      </c>
      <c r="C239" t="s">
        <v>1800</v>
      </c>
      <c r="D239">
        <v>29.61</v>
      </c>
      <c r="E239">
        <v>2.4249539718902001E-2</v>
      </c>
      <c r="F239">
        <v>0.17647058823529421</v>
      </c>
      <c r="G239">
        <v>0.17316067631184101</v>
      </c>
      <c r="H239">
        <v>0.71802887107669511</v>
      </c>
      <c r="I239">
        <v>503.12228299999998</v>
      </c>
      <c r="J239">
        <v>9.5862030855117766</v>
      </c>
      <c r="K239">
        <v>0.2331262568430828</v>
      </c>
      <c r="L239">
        <v>0.708393661709249</v>
      </c>
      <c r="M239">
        <v>35.93</v>
      </c>
      <c r="N239">
        <v>26.12</v>
      </c>
    </row>
    <row r="240" spans="1:14" x14ac:dyDescent="0.25">
      <c r="A240" s="1" t="s">
        <v>252</v>
      </c>
      <c r="B240" t="str">
        <f>HYPERLINK("https://www.suredividend.com/sure-analysis-research-database/","C4 Therapeutics Inc")</f>
        <v>C4 Therapeutics Inc</v>
      </c>
      <c r="C240" t="s">
        <v>1797</v>
      </c>
      <c r="D240">
        <v>1.56</v>
      </c>
      <c r="E240">
        <v>0</v>
      </c>
      <c r="F240" t="s">
        <v>1797</v>
      </c>
      <c r="G240" t="s">
        <v>1797</v>
      </c>
      <c r="H240">
        <v>0</v>
      </c>
      <c r="I240">
        <v>76.878432000000004</v>
      </c>
      <c r="J240" t="s">
        <v>1797</v>
      </c>
      <c r="K240">
        <v>0</v>
      </c>
      <c r="L240">
        <v>1.65838238684614</v>
      </c>
      <c r="M240">
        <v>10.08</v>
      </c>
      <c r="N240">
        <v>1.23</v>
      </c>
    </row>
    <row r="241" spans="1:14" x14ac:dyDescent="0.25">
      <c r="A241" s="1" t="s">
        <v>253</v>
      </c>
      <c r="B241" t="str">
        <f>HYPERLINK("https://www.suredividend.com/sure-analysis-research-database/","Chase Corp.")</f>
        <v>Chase Corp.</v>
      </c>
      <c r="C241" t="s">
        <v>1808</v>
      </c>
      <c r="D241">
        <v>126.96</v>
      </c>
      <c r="E241">
        <v>7.8764965343410005E-3</v>
      </c>
      <c r="F241" t="s">
        <v>1797</v>
      </c>
      <c r="G241" t="s">
        <v>1797</v>
      </c>
      <c r="H241">
        <v>1</v>
      </c>
      <c r="I241">
        <v>1207.1970020000001</v>
      </c>
      <c r="J241">
        <v>0</v>
      </c>
      <c r="K241" t="s">
        <v>1797</v>
      </c>
      <c r="L241">
        <v>0.77568821324488701</v>
      </c>
      <c r="M241">
        <v>135.27000000000001</v>
      </c>
      <c r="N241">
        <v>81.180000000000007</v>
      </c>
    </row>
    <row r="242" spans="1:14" x14ac:dyDescent="0.25">
      <c r="A242" s="1" t="s">
        <v>254</v>
      </c>
      <c r="B242" t="str">
        <f>HYPERLINK("https://www.suredividend.com/sure-analysis-research-database/","CNB Financial Corp (PA)")</f>
        <v>CNB Financial Corp (PA)</v>
      </c>
      <c r="C242" t="s">
        <v>1800</v>
      </c>
      <c r="D242">
        <v>20</v>
      </c>
      <c r="E242">
        <v>3.4101945770367001E-2</v>
      </c>
      <c r="F242">
        <v>0</v>
      </c>
      <c r="G242">
        <v>5.8143454444143927E-3</v>
      </c>
      <c r="H242">
        <v>0.68203891540734207</v>
      </c>
      <c r="I242">
        <v>417.95612</v>
      </c>
      <c r="J242">
        <v>7.5488308920476097</v>
      </c>
      <c r="K242">
        <v>0.25933038608644188</v>
      </c>
      <c r="L242">
        <v>0.90351292224594304</v>
      </c>
      <c r="M242">
        <v>25.22</v>
      </c>
      <c r="N242">
        <v>15.85</v>
      </c>
    </row>
    <row r="243" spans="1:14" x14ac:dyDescent="0.25">
      <c r="A243" s="1" t="s">
        <v>255</v>
      </c>
      <c r="B243" t="str">
        <f>HYPERLINK("https://www.suredividend.com/sure-analysis-research-database/","Clear Channel Outdoor Holdings Inc.")</f>
        <v>Clear Channel Outdoor Holdings Inc.</v>
      </c>
      <c r="C243" t="s">
        <v>1806</v>
      </c>
      <c r="D243">
        <v>1.1299999999999999</v>
      </c>
      <c r="E243">
        <v>0</v>
      </c>
      <c r="F243" t="s">
        <v>1797</v>
      </c>
      <c r="G243" t="s">
        <v>1797</v>
      </c>
      <c r="H243">
        <v>0</v>
      </c>
      <c r="I243">
        <v>545.69299899999999</v>
      </c>
      <c r="J243" t="s">
        <v>1797</v>
      </c>
      <c r="K243">
        <v>0</v>
      </c>
      <c r="L243">
        <v>2.2580241163437589</v>
      </c>
      <c r="M243">
        <v>2.14</v>
      </c>
      <c r="N243">
        <v>0.95010000000000006</v>
      </c>
    </row>
    <row r="244" spans="1:14" x14ac:dyDescent="0.25">
      <c r="A244" s="1" t="s">
        <v>256</v>
      </c>
      <c r="B244" t="str">
        <f>HYPERLINK("https://www.suredividend.com/sure-analysis-CCOI/","Cogent Communications Holdings Inc")</f>
        <v>Cogent Communications Holdings Inc</v>
      </c>
      <c r="C244" t="s">
        <v>1806</v>
      </c>
      <c r="D244">
        <v>66.790000000000006</v>
      </c>
      <c r="E244">
        <v>5.6595298697409778E-2</v>
      </c>
      <c r="F244">
        <v>4.4198895027624419E-2</v>
      </c>
      <c r="G244">
        <v>0.11032151746146</v>
      </c>
      <c r="H244">
        <v>3.6048052042804608</v>
      </c>
      <c r="I244">
        <v>3266.0309999999999</v>
      </c>
      <c r="J244">
        <v>2.90868196812414</v>
      </c>
      <c r="K244">
        <v>0.1522942629607292</v>
      </c>
      <c r="L244">
        <v>0.61344407781451005</v>
      </c>
      <c r="M244">
        <v>71.87</v>
      </c>
      <c r="N244">
        <v>49.43</v>
      </c>
    </row>
    <row r="245" spans="1:14" x14ac:dyDescent="0.25">
      <c r="A245" s="1" t="s">
        <v>257</v>
      </c>
      <c r="B245" t="str">
        <f>HYPERLINK("https://www.suredividend.com/sure-analysis-research-database/","Cross Country Healthcares, Inc.")</f>
        <v>Cross Country Healthcares, Inc.</v>
      </c>
      <c r="C245" t="s">
        <v>1798</v>
      </c>
      <c r="D245">
        <v>19.37</v>
      </c>
      <c r="E245">
        <v>0</v>
      </c>
      <c r="F245" t="s">
        <v>1797</v>
      </c>
      <c r="G245" t="s">
        <v>1797</v>
      </c>
      <c r="H245">
        <v>0</v>
      </c>
      <c r="I245">
        <v>693.49587799999995</v>
      </c>
      <c r="J245">
        <v>6.7734790372519154</v>
      </c>
      <c r="K245">
        <v>0</v>
      </c>
      <c r="L245">
        <v>0.29530133583036999</v>
      </c>
      <c r="M245">
        <v>36.9</v>
      </c>
      <c r="N245">
        <v>15.65</v>
      </c>
    </row>
    <row r="246" spans="1:14" x14ac:dyDescent="0.25">
      <c r="A246" s="1" t="s">
        <v>258</v>
      </c>
      <c r="B246" t="str">
        <f>HYPERLINK("https://www.suredividend.com/sure-analysis-research-database/","Century Communities Inc")</f>
        <v>Century Communities Inc</v>
      </c>
      <c r="C246" t="s">
        <v>1801</v>
      </c>
      <c r="D246">
        <v>69.84</v>
      </c>
      <c r="E246">
        <v>1.2680140762876E-2</v>
      </c>
      <c r="F246" t="s">
        <v>1797</v>
      </c>
      <c r="G246" t="s">
        <v>1797</v>
      </c>
      <c r="H246">
        <v>0.88558103087931705</v>
      </c>
      <c r="I246">
        <v>2219.1391119999998</v>
      </c>
      <c r="J246">
        <v>8.9700240974959087</v>
      </c>
      <c r="K246">
        <v>0.1153100300624111</v>
      </c>
      <c r="L246">
        <v>1.368254163946856</v>
      </c>
      <c r="M246">
        <v>82.43</v>
      </c>
      <c r="N246">
        <v>41.97</v>
      </c>
    </row>
    <row r="247" spans="1:14" x14ac:dyDescent="0.25">
      <c r="A247" s="1" t="s">
        <v>259</v>
      </c>
      <c r="B247" t="str">
        <f>HYPERLINK("https://www.suredividend.com/sure-analysis-research-database/","Consensus Cloud Solutions Inc")</f>
        <v>Consensus Cloud Solutions Inc</v>
      </c>
      <c r="C247" t="s">
        <v>1797</v>
      </c>
      <c r="D247">
        <v>22.36</v>
      </c>
      <c r="E247">
        <v>0</v>
      </c>
      <c r="F247" t="s">
        <v>1797</v>
      </c>
      <c r="G247" t="s">
        <v>1797</v>
      </c>
      <c r="H247">
        <v>0</v>
      </c>
      <c r="I247">
        <v>439.33520499999997</v>
      </c>
      <c r="J247">
        <v>6.4371458666666657</v>
      </c>
      <c r="K247">
        <v>0</v>
      </c>
      <c r="L247">
        <v>1.0651002858873939</v>
      </c>
      <c r="M247">
        <v>65.680000000000007</v>
      </c>
      <c r="N247">
        <v>20.059999999999999</v>
      </c>
    </row>
    <row r="248" spans="1:14" x14ac:dyDescent="0.25">
      <c r="A248" s="1" t="s">
        <v>260</v>
      </c>
      <c r="B248" t="str">
        <f>HYPERLINK("https://www.suredividend.com/sure-analysis-research-database/","Coeur Mining Inc")</f>
        <v>Coeur Mining Inc</v>
      </c>
      <c r="C248" t="s">
        <v>1808</v>
      </c>
      <c r="D248">
        <v>2.58</v>
      </c>
      <c r="E248">
        <v>0</v>
      </c>
      <c r="F248" t="s">
        <v>1797</v>
      </c>
      <c r="G248" t="s">
        <v>1797</v>
      </c>
      <c r="H248">
        <v>0</v>
      </c>
      <c r="I248">
        <v>911.16235900000004</v>
      </c>
      <c r="J248" t="s">
        <v>1797</v>
      </c>
      <c r="K248">
        <v>0</v>
      </c>
      <c r="L248">
        <v>0.79096119451669911</v>
      </c>
      <c r="M248">
        <v>4.55</v>
      </c>
      <c r="N248">
        <v>2.02</v>
      </c>
    </row>
    <row r="249" spans="1:14" x14ac:dyDescent="0.25">
      <c r="A249" s="1" t="s">
        <v>261</v>
      </c>
      <c r="B249" t="str">
        <f>HYPERLINK("https://www.suredividend.com/sure-analysis-research-database/","Cardlytics Inc")</f>
        <v>Cardlytics Inc</v>
      </c>
      <c r="C249" t="s">
        <v>1806</v>
      </c>
      <c r="D249">
        <v>13.87</v>
      </c>
      <c r="E249">
        <v>0</v>
      </c>
      <c r="F249" t="s">
        <v>1797</v>
      </c>
      <c r="G249" t="s">
        <v>1797</v>
      </c>
      <c r="H249">
        <v>0</v>
      </c>
      <c r="I249">
        <v>523.234779</v>
      </c>
      <c r="J249" t="s">
        <v>1797</v>
      </c>
      <c r="K249">
        <v>0</v>
      </c>
      <c r="L249">
        <v>3.6329374836617538</v>
      </c>
      <c r="M249">
        <v>19.57</v>
      </c>
      <c r="N249">
        <v>2.57</v>
      </c>
    </row>
    <row r="250" spans="1:14" x14ac:dyDescent="0.25">
      <c r="A250" s="1" t="s">
        <v>262</v>
      </c>
      <c r="B250" t="str">
        <f>HYPERLINK("https://www.suredividend.com/sure-analysis-research-database/","Avid Bioservices Inc")</f>
        <v>Avid Bioservices Inc</v>
      </c>
      <c r="C250" t="s">
        <v>1802</v>
      </c>
      <c r="D250">
        <v>6.49</v>
      </c>
      <c r="E250">
        <v>0</v>
      </c>
      <c r="F250" t="s">
        <v>1797</v>
      </c>
      <c r="G250" t="s">
        <v>1797</v>
      </c>
      <c r="H250">
        <v>0</v>
      </c>
      <c r="I250">
        <v>409.60294199999998</v>
      </c>
      <c r="J250" t="s">
        <v>1797</v>
      </c>
      <c r="K250">
        <v>0</v>
      </c>
      <c r="L250">
        <v>1.6696173138700949</v>
      </c>
      <c r="M250">
        <v>21.05</v>
      </c>
      <c r="N250">
        <v>5.8</v>
      </c>
    </row>
    <row r="251" spans="1:14" x14ac:dyDescent="0.25">
      <c r="A251" s="1" t="s">
        <v>263</v>
      </c>
      <c r="B251" t="str">
        <f>HYPERLINK("https://www.suredividend.com/sure-analysis-research-database/","Caredx Inc")</f>
        <v>Caredx Inc</v>
      </c>
      <c r="C251" t="s">
        <v>1802</v>
      </c>
      <c r="D251">
        <v>6.31</v>
      </c>
      <c r="E251">
        <v>0</v>
      </c>
      <c r="F251" t="s">
        <v>1797</v>
      </c>
      <c r="G251" t="s">
        <v>1797</v>
      </c>
      <c r="H251">
        <v>0</v>
      </c>
      <c r="I251">
        <v>341.805431</v>
      </c>
      <c r="J251">
        <v>0</v>
      </c>
      <c r="K251" t="s">
        <v>1797</v>
      </c>
      <c r="L251">
        <v>1.084624690368752</v>
      </c>
      <c r="M251">
        <v>18.04</v>
      </c>
      <c r="N251">
        <v>4.8</v>
      </c>
    </row>
    <row r="252" spans="1:14" x14ac:dyDescent="0.25">
      <c r="A252" s="1" t="s">
        <v>264</v>
      </c>
      <c r="B252" t="str">
        <f>HYPERLINK("https://www.suredividend.com/sure-analysis-research-database/","Cadre Holdings Inc")</f>
        <v>Cadre Holdings Inc</v>
      </c>
      <c r="C252" t="s">
        <v>1797</v>
      </c>
      <c r="D252">
        <v>28.6</v>
      </c>
      <c r="E252">
        <v>1.1135847648944E-2</v>
      </c>
      <c r="F252" t="s">
        <v>1797</v>
      </c>
      <c r="G252" t="s">
        <v>1797</v>
      </c>
      <c r="H252">
        <v>0.31848524275981799</v>
      </c>
      <c r="I252">
        <v>1071.655442</v>
      </c>
      <c r="J252">
        <v>36.285482562470378</v>
      </c>
      <c r="K252">
        <v>0.40396403191250391</v>
      </c>
      <c r="L252">
        <v>0.45522504450981299</v>
      </c>
      <c r="M252">
        <v>30.05</v>
      </c>
      <c r="N252">
        <v>16.41</v>
      </c>
    </row>
    <row r="253" spans="1:14" x14ac:dyDescent="0.25">
      <c r="A253" s="1" t="s">
        <v>265</v>
      </c>
      <c r="B253" t="str">
        <f>HYPERLINK("https://www.suredividend.com/sure-analysis-research-database/","Codexis Inc.")</f>
        <v>Codexis Inc.</v>
      </c>
      <c r="C253" t="s">
        <v>1802</v>
      </c>
      <c r="D253">
        <v>1.93</v>
      </c>
      <c r="E253">
        <v>0</v>
      </c>
      <c r="F253" t="s">
        <v>1797</v>
      </c>
      <c r="G253" t="s">
        <v>1797</v>
      </c>
      <c r="H253">
        <v>0</v>
      </c>
      <c r="I253">
        <v>134.72170800000001</v>
      </c>
      <c r="J253">
        <v>0</v>
      </c>
      <c r="K253" t="s">
        <v>1797</v>
      </c>
      <c r="L253">
        <v>2.4574234821135801</v>
      </c>
      <c r="M253">
        <v>6.98</v>
      </c>
      <c r="N253">
        <v>1.45</v>
      </c>
    </row>
    <row r="254" spans="1:14" x14ac:dyDescent="0.25">
      <c r="A254" s="1" t="s">
        <v>266</v>
      </c>
      <c r="B254" t="str">
        <f>HYPERLINK("https://www.suredividend.com/sure-analysis-research-database/","Consol Energy Inc")</f>
        <v>Consol Energy Inc</v>
      </c>
      <c r="C254" t="s">
        <v>1807</v>
      </c>
      <c r="D254">
        <v>97.82</v>
      </c>
      <c r="E254">
        <v>3.2443934197313999E-2</v>
      </c>
      <c r="F254" t="s">
        <v>1797</v>
      </c>
      <c r="G254" t="s">
        <v>1797</v>
      </c>
      <c r="H254">
        <v>3.1736656431813031</v>
      </c>
      <c r="I254">
        <v>3033.3847009999999</v>
      </c>
      <c r="J254">
        <v>4.3845049893472794</v>
      </c>
      <c r="K254">
        <v>0.1585247574016635</v>
      </c>
      <c r="L254">
        <v>0.98710885446692509</v>
      </c>
      <c r="M254">
        <v>112.49</v>
      </c>
      <c r="N254">
        <v>48.47</v>
      </c>
    </row>
    <row r="255" spans="1:14" x14ac:dyDescent="0.25">
      <c r="A255" s="1" t="s">
        <v>267</v>
      </c>
      <c r="B255" t="str">
        <f>HYPERLINK("https://www.suredividend.com/sure-analysis-research-database/","Celsius Holdings Inc")</f>
        <v>Celsius Holdings Inc</v>
      </c>
      <c r="C255" t="s">
        <v>1804</v>
      </c>
      <c r="D255">
        <v>174.55</v>
      </c>
      <c r="E255">
        <v>0</v>
      </c>
      <c r="F255" t="s">
        <v>1797</v>
      </c>
      <c r="G255" t="s">
        <v>1797</v>
      </c>
      <c r="H255">
        <v>0</v>
      </c>
      <c r="I255">
        <v>13421.363673</v>
      </c>
      <c r="J255" t="s">
        <v>1797</v>
      </c>
      <c r="K255">
        <v>0</v>
      </c>
      <c r="L255">
        <v>1.639332809581374</v>
      </c>
      <c r="M255">
        <v>206.85</v>
      </c>
      <c r="N255">
        <v>78.25</v>
      </c>
    </row>
    <row r="256" spans="1:14" x14ac:dyDescent="0.25">
      <c r="A256" s="1" t="s">
        <v>268</v>
      </c>
      <c r="B256" t="str">
        <f>HYPERLINK("https://www.suredividend.com/sure-analysis-research-database/","PhenomeX Inc")</f>
        <v>PhenomeX Inc</v>
      </c>
      <c r="C256" t="s">
        <v>1797</v>
      </c>
      <c r="D256">
        <v>0.9981000000000001</v>
      </c>
      <c r="E256">
        <v>0</v>
      </c>
      <c r="F256" t="s">
        <v>1797</v>
      </c>
      <c r="G256" t="s">
        <v>1797</v>
      </c>
      <c r="H256">
        <v>0</v>
      </c>
      <c r="I256">
        <v>0</v>
      </c>
      <c r="J256">
        <v>0</v>
      </c>
      <c r="K256" t="s">
        <v>1797</v>
      </c>
    </row>
    <row r="257" spans="1:14" x14ac:dyDescent="0.25">
      <c r="A257" s="1" t="s">
        <v>269</v>
      </c>
      <c r="B257" t="str">
        <f>HYPERLINK("https://www.suredividend.com/sure-analysis-research-database/","Celularity Inc")</f>
        <v>Celularity Inc</v>
      </c>
      <c r="C257" t="s">
        <v>1797</v>
      </c>
      <c r="D257">
        <v>0.23400000000000001</v>
      </c>
      <c r="E257">
        <v>0</v>
      </c>
      <c r="F257" t="s">
        <v>1797</v>
      </c>
      <c r="G257" t="s">
        <v>1797</v>
      </c>
      <c r="H257">
        <v>0</v>
      </c>
      <c r="I257">
        <v>44.681876000000003</v>
      </c>
      <c r="J257" t="s">
        <v>1797</v>
      </c>
      <c r="K257">
        <v>0</v>
      </c>
      <c r="L257">
        <v>1.8928770961816861</v>
      </c>
      <c r="M257">
        <v>2.46</v>
      </c>
      <c r="N257">
        <v>0.19</v>
      </c>
    </row>
    <row r="258" spans="1:14" x14ac:dyDescent="0.25">
      <c r="A258" s="1" t="s">
        <v>270</v>
      </c>
      <c r="B258" t="str">
        <f>HYPERLINK("https://www.suredividend.com/sure-analysis-research-database/","Cenntro Electric Group Limited")</f>
        <v>Cenntro Electric Group Limited</v>
      </c>
      <c r="C258" t="s">
        <v>1797</v>
      </c>
      <c r="D258">
        <v>0.19500000000000001</v>
      </c>
      <c r="E258">
        <v>0</v>
      </c>
      <c r="F258" t="s">
        <v>1797</v>
      </c>
      <c r="G258" t="s">
        <v>1797</v>
      </c>
      <c r="H258">
        <v>0</v>
      </c>
      <c r="I258">
        <v>59.367573</v>
      </c>
      <c r="J258" t="s">
        <v>1797</v>
      </c>
      <c r="K258">
        <v>0</v>
      </c>
      <c r="L258">
        <v>2.4931991480393472</v>
      </c>
      <c r="M258">
        <v>1.03</v>
      </c>
      <c r="N258">
        <v>0.15</v>
      </c>
    </row>
    <row r="259" spans="1:14" x14ac:dyDescent="0.25">
      <c r="A259" s="1" t="s">
        <v>271</v>
      </c>
      <c r="B259" t="str">
        <f>HYPERLINK("https://www.suredividend.com/sure-analysis-research-database/","Central Garden &amp; Pet Co.")</f>
        <v>Central Garden &amp; Pet Co.</v>
      </c>
      <c r="C259" t="s">
        <v>1804</v>
      </c>
      <c r="D259">
        <v>44.85</v>
      </c>
      <c r="E259">
        <v>0</v>
      </c>
      <c r="F259" t="s">
        <v>1797</v>
      </c>
      <c r="G259" t="s">
        <v>1797</v>
      </c>
      <c r="H259">
        <v>0</v>
      </c>
      <c r="I259">
        <v>2163.7131730000001</v>
      </c>
      <c r="J259">
        <v>17.90886435249714</v>
      </c>
      <c r="K259">
        <v>0</v>
      </c>
      <c r="L259">
        <v>0.61823886200276301</v>
      </c>
      <c r="M259">
        <v>48.48</v>
      </c>
      <c r="N259">
        <v>35.6</v>
      </c>
    </row>
    <row r="260" spans="1:14" x14ac:dyDescent="0.25">
      <c r="A260" s="1" t="s">
        <v>272</v>
      </c>
      <c r="B260" t="str">
        <f>HYPERLINK("https://www.suredividend.com/sure-analysis-research-database/","Central Garden &amp; Pet Co.")</f>
        <v>Central Garden &amp; Pet Co.</v>
      </c>
      <c r="C260" t="s">
        <v>1804</v>
      </c>
      <c r="D260">
        <v>40.659999999999997</v>
      </c>
      <c r="E260">
        <v>0</v>
      </c>
      <c r="F260" t="s">
        <v>1797</v>
      </c>
      <c r="G260" t="s">
        <v>1797</v>
      </c>
      <c r="H260">
        <v>0</v>
      </c>
      <c r="I260">
        <v>2163.7131730000001</v>
      </c>
      <c r="J260">
        <v>17.90886435249714</v>
      </c>
      <c r="K260">
        <v>0</v>
      </c>
      <c r="L260">
        <v>0.61905996555176102</v>
      </c>
      <c r="M260">
        <v>45.93</v>
      </c>
      <c r="N260">
        <v>33.770000000000003</v>
      </c>
    </row>
    <row r="261" spans="1:14" x14ac:dyDescent="0.25">
      <c r="A261" s="1" t="s">
        <v>273</v>
      </c>
      <c r="B261" t="str">
        <f>HYPERLINK("https://www.suredividend.com/sure-analysis-research-database/","Century Aluminum Co.")</f>
        <v>Century Aluminum Co.</v>
      </c>
      <c r="C261" t="s">
        <v>1808</v>
      </c>
      <c r="D261">
        <v>6.87</v>
      </c>
      <c r="E261">
        <v>0</v>
      </c>
      <c r="F261" t="s">
        <v>1797</v>
      </c>
      <c r="G261" t="s">
        <v>1797</v>
      </c>
      <c r="H261">
        <v>0</v>
      </c>
      <c r="I261">
        <v>634.684078</v>
      </c>
      <c r="J261" t="s">
        <v>1797</v>
      </c>
      <c r="K261">
        <v>0</v>
      </c>
      <c r="L261">
        <v>2.6377170979941988</v>
      </c>
      <c r="M261">
        <v>12.97</v>
      </c>
      <c r="N261">
        <v>5.7</v>
      </c>
    </row>
    <row r="262" spans="1:14" x14ac:dyDescent="0.25">
      <c r="A262" s="1" t="s">
        <v>274</v>
      </c>
      <c r="B262" t="str">
        <f>HYPERLINK("https://www.suredividend.com/sure-analysis-research-database/","Cerevel Therapeutics Holdings Inc")</f>
        <v>Cerevel Therapeutics Holdings Inc</v>
      </c>
      <c r="C262" t="s">
        <v>1797</v>
      </c>
      <c r="D262">
        <v>26.36</v>
      </c>
      <c r="E262">
        <v>0</v>
      </c>
      <c r="F262" t="s">
        <v>1797</v>
      </c>
      <c r="G262" t="s">
        <v>1797</v>
      </c>
      <c r="H262">
        <v>0</v>
      </c>
      <c r="I262">
        <v>4151.3740850000004</v>
      </c>
      <c r="J262">
        <v>0</v>
      </c>
      <c r="K262" t="s">
        <v>1797</v>
      </c>
      <c r="L262">
        <v>1.3851684334808689</v>
      </c>
      <c r="M262">
        <v>35.979999999999997</v>
      </c>
      <c r="N262">
        <v>19.59</v>
      </c>
    </row>
    <row r="263" spans="1:14" x14ac:dyDescent="0.25">
      <c r="A263" s="1" t="s">
        <v>275</v>
      </c>
      <c r="B263" t="str">
        <f>HYPERLINK("https://www.suredividend.com/sure-analysis-research-database/","Cerus Corp.")</f>
        <v>Cerus Corp.</v>
      </c>
      <c r="C263" t="s">
        <v>1802</v>
      </c>
      <c r="D263">
        <v>1.73</v>
      </c>
      <c r="E263">
        <v>0</v>
      </c>
      <c r="F263" t="s">
        <v>1797</v>
      </c>
      <c r="G263" t="s">
        <v>1797</v>
      </c>
      <c r="H263">
        <v>0</v>
      </c>
      <c r="I263">
        <v>313.41648800000002</v>
      </c>
      <c r="J263" t="s">
        <v>1797</v>
      </c>
      <c r="K263">
        <v>0</v>
      </c>
      <c r="L263">
        <v>1.937749934987701</v>
      </c>
      <c r="M263">
        <v>4.25</v>
      </c>
      <c r="N263">
        <v>1.21</v>
      </c>
    </row>
    <row r="264" spans="1:14" x14ac:dyDescent="0.25">
      <c r="A264" s="1" t="s">
        <v>276</v>
      </c>
      <c r="B264" t="str">
        <f>HYPERLINK("https://www.suredividend.com/sure-analysis-research-database/","Ceva Inc.")</f>
        <v>Ceva Inc.</v>
      </c>
      <c r="C264" t="s">
        <v>1803</v>
      </c>
      <c r="D264">
        <v>19.48</v>
      </c>
      <c r="E264">
        <v>0</v>
      </c>
      <c r="F264" t="s">
        <v>1797</v>
      </c>
      <c r="G264" t="s">
        <v>1797</v>
      </c>
      <c r="H264">
        <v>0</v>
      </c>
      <c r="I264">
        <v>460.37119100000001</v>
      </c>
      <c r="J264" t="s">
        <v>1797</v>
      </c>
      <c r="K264">
        <v>0</v>
      </c>
      <c r="L264">
        <v>1.5573148235942069</v>
      </c>
      <c r="M264">
        <v>36.29</v>
      </c>
      <c r="N264">
        <v>16.38</v>
      </c>
    </row>
    <row r="265" spans="1:14" x14ac:dyDescent="0.25">
      <c r="A265" s="1" t="s">
        <v>277</v>
      </c>
      <c r="B265" t="str">
        <f>HYPERLINK("https://www.suredividend.com/sure-analysis-research-database/","Crossfirst Bankshares Inc")</f>
        <v>Crossfirst Bankshares Inc</v>
      </c>
      <c r="C265" t="s">
        <v>1800</v>
      </c>
      <c r="D265">
        <v>11.6</v>
      </c>
      <c r="E265">
        <v>0</v>
      </c>
      <c r="F265" t="s">
        <v>1797</v>
      </c>
      <c r="G265" t="s">
        <v>1797</v>
      </c>
      <c r="H265">
        <v>0</v>
      </c>
      <c r="I265">
        <v>571.77548400000001</v>
      </c>
      <c r="J265">
        <v>0</v>
      </c>
      <c r="K265" t="s">
        <v>1797</v>
      </c>
      <c r="L265">
        <v>1.013798725054321</v>
      </c>
      <c r="M265">
        <v>14.66</v>
      </c>
      <c r="N265">
        <v>9.2899999999999991</v>
      </c>
    </row>
    <row r="266" spans="1:14" x14ac:dyDescent="0.25">
      <c r="A266" s="1" t="s">
        <v>278</v>
      </c>
      <c r="B266" t="str">
        <f>HYPERLINK("https://www.suredividend.com/sure-analysis-research-database/","Capitol Federal Financial")</f>
        <v>Capitol Federal Financial</v>
      </c>
      <c r="C266" t="s">
        <v>1800</v>
      </c>
      <c r="D266">
        <v>5.53</v>
      </c>
      <c r="E266">
        <v>5.8974093458051012E-2</v>
      </c>
      <c r="F266">
        <v>-0.6964285714285714</v>
      </c>
      <c r="G266">
        <v>0</v>
      </c>
      <c r="H266">
        <v>0.32612673682302301</v>
      </c>
      <c r="I266">
        <v>753.11393899999996</v>
      </c>
      <c r="J266">
        <v>12.94099145250533</v>
      </c>
      <c r="K266">
        <v>0.75196388476602027</v>
      </c>
      <c r="L266">
        <v>0.83883190178155409</v>
      </c>
      <c r="M266">
        <v>8.1999999999999993</v>
      </c>
      <c r="N266">
        <v>4.08</v>
      </c>
    </row>
    <row r="267" spans="1:14" x14ac:dyDescent="0.25">
      <c r="A267" s="1" t="s">
        <v>279</v>
      </c>
      <c r="B267" t="str">
        <f>HYPERLINK("https://www.suredividend.com/sure-analysis-research-database/","Cullinan Oncology Inc")</f>
        <v>Cullinan Oncology Inc</v>
      </c>
      <c r="C267" t="s">
        <v>1797</v>
      </c>
      <c r="D267">
        <v>9.92</v>
      </c>
      <c r="E267">
        <v>0</v>
      </c>
      <c r="F267" t="s">
        <v>1797</v>
      </c>
      <c r="G267" t="s">
        <v>1797</v>
      </c>
      <c r="H267">
        <v>0</v>
      </c>
      <c r="I267">
        <v>423.92766799999998</v>
      </c>
      <c r="J267">
        <v>0</v>
      </c>
      <c r="K267" t="s">
        <v>1797</v>
      </c>
      <c r="L267">
        <v>0.85015408019055405</v>
      </c>
      <c r="M267">
        <v>13.74</v>
      </c>
      <c r="N267">
        <v>7.78</v>
      </c>
    </row>
    <row r="268" spans="1:14" x14ac:dyDescent="0.25">
      <c r="A268" s="1" t="s">
        <v>280</v>
      </c>
      <c r="B268" t="str">
        <f>HYPERLINK("https://www.suredividend.com/sure-analysis-CHCO/","City Holding Co.")</f>
        <v>City Holding Co.</v>
      </c>
      <c r="C268" t="s">
        <v>1800</v>
      </c>
      <c r="D268">
        <v>96.91</v>
      </c>
      <c r="E268">
        <v>2.951191827468785E-2</v>
      </c>
      <c r="F268">
        <v>9.9999999999999867E-2</v>
      </c>
      <c r="G268">
        <v>6.171030936108779E-2</v>
      </c>
      <c r="H268">
        <v>2.607709213434648</v>
      </c>
      <c r="I268">
        <v>1454.294936</v>
      </c>
      <c r="J268">
        <v>12.750262458793619</v>
      </c>
      <c r="K268">
        <v>0.33954547049930311</v>
      </c>
      <c r="L268">
        <v>0.64681320953078403</v>
      </c>
      <c r="M268">
        <v>99.16</v>
      </c>
      <c r="N268">
        <v>80.099999999999994</v>
      </c>
    </row>
    <row r="269" spans="1:14" x14ac:dyDescent="0.25">
      <c r="A269" s="1" t="s">
        <v>281</v>
      </c>
      <c r="B269" t="str">
        <f>HYPERLINK("https://www.suredividend.com/sure-analysis-CHCT/","Community Healthcare Trust Inc")</f>
        <v>Community Healthcare Trust Inc</v>
      </c>
      <c r="C269" t="s">
        <v>1799</v>
      </c>
      <c r="D269">
        <v>27.94</v>
      </c>
      <c r="E269">
        <v>6.5139584824624189E-2</v>
      </c>
      <c r="F269">
        <v>2.2598870056497189E-2</v>
      </c>
      <c r="G269">
        <v>2.242794724178454E-2</v>
      </c>
      <c r="H269">
        <v>1.7621759872813381</v>
      </c>
      <c r="I269">
        <v>761.76862100000005</v>
      </c>
      <c r="J269">
        <v>135.32929849706881</v>
      </c>
      <c r="K269">
        <v>7.7153064241739839</v>
      </c>
      <c r="L269">
        <v>0.65321080089346906</v>
      </c>
      <c r="M269">
        <v>42.32</v>
      </c>
      <c r="N269">
        <v>25.81</v>
      </c>
    </row>
    <row r="270" spans="1:14" x14ac:dyDescent="0.25">
      <c r="A270" s="1" t="s">
        <v>282</v>
      </c>
      <c r="B270" t="str">
        <f>HYPERLINK("https://www.suredividend.com/sure-analysis-research-database/","Chefs` Warehouse Inc")</f>
        <v>Chefs` Warehouse Inc</v>
      </c>
      <c r="C270" t="s">
        <v>1804</v>
      </c>
      <c r="D270">
        <v>23.84</v>
      </c>
      <c r="E270">
        <v>0</v>
      </c>
      <c r="F270" t="s">
        <v>1797</v>
      </c>
      <c r="G270" t="s">
        <v>1797</v>
      </c>
      <c r="H270">
        <v>0</v>
      </c>
      <c r="I270">
        <v>946.44799999999998</v>
      </c>
      <c r="J270">
        <v>45.682401776233228</v>
      </c>
      <c r="K270">
        <v>0</v>
      </c>
      <c r="L270">
        <v>1.135861319601883</v>
      </c>
      <c r="M270">
        <v>39.54</v>
      </c>
      <c r="N270">
        <v>17.29</v>
      </c>
    </row>
    <row r="271" spans="1:14" x14ac:dyDescent="0.25">
      <c r="A271" s="1" t="s">
        <v>283</v>
      </c>
      <c r="B271" t="str">
        <f>HYPERLINK("https://www.suredividend.com/sure-analysis-research-database/","Chegg Inc")</f>
        <v>Chegg Inc</v>
      </c>
      <c r="C271" t="s">
        <v>1804</v>
      </c>
      <c r="D271">
        <v>8.35</v>
      </c>
      <c r="E271">
        <v>0</v>
      </c>
      <c r="F271" t="s">
        <v>1797</v>
      </c>
      <c r="G271" t="s">
        <v>1797</v>
      </c>
      <c r="H271">
        <v>0</v>
      </c>
      <c r="I271">
        <v>967.05468199999996</v>
      </c>
      <c r="J271">
        <v>93.228061525113262</v>
      </c>
      <c r="K271">
        <v>0</v>
      </c>
      <c r="L271">
        <v>1.102857161072186</v>
      </c>
      <c r="M271">
        <v>30.05</v>
      </c>
      <c r="N271">
        <v>7.32</v>
      </c>
    </row>
    <row r="272" spans="1:14" x14ac:dyDescent="0.25">
      <c r="A272" s="1" t="s">
        <v>284</v>
      </c>
      <c r="B272" t="str">
        <f>HYPERLINK("https://www.suredividend.com/sure-analysis-research-database/","Chord Energy Corp")</f>
        <v>Chord Energy Corp</v>
      </c>
      <c r="C272" t="s">
        <v>1797</v>
      </c>
      <c r="D272">
        <v>172.25</v>
      </c>
      <c r="E272">
        <v>2.8456628375088E-2</v>
      </c>
      <c r="F272" t="s">
        <v>1797</v>
      </c>
      <c r="G272" t="s">
        <v>1797</v>
      </c>
      <c r="H272">
        <v>4.9016542376089571</v>
      </c>
      <c r="I272">
        <v>7153.669621</v>
      </c>
      <c r="J272">
        <v>6.5090758400589612</v>
      </c>
      <c r="K272">
        <v>0.19598777439460041</v>
      </c>
      <c r="L272">
        <v>1.129744953457366</v>
      </c>
      <c r="M272">
        <v>175.2</v>
      </c>
      <c r="N272">
        <v>113.44</v>
      </c>
    </row>
    <row r="273" spans="1:14" x14ac:dyDescent="0.25">
      <c r="A273" s="1" t="s">
        <v>285</v>
      </c>
      <c r="B273" t="str">
        <f>HYPERLINK("https://www.suredividend.com/sure-analysis-research-database/","Coherus Biosciences Inc")</f>
        <v>Coherus Biosciences Inc</v>
      </c>
      <c r="C273" t="s">
        <v>1802</v>
      </c>
      <c r="D273">
        <v>3.61</v>
      </c>
      <c r="E273">
        <v>0</v>
      </c>
      <c r="F273" t="s">
        <v>1797</v>
      </c>
      <c r="G273" t="s">
        <v>1797</v>
      </c>
      <c r="H273">
        <v>0</v>
      </c>
      <c r="I273">
        <v>341.03125999999997</v>
      </c>
      <c r="J273" t="s">
        <v>1797</v>
      </c>
      <c r="K273">
        <v>0</v>
      </c>
      <c r="L273">
        <v>1.8017379605264441</v>
      </c>
      <c r="M273">
        <v>10.99</v>
      </c>
      <c r="N273">
        <v>2.56</v>
      </c>
    </row>
    <row r="274" spans="1:14" x14ac:dyDescent="0.25">
      <c r="A274" s="1" t="s">
        <v>286</v>
      </c>
      <c r="B274" t="str">
        <f>HYPERLINK("https://www.suredividend.com/sure-analysis-research-database/","Chico`s Fas, Inc.")</f>
        <v>Chico`s Fas, Inc.</v>
      </c>
      <c r="C274" t="s">
        <v>1801</v>
      </c>
      <c r="D274">
        <v>7.49</v>
      </c>
      <c r="E274">
        <v>0</v>
      </c>
      <c r="F274" t="s">
        <v>1797</v>
      </c>
      <c r="G274" t="s">
        <v>1797</v>
      </c>
      <c r="H274">
        <v>0</v>
      </c>
      <c r="I274">
        <v>924.54816300000005</v>
      </c>
      <c r="J274">
        <v>7.0470221367866639</v>
      </c>
      <c r="K274">
        <v>0</v>
      </c>
      <c r="L274">
        <v>1.3110238905892291</v>
      </c>
      <c r="M274">
        <v>7.53</v>
      </c>
      <c r="N274">
        <v>4.33</v>
      </c>
    </row>
    <row r="275" spans="1:14" x14ac:dyDescent="0.25">
      <c r="A275" s="1" t="s">
        <v>287</v>
      </c>
      <c r="B275" t="str">
        <f>HYPERLINK("https://www.suredividend.com/sure-analysis-research-database/","Chuy`s Holdings Inc")</f>
        <v>Chuy`s Holdings Inc</v>
      </c>
      <c r="C275" t="s">
        <v>1801</v>
      </c>
      <c r="D275">
        <v>34.020000000000003</v>
      </c>
      <c r="E275">
        <v>0</v>
      </c>
      <c r="F275" t="s">
        <v>1797</v>
      </c>
      <c r="G275" t="s">
        <v>1797</v>
      </c>
      <c r="H275">
        <v>0</v>
      </c>
      <c r="I275">
        <v>613.67160699999999</v>
      </c>
      <c r="J275">
        <v>23.22578181364015</v>
      </c>
      <c r="K275">
        <v>0</v>
      </c>
      <c r="L275">
        <v>0.7223095923844971</v>
      </c>
      <c r="M275">
        <v>43.17</v>
      </c>
      <c r="N275">
        <v>27.7</v>
      </c>
    </row>
    <row r="276" spans="1:14" x14ac:dyDescent="0.25">
      <c r="A276" s="1" t="s">
        <v>288</v>
      </c>
      <c r="B276" t="str">
        <f>HYPERLINK("https://www.suredividend.com/sure-analysis-research-database/","ChampionX Corp.")</f>
        <v>ChampionX Corp.</v>
      </c>
      <c r="C276" t="s">
        <v>1797</v>
      </c>
      <c r="D276">
        <v>31.29</v>
      </c>
      <c r="E276">
        <v>1.0491912818221E-2</v>
      </c>
      <c r="F276" t="s">
        <v>1797</v>
      </c>
      <c r="G276" t="s">
        <v>1797</v>
      </c>
      <c r="H276">
        <v>0.32829195208213802</v>
      </c>
      <c r="I276">
        <v>6095.2920000000004</v>
      </c>
      <c r="J276">
        <v>19.991315099853392</v>
      </c>
      <c r="K276">
        <v>0.21741188879611789</v>
      </c>
      <c r="L276">
        <v>1.029731641913106</v>
      </c>
      <c r="M276">
        <v>38.270000000000003</v>
      </c>
      <c r="N276">
        <v>23.4</v>
      </c>
    </row>
    <row r="277" spans="1:14" x14ac:dyDescent="0.25">
      <c r="A277" s="1" t="s">
        <v>289</v>
      </c>
      <c r="B277" t="str">
        <f>HYPERLINK("https://www.suredividend.com/sure-analysis-research-database/","Cipher Mining Inc")</f>
        <v>Cipher Mining Inc</v>
      </c>
      <c r="C277" t="s">
        <v>1797</v>
      </c>
      <c r="D277">
        <v>4.0999999999999996</v>
      </c>
      <c r="E277">
        <v>0</v>
      </c>
      <c r="F277" t="s">
        <v>1797</v>
      </c>
      <c r="G277" t="s">
        <v>1797</v>
      </c>
      <c r="H277">
        <v>0</v>
      </c>
      <c r="I277">
        <v>1028.9185460000001</v>
      </c>
      <c r="J277" t="s">
        <v>1797</v>
      </c>
      <c r="K277">
        <v>0</v>
      </c>
      <c r="L277">
        <v>2.1646949056695681</v>
      </c>
      <c r="M277">
        <v>5.3</v>
      </c>
      <c r="N277">
        <v>0.38179999999999997</v>
      </c>
    </row>
    <row r="278" spans="1:14" x14ac:dyDescent="0.25">
      <c r="A278" s="1" t="s">
        <v>290</v>
      </c>
      <c r="B278" t="str">
        <f>HYPERLINK("https://www.suredividend.com/sure-analysis-CIM/","Chimera Investment Corp")</f>
        <v>Chimera Investment Corp</v>
      </c>
      <c r="C278" t="s">
        <v>1799</v>
      </c>
      <c r="D278">
        <v>4.88</v>
      </c>
      <c r="E278">
        <v>0.1475409836065574</v>
      </c>
      <c r="F278">
        <v>-0.21739130434782619</v>
      </c>
      <c r="G278">
        <v>-0.1848068903940773</v>
      </c>
      <c r="H278">
        <v>0.77685645908396606</v>
      </c>
      <c r="I278">
        <v>1106.533295</v>
      </c>
      <c r="J278">
        <v>9.3013348033455223</v>
      </c>
      <c r="K278">
        <v>1.514044940721041</v>
      </c>
      <c r="L278">
        <v>1.2455188414206231</v>
      </c>
      <c r="M278">
        <v>7.03</v>
      </c>
      <c r="N278">
        <v>4.2</v>
      </c>
    </row>
    <row r="279" spans="1:14" x14ac:dyDescent="0.25">
      <c r="A279" s="1" t="s">
        <v>291</v>
      </c>
      <c r="B279" t="str">
        <f>HYPERLINK("https://www.suredividend.com/sure-analysis-CIO/","City Office REIT Inc")</f>
        <v>City Office REIT Inc</v>
      </c>
      <c r="C279" t="s">
        <v>1799</v>
      </c>
      <c r="D279">
        <v>4.25</v>
      </c>
      <c r="E279">
        <v>9.4117647058823528E-2</v>
      </c>
      <c r="F279">
        <v>-0.5</v>
      </c>
      <c r="G279">
        <v>-0.1570798659572398</v>
      </c>
      <c r="H279">
        <v>0.76095259933079507</v>
      </c>
      <c r="I279">
        <v>169.738417</v>
      </c>
      <c r="J279" t="s">
        <v>1797</v>
      </c>
      <c r="K279" t="s">
        <v>1797</v>
      </c>
      <c r="L279">
        <v>1.340152792069975</v>
      </c>
      <c r="M279">
        <v>9.7100000000000009</v>
      </c>
      <c r="N279">
        <v>3.46</v>
      </c>
    </row>
    <row r="280" spans="1:14" x14ac:dyDescent="0.25">
      <c r="A280" s="1" t="s">
        <v>292</v>
      </c>
      <c r="B280" t="str">
        <f>HYPERLINK("https://www.suredividend.com/sure-analysis-research-database/","Circor International Inc")</f>
        <v>Circor International Inc</v>
      </c>
      <c r="C280" t="s">
        <v>1798</v>
      </c>
      <c r="D280">
        <v>56</v>
      </c>
      <c r="E280">
        <v>0</v>
      </c>
      <c r="F280" t="s">
        <v>1797</v>
      </c>
      <c r="G280" t="s">
        <v>1797</v>
      </c>
      <c r="H280">
        <v>0</v>
      </c>
      <c r="I280">
        <v>1141.9390080000001</v>
      </c>
      <c r="J280">
        <v>40.884286563316749</v>
      </c>
      <c r="K280">
        <v>0</v>
      </c>
      <c r="L280">
        <v>1.3819348892034351</v>
      </c>
      <c r="M280">
        <v>56.48</v>
      </c>
      <c r="N280">
        <v>17.149999999999999</v>
      </c>
    </row>
    <row r="281" spans="1:14" x14ac:dyDescent="0.25">
      <c r="A281" s="1" t="s">
        <v>293</v>
      </c>
      <c r="B281" t="str">
        <f>HYPERLINK("https://www.suredividend.com/sure-analysis-research-database/","CISO Global Inc")</f>
        <v>CISO Global Inc</v>
      </c>
      <c r="C281" t="s">
        <v>1797</v>
      </c>
      <c r="D281">
        <v>0.111</v>
      </c>
      <c r="E281">
        <v>0</v>
      </c>
      <c r="F281" t="s">
        <v>1797</v>
      </c>
      <c r="G281" t="s">
        <v>1797</v>
      </c>
      <c r="H281">
        <v>0</v>
      </c>
      <c r="I281">
        <v>19.758710000000001</v>
      </c>
      <c r="J281" t="s">
        <v>1797</v>
      </c>
      <c r="K281">
        <v>0</v>
      </c>
      <c r="L281">
        <v>1.217385202038975</v>
      </c>
      <c r="M281">
        <v>3.32</v>
      </c>
      <c r="N281">
        <v>0.09</v>
      </c>
    </row>
    <row r="282" spans="1:14" x14ac:dyDescent="0.25">
      <c r="A282" s="1" t="s">
        <v>294</v>
      </c>
      <c r="B282" t="str">
        <f>HYPERLINK("https://www.suredividend.com/sure-analysis-research-database/","Civista Bancshares Inc")</f>
        <v>Civista Bancshares Inc</v>
      </c>
      <c r="C282" t="s">
        <v>1800</v>
      </c>
      <c r="D282">
        <v>15.07</v>
      </c>
      <c r="E282">
        <v>3.8241490334613E-2</v>
      </c>
      <c r="F282" t="s">
        <v>1797</v>
      </c>
      <c r="G282" t="s">
        <v>1797</v>
      </c>
      <c r="H282">
        <v>0.57629925934262305</v>
      </c>
      <c r="I282">
        <v>237.33535000000001</v>
      </c>
      <c r="J282">
        <v>5.2908143550760176</v>
      </c>
      <c r="K282">
        <v>0.19736276004884351</v>
      </c>
      <c r="L282">
        <v>0.74279625864799104</v>
      </c>
      <c r="M282">
        <v>23.24</v>
      </c>
      <c r="N282">
        <v>13.51</v>
      </c>
    </row>
    <row r="283" spans="1:14" x14ac:dyDescent="0.25">
      <c r="A283" s="1" t="s">
        <v>295</v>
      </c>
      <c r="B283" t="str">
        <f>HYPERLINK("https://www.suredividend.com/sure-analysis-research-database/","Civitas Resources Inc")</f>
        <v>Civitas Resources Inc</v>
      </c>
      <c r="C283" t="s">
        <v>1797</v>
      </c>
      <c r="D283">
        <v>76.959999999999994</v>
      </c>
      <c r="E283">
        <v>6.2212285454282007E-2</v>
      </c>
      <c r="F283" t="s">
        <v>1797</v>
      </c>
      <c r="G283" t="s">
        <v>1797</v>
      </c>
      <c r="H283">
        <v>4.7878574885615439</v>
      </c>
      <c r="I283">
        <v>7215.8208549999999</v>
      </c>
      <c r="J283">
        <v>7.0099525683331914</v>
      </c>
      <c r="K283">
        <v>0.38957343275521111</v>
      </c>
      <c r="L283">
        <v>1.18359945955261</v>
      </c>
      <c r="M283">
        <v>85.3</v>
      </c>
      <c r="N283">
        <v>51.17</v>
      </c>
    </row>
    <row r="284" spans="1:14" x14ac:dyDescent="0.25">
      <c r="A284" s="1" t="s">
        <v>296</v>
      </c>
      <c r="B284" t="str">
        <f>HYPERLINK("https://www.suredividend.com/sure-analysis-research-database/","Compx International, Inc.")</f>
        <v>Compx International, Inc.</v>
      </c>
      <c r="C284" t="s">
        <v>1798</v>
      </c>
      <c r="D284">
        <v>19.57</v>
      </c>
      <c r="E284">
        <v>4.9449415169131997E-2</v>
      </c>
      <c r="F284">
        <v>0</v>
      </c>
      <c r="G284">
        <v>0.2899366842116895</v>
      </c>
      <c r="H284">
        <v>0.9677250548599321</v>
      </c>
      <c r="I284">
        <v>240.98022399999999</v>
      </c>
      <c r="J284">
        <v>11.66522531174364</v>
      </c>
      <c r="K284">
        <v>0.57602681836900715</v>
      </c>
      <c r="L284">
        <v>0.28451354865434297</v>
      </c>
      <c r="M284">
        <v>27.23</v>
      </c>
      <c r="N284">
        <v>15.47</v>
      </c>
    </row>
    <row r="285" spans="1:14" x14ac:dyDescent="0.25">
      <c r="A285" s="1" t="s">
        <v>297</v>
      </c>
      <c r="B285" t="str">
        <f>HYPERLINK("https://www.suredividend.com/sure-analysis-research-database/","Clarus Corp")</f>
        <v>Clarus Corp</v>
      </c>
      <c r="C285" t="s">
        <v>1801</v>
      </c>
      <c r="D285">
        <v>6.08</v>
      </c>
      <c r="E285">
        <v>1.6306607990593001E-2</v>
      </c>
      <c r="F285">
        <v>0</v>
      </c>
      <c r="G285">
        <v>0</v>
      </c>
      <c r="H285">
        <v>9.914417658280901E-2</v>
      </c>
      <c r="I285">
        <v>227.820458</v>
      </c>
      <c r="J285" t="s">
        <v>1797</v>
      </c>
      <c r="K285" t="s">
        <v>1797</v>
      </c>
      <c r="L285">
        <v>1.2559876056875789</v>
      </c>
      <c r="M285">
        <v>11.45</v>
      </c>
      <c r="N285">
        <v>5.27</v>
      </c>
    </row>
    <row r="286" spans="1:14" x14ac:dyDescent="0.25">
      <c r="A286" s="1" t="s">
        <v>298</v>
      </c>
      <c r="B286" t="str">
        <f>HYPERLINK("https://www.suredividend.com/sure-analysis-research-database/","Columbia Financial, Inc")</f>
        <v>Columbia Financial, Inc</v>
      </c>
      <c r="C286" t="s">
        <v>1800</v>
      </c>
      <c r="D286">
        <v>16.97</v>
      </c>
      <c r="E286">
        <v>0</v>
      </c>
      <c r="F286" t="s">
        <v>1797</v>
      </c>
      <c r="G286" t="s">
        <v>1797</v>
      </c>
      <c r="H286">
        <v>0</v>
      </c>
      <c r="I286">
        <v>1290.0004120000001</v>
      </c>
      <c r="J286">
        <v>20.412367869993819</v>
      </c>
      <c r="K286">
        <v>0</v>
      </c>
      <c r="L286">
        <v>0.82498675304470004</v>
      </c>
      <c r="M286">
        <v>22.31</v>
      </c>
      <c r="N286">
        <v>14.11</v>
      </c>
    </row>
    <row r="287" spans="1:14" x14ac:dyDescent="0.25">
      <c r="A287" s="1" t="s">
        <v>299</v>
      </c>
      <c r="B287" t="str">
        <f>HYPERLINK("https://www.suredividend.com/sure-analysis-research-database/","Chatham Lodging Trust")</f>
        <v>Chatham Lodging Trust</v>
      </c>
      <c r="C287" t="s">
        <v>1799</v>
      </c>
      <c r="D287">
        <v>10.27</v>
      </c>
      <c r="E287">
        <v>2.0251265563444001E-2</v>
      </c>
      <c r="F287">
        <v>-0.36363636363636348</v>
      </c>
      <c r="G287">
        <v>-8.6431596006514066E-2</v>
      </c>
      <c r="H287">
        <v>0.207980497336575</v>
      </c>
      <c r="I287">
        <v>501.76628899999997</v>
      </c>
      <c r="J287">
        <v>320.41270037675599</v>
      </c>
      <c r="K287">
        <v>6.5197648067891842</v>
      </c>
      <c r="L287">
        <v>1.113074995687088</v>
      </c>
      <c r="M287">
        <v>14.07</v>
      </c>
      <c r="N287">
        <v>8.89</v>
      </c>
    </row>
    <row r="288" spans="1:14" x14ac:dyDescent="0.25">
      <c r="A288" s="1" t="s">
        <v>300</v>
      </c>
      <c r="B288" t="str">
        <f>HYPERLINK("https://www.suredividend.com/sure-analysis-research-database/","Celldex Therapeutics Inc.")</f>
        <v>Celldex Therapeutics Inc.</v>
      </c>
      <c r="C288" t="s">
        <v>1802</v>
      </c>
      <c r="D288">
        <v>25.98</v>
      </c>
      <c r="E288">
        <v>0</v>
      </c>
      <c r="F288" t="s">
        <v>1797</v>
      </c>
      <c r="G288" t="s">
        <v>1797</v>
      </c>
      <c r="H288">
        <v>0</v>
      </c>
      <c r="I288">
        <v>1227.8356879999999</v>
      </c>
      <c r="J288" t="s">
        <v>1797</v>
      </c>
      <c r="K288">
        <v>0</v>
      </c>
      <c r="L288">
        <v>1.2427118398400121</v>
      </c>
      <c r="M288">
        <v>48.4</v>
      </c>
      <c r="N288">
        <v>22.11</v>
      </c>
    </row>
    <row r="289" spans="1:14" x14ac:dyDescent="0.25">
      <c r="A289" s="1" t="s">
        <v>301</v>
      </c>
      <c r="B289" t="str">
        <f>HYPERLINK("https://www.suredividend.com/sure-analysis-research-database/","Clearfield Inc")</f>
        <v>Clearfield Inc</v>
      </c>
      <c r="C289" t="s">
        <v>1803</v>
      </c>
      <c r="D289">
        <v>25.9</v>
      </c>
      <c r="E289">
        <v>0</v>
      </c>
      <c r="F289" t="s">
        <v>1797</v>
      </c>
      <c r="G289" t="s">
        <v>1797</v>
      </c>
      <c r="H289">
        <v>0</v>
      </c>
      <c r="I289">
        <v>395.28085299999998</v>
      </c>
      <c r="J289">
        <v>8.4409415768007001</v>
      </c>
      <c r="K289">
        <v>0</v>
      </c>
      <c r="L289">
        <v>1.248326520746381</v>
      </c>
      <c r="M289">
        <v>134.9</v>
      </c>
      <c r="N289">
        <v>22.91</v>
      </c>
    </row>
    <row r="290" spans="1:14" x14ac:dyDescent="0.25">
      <c r="A290" s="1" t="s">
        <v>302</v>
      </c>
      <c r="B290" t="str">
        <f>HYPERLINK("https://www.suredividend.com/sure-analysis-research-database/","Clean Energy Fuels Corp")</f>
        <v>Clean Energy Fuels Corp</v>
      </c>
      <c r="C290" t="s">
        <v>1807</v>
      </c>
      <c r="D290">
        <v>3.86</v>
      </c>
      <c r="E290">
        <v>0</v>
      </c>
      <c r="F290" t="s">
        <v>1797</v>
      </c>
      <c r="G290" t="s">
        <v>1797</v>
      </c>
      <c r="H290">
        <v>0</v>
      </c>
      <c r="I290">
        <v>860.65192100000002</v>
      </c>
      <c r="J290" t="s">
        <v>1797</v>
      </c>
      <c r="K290">
        <v>0</v>
      </c>
      <c r="L290">
        <v>1.623273115816904</v>
      </c>
      <c r="M290">
        <v>7.73</v>
      </c>
      <c r="N290">
        <v>3.33</v>
      </c>
    </row>
    <row r="291" spans="1:14" x14ac:dyDescent="0.25">
      <c r="A291" s="1" t="s">
        <v>303</v>
      </c>
      <c r="B291" t="str">
        <f>HYPERLINK("https://www.suredividend.com/sure-analysis-research-database/","Clover Health Investments Corp")</f>
        <v>Clover Health Investments Corp</v>
      </c>
      <c r="C291" t="s">
        <v>1797</v>
      </c>
      <c r="D291">
        <v>1.0900000000000001</v>
      </c>
      <c r="E291">
        <v>0</v>
      </c>
      <c r="F291" t="s">
        <v>1797</v>
      </c>
      <c r="G291" t="s">
        <v>1797</v>
      </c>
      <c r="H291">
        <v>0</v>
      </c>
      <c r="I291">
        <v>432.72337299999998</v>
      </c>
      <c r="J291">
        <v>0</v>
      </c>
      <c r="K291" t="s">
        <v>1797</v>
      </c>
      <c r="L291">
        <v>1.9390091697832541</v>
      </c>
      <c r="M291">
        <v>1.63</v>
      </c>
      <c r="N291">
        <v>0.70779999999999998</v>
      </c>
    </row>
    <row r="292" spans="1:14" x14ac:dyDescent="0.25">
      <c r="A292" s="1" t="s">
        <v>304</v>
      </c>
      <c r="B292" t="str">
        <f>HYPERLINK("https://www.suredividend.com/sure-analysis-CLPR/","Clipper Realty Inc")</f>
        <v>Clipper Realty Inc</v>
      </c>
      <c r="C292" t="s">
        <v>1799</v>
      </c>
      <c r="D292">
        <v>4.88</v>
      </c>
      <c r="E292">
        <v>7.7868852459016397E-2</v>
      </c>
      <c r="F292">
        <v>0</v>
      </c>
      <c r="G292">
        <v>0</v>
      </c>
      <c r="H292">
        <v>0.37076417685537211</v>
      </c>
      <c r="I292">
        <v>78.388553000000002</v>
      </c>
      <c r="J292">
        <v>0</v>
      </c>
      <c r="K292" t="s">
        <v>1797</v>
      </c>
      <c r="L292">
        <v>0.76380364691627201</v>
      </c>
      <c r="M292">
        <v>7.39</v>
      </c>
      <c r="N292">
        <v>4.4800000000000004</v>
      </c>
    </row>
    <row r="293" spans="1:14" x14ac:dyDescent="0.25">
      <c r="A293" s="1" t="s">
        <v>305</v>
      </c>
      <c r="B293" t="str">
        <f>HYPERLINK("https://www.suredividend.com/sure-analysis-research-database/","Cleanspark Inc")</f>
        <v>Cleanspark Inc</v>
      </c>
      <c r="C293" t="s">
        <v>1803</v>
      </c>
      <c r="D293">
        <v>4.45</v>
      </c>
      <c r="E293">
        <v>0</v>
      </c>
      <c r="F293" t="s">
        <v>1797</v>
      </c>
      <c r="G293" t="s">
        <v>1797</v>
      </c>
      <c r="H293">
        <v>0</v>
      </c>
      <c r="I293">
        <v>679.26280999999994</v>
      </c>
      <c r="J293">
        <v>0</v>
      </c>
      <c r="K293" t="s">
        <v>1797</v>
      </c>
      <c r="L293">
        <v>2.9934859545610322</v>
      </c>
      <c r="M293">
        <v>7.6</v>
      </c>
      <c r="N293">
        <v>1.74</v>
      </c>
    </row>
    <row r="294" spans="1:14" x14ac:dyDescent="0.25">
      <c r="A294" s="1" t="s">
        <v>306</v>
      </c>
      <c r="B294" t="str">
        <f>HYPERLINK("https://www.suredividend.com/sure-analysis-research-database/","Clearwater Paper Corp")</f>
        <v>Clearwater Paper Corp</v>
      </c>
      <c r="C294" t="s">
        <v>1808</v>
      </c>
      <c r="D294">
        <v>35.58</v>
      </c>
      <c r="E294">
        <v>0</v>
      </c>
      <c r="F294" t="s">
        <v>1797</v>
      </c>
      <c r="G294" t="s">
        <v>1797</v>
      </c>
      <c r="H294">
        <v>0</v>
      </c>
      <c r="I294">
        <v>589.32374400000003</v>
      </c>
      <c r="J294">
        <v>6.99909434608076</v>
      </c>
      <c r="K294">
        <v>0</v>
      </c>
      <c r="L294">
        <v>0.6219110519748231</v>
      </c>
      <c r="M294">
        <v>40.65</v>
      </c>
      <c r="N294">
        <v>29.22</v>
      </c>
    </row>
    <row r="295" spans="1:14" x14ac:dyDescent="0.25">
      <c r="A295" s="1" t="s">
        <v>307</v>
      </c>
      <c r="B295" t="str">
        <f>HYPERLINK("https://www.suredividend.com/sure-analysis-research-database/","CareMax Inc")</f>
        <v>CareMax Inc</v>
      </c>
      <c r="C295" t="s">
        <v>1797</v>
      </c>
      <c r="D295">
        <v>1.97</v>
      </c>
      <c r="E295">
        <v>0</v>
      </c>
      <c r="F295" t="s">
        <v>1797</v>
      </c>
      <c r="G295" t="s">
        <v>1797</v>
      </c>
      <c r="H295">
        <v>0</v>
      </c>
      <c r="I295">
        <v>220.79333099999999</v>
      </c>
      <c r="J295" t="s">
        <v>1797</v>
      </c>
      <c r="K295">
        <v>0</v>
      </c>
      <c r="L295">
        <v>1.6067577765443379</v>
      </c>
      <c r="M295">
        <v>6.27</v>
      </c>
      <c r="N295">
        <v>1.79</v>
      </c>
    </row>
    <row r="296" spans="1:14" x14ac:dyDescent="0.25">
      <c r="A296" s="1" t="s">
        <v>308</v>
      </c>
      <c r="B296" t="str">
        <f>HYPERLINK("https://www.suredividend.com/sure-analysis-research-database/","Cambium Networks Corp")</f>
        <v>Cambium Networks Corp</v>
      </c>
      <c r="C296" t="s">
        <v>1803</v>
      </c>
      <c r="D296">
        <v>4.57</v>
      </c>
      <c r="E296">
        <v>0</v>
      </c>
      <c r="F296" t="s">
        <v>1797</v>
      </c>
      <c r="G296" t="s">
        <v>1797</v>
      </c>
      <c r="H296">
        <v>0</v>
      </c>
      <c r="I296">
        <v>126.157158</v>
      </c>
      <c r="J296">
        <v>5.9846849074952564</v>
      </c>
      <c r="K296">
        <v>0</v>
      </c>
      <c r="L296">
        <v>1.2980578080652789</v>
      </c>
      <c r="M296">
        <v>23.54</v>
      </c>
      <c r="N296">
        <v>4.37</v>
      </c>
    </row>
    <row r="297" spans="1:14" x14ac:dyDescent="0.25">
      <c r="A297" s="1" t="s">
        <v>309</v>
      </c>
      <c r="B297" t="str">
        <f>HYPERLINK("https://www.suredividend.com/sure-analysis-research-database/","Commercial Metals Co.")</f>
        <v>Commercial Metals Co.</v>
      </c>
      <c r="C297" t="s">
        <v>1808</v>
      </c>
      <c r="D297">
        <v>45.59</v>
      </c>
      <c r="E297">
        <v>1.3963419777946001E-2</v>
      </c>
      <c r="F297">
        <v>0</v>
      </c>
      <c r="G297">
        <v>5.9223841048812183E-2</v>
      </c>
      <c r="H297">
        <v>0.63659230767658004</v>
      </c>
      <c r="I297">
        <v>5329.7066089999998</v>
      </c>
      <c r="J297">
        <v>6.1990632375546673</v>
      </c>
      <c r="K297">
        <v>8.7805835541597252E-2</v>
      </c>
      <c r="L297">
        <v>1.2239807310549149</v>
      </c>
      <c r="M297">
        <v>57.83</v>
      </c>
      <c r="N297">
        <v>39.69</v>
      </c>
    </row>
    <row r="298" spans="1:14" x14ac:dyDescent="0.25">
      <c r="A298" s="1" t="s">
        <v>310</v>
      </c>
      <c r="B298" t="str">
        <f>HYPERLINK("https://www.suredividend.com/sure-analysis-research-database/","Columbus Mckinnon Corp.")</f>
        <v>Columbus Mckinnon Corp.</v>
      </c>
      <c r="C298" t="s">
        <v>1798</v>
      </c>
      <c r="D298">
        <v>33.96</v>
      </c>
      <c r="E298">
        <v>6.1646494298690001E-3</v>
      </c>
      <c r="F298">
        <v>0</v>
      </c>
      <c r="G298">
        <v>6.9610375725068785E-2</v>
      </c>
      <c r="H298">
        <v>0.20935149463838401</v>
      </c>
      <c r="I298">
        <v>975.94465300000002</v>
      </c>
      <c r="J298">
        <v>19.131668106327929</v>
      </c>
      <c r="K298">
        <v>0.1189497128627182</v>
      </c>
      <c r="L298">
        <v>1.3447293474637869</v>
      </c>
      <c r="M298">
        <v>42.71</v>
      </c>
      <c r="N298">
        <v>27.77</v>
      </c>
    </row>
    <row r="299" spans="1:14" x14ac:dyDescent="0.25">
      <c r="A299" s="1" t="s">
        <v>311</v>
      </c>
      <c r="B299" t="str">
        <f>HYPERLINK("https://www.suredividend.com/sure-analysis-research-database/","Cumulus Media Inc.")</f>
        <v>Cumulus Media Inc.</v>
      </c>
      <c r="C299" t="s">
        <v>1806</v>
      </c>
      <c r="D299">
        <v>4.91</v>
      </c>
      <c r="E299">
        <v>0</v>
      </c>
      <c r="F299" t="s">
        <v>1797</v>
      </c>
      <c r="G299" t="s">
        <v>1797</v>
      </c>
      <c r="H299">
        <v>0</v>
      </c>
      <c r="I299">
        <v>81.055115000000001</v>
      </c>
      <c r="J299">
        <v>0</v>
      </c>
      <c r="K299" t="s">
        <v>1797</v>
      </c>
      <c r="L299">
        <v>0.89412356658432302</v>
      </c>
      <c r="M299">
        <v>7.79</v>
      </c>
      <c r="N299">
        <v>2.57</v>
      </c>
    </row>
    <row r="300" spans="1:14" x14ac:dyDescent="0.25">
      <c r="A300" s="1" t="s">
        <v>312</v>
      </c>
      <c r="B300" t="str">
        <f>HYPERLINK("https://www.suredividend.com/sure-analysis-CMP/","Compass Minerals International Inc")</f>
        <v>Compass Minerals International Inc</v>
      </c>
      <c r="C300" t="s">
        <v>1808</v>
      </c>
      <c r="D300">
        <v>24.87</v>
      </c>
      <c r="E300">
        <v>2.41254523522316E-2</v>
      </c>
      <c r="F300">
        <v>0</v>
      </c>
      <c r="G300">
        <v>-0.26927872418903731</v>
      </c>
      <c r="H300">
        <v>0.595810642621597</v>
      </c>
      <c r="I300">
        <v>1023.515499</v>
      </c>
      <c r="J300">
        <v>99.370436784466037</v>
      </c>
      <c r="K300">
        <v>2.257713689358078</v>
      </c>
      <c r="L300">
        <v>1.5274586252071169</v>
      </c>
      <c r="M300">
        <v>47.04</v>
      </c>
      <c r="N300">
        <v>23.67</v>
      </c>
    </row>
    <row r="301" spans="1:14" x14ac:dyDescent="0.25">
      <c r="A301" s="1" t="s">
        <v>313</v>
      </c>
      <c r="B301" t="str">
        <f>HYPERLINK("https://www.suredividend.com/sure-analysis-research-database/","CompoSecure Inc")</f>
        <v>CompoSecure Inc</v>
      </c>
      <c r="C301" t="s">
        <v>1797</v>
      </c>
      <c r="D301">
        <v>6.03</v>
      </c>
      <c r="E301">
        <v>0</v>
      </c>
      <c r="F301" t="s">
        <v>1797</v>
      </c>
      <c r="G301" t="s">
        <v>1797</v>
      </c>
      <c r="H301">
        <v>0</v>
      </c>
      <c r="I301">
        <v>114.843442</v>
      </c>
      <c r="J301">
        <v>8.5018835068107794</v>
      </c>
      <c r="K301">
        <v>0</v>
      </c>
      <c r="L301">
        <v>0.48970802257718998</v>
      </c>
      <c r="M301">
        <v>7.9</v>
      </c>
      <c r="N301">
        <v>4.26</v>
      </c>
    </row>
    <row r="302" spans="1:14" x14ac:dyDescent="0.25">
      <c r="A302" s="1" t="s">
        <v>314</v>
      </c>
      <c r="B302" t="str">
        <f>HYPERLINK("https://www.suredividend.com/sure-analysis-research-database/","Cimpress plc")</f>
        <v>Cimpress plc</v>
      </c>
      <c r="C302" t="s">
        <v>1806</v>
      </c>
      <c r="D302">
        <v>62.32</v>
      </c>
      <c r="E302">
        <v>0</v>
      </c>
      <c r="F302" t="s">
        <v>1797</v>
      </c>
      <c r="G302" t="s">
        <v>1797</v>
      </c>
      <c r="H302">
        <v>0</v>
      </c>
      <c r="I302">
        <v>1657.0911060000001</v>
      </c>
      <c r="J302" t="s">
        <v>1797</v>
      </c>
      <c r="K302">
        <v>0</v>
      </c>
      <c r="L302">
        <v>1.9795358534815819</v>
      </c>
      <c r="M302">
        <v>73.72</v>
      </c>
      <c r="N302">
        <v>22.92</v>
      </c>
    </row>
    <row r="303" spans="1:14" x14ac:dyDescent="0.25">
      <c r="A303" s="1" t="s">
        <v>315</v>
      </c>
      <c r="B303" t="str">
        <f>HYPERLINK("https://www.suredividend.com/sure-analysis-research-database/","Costamare Inc")</f>
        <v>Costamare Inc</v>
      </c>
      <c r="C303" t="s">
        <v>1798</v>
      </c>
      <c r="D303">
        <v>9.2799999999999994</v>
      </c>
      <c r="E303">
        <v>4.8691074386068997E-2</v>
      </c>
      <c r="F303">
        <v>0</v>
      </c>
      <c r="G303">
        <v>2.834672210021361E-2</v>
      </c>
      <c r="H303">
        <v>0.45185317030272398</v>
      </c>
      <c r="I303">
        <v>1091.7212400000001</v>
      </c>
      <c r="J303">
        <v>2.4545913703129951</v>
      </c>
      <c r="K303">
        <v>0.12312075485087851</v>
      </c>
      <c r="L303">
        <v>0.9794633163538361</v>
      </c>
      <c r="M303">
        <v>11.7</v>
      </c>
      <c r="N303">
        <v>7.53</v>
      </c>
    </row>
    <row r="304" spans="1:14" x14ac:dyDescent="0.25">
      <c r="A304" s="1" t="s">
        <v>316</v>
      </c>
      <c r="B304" t="str">
        <f>HYPERLINK("https://www.suredividend.com/sure-analysis-research-database/","Chimerix Inc")</f>
        <v>Chimerix Inc</v>
      </c>
      <c r="C304" t="s">
        <v>1802</v>
      </c>
      <c r="D304">
        <v>1.06</v>
      </c>
      <c r="E304">
        <v>0</v>
      </c>
      <c r="F304" t="s">
        <v>1797</v>
      </c>
      <c r="G304" t="s">
        <v>1797</v>
      </c>
      <c r="H304">
        <v>0</v>
      </c>
      <c r="I304">
        <v>93.898580999999993</v>
      </c>
      <c r="J304" t="s">
        <v>1797</v>
      </c>
      <c r="K304">
        <v>0</v>
      </c>
      <c r="L304">
        <v>1.4508940672655071</v>
      </c>
      <c r="M304">
        <v>2.4</v>
      </c>
      <c r="N304">
        <v>0.91500000000000004</v>
      </c>
    </row>
    <row r="305" spans="1:14" x14ac:dyDescent="0.25">
      <c r="A305" s="1" t="s">
        <v>317</v>
      </c>
      <c r="B305" t="str">
        <f>HYPERLINK("https://www.suredividend.com/sure-analysis-research-database/","Claros Mortgage Trust Inc")</f>
        <v>Claros Mortgage Trust Inc</v>
      </c>
      <c r="C305" t="s">
        <v>1797</v>
      </c>
      <c r="D305">
        <v>10.88</v>
      </c>
      <c r="E305">
        <v>0.15077557821514101</v>
      </c>
      <c r="F305" t="s">
        <v>1797</v>
      </c>
      <c r="G305" t="s">
        <v>1797</v>
      </c>
      <c r="H305">
        <v>1.6404382909807389</v>
      </c>
      <c r="I305">
        <v>1509.3681469999999</v>
      </c>
      <c r="J305" t="s">
        <v>1797</v>
      </c>
      <c r="K305" t="s">
        <v>1797</v>
      </c>
      <c r="L305">
        <v>1.320038400363265</v>
      </c>
      <c r="M305">
        <v>16.23</v>
      </c>
      <c r="N305">
        <v>9.5399999999999991</v>
      </c>
    </row>
    <row r="306" spans="1:14" x14ac:dyDescent="0.25">
      <c r="A306" s="1" t="s">
        <v>318</v>
      </c>
      <c r="B306" t="str">
        <f>HYPERLINK("https://www.suredividend.com/sure-analysis-research-database/","Comtech Telecommunications Corp.")</f>
        <v>Comtech Telecommunications Corp.</v>
      </c>
      <c r="C306" t="s">
        <v>1803</v>
      </c>
      <c r="D306">
        <v>12.68</v>
      </c>
      <c r="E306">
        <v>7.8864354487470003E-3</v>
      </c>
      <c r="F306" t="s">
        <v>1797</v>
      </c>
      <c r="G306" t="s">
        <v>1797</v>
      </c>
      <c r="H306">
        <v>0.10000000149011599</v>
      </c>
      <c r="I306">
        <v>356.65667500000001</v>
      </c>
      <c r="J306" t="s">
        <v>1797</v>
      </c>
      <c r="K306" t="s">
        <v>1797</v>
      </c>
      <c r="L306">
        <v>1.0249352860493059</v>
      </c>
      <c r="M306">
        <v>16.87</v>
      </c>
      <c r="N306">
        <v>7.91</v>
      </c>
    </row>
    <row r="307" spans="1:14" x14ac:dyDescent="0.25">
      <c r="A307" s="1" t="s">
        <v>319</v>
      </c>
      <c r="B307" t="str">
        <f>HYPERLINK("https://www.suredividend.com/sure-analysis-research-database/","Conduent Inc")</f>
        <v>Conduent Inc</v>
      </c>
      <c r="C307" t="s">
        <v>1803</v>
      </c>
      <c r="D307">
        <v>2.71</v>
      </c>
      <c r="E307">
        <v>0</v>
      </c>
      <c r="F307" t="s">
        <v>1797</v>
      </c>
      <c r="G307" t="s">
        <v>1797</v>
      </c>
      <c r="H307">
        <v>0</v>
      </c>
      <c r="I307">
        <v>588.84803599999998</v>
      </c>
      <c r="J307" t="s">
        <v>1797</v>
      </c>
      <c r="K307">
        <v>0</v>
      </c>
      <c r="L307">
        <v>1.1161293030893269</v>
      </c>
      <c r="M307">
        <v>4.95</v>
      </c>
      <c r="N307">
        <v>2.4300000000000002</v>
      </c>
    </row>
    <row r="308" spans="1:14" x14ac:dyDescent="0.25">
      <c r="A308" s="1" t="s">
        <v>320</v>
      </c>
      <c r="B308" t="str">
        <f>HYPERLINK("https://www.suredividend.com/sure-analysis-research-database/","Cinemark Holdings Inc")</f>
        <v>Cinemark Holdings Inc</v>
      </c>
      <c r="C308" t="s">
        <v>1806</v>
      </c>
      <c r="D308">
        <v>16.440000000000001</v>
      </c>
      <c r="E308">
        <v>0</v>
      </c>
      <c r="F308" t="s">
        <v>1797</v>
      </c>
      <c r="G308" t="s">
        <v>1797</v>
      </c>
      <c r="H308">
        <v>0</v>
      </c>
      <c r="I308">
        <v>1999.6562200000001</v>
      </c>
      <c r="J308" t="s">
        <v>1797</v>
      </c>
      <c r="K308">
        <v>0</v>
      </c>
      <c r="L308">
        <v>0.96200052075858611</v>
      </c>
      <c r="M308">
        <v>19.850000000000001</v>
      </c>
      <c r="N308">
        <v>8.2799999999999994</v>
      </c>
    </row>
    <row r="309" spans="1:14" x14ac:dyDescent="0.25">
      <c r="A309" s="1" t="s">
        <v>321</v>
      </c>
      <c r="B309" t="str">
        <f>HYPERLINK("https://www.suredividend.com/sure-analysis-research-database/","Conmed Corp.")</f>
        <v>Conmed Corp.</v>
      </c>
      <c r="C309" t="s">
        <v>1802</v>
      </c>
      <c r="D309">
        <v>102.21</v>
      </c>
      <c r="E309">
        <v>7.8058873773019996E-3</v>
      </c>
      <c r="F309">
        <v>0</v>
      </c>
      <c r="G309">
        <v>0</v>
      </c>
      <c r="H309">
        <v>0.79783974883407305</v>
      </c>
      <c r="I309">
        <v>3143.18226</v>
      </c>
      <c r="J309">
        <v>54.218972258849092</v>
      </c>
      <c r="K309">
        <v>0.40914858914567848</v>
      </c>
      <c r="L309">
        <v>1.505205747962798</v>
      </c>
      <c r="M309">
        <v>138.21</v>
      </c>
      <c r="N309">
        <v>73.069999999999993</v>
      </c>
    </row>
    <row r="310" spans="1:14" x14ac:dyDescent="0.25">
      <c r="A310" s="1" t="s">
        <v>322</v>
      </c>
      <c r="B310" t="str">
        <f>HYPERLINK("https://www.suredividend.com/sure-analysis-research-database/","Cannae Holdings Inc")</f>
        <v>Cannae Holdings Inc</v>
      </c>
      <c r="C310" t="s">
        <v>1801</v>
      </c>
      <c r="D310">
        <v>17.77</v>
      </c>
      <c r="E310">
        <v>0</v>
      </c>
      <c r="F310" t="s">
        <v>1797</v>
      </c>
      <c r="G310" t="s">
        <v>1797</v>
      </c>
      <c r="H310">
        <v>0</v>
      </c>
      <c r="I310">
        <v>1303.8189829999999</v>
      </c>
      <c r="J310" t="s">
        <v>1797</v>
      </c>
      <c r="K310">
        <v>0</v>
      </c>
      <c r="L310">
        <v>1.4627287792147861</v>
      </c>
      <c r="M310">
        <v>25.74</v>
      </c>
      <c r="N310">
        <v>15.93</v>
      </c>
    </row>
    <row r="311" spans="1:14" x14ac:dyDescent="0.25">
      <c r="A311" s="1" t="s">
        <v>323</v>
      </c>
      <c r="B311" t="str">
        <f>HYPERLINK("https://www.suredividend.com/sure-analysis-research-database/","CNO Financial Group Inc")</f>
        <v>CNO Financial Group Inc</v>
      </c>
      <c r="C311" t="s">
        <v>1800</v>
      </c>
      <c r="D311">
        <v>24.52</v>
      </c>
      <c r="E311">
        <v>2.3438642505479002E-2</v>
      </c>
      <c r="F311">
        <v>7.1428571428571397E-2</v>
      </c>
      <c r="G311">
        <v>8.4471771197698553E-2</v>
      </c>
      <c r="H311">
        <v>0.57471551423435407</v>
      </c>
      <c r="I311">
        <v>2770.6793779999998</v>
      </c>
      <c r="J311">
        <v>12.520015265431541</v>
      </c>
      <c r="K311">
        <v>0.30089817499180838</v>
      </c>
      <c r="L311">
        <v>1.1060548703496811</v>
      </c>
      <c r="M311">
        <v>25.87</v>
      </c>
      <c r="N311">
        <v>19.7</v>
      </c>
    </row>
    <row r="312" spans="1:14" x14ac:dyDescent="0.25">
      <c r="A312" s="1" t="s">
        <v>324</v>
      </c>
      <c r="B312" t="str">
        <f>HYPERLINK("https://www.suredividend.com/sure-analysis-research-database/","ConnectOne Bancorp Inc.")</f>
        <v>ConnectOne Bancorp Inc.</v>
      </c>
      <c r="C312" t="s">
        <v>1800</v>
      </c>
      <c r="D312">
        <v>18.66</v>
      </c>
      <c r="E312">
        <v>3.4118319438110001E-2</v>
      </c>
      <c r="F312">
        <v>9.6774193548387233E-2</v>
      </c>
      <c r="G312">
        <v>0.1778162221565904</v>
      </c>
      <c r="H312">
        <v>0.63664784071513802</v>
      </c>
      <c r="I312">
        <v>726.58518900000001</v>
      </c>
      <c r="J312">
        <v>7.1567825201922686</v>
      </c>
      <c r="K312">
        <v>0.24580997711009189</v>
      </c>
      <c r="L312">
        <v>1.2001390785859549</v>
      </c>
      <c r="M312">
        <v>25.64</v>
      </c>
      <c r="N312">
        <v>12.74</v>
      </c>
    </row>
    <row r="313" spans="1:14" x14ac:dyDescent="0.25">
      <c r="A313" s="1" t="s">
        <v>325</v>
      </c>
      <c r="B313" t="str">
        <f>HYPERLINK("https://www.suredividend.com/sure-analysis-CNS/","Cohen &amp; Steers Inc.")</f>
        <v>Cohen &amp; Steers Inc.</v>
      </c>
      <c r="C313" t="s">
        <v>1800</v>
      </c>
      <c r="D313">
        <v>56.69</v>
      </c>
      <c r="E313">
        <v>4.0218733462691829E-2</v>
      </c>
      <c r="F313">
        <v>3.6363636363636383E-2</v>
      </c>
      <c r="G313">
        <v>-0.222019033489677</v>
      </c>
      <c r="H313">
        <v>2.225017806117457</v>
      </c>
      <c r="I313">
        <v>2785.1707999999999</v>
      </c>
      <c r="J313">
        <v>19.319997223016092</v>
      </c>
      <c r="K313">
        <v>0.7619923993552935</v>
      </c>
      <c r="L313">
        <v>1.272004643210261</v>
      </c>
      <c r="M313">
        <v>76.760000000000005</v>
      </c>
      <c r="N313">
        <v>50.05</v>
      </c>
    </row>
    <row r="314" spans="1:14" x14ac:dyDescent="0.25">
      <c r="A314" s="1" t="s">
        <v>326</v>
      </c>
      <c r="B314" t="str">
        <f>HYPERLINK("https://www.suredividend.com/sure-analysis-research-database/","Consolidated Communications Holdings Inc")</f>
        <v>Consolidated Communications Holdings Inc</v>
      </c>
      <c r="C314" t="s">
        <v>1806</v>
      </c>
      <c r="D314">
        <v>4.25</v>
      </c>
      <c r="E314">
        <v>0</v>
      </c>
      <c r="F314" t="s">
        <v>1797</v>
      </c>
      <c r="G314" t="s">
        <v>1797</v>
      </c>
      <c r="H314">
        <v>0</v>
      </c>
      <c r="I314">
        <v>495.59473100000002</v>
      </c>
      <c r="J314">
        <v>7.3710824905183321</v>
      </c>
      <c r="K314">
        <v>0</v>
      </c>
      <c r="L314">
        <v>1.8400467714910751</v>
      </c>
      <c r="M314">
        <v>5.45</v>
      </c>
      <c r="N314">
        <v>2.1</v>
      </c>
    </row>
    <row r="315" spans="1:14" x14ac:dyDescent="0.25">
      <c r="A315" s="1" t="s">
        <v>327</v>
      </c>
      <c r="B315" t="str">
        <f>HYPERLINK("https://www.suredividend.com/sure-analysis-research-database/","Century Casinos Inc.")</f>
        <v>Century Casinos Inc.</v>
      </c>
      <c r="C315" t="s">
        <v>1801</v>
      </c>
      <c r="D315">
        <v>4.76</v>
      </c>
      <c r="E315">
        <v>0</v>
      </c>
      <c r="F315" t="s">
        <v>1797</v>
      </c>
      <c r="G315" t="s">
        <v>1797</v>
      </c>
      <c r="H315">
        <v>0</v>
      </c>
      <c r="I315">
        <v>144.394272</v>
      </c>
      <c r="J315" t="s">
        <v>1797</v>
      </c>
      <c r="K315">
        <v>0</v>
      </c>
      <c r="L315">
        <v>1.630808023859361</v>
      </c>
      <c r="M315">
        <v>10.41</v>
      </c>
      <c r="N315">
        <v>4.24</v>
      </c>
    </row>
    <row r="316" spans="1:14" x14ac:dyDescent="0.25">
      <c r="A316" s="1" t="s">
        <v>328</v>
      </c>
      <c r="B316" t="str">
        <f>HYPERLINK("https://www.suredividend.com/sure-analysis-research-database/","CNX Resources Corp")</f>
        <v>CNX Resources Corp</v>
      </c>
      <c r="C316" t="s">
        <v>1807</v>
      </c>
      <c r="D316">
        <v>22.35</v>
      </c>
      <c r="E316">
        <v>0</v>
      </c>
      <c r="F316" t="s">
        <v>1797</v>
      </c>
      <c r="G316" t="s">
        <v>1797</v>
      </c>
      <c r="H316">
        <v>0</v>
      </c>
      <c r="I316">
        <v>3550.3703829999999</v>
      </c>
      <c r="J316">
        <v>1.4909316230772129</v>
      </c>
      <c r="K316">
        <v>0</v>
      </c>
      <c r="L316">
        <v>0.97240478718752998</v>
      </c>
      <c r="M316">
        <v>23.68</v>
      </c>
      <c r="N316">
        <v>14.36</v>
      </c>
    </row>
    <row r="317" spans="1:14" x14ac:dyDescent="0.25">
      <c r="A317" s="1" t="s">
        <v>329</v>
      </c>
      <c r="B317" t="str">
        <f>HYPERLINK("https://www.suredividend.com/sure-analysis-research-database/","PC Connection, Inc.")</f>
        <v>PC Connection, Inc.</v>
      </c>
      <c r="C317" t="s">
        <v>1803</v>
      </c>
      <c r="D317">
        <v>59.65</v>
      </c>
      <c r="E317">
        <v>4.0102307472970004E-3</v>
      </c>
      <c r="F317" t="s">
        <v>1797</v>
      </c>
      <c r="G317" t="s">
        <v>1797</v>
      </c>
      <c r="H317">
        <v>0.23921026407631801</v>
      </c>
      <c r="I317">
        <v>1567.0962280000001</v>
      </c>
      <c r="J317">
        <v>20.009911482328</v>
      </c>
      <c r="K317">
        <v>8.0814278404161485E-2</v>
      </c>
      <c r="L317">
        <v>0.72174998473877405</v>
      </c>
      <c r="M317">
        <v>60</v>
      </c>
      <c r="N317">
        <v>37.5</v>
      </c>
    </row>
    <row r="318" spans="1:14" x14ac:dyDescent="0.25">
      <c r="A318" s="1" t="s">
        <v>330</v>
      </c>
      <c r="B318" t="str">
        <f>HYPERLINK("https://www.suredividend.com/sure-analysis-research-database/","Vita Coco Company Inc (The)")</f>
        <v>Vita Coco Company Inc (The)</v>
      </c>
      <c r="C318" t="s">
        <v>1797</v>
      </c>
      <c r="D318">
        <v>28.93</v>
      </c>
      <c r="E318">
        <v>0</v>
      </c>
      <c r="F318" t="s">
        <v>1797</v>
      </c>
      <c r="G318" t="s">
        <v>1797</v>
      </c>
      <c r="H318">
        <v>0</v>
      </c>
      <c r="I318">
        <v>1632.684512</v>
      </c>
      <c r="J318">
        <v>44.071816436322408</v>
      </c>
      <c r="K318">
        <v>0</v>
      </c>
      <c r="L318">
        <v>1.1932342644345919</v>
      </c>
      <c r="M318">
        <v>33.29</v>
      </c>
      <c r="N318">
        <v>7.39</v>
      </c>
    </row>
    <row r="319" spans="1:14" x14ac:dyDescent="0.25">
      <c r="A319" s="1" t="s">
        <v>331</v>
      </c>
      <c r="B319" t="str">
        <f>HYPERLINK("https://www.suredividend.com/sure-analysis-CODI/","Compass Diversified Holdings")</f>
        <v>Compass Diversified Holdings</v>
      </c>
      <c r="C319" t="s">
        <v>1798</v>
      </c>
      <c r="D319">
        <v>18.739999999999998</v>
      </c>
      <c r="E319">
        <v>5.3361792956243333E-2</v>
      </c>
      <c r="F319">
        <v>0</v>
      </c>
      <c r="G319">
        <v>-7.0332815225143785E-2</v>
      </c>
      <c r="H319">
        <v>0.98136374328412512</v>
      </c>
      <c r="I319">
        <v>1347.3297090000001</v>
      </c>
      <c r="J319">
        <v>33.993432810899463</v>
      </c>
      <c r="K319">
        <v>1.7784772440814149</v>
      </c>
      <c r="L319">
        <v>0.92522756223765812</v>
      </c>
      <c r="M319">
        <v>22.45</v>
      </c>
      <c r="N319">
        <v>15.53</v>
      </c>
    </row>
    <row r="320" spans="1:14" x14ac:dyDescent="0.25">
      <c r="A320" s="1" t="s">
        <v>332</v>
      </c>
      <c r="B320" t="str">
        <f>HYPERLINK("https://www.suredividend.com/sure-analysis-research-database/","Cogent Biosciences Inc")</f>
        <v>Cogent Biosciences Inc</v>
      </c>
      <c r="C320" t="s">
        <v>1797</v>
      </c>
      <c r="D320">
        <v>8.51</v>
      </c>
      <c r="E320">
        <v>0</v>
      </c>
      <c r="F320" t="s">
        <v>1797</v>
      </c>
      <c r="G320" t="s">
        <v>1797</v>
      </c>
      <c r="H320">
        <v>0</v>
      </c>
      <c r="I320">
        <v>727.30926899999997</v>
      </c>
      <c r="J320">
        <v>0</v>
      </c>
      <c r="K320" t="s">
        <v>1797</v>
      </c>
      <c r="L320">
        <v>1.3955702298139729</v>
      </c>
      <c r="M320">
        <v>15.68</v>
      </c>
      <c r="N320">
        <v>8.08</v>
      </c>
    </row>
    <row r="321" spans="1:14" x14ac:dyDescent="0.25">
      <c r="A321" s="1" t="s">
        <v>333</v>
      </c>
      <c r="B321" t="str">
        <f>HYPERLINK("https://www.suredividend.com/sure-analysis-research-database/","Cohu, Inc.")</f>
        <v>Cohu, Inc.</v>
      </c>
      <c r="C321" t="s">
        <v>1803</v>
      </c>
      <c r="D321">
        <v>31.33</v>
      </c>
      <c r="E321">
        <v>0</v>
      </c>
      <c r="F321" t="s">
        <v>1797</v>
      </c>
      <c r="G321" t="s">
        <v>1797</v>
      </c>
      <c r="H321">
        <v>0</v>
      </c>
      <c r="I321">
        <v>1491.308</v>
      </c>
      <c r="J321">
        <v>20.49091083966529</v>
      </c>
      <c r="K321">
        <v>0</v>
      </c>
      <c r="L321">
        <v>1.312435162951336</v>
      </c>
      <c r="M321">
        <v>43.99</v>
      </c>
      <c r="N321">
        <v>29.07</v>
      </c>
    </row>
    <row r="322" spans="1:14" x14ac:dyDescent="0.25">
      <c r="A322" s="1" t="s">
        <v>334</v>
      </c>
      <c r="B322" t="str">
        <f>HYPERLINK("https://www.suredividend.com/sure-analysis-research-database/","Coca-Cola Consolidated Inc")</f>
        <v>Coca-Cola Consolidated Inc</v>
      </c>
      <c r="C322" t="s">
        <v>1804</v>
      </c>
      <c r="D322">
        <v>653</v>
      </c>
      <c r="E322">
        <v>3.0566202869199998E-3</v>
      </c>
      <c r="F322">
        <v>-0.83333333333333337</v>
      </c>
      <c r="G322">
        <v>0.1486983549970351</v>
      </c>
      <c r="H322">
        <v>1.995973047358883</v>
      </c>
      <c r="I322">
        <v>5464.9524289999999</v>
      </c>
      <c r="J322">
        <v>12.117841052010711</v>
      </c>
      <c r="K322">
        <v>4.1608777305792849E-2</v>
      </c>
      <c r="L322">
        <v>0.76885749472490805</v>
      </c>
      <c r="M322">
        <v>744.35</v>
      </c>
      <c r="N322">
        <v>453.15</v>
      </c>
    </row>
    <row r="323" spans="1:14" x14ac:dyDescent="0.25">
      <c r="A323" s="1" t="s">
        <v>335</v>
      </c>
      <c r="B323" t="str">
        <f>HYPERLINK("https://www.suredividend.com/sure-analysis-research-database/","Collegium Pharmaceutical Inc")</f>
        <v>Collegium Pharmaceutical Inc</v>
      </c>
      <c r="C323" t="s">
        <v>1802</v>
      </c>
      <c r="D323">
        <v>22.2</v>
      </c>
      <c r="E323">
        <v>0</v>
      </c>
      <c r="F323" t="s">
        <v>1797</v>
      </c>
      <c r="G323" t="s">
        <v>1797</v>
      </c>
      <c r="H323">
        <v>0</v>
      </c>
      <c r="I323">
        <v>771.09604300000001</v>
      </c>
      <c r="J323" t="s">
        <v>1797</v>
      </c>
      <c r="K323">
        <v>0</v>
      </c>
      <c r="L323">
        <v>0.74996607614068311</v>
      </c>
      <c r="M323">
        <v>30.22</v>
      </c>
      <c r="N323">
        <v>18.64</v>
      </c>
    </row>
    <row r="324" spans="1:14" x14ac:dyDescent="0.25">
      <c r="A324" s="1" t="s">
        <v>336</v>
      </c>
      <c r="B324" t="str">
        <f>HYPERLINK("https://www.suredividend.com/sure-analysis-research-database/","CommScope Holding Company Inc")</f>
        <v>CommScope Holding Company Inc</v>
      </c>
      <c r="C324" t="s">
        <v>1803</v>
      </c>
      <c r="D324">
        <v>1.63</v>
      </c>
      <c r="E324">
        <v>0</v>
      </c>
      <c r="F324" t="s">
        <v>1797</v>
      </c>
      <c r="G324" t="s">
        <v>1797</v>
      </c>
      <c r="H324">
        <v>0</v>
      </c>
      <c r="I324">
        <v>345.42862400000001</v>
      </c>
      <c r="J324" t="s">
        <v>1797</v>
      </c>
      <c r="K324">
        <v>0</v>
      </c>
      <c r="L324">
        <v>1.705141299064117</v>
      </c>
      <c r="M324">
        <v>9.68</v>
      </c>
      <c r="N324">
        <v>1.34</v>
      </c>
    </row>
    <row r="325" spans="1:14" x14ac:dyDescent="0.25">
      <c r="A325" s="1" t="s">
        <v>337</v>
      </c>
      <c r="B325" t="str">
        <f>HYPERLINK("https://www.suredividend.com/sure-analysis-research-database/","Compass Inc")</f>
        <v>Compass Inc</v>
      </c>
      <c r="C325" t="s">
        <v>1797</v>
      </c>
      <c r="D325">
        <v>2.19</v>
      </c>
      <c r="E325">
        <v>0</v>
      </c>
      <c r="F325" t="s">
        <v>1797</v>
      </c>
      <c r="G325" t="s">
        <v>1797</v>
      </c>
      <c r="H325">
        <v>0</v>
      </c>
      <c r="I325">
        <v>1020.696506</v>
      </c>
      <c r="J325" t="s">
        <v>1797</v>
      </c>
      <c r="K325">
        <v>0</v>
      </c>
      <c r="L325">
        <v>3.77793871198338</v>
      </c>
      <c r="M325">
        <v>5.16</v>
      </c>
      <c r="N325">
        <v>1.82</v>
      </c>
    </row>
    <row r="326" spans="1:14" x14ac:dyDescent="0.25">
      <c r="A326" s="1" t="s">
        <v>338</v>
      </c>
      <c r="B326" t="str">
        <f>HYPERLINK("https://www.suredividend.com/sure-analysis-research-database/","Conns Inc")</f>
        <v>Conns Inc</v>
      </c>
      <c r="C326" t="s">
        <v>1801</v>
      </c>
      <c r="D326">
        <v>3.42</v>
      </c>
      <c r="E326">
        <v>0</v>
      </c>
      <c r="F326" t="s">
        <v>1797</v>
      </c>
      <c r="G326" t="s">
        <v>1797</v>
      </c>
      <c r="H326">
        <v>0</v>
      </c>
      <c r="I326">
        <v>83.240791999999999</v>
      </c>
      <c r="J326" t="s">
        <v>1797</v>
      </c>
      <c r="K326">
        <v>0</v>
      </c>
      <c r="L326">
        <v>2.039148408348975</v>
      </c>
      <c r="M326">
        <v>11.69</v>
      </c>
      <c r="N326">
        <v>2.91</v>
      </c>
    </row>
    <row r="327" spans="1:14" x14ac:dyDescent="0.25">
      <c r="A327" s="1" t="s">
        <v>339</v>
      </c>
      <c r="B327" t="str">
        <f>HYPERLINK("https://www.suredividend.com/sure-analysis-research-database/","Traeger Inc")</f>
        <v>Traeger Inc</v>
      </c>
      <c r="C327" t="s">
        <v>1797</v>
      </c>
      <c r="D327">
        <v>2.91</v>
      </c>
      <c r="E327">
        <v>0</v>
      </c>
      <c r="F327" t="s">
        <v>1797</v>
      </c>
      <c r="G327" t="s">
        <v>1797</v>
      </c>
      <c r="H327">
        <v>0</v>
      </c>
      <c r="I327">
        <v>360.74743000000001</v>
      </c>
      <c r="J327" t="s">
        <v>1797</v>
      </c>
      <c r="K327">
        <v>0</v>
      </c>
      <c r="L327">
        <v>1.462839137774733</v>
      </c>
      <c r="M327">
        <v>6.7</v>
      </c>
      <c r="N327">
        <v>2.33</v>
      </c>
    </row>
    <row r="328" spans="1:14" x14ac:dyDescent="0.25">
      <c r="A328" s="1" t="s">
        <v>340</v>
      </c>
      <c r="B328" t="str">
        <f>HYPERLINK("https://www.suredividend.com/sure-analysis-research-database/","Mr. Cooper Group Inc")</f>
        <v>Mr. Cooper Group Inc</v>
      </c>
      <c r="C328" t="s">
        <v>1800</v>
      </c>
      <c r="D328">
        <v>58.4</v>
      </c>
      <c r="E328">
        <v>0</v>
      </c>
      <c r="F328" t="s">
        <v>1797</v>
      </c>
      <c r="G328" t="s">
        <v>1797</v>
      </c>
      <c r="H328">
        <v>0</v>
      </c>
      <c r="I328">
        <v>3846.2440310000002</v>
      </c>
      <c r="J328">
        <v>8.4532835850549439</v>
      </c>
      <c r="K328">
        <v>0</v>
      </c>
      <c r="L328">
        <v>0.95020342515248812</v>
      </c>
      <c r="M328">
        <v>60.68</v>
      </c>
      <c r="N328">
        <v>37.54</v>
      </c>
    </row>
    <row r="329" spans="1:14" x14ac:dyDescent="0.25">
      <c r="A329" s="1" t="s">
        <v>341</v>
      </c>
      <c r="B329" t="str">
        <f>HYPERLINK("https://www.suredividend.com/sure-analysis-research-database/","Corcept Therapeutics Inc")</f>
        <v>Corcept Therapeutics Inc</v>
      </c>
      <c r="C329" t="s">
        <v>1802</v>
      </c>
      <c r="D329">
        <v>25.62</v>
      </c>
      <c r="E329">
        <v>0</v>
      </c>
      <c r="F329" t="s">
        <v>1797</v>
      </c>
      <c r="G329" t="s">
        <v>1797</v>
      </c>
      <c r="H329">
        <v>0</v>
      </c>
      <c r="I329">
        <v>2640.9443660000002</v>
      </c>
      <c r="J329">
        <v>28.89878500361106</v>
      </c>
      <c r="K329">
        <v>0</v>
      </c>
      <c r="L329">
        <v>0.50851330221501001</v>
      </c>
      <c r="M329">
        <v>34.28</v>
      </c>
      <c r="N329">
        <v>17.86</v>
      </c>
    </row>
    <row r="330" spans="1:14" x14ac:dyDescent="0.25">
      <c r="A330" s="1" t="s">
        <v>342</v>
      </c>
      <c r="B330" t="str">
        <f>HYPERLINK("https://www.suredividend.com/sure-analysis-research-database/","Coursera Inc")</f>
        <v>Coursera Inc</v>
      </c>
      <c r="C330" t="s">
        <v>1797</v>
      </c>
      <c r="D330">
        <v>18.05</v>
      </c>
      <c r="E330">
        <v>0</v>
      </c>
      <c r="F330" t="s">
        <v>1797</v>
      </c>
      <c r="G330" t="s">
        <v>1797</v>
      </c>
      <c r="H330">
        <v>0</v>
      </c>
      <c r="I330">
        <v>2701.9225499999998</v>
      </c>
      <c r="J330" t="s">
        <v>1797</v>
      </c>
      <c r="K330">
        <v>0</v>
      </c>
      <c r="L330">
        <v>1.550121740937586</v>
      </c>
      <c r="M330">
        <v>19.559999999999999</v>
      </c>
      <c r="N330">
        <v>9.91</v>
      </c>
    </row>
    <row r="331" spans="1:14" x14ac:dyDescent="0.25">
      <c r="A331" s="1" t="s">
        <v>343</v>
      </c>
      <c r="B331" t="str">
        <f>HYPERLINK("https://www.suredividend.com/sure-analysis-research-database/","Callon Petroleum Co.")</f>
        <v>Callon Petroleum Co.</v>
      </c>
      <c r="C331" t="s">
        <v>1807</v>
      </c>
      <c r="D331">
        <v>36.24</v>
      </c>
      <c r="E331">
        <v>0</v>
      </c>
      <c r="F331" t="s">
        <v>1797</v>
      </c>
      <c r="G331" t="s">
        <v>1797</v>
      </c>
      <c r="H331">
        <v>0</v>
      </c>
      <c r="I331">
        <v>2456.1242520000001</v>
      </c>
      <c r="J331">
        <v>4.8665708688648364</v>
      </c>
      <c r="K331">
        <v>0</v>
      </c>
      <c r="L331">
        <v>1.3250418477823649</v>
      </c>
      <c r="M331">
        <v>48.41</v>
      </c>
      <c r="N331">
        <v>28.91</v>
      </c>
    </row>
    <row r="332" spans="1:14" x14ac:dyDescent="0.25">
      <c r="A332" s="1" t="s">
        <v>344</v>
      </c>
      <c r="B332" t="str">
        <f>HYPERLINK("https://www.suredividend.com/sure-analysis-research-database/","Central Pacific Financial Corp.")</f>
        <v>Central Pacific Financial Corp.</v>
      </c>
      <c r="C332" t="s">
        <v>1800</v>
      </c>
      <c r="D332">
        <v>17.489999999999998</v>
      </c>
      <c r="E332">
        <v>5.8140374493332002E-2</v>
      </c>
      <c r="F332">
        <v>0</v>
      </c>
      <c r="G332">
        <v>4.3640227150435917E-2</v>
      </c>
      <c r="H332">
        <v>1.016875149888377</v>
      </c>
      <c r="I332">
        <v>472.985026</v>
      </c>
      <c r="J332">
        <v>7.3922390880532616</v>
      </c>
      <c r="K332">
        <v>0.43087930080015979</v>
      </c>
      <c r="L332">
        <v>1.1328452877249739</v>
      </c>
      <c r="M332">
        <v>23.51</v>
      </c>
      <c r="N332">
        <v>12.8</v>
      </c>
    </row>
    <row r="333" spans="1:14" x14ac:dyDescent="0.25">
      <c r="A333" s="1" t="s">
        <v>345</v>
      </c>
      <c r="B333" t="str">
        <f>HYPERLINK("https://www.suredividend.com/sure-analysis-CPK/","Chesapeake Utilities Corp")</f>
        <v>Chesapeake Utilities Corp</v>
      </c>
      <c r="C333" t="s">
        <v>1805</v>
      </c>
      <c r="D333">
        <v>92.71</v>
      </c>
      <c r="E333">
        <v>2.5455722144321E-2</v>
      </c>
      <c r="F333">
        <v>0.1028037383177569</v>
      </c>
      <c r="G333">
        <v>9.7817267562252397E-2</v>
      </c>
      <c r="H333">
        <v>2.2339210016279201</v>
      </c>
      <c r="I333">
        <v>1649.9358580000001</v>
      </c>
      <c r="J333">
        <v>18.74202987607061</v>
      </c>
      <c r="K333">
        <v>0.45312799221661659</v>
      </c>
      <c r="L333">
        <v>0.51179665498095805</v>
      </c>
      <c r="M333">
        <v>131.59</v>
      </c>
      <c r="N333">
        <v>84.1</v>
      </c>
    </row>
    <row r="334" spans="1:14" x14ac:dyDescent="0.25">
      <c r="A334" s="1" t="s">
        <v>346</v>
      </c>
      <c r="B334" t="str">
        <f>HYPERLINK("https://www.suredividend.com/sure-analysis-research-database/","Catalyst Pharmaceuticals Inc")</f>
        <v>Catalyst Pharmaceuticals Inc</v>
      </c>
      <c r="C334" t="s">
        <v>1802</v>
      </c>
      <c r="D334">
        <v>13.16</v>
      </c>
      <c r="E334">
        <v>0</v>
      </c>
      <c r="F334" t="s">
        <v>1797</v>
      </c>
      <c r="G334" t="s">
        <v>1797</v>
      </c>
      <c r="H334">
        <v>0</v>
      </c>
      <c r="I334">
        <v>1402.757392</v>
      </c>
      <c r="J334">
        <v>12.139935370448899</v>
      </c>
      <c r="K334">
        <v>0</v>
      </c>
      <c r="L334">
        <v>0.97742008988122608</v>
      </c>
      <c r="M334">
        <v>22.11</v>
      </c>
      <c r="N334">
        <v>11.09</v>
      </c>
    </row>
    <row r="335" spans="1:14" x14ac:dyDescent="0.25">
      <c r="A335" s="1" t="s">
        <v>347</v>
      </c>
      <c r="B335" t="str">
        <f>HYPERLINK("https://www.suredividend.com/sure-analysis-research-database/","Computer Programs &amp; Systems Inc")</f>
        <v>Computer Programs &amp; Systems Inc</v>
      </c>
      <c r="C335" t="s">
        <v>1802</v>
      </c>
      <c r="D335">
        <v>14.03</v>
      </c>
      <c r="E335">
        <v>0</v>
      </c>
      <c r="F335" t="s">
        <v>1797</v>
      </c>
      <c r="G335" t="s">
        <v>1797</v>
      </c>
      <c r="H335">
        <v>0</v>
      </c>
      <c r="I335">
        <v>204.15984599999999</v>
      </c>
      <c r="J335">
        <v>42.190503393263072</v>
      </c>
      <c r="K335">
        <v>0</v>
      </c>
      <c r="L335">
        <v>0.7110176308196281</v>
      </c>
      <c r="M335">
        <v>31.62</v>
      </c>
      <c r="N335">
        <v>13.63</v>
      </c>
    </row>
    <row r="336" spans="1:14" x14ac:dyDescent="0.25">
      <c r="A336" s="1" t="s">
        <v>348</v>
      </c>
      <c r="B336" t="str">
        <f>HYPERLINK("https://www.suredividend.com/sure-analysis-research-database/","Consumer Portfolio Service, Inc.")</f>
        <v>Consumer Portfolio Service, Inc.</v>
      </c>
      <c r="C336" t="s">
        <v>1800</v>
      </c>
      <c r="D336">
        <v>9.9</v>
      </c>
      <c r="E336">
        <v>0</v>
      </c>
      <c r="F336" t="s">
        <v>1797</v>
      </c>
      <c r="G336" t="s">
        <v>1797</v>
      </c>
      <c r="H336">
        <v>0</v>
      </c>
      <c r="I336">
        <v>208.85749799999999</v>
      </c>
      <c r="J336">
        <v>0</v>
      </c>
      <c r="K336" t="s">
        <v>1797</v>
      </c>
      <c r="L336">
        <v>2.1071500528374099</v>
      </c>
      <c r="M336">
        <v>13.75</v>
      </c>
      <c r="N336">
        <v>5.91</v>
      </c>
    </row>
    <row r="337" spans="1:14" x14ac:dyDescent="0.25">
      <c r="A337" s="1" t="s">
        <v>349</v>
      </c>
      <c r="B337" t="str">
        <f>HYPERLINK("https://www.suredividend.com/sure-analysis-research-database/","Cepton Inc")</f>
        <v>Cepton Inc</v>
      </c>
      <c r="C337" t="s">
        <v>1797</v>
      </c>
      <c r="D337">
        <v>3.76</v>
      </c>
      <c r="E337">
        <v>0</v>
      </c>
      <c r="F337" t="s">
        <v>1797</v>
      </c>
      <c r="G337" t="s">
        <v>1797</v>
      </c>
      <c r="H337">
        <v>0</v>
      </c>
      <c r="I337">
        <v>594.92295100000001</v>
      </c>
      <c r="J337" t="s">
        <v>1797</v>
      </c>
      <c r="K337">
        <v>0</v>
      </c>
      <c r="L337">
        <v>1.825383309599298</v>
      </c>
      <c r="M337">
        <v>22</v>
      </c>
      <c r="N337">
        <v>3.2</v>
      </c>
    </row>
    <row r="338" spans="1:14" x14ac:dyDescent="0.25">
      <c r="A338" s="1" t="s">
        <v>350</v>
      </c>
      <c r="B338" t="str">
        <f>HYPERLINK("https://www.suredividend.com/sure-analysis-research-database/","CRA International Inc.")</f>
        <v>CRA International Inc.</v>
      </c>
      <c r="C338" t="s">
        <v>1798</v>
      </c>
      <c r="D338">
        <v>85.75</v>
      </c>
      <c r="E338">
        <v>1.6633220130245999E-2</v>
      </c>
      <c r="F338">
        <v>0.16129032258064499</v>
      </c>
      <c r="G338">
        <v>0.1247461131420948</v>
      </c>
      <c r="H338">
        <v>1.4262986261686319</v>
      </c>
      <c r="I338">
        <v>600.39629000000002</v>
      </c>
      <c r="J338">
        <v>16.87976298181</v>
      </c>
      <c r="K338">
        <v>0.2875602068888371</v>
      </c>
      <c r="L338">
        <v>0.44109256950657111</v>
      </c>
      <c r="M338">
        <v>125.88</v>
      </c>
      <c r="N338">
        <v>81.290000000000006</v>
      </c>
    </row>
    <row r="339" spans="1:14" x14ac:dyDescent="0.25">
      <c r="A339" s="1" t="s">
        <v>351</v>
      </c>
      <c r="B339" t="str">
        <f>HYPERLINK("https://www.suredividend.com/sure-analysis-research-database/","Caribou Biosciences Inc")</f>
        <v>Caribou Biosciences Inc</v>
      </c>
      <c r="C339" t="s">
        <v>1797</v>
      </c>
      <c r="D339">
        <v>4.18</v>
      </c>
      <c r="E339">
        <v>0</v>
      </c>
      <c r="F339" t="s">
        <v>1797</v>
      </c>
      <c r="G339" t="s">
        <v>1797</v>
      </c>
      <c r="H339">
        <v>0</v>
      </c>
      <c r="I339">
        <v>369.03036400000002</v>
      </c>
      <c r="J339" t="s">
        <v>1797</v>
      </c>
      <c r="K339">
        <v>0</v>
      </c>
      <c r="L339">
        <v>1.5770351820737869</v>
      </c>
      <c r="M339">
        <v>10.67</v>
      </c>
      <c r="N339">
        <v>3.44</v>
      </c>
    </row>
    <row r="340" spans="1:14" x14ac:dyDescent="0.25">
      <c r="A340" s="1" t="s">
        <v>352</v>
      </c>
      <c r="B340" t="str">
        <f>HYPERLINK("https://www.suredividend.com/sure-analysis-research-database/","California Resources Corporation")</f>
        <v>California Resources Corporation</v>
      </c>
      <c r="C340" t="s">
        <v>1807</v>
      </c>
      <c r="D340">
        <v>51.85</v>
      </c>
      <c r="E340">
        <v>2.1596461404937001E-2</v>
      </c>
      <c r="F340" t="s">
        <v>1797</v>
      </c>
      <c r="G340" t="s">
        <v>1797</v>
      </c>
      <c r="H340">
        <v>1.1197765238460129</v>
      </c>
      <c r="I340">
        <v>3575.6911070000001</v>
      </c>
      <c r="J340">
        <v>7.790176703703704</v>
      </c>
      <c r="K340">
        <v>0.1774606218456439</v>
      </c>
      <c r="L340">
        <v>0.82776984516503505</v>
      </c>
      <c r="M340">
        <v>58.44</v>
      </c>
      <c r="N340">
        <v>33.6</v>
      </c>
    </row>
    <row r="341" spans="1:14" x14ac:dyDescent="0.25">
      <c r="A341" s="1" t="s">
        <v>353</v>
      </c>
      <c r="B341" t="str">
        <f>HYPERLINK("https://www.suredividend.com/sure-analysis-research-database/","Credo Technology Group Holding Ltd")</f>
        <v>Credo Technology Group Holding Ltd</v>
      </c>
      <c r="C341" t="s">
        <v>1797</v>
      </c>
      <c r="D341">
        <v>14.85</v>
      </c>
      <c r="E341">
        <v>0</v>
      </c>
      <c r="F341" t="s">
        <v>1797</v>
      </c>
      <c r="G341" t="s">
        <v>1797</v>
      </c>
      <c r="H341">
        <v>0</v>
      </c>
      <c r="I341">
        <v>2213.828348</v>
      </c>
      <c r="J341" t="s">
        <v>1797</v>
      </c>
      <c r="K341">
        <v>0</v>
      </c>
      <c r="L341">
        <v>1.6450360863873019</v>
      </c>
      <c r="M341">
        <v>19.46</v>
      </c>
      <c r="N341">
        <v>7.2</v>
      </c>
    </row>
    <row r="342" spans="1:14" x14ac:dyDescent="0.25">
      <c r="A342" s="1" t="s">
        <v>354</v>
      </c>
      <c r="B342" t="str">
        <f>HYPERLINK("https://www.suredividend.com/sure-analysis-research-database/","Charge Enterprises Inc")</f>
        <v>Charge Enterprises Inc</v>
      </c>
      <c r="C342" t="s">
        <v>1805</v>
      </c>
      <c r="D342">
        <v>0.35289999999999999</v>
      </c>
      <c r="E342">
        <v>0</v>
      </c>
      <c r="F342" t="s">
        <v>1797</v>
      </c>
      <c r="G342" t="s">
        <v>1797</v>
      </c>
      <c r="H342">
        <v>0</v>
      </c>
      <c r="I342">
        <v>75.868046000000007</v>
      </c>
      <c r="J342" t="s">
        <v>1797</v>
      </c>
      <c r="K342">
        <v>0</v>
      </c>
      <c r="L342">
        <v>1.842158527840879</v>
      </c>
      <c r="M342">
        <v>3</v>
      </c>
      <c r="N342">
        <v>0.2757</v>
      </c>
    </row>
    <row r="343" spans="1:14" x14ac:dyDescent="0.25">
      <c r="A343" s="1" t="s">
        <v>355</v>
      </c>
      <c r="B343" t="str">
        <f>HYPERLINK("https://www.suredividend.com/sure-analysis-research-database/","Crescent Energy Co.")</f>
        <v>Crescent Energy Co.</v>
      </c>
      <c r="C343" t="s">
        <v>1797</v>
      </c>
      <c r="D343">
        <v>12.49</v>
      </c>
      <c r="E343">
        <v>4.5579067780515001E-2</v>
      </c>
      <c r="F343" t="s">
        <v>1797</v>
      </c>
      <c r="G343" t="s">
        <v>1797</v>
      </c>
      <c r="H343">
        <v>0.56928255657864002</v>
      </c>
      <c r="I343">
        <v>1086.1154120000001</v>
      </c>
      <c r="J343">
        <v>5.654024092120606</v>
      </c>
      <c r="K343">
        <v>0.14091152390560399</v>
      </c>
      <c r="L343">
        <v>0.89160825161501711</v>
      </c>
      <c r="M343">
        <v>14.41</v>
      </c>
      <c r="N343">
        <v>9.09</v>
      </c>
    </row>
    <row r="344" spans="1:14" x14ac:dyDescent="0.25">
      <c r="A344" s="1" t="s">
        <v>356</v>
      </c>
      <c r="B344" t="str">
        <f>HYPERLINK("https://www.suredividend.com/sure-analysis-research-database/","Comstock Resources, Inc.")</f>
        <v>Comstock Resources, Inc.</v>
      </c>
      <c r="C344" t="s">
        <v>1807</v>
      </c>
      <c r="D344">
        <v>13.31</v>
      </c>
      <c r="E344">
        <v>3.6930740346211001E-2</v>
      </c>
      <c r="F344" t="s">
        <v>1797</v>
      </c>
      <c r="G344" t="s">
        <v>1797</v>
      </c>
      <c r="H344">
        <v>0.49154815400807711</v>
      </c>
      <c r="I344">
        <v>3706.5755479999998</v>
      </c>
      <c r="J344">
        <v>5.9743872177798263</v>
      </c>
      <c r="K344">
        <v>0.2286270483758498</v>
      </c>
      <c r="L344">
        <v>1.488064341833059</v>
      </c>
      <c r="M344">
        <v>20.32</v>
      </c>
      <c r="N344">
        <v>8.98</v>
      </c>
    </row>
    <row r="345" spans="1:14" x14ac:dyDescent="0.25">
      <c r="A345" s="1" t="s">
        <v>357</v>
      </c>
      <c r="B345" t="str">
        <f>HYPERLINK("https://www.suredividend.com/sure-analysis-research-database/","Americas Car Mart, Inc.")</f>
        <v>Americas Car Mart, Inc.</v>
      </c>
      <c r="C345" t="s">
        <v>1801</v>
      </c>
      <c r="D345">
        <v>74.260000000000005</v>
      </c>
      <c r="E345">
        <v>0</v>
      </c>
      <c r="F345" t="s">
        <v>1797</v>
      </c>
      <c r="G345" t="s">
        <v>1797</v>
      </c>
      <c r="H345">
        <v>0</v>
      </c>
      <c r="I345">
        <v>473.92650300000003</v>
      </c>
      <c r="J345">
        <v>41.807207404728302</v>
      </c>
      <c r="K345">
        <v>0</v>
      </c>
      <c r="L345">
        <v>1.7059191730791929</v>
      </c>
      <c r="M345">
        <v>127.96</v>
      </c>
      <c r="N345">
        <v>52.24</v>
      </c>
    </row>
    <row r="346" spans="1:14" x14ac:dyDescent="0.25">
      <c r="A346" s="1" t="s">
        <v>358</v>
      </c>
      <c r="B346" t="str">
        <f>HYPERLINK("https://www.suredividend.com/sure-analysis-research-database/","Cerence Inc")</f>
        <v>Cerence Inc</v>
      </c>
      <c r="C346" t="s">
        <v>1803</v>
      </c>
      <c r="D346">
        <v>16.59</v>
      </c>
      <c r="E346">
        <v>0</v>
      </c>
      <c r="F346" t="s">
        <v>1797</v>
      </c>
      <c r="G346" t="s">
        <v>1797</v>
      </c>
      <c r="H346">
        <v>0</v>
      </c>
      <c r="I346">
        <v>669.12848499999996</v>
      </c>
      <c r="J346" t="s">
        <v>1797</v>
      </c>
      <c r="K346">
        <v>0</v>
      </c>
      <c r="L346">
        <v>1.855747482942891</v>
      </c>
      <c r="M346">
        <v>36.79</v>
      </c>
      <c r="N346">
        <v>12.82</v>
      </c>
    </row>
    <row r="347" spans="1:14" x14ac:dyDescent="0.25">
      <c r="A347" s="1" t="s">
        <v>359</v>
      </c>
      <c r="B347" t="str">
        <f>HYPERLINK("https://www.suredividend.com/sure-analysis-research-database/","Crinetics Pharmaceuticals Inc")</f>
        <v>Crinetics Pharmaceuticals Inc</v>
      </c>
      <c r="C347" t="s">
        <v>1802</v>
      </c>
      <c r="D347">
        <v>30.7</v>
      </c>
      <c r="E347">
        <v>0</v>
      </c>
      <c r="F347" t="s">
        <v>1797</v>
      </c>
      <c r="G347" t="s">
        <v>1797</v>
      </c>
      <c r="H347">
        <v>0</v>
      </c>
      <c r="I347">
        <v>1678.8770850000001</v>
      </c>
      <c r="J347" t="s">
        <v>1797</v>
      </c>
      <c r="K347">
        <v>0</v>
      </c>
      <c r="L347">
        <v>1.064188630003309</v>
      </c>
      <c r="M347">
        <v>31.41</v>
      </c>
      <c r="N347">
        <v>15.23</v>
      </c>
    </row>
    <row r="348" spans="1:14" x14ac:dyDescent="0.25">
      <c r="A348" s="1" t="s">
        <v>360</v>
      </c>
      <c r="B348" t="str">
        <f>HYPERLINK("https://www.suredividend.com/sure-analysis-research-database/","Crocs Inc")</f>
        <v>Crocs Inc</v>
      </c>
      <c r="C348" t="s">
        <v>1801</v>
      </c>
      <c r="D348">
        <v>83.93</v>
      </c>
      <c r="E348">
        <v>0</v>
      </c>
      <c r="F348" t="s">
        <v>1797</v>
      </c>
      <c r="G348" t="s">
        <v>1797</v>
      </c>
      <c r="H348">
        <v>0</v>
      </c>
      <c r="I348">
        <v>5173.8025740000003</v>
      </c>
      <c r="J348">
        <v>7.6454675512438772</v>
      </c>
      <c r="K348">
        <v>0</v>
      </c>
      <c r="L348">
        <v>1.5014155983744331</v>
      </c>
      <c r="M348">
        <v>151.32</v>
      </c>
      <c r="N348">
        <v>74</v>
      </c>
    </row>
    <row r="349" spans="1:14" x14ac:dyDescent="0.25">
      <c r="A349" s="1" t="s">
        <v>361</v>
      </c>
      <c r="B349" t="str">
        <f>HYPERLINK("https://www.suredividend.com/sure-analysis-research-database/","Carpenter Technology Corp.")</f>
        <v>Carpenter Technology Corp.</v>
      </c>
      <c r="C349" t="s">
        <v>1798</v>
      </c>
      <c r="D349">
        <v>66.650000000000006</v>
      </c>
      <c r="E349">
        <v>1.19415589566E-2</v>
      </c>
      <c r="F349">
        <v>0</v>
      </c>
      <c r="G349">
        <v>0</v>
      </c>
      <c r="H349">
        <v>0.79590490445740403</v>
      </c>
      <c r="I349">
        <v>3286.2717600000001</v>
      </c>
      <c r="J349">
        <v>30.77033483099251</v>
      </c>
      <c r="K349">
        <v>0.36847449280435368</v>
      </c>
      <c r="L349">
        <v>1.461512145428717</v>
      </c>
      <c r="M349">
        <v>72.42</v>
      </c>
      <c r="N349">
        <v>35.200000000000003</v>
      </c>
    </row>
    <row r="350" spans="1:14" x14ac:dyDescent="0.25">
      <c r="A350" s="1" t="s">
        <v>362</v>
      </c>
      <c r="B350" t="str">
        <f>HYPERLINK("https://www.suredividend.com/sure-analysis-research-database/","Corsair Gaming Inc")</f>
        <v>Corsair Gaming Inc</v>
      </c>
      <c r="C350" t="s">
        <v>1797</v>
      </c>
      <c r="D350">
        <v>13.1</v>
      </c>
      <c r="E350">
        <v>0</v>
      </c>
      <c r="F350" t="s">
        <v>1797</v>
      </c>
      <c r="G350" t="s">
        <v>1797</v>
      </c>
      <c r="H350">
        <v>0</v>
      </c>
      <c r="I350">
        <v>1346.442497</v>
      </c>
      <c r="J350">
        <v>369.3943750342936</v>
      </c>
      <c r="K350">
        <v>0</v>
      </c>
      <c r="L350">
        <v>1.4715102312745201</v>
      </c>
      <c r="M350">
        <v>20.72</v>
      </c>
      <c r="N350">
        <v>12.34</v>
      </c>
    </row>
    <row r="351" spans="1:14" x14ac:dyDescent="0.25">
      <c r="A351" s="1" t="s">
        <v>363</v>
      </c>
      <c r="B351" t="str">
        <f>HYPERLINK("https://www.suredividend.com/sure-analysis-research-database/","Corvel Corp.")</f>
        <v>Corvel Corp.</v>
      </c>
      <c r="C351" t="s">
        <v>1800</v>
      </c>
      <c r="D351">
        <v>199.64</v>
      </c>
      <c r="E351">
        <v>0</v>
      </c>
      <c r="F351" t="s">
        <v>1797</v>
      </c>
      <c r="G351" t="s">
        <v>1797</v>
      </c>
      <c r="H351">
        <v>0</v>
      </c>
      <c r="I351">
        <v>3427.7189800000001</v>
      </c>
      <c r="J351">
        <v>45.873569411544267</v>
      </c>
      <c r="K351">
        <v>0</v>
      </c>
      <c r="L351">
        <v>0.62690082221325905</v>
      </c>
      <c r="M351">
        <v>228.94</v>
      </c>
      <c r="N351">
        <v>136.22</v>
      </c>
    </row>
    <row r="352" spans="1:14" x14ac:dyDescent="0.25">
      <c r="A352" s="1" t="s">
        <v>364</v>
      </c>
      <c r="B352" t="str">
        <f>HYPERLINK("https://www.suredividend.com/sure-analysis-research-database/","CSG Systems International Inc.")</f>
        <v>CSG Systems International Inc.</v>
      </c>
      <c r="C352" t="s">
        <v>1803</v>
      </c>
      <c r="D352">
        <v>49.61</v>
      </c>
      <c r="E352">
        <v>2.1949423031872001E-2</v>
      </c>
      <c r="F352">
        <v>5.6603773584905648E-2</v>
      </c>
      <c r="G352">
        <v>4.7045617133854252E-2</v>
      </c>
      <c r="H352">
        <v>1.088910876611207</v>
      </c>
      <c r="I352">
        <v>1575.0577699999999</v>
      </c>
      <c r="J352">
        <v>21.36395753896236</v>
      </c>
      <c r="K352">
        <v>0.45183023925776222</v>
      </c>
      <c r="L352">
        <v>0.80376378682934901</v>
      </c>
      <c r="M352">
        <v>68.63</v>
      </c>
      <c r="N352">
        <v>46.02</v>
      </c>
    </row>
    <row r="353" spans="1:14" x14ac:dyDescent="0.25">
      <c r="A353" s="1" t="s">
        <v>365</v>
      </c>
      <c r="B353" t="str">
        <f>HYPERLINK("https://www.suredividend.com/sure-analysis-research-database/","Centerspace")</f>
        <v>Centerspace</v>
      </c>
      <c r="C353" t="s">
        <v>1797</v>
      </c>
      <c r="D353">
        <v>50.83</v>
      </c>
      <c r="E353">
        <v>5.6385780374099012E-2</v>
      </c>
      <c r="F353">
        <v>0</v>
      </c>
      <c r="G353">
        <v>8.4281584386185493E-3</v>
      </c>
      <c r="H353">
        <v>2.8660892164154772</v>
      </c>
      <c r="I353">
        <v>765.12106600000004</v>
      </c>
      <c r="J353">
        <v>18.639667356996689</v>
      </c>
      <c r="K353">
        <v>1.1603600066459421</v>
      </c>
      <c r="L353">
        <v>1.047025984412014</v>
      </c>
      <c r="M353">
        <v>69.260000000000005</v>
      </c>
      <c r="N353">
        <v>46.74</v>
      </c>
    </row>
    <row r="354" spans="1:14" x14ac:dyDescent="0.25">
      <c r="A354" s="1" t="s">
        <v>366</v>
      </c>
      <c r="B354" t="str">
        <f>HYPERLINK("https://www.suredividend.com/sure-analysis-research-database/","Caesarstone Ltd")</f>
        <v>Caesarstone Ltd</v>
      </c>
      <c r="C354" t="s">
        <v>1798</v>
      </c>
      <c r="D354">
        <v>4.08</v>
      </c>
      <c r="E354">
        <v>0</v>
      </c>
      <c r="F354" t="s">
        <v>1797</v>
      </c>
      <c r="G354" t="s">
        <v>1797</v>
      </c>
      <c r="H354">
        <v>0</v>
      </c>
      <c r="I354">
        <v>140.789796</v>
      </c>
      <c r="J354" t="s">
        <v>1797</v>
      </c>
      <c r="K354">
        <v>0</v>
      </c>
      <c r="L354">
        <v>1.0328904071366369</v>
      </c>
      <c r="M354">
        <v>8.61</v>
      </c>
      <c r="N354">
        <v>3.51</v>
      </c>
    </row>
    <row r="355" spans="1:14" x14ac:dyDescent="0.25">
      <c r="A355" s="1" t="s">
        <v>367</v>
      </c>
      <c r="B355" t="str">
        <f>HYPERLINK("https://www.suredividend.com/sure-analysis-research-database/","Castle Biosciences Inc")</f>
        <v>Castle Biosciences Inc</v>
      </c>
      <c r="C355" t="s">
        <v>1802</v>
      </c>
      <c r="D355">
        <v>17.98</v>
      </c>
      <c r="E355">
        <v>0</v>
      </c>
      <c r="F355" t="s">
        <v>1797</v>
      </c>
      <c r="G355" t="s">
        <v>1797</v>
      </c>
      <c r="H355">
        <v>0</v>
      </c>
      <c r="I355">
        <v>482.03890899999999</v>
      </c>
      <c r="J355" t="s">
        <v>1797</v>
      </c>
      <c r="K355">
        <v>0</v>
      </c>
      <c r="L355">
        <v>1.945399666762567</v>
      </c>
      <c r="M355">
        <v>29.59</v>
      </c>
      <c r="N355">
        <v>9.26</v>
      </c>
    </row>
    <row r="356" spans="1:14" x14ac:dyDescent="0.25">
      <c r="A356" s="1" t="s">
        <v>368</v>
      </c>
      <c r="B356" t="str">
        <f>HYPERLINK("https://www.suredividend.com/sure-analysis-research-database/","Constellium SE")</f>
        <v>Constellium SE</v>
      </c>
      <c r="C356" t="s">
        <v>1808</v>
      </c>
      <c r="D356">
        <v>17.05</v>
      </c>
      <c r="E356">
        <v>0</v>
      </c>
      <c r="F356" t="s">
        <v>1797</v>
      </c>
      <c r="G356" t="s">
        <v>1797</v>
      </c>
      <c r="H356">
        <v>0</v>
      </c>
      <c r="I356">
        <v>2460.3421440000002</v>
      </c>
      <c r="J356">
        <v>0</v>
      </c>
      <c r="K356" t="s">
        <v>1797</v>
      </c>
      <c r="L356">
        <v>1.5136172530275911</v>
      </c>
      <c r="M356">
        <v>19.46</v>
      </c>
      <c r="N356">
        <v>11.05</v>
      </c>
    </row>
    <row r="357" spans="1:14" x14ac:dyDescent="0.25">
      <c r="A357" s="1" t="s">
        <v>369</v>
      </c>
      <c r="B357" t="str">
        <f>HYPERLINK("https://www.suredividend.com/sure-analysis-research-database/","CapStar Financial Holdings Inc")</f>
        <v>CapStar Financial Holdings Inc</v>
      </c>
      <c r="C357" t="s">
        <v>1800</v>
      </c>
      <c r="D357">
        <v>16.23</v>
      </c>
      <c r="E357">
        <v>2.53437766237E-2</v>
      </c>
      <c r="F357" t="s">
        <v>1797</v>
      </c>
      <c r="G357" t="s">
        <v>1797</v>
      </c>
      <c r="H357">
        <v>0.41132949460266399</v>
      </c>
      <c r="I357">
        <v>337.98137500000001</v>
      </c>
      <c r="J357">
        <v>10.360535078168111</v>
      </c>
      <c r="K357">
        <v>0.2724036388097113</v>
      </c>
      <c r="L357">
        <v>0.91573835860334007</v>
      </c>
      <c r="M357">
        <v>17.82</v>
      </c>
      <c r="N357">
        <v>10.86</v>
      </c>
    </row>
    <row r="358" spans="1:14" x14ac:dyDescent="0.25">
      <c r="A358" s="1" t="s">
        <v>370</v>
      </c>
      <c r="B358" t="str">
        <f>HYPERLINK("https://www.suredividend.com/sure-analysis-research-database/","Carriage Services, Inc.")</f>
        <v>Carriage Services, Inc.</v>
      </c>
      <c r="C358" t="s">
        <v>1801</v>
      </c>
      <c r="D358">
        <v>23.25</v>
      </c>
      <c r="E358">
        <v>1.9228871967956002E-2</v>
      </c>
      <c r="F358">
        <v>0</v>
      </c>
      <c r="G358">
        <v>8.4471771197698553E-2</v>
      </c>
      <c r="H358">
        <v>0.44707127325499202</v>
      </c>
      <c r="I358">
        <v>347.95378099999999</v>
      </c>
      <c r="J358">
        <v>11.204436660763159</v>
      </c>
      <c r="K358">
        <v>0.2224235190323344</v>
      </c>
      <c r="L358">
        <v>1.10911721494771</v>
      </c>
      <c r="M358">
        <v>35.53</v>
      </c>
      <c r="N358">
        <v>20.81</v>
      </c>
    </row>
    <row r="359" spans="1:14" x14ac:dyDescent="0.25">
      <c r="A359" s="1" t="s">
        <v>371</v>
      </c>
      <c r="B359" t="str">
        <f>HYPERLINK("https://www.suredividend.com/sure-analysis-research-database/","CSW Industrials Inc")</f>
        <v>CSW Industrials Inc</v>
      </c>
      <c r="C359" t="s">
        <v>1798</v>
      </c>
      <c r="D359">
        <v>174.5</v>
      </c>
      <c r="E359">
        <v>4.2288528657240003E-3</v>
      </c>
      <c r="F359" t="s">
        <v>1797</v>
      </c>
      <c r="G359" t="s">
        <v>1797</v>
      </c>
      <c r="H359">
        <v>0.73793482506887809</v>
      </c>
      <c r="I359">
        <v>2711.73</v>
      </c>
      <c r="J359">
        <v>26.244156899939028</v>
      </c>
      <c r="K359">
        <v>0.11096764286750049</v>
      </c>
      <c r="L359">
        <v>0.91185581895902712</v>
      </c>
      <c r="M359">
        <v>190.21</v>
      </c>
      <c r="N359">
        <v>110.88</v>
      </c>
    </row>
    <row r="360" spans="1:14" x14ac:dyDescent="0.25">
      <c r="A360" s="1" t="s">
        <v>372</v>
      </c>
      <c r="B360" t="str">
        <f>HYPERLINK("https://www.suredividend.com/sure-analysis-CTBI/","Community Trust Bancorp, Inc.")</f>
        <v>Community Trust Bancorp, Inc.</v>
      </c>
      <c r="C360" t="s">
        <v>1800</v>
      </c>
      <c r="D360">
        <v>39.96</v>
      </c>
      <c r="E360">
        <v>4.6046046046046049E-2</v>
      </c>
      <c r="F360">
        <v>4.5454545454545407E-2</v>
      </c>
      <c r="G360">
        <v>5.0246072638682637E-2</v>
      </c>
      <c r="H360">
        <v>1.7222339680037371</v>
      </c>
      <c r="I360">
        <v>718.93710299999998</v>
      </c>
      <c r="J360">
        <v>8.9273469333929363</v>
      </c>
      <c r="K360">
        <v>0.38187005942433189</v>
      </c>
      <c r="L360">
        <v>0.77282532335407206</v>
      </c>
      <c r="M360">
        <v>44.84</v>
      </c>
      <c r="N360">
        <v>31.13</v>
      </c>
    </row>
    <row r="361" spans="1:14" x14ac:dyDescent="0.25">
      <c r="A361" s="1" t="s">
        <v>373</v>
      </c>
      <c r="B361" t="str">
        <f>HYPERLINK("https://www.suredividend.com/sure-analysis-research-database/","CTI BioPharma Corp")</f>
        <v>CTI BioPharma Corp</v>
      </c>
      <c r="C361" t="s">
        <v>1802</v>
      </c>
      <c r="D361">
        <v>9.09</v>
      </c>
      <c r="E361">
        <v>0</v>
      </c>
      <c r="F361" t="s">
        <v>1797</v>
      </c>
      <c r="G361" t="s">
        <v>1797</v>
      </c>
      <c r="H361">
        <v>0</v>
      </c>
      <c r="I361">
        <v>0</v>
      </c>
      <c r="J361">
        <v>0</v>
      </c>
      <c r="K361">
        <v>0</v>
      </c>
    </row>
    <row r="362" spans="1:14" x14ac:dyDescent="0.25">
      <c r="A362" s="1" t="s">
        <v>374</v>
      </c>
      <c r="B362" t="str">
        <f>HYPERLINK("https://www.suredividend.com/sure-analysis-research-database/","Cytek BioSciences Inc")</f>
        <v>Cytek BioSciences Inc</v>
      </c>
      <c r="C362" t="s">
        <v>1797</v>
      </c>
      <c r="D362">
        <v>4.3899999999999997</v>
      </c>
      <c r="E362">
        <v>0</v>
      </c>
      <c r="F362" t="s">
        <v>1797</v>
      </c>
      <c r="G362" t="s">
        <v>1797</v>
      </c>
      <c r="H362">
        <v>0</v>
      </c>
      <c r="I362">
        <v>598.62131299999999</v>
      </c>
      <c r="J362" t="s">
        <v>1797</v>
      </c>
      <c r="K362">
        <v>0</v>
      </c>
      <c r="L362">
        <v>1.3649079124244501</v>
      </c>
      <c r="M362">
        <v>15.17</v>
      </c>
      <c r="N362">
        <v>4.0599999999999996</v>
      </c>
    </row>
    <row r="363" spans="1:14" x14ac:dyDescent="0.25">
      <c r="A363" s="1" t="s">
        <v>375</v>
      </c>
      <c r="B363" t="str">
        <f>HYPERLINK("https://www.suredividend.com/sure-analysis-research-database/","Cantaloupe Inc")</f>
        <v>Cantaloupe Inc</v>
      </c>
      <c r="C363" t="s">
        <v>1797</v>
      </c>
      <c r="D363">
        <v>6.8</v>
      </c>
      <c r="E363">
        <v>0</v>
      </c>
      <c r="F363" t="s">
        <v>1797</v>
      </c>
      <c r="G363" t="s">
        <v>1797</v>
      </c>
      <c r="H363">
        <v>0</v>
      </c>
      <c r="I363">
        <v>494.32780200000002</v>
      </c>
      <c r="J363">
        <v>0</v>
      </c>
      <c r="K363" t="s">
        <v>1797</v>
      </c>
      <c r="L363">
        <v>1.2413701743160259</v>
      </c>
      <c r="M363">
        <v>8.2899999999999991</v>
      </c>
      <c r="N363">
        <v>2.77</v>
      </c>
    </row>
    <row r="364" spans="1:14" x14ac:dyDescent="0.25">
      <c r="A364" s="1" t="s">
        <v>376</v>
      </c>
      <c r="B364" t="str">
        <f>HYPERLINK("https://www.suredividend.com/sure-analysis-CTO/","CTO Realty Growth Inc")</f>
        <v>CTO Realty Growth Inc</v>
      </c>
      <c r="C364" t="s">
        <v>1799</v>
      </c>
      <c r="D364">
        <v>16.920000000000002</v>
      </c>
      <c r="E364">
        <v>8.9834515366430251E-2</v>
      </c>
      <c r="F364">
        <v>0</v>
      </c>
      <c r="G364">
        <v>0.3060407249698005</v>
      </c>
      <c r="H364">
        <v>1.4702802825589441</v>
      </c>
      <c r="I364">
        <v>383.85463199999998</v>
      </c>
      <c r="J364" t="s">
        <v>1797</v>
      </c>
      <c r="K364" t="s">
        <v>1797</v>
      </c>
      <c r="L364">
        <v>0.6432499277927971</v>
      </c>
      <c r="M364">
        <v>19.559999999999999</v>
      </c>
      <c r="N364">
        <v>15.01</v>
      </c>
    </row>
    <row r="365" spans="1:14" x14ac:dyDescent="0.25">
      <c r="A365" s="1" t="s">
        <v>377</v>
      </c>
      <c r="B365" t="str">
        <f>HYPERLINK("https://www.suredividend.com/sure-analysis-research-database/","Custom Truck One Source Inc")</f>
        <v>Custom Truck One Source Inc</v>
      </c>
      <c r="C365" t="s">
        <v>1797</v>
      </c>
      <c r="D365">
        <v>6.32</v>
      </c>
      <c r="E365">
        <v>0</v>
      </c>
      <c r="F365" t="s">
        <v>1797</v>
      </c>
      <c r="G365" t="s">
        <v>1797</v>
      </c>
      <c r="H365">
        <v>0</v>
      </c>
      <c r="I365">
        <v>1556.379512</v>
      </c>
      <c r="J365">
        <v>28.840535753173359</v>
      </c>
      <c r="K365">
        <v>0</v>
      </c>
      <c r="L365">
        <v>1.1533824611946539</v>
      </c>
      <c r="M365">
        <v>7.64</v>
      </c>
      <c r="N365">
        <v>5.42</v>
      </c>
    </row>
    <row r="366" spans="1:14" x14ac:dyDescent="0.25">
      <c r="A366" s="1" t="s">
        <v>378</v>
      </c>
      <c r="B366" t="str">
        <f>HYPERLINK("https://www.suredividend.com/sure-analysis-CTRE/","CareTrust REIT Inc")</f>
        <v>CareTrust REIT Inc</v>
      </c>
      <c r="C366" t="s">
        <v>1799</v>
      </c>
      <c r="D366">
        <v>21.68</v>
      </c>
      <c r="E366">
        <v>5.166051660516606E-2</v>
      </c>
      <c r="F366">
        <v>1.8181818181818299E-2</v>
      </c>
      <c r="G366">
        <v>6.4341102720035348E-2</v>
      </c>
      <c r="H366">
        <v>1.0917602179207271</v>
      </c>
      <c r="I366">
        <v>2156.645837</v>
      </c>
      <c r="J366">
        <v>64.521939779207173</v>
      </c>
      <c r="K366">
        <v>3.2007042448570129</v>
      </c>
      <c r="L366">
        <v>0.68229094724150907</v>
      </c>
      <c r="M366">
        <v>22.52</v>
      </c>
      <c r="N366">
        <v>17.11</v>
      </c>
    </row>
    <row r="367" spans="1:14" x14ac:dyDescent="0.25">
      <c r="A367" s="1" t="s">
        <v>379</v>
      </c>
      <c r="B367" t="str">
        <f>HYPERLINK("https://www.suredividend.com/sure-analysis-research-database/","Citi Trends Inc")</f>
        <v>Citi Trends Inc</v>
      </c>
      <c r="C367" t="s">
        <v>1801</v>
      </c>
      <c r="D367">
        <v>25.03</v>
      </c>
      <c r="E367">
        <v>0</v>
      </c>
      <c r="F367" t="s">
        <v>1797</v>
      </c>
      <c r="G367" t="s">
        <v>1797</v>
      </c>
      <c r="H367">
        <v>0</v>
      </c>
      <c r="I367">
        <v>214.35834700000001</v>
      </c>
      <c r="J367">
        <v>10.960136348808669</v>
      </c>
      <c r="K367">
        <v>0</v>
      </c>
      <c r="L367">
        <v>1.6583403094947531</v>
      </c>
      <c r="M367">
        <v>34.94</v>
      </c>
      <c r="N367">
        <v>14.21</v>
      </c>
    </row>
    <row r="368" spans="1:14" x14ac:dyDescent="0.25">
      <c r="A368" s="1" t="s">
        <v>380</v>
      </c>
      <c r="B368" t="str">
        <f>HYPERLINK("https://www.suredividend.com/sure-analysis-research-database/","CTS Corp.")</f>
        <v>CTS Corp.</v>
      </c>
      <c r="C368" t="s">
        <v>1803</v>
      </c>
      <c r="D368">
        <v>40.729999999999997</v>
      </c>
      <c r="E368">
        <v>3.9226240211810001E-3</v>
      </c>
      <c r="F368">
        <v>0</v>
      </c>
      <c r="G368">
        <v>0</v>
      </c>
      <c r="H368">
        <v>0.159768476382708</v>
      </c>
      <c r="I368">
        <v>1269.066562</v>
      </c>
      <c r="J368">
        <v>21.09766195471472</v>
      </c>
      <c r="K368">
        <v>8.4533585387676191E-2</v>
      </c>
      <c r="L368">
        <v>0.79052547573230003</v>
      </c>
      <c r="M368">
        <v>49.49</v>
      </c>
      <c r="N368">
        <v>35.5</v>
      </c>
    </row>
    <row r="369" spans="1:14" x14ac:dyDescent="0.25">
      <c r="A369" s="1" t="s">
        <v>381</v>
      </c>
      <c r="B369" t="str">
        <f>HYPERLINK("https://www.suredividend.com/sure-analysis-research-database/","Innovid Corp")</f>
        <v>Innovid Corp</v>
      </c>
      <c r="C369" t="s">
        <v>1797</v>
      </c>
      <c r="D369">
        <v>1.08</v>
      </c>
      <c r="E369">
        <v>0</v>
      </c>
      <c r="F369" t="s">
        <v>1797</v>
      </c>
      <c r="G369" t="s">
        <v>1797</v>
      </c>
      <c r="H369">
        <v>0</v>
      </c>
      <c r="I369">
        <v>150.44751400000001</v>
      </c>
      <c r="J369" t="s">
        <v>1797</v>
      </c>
      <c r="K369">
        <v>0</v>
      </c>
      <c r="L369">
        <v>1.384507455671683</v>
      </c>
      <c r="M369">
        <v>3.64</v>
      </c>
      <c r="N369">
        <v>0.75</v>
      </c>
    </row>
    <row r="370" spans="1:14" x14ac:dyDescent="0.25">
      <c r="A370" s="1" t="s">
        <v>382</v>
      </c>
      <c r="B370" t="str">
        <f>HYPERLINK("https://www.suredividend.com/sure-analysis-research-database/","Customers Bancorp Inc")</f>
        <v>Customers Bancorp Inc</v>
      </c>
      <c r="C370" t="s">
        <v>1800</v>
      </c>
      <c r="D370">
        <v>44.69</v>
      </c>
      <c r="E370">
        <v>0</v>
      </c>
      <c r="F370" t="s">
        <v>1797</v>
      </c>
      <c r="G370" t="s">
        <v>1797</v>
      </c>
      <c r="H370">
        <v>0</v>
      </c>
      <c r="I370">
        <v>1396.5609360000001</v>
      </c>
      <c r="J370">
        <v>7.7047812017610164</v>
      </c>
      <c r="K370">
        <v>0</v>
      </c>
      <c r="L370">
        <v>2.1345582272106598</v>
      </c>
      <c r="M370">
        <v>45.62</v>
      </c>
      <c r="N370">
        <v>6.87</v>
      </c>
    </row>
    <row r="371" spans="1:14" x14ac:dyDescent="0.25">
      <c r="A371" s="1" t="s">
        <v>383</v>
      </c>
      <c r="B371" t="str">
        <f>HYPERLINK("https://www.suredividend.com/sure-analysis-research-database/","CURO Group Holdings Corp")</f>
        <v>CURO Group Holdings Corp</v>
      </c>
      <c r="C371" t="s">
        <v>1800</v>
      </c>
      <c r="D371">
        <v>0.75009999999999999</v>
      </c>
      <c r="E371">
        <v>0</v>
      </c>
      <c r="F371" t="s">
        <v>1797</v>
      </c>
      <c r="G371" t="s">
        <v>1797</v>
      </c>
      <c r="H371">
        <v>0</v>
      </c>
      <c r="I371">
        <v>30.941592</v>
      </c>
      <c r="J371" t="s">
        <v>1797</v>
      </c>
      <c r="K371">
        <v>0</v>
      </c>
      <c r="L371">
        <v>2.4973165284815968</v>
      </c>
      <c r="M371">
        <v>4.96</v>
      </c>
      <c r="N371">
        <v>0.57699999999999996</v>
      </c>
    </row>
    <row r="372" spans="1:14" x14ac:dyDescent="0.25">
      <c r="A372" s="1" t="s">
        <v>384</v>
      </c>
      <c r="B372" t="str">
        <f>HYPERLINK("https://www.suredividend.com/sure-analysis-research-database/","Torrid Holdings Inc")</f>
        <v>Torrid Holdings Inc</v>
      </c>
      <c r="C372" t="s">
        <v>1797</v>
      </c>
      <c r="D372">
        <v>2.69</v>
      </c>
      <c r="E372">
        <v>0</v>
      </c>
      <c r="F372" t="s">
        <v>1797</v>
      </c>
      <c r="G372" t="s">
        <v>1797</v>
      </c>
      <c r="H372">
        <v>0</v>
      </c>
      <c r="I372">
        <v>279.95223299999998</v>
      </c>
      <c r="J372">
        <v>0</v>
      </c>
      <c r="K372" t="s">
        <v>1797</v>
      </c>
      <c r="L372">
        <v>1.5669020398220199</v>
      </c>
      <c r="M372">
        <v>4.96</v>
      </c>
      <c r="N372">
        <v>1.21</v>
      </c>
    </row>
    <row r="373" spans="1:14" x14ac:dyDescent="0.25">
      <c r="A373" s="1" t="s">
        <v>385</v>
      </c>
      <c r="B373" t="str">
        <f>HYPERLINK("https://www.suredividend.com/sure-analysis-research-database/","Cutera Inc")</f>
        <v>Cutera Inc</v>
      </c>
      <c r="C373" t="s">
        <v>1802</v>
      </c>
      <c r="D373">
        <v>3.1</v>
      </c>
      <c r="E373">
        <v>0</v>
      </c>
      <c r="F373" t="s">
        <v>1797</v>
      </c>
      <c r="G373" t="s">
        <v>1797</v>
      </c>
      <c r="H373">
        <v>0</v>
      </c>
      <c r="I373">
        <v>61.826013000000003</v>
      </c>
      <c r="J373" t="s">
        <v>1797</v>
      </c>
      <c r="K373">
        <v>0</v>
      </c>
      <c r="L373">
        <v>2.011544520124811</v>
      </c>
      <c r="M373">
        <v>52.89</v>
      </c>
      <c r="N373">
        <v>2.84</v>
      </c>
    </row>
    <row r="374" spans="1:14" x14ac:dyDescent="0.25">
      <c r="A374" s="1" t="s">
        <v>386</v>
      </c>
      <c r="B374" t="str">
        <f>HYPERLINK("https://www.suredividend.com/sure-analysis-research-database/","CVB Financial Corp.")</f>
        <v>CVB Financial Corp.</v>
      </c>
      <c r="C374" t="s">
        <v>1800</v>
      </c>
      <c r="D374">
        <v>17.63</v>
      </c>
      <c r="E374">
        <v>4.4183109878644003E-2</v>
      </c>
      <c r="F374">
        <v>0</v>
      </c>
      <c r="G374">
        <v>7.3940923785779322E-2</v>
      </c>
      <c r="H374">
        <v>0.77894822716050505</v>
      </c>
      <c r="I374">
        <v>2456.6372409999999</v>
      </c>
      <c r="J374">
        <v>10.06022793892536</v>
      </c>
      <c r="K374">
        <v>0.4400837441584774</v>
      </c>
      <c r="L374">
        <v>1.067224083560238</v>
      </c>
      <c r="M374">
        <v>27.51</v>
      </c>
      <c r="N374">
        <v>10.23</v>
      </c>
    </row>
    <row r="375" spans="1:14" x14ac:dyDescent="0.25">
      <c r="A375" s="1" t="s">
        <v>387</v>
      </c>
      <c r="B375" t="str">
        <f>HYPERLINK("https://www.suredividend.com/sure-analysis-research-database/","Cavco Industries Inc")</f>
        <v>Cavco Industries Inc</v>
      </c>
      <c r="C375" t="s">
        <v>1801</v>
      </c>
      <c r="D375">
        <v>270.56</v>
      </c>
      <c r="E375">
        <v>0</v>
      </c>
      <c r="F375" t="s">
        <v>1797</v>
      </c>
      <c r="G375" t="s">
        <v>1797</v>
      </c>
      <c r="H375">
        <v>0</v>
      </c>
      <c r="I375">
        <v>2347.6972799999999</v>
      </c>
      <c r="J375">
        <v>10.328219646736381</v>
      </c>
      <c r="K375">
        <v>0</v>
      </c>
      <c r="L375">
        <v>1.471626878222809</v>
      </c>
      <c r="M375">
        <v>318</v>
      </c>
      <c r="N375">
        <v>197.93</v>
      </c>
    </row>
    <row r="376" spans="1:14" x14ac:dyDescent="0.25">
      <c r="A376" s="1" t="s">
        <v>388</v>
      </c>
      <c r="B376" t="str">
        <f>HYPERLINK("https://www.suredividend.com/sure-analysis-research-database/","Calavo Growers, Inc")</f>
        <v>Calavo Growers, Inc</v>
      </c>
      <c r="C376" t="s">
        <v>1804</v>
      </c>
      <c r="D376">
        <v>25.09</v>
      </c>
      <c r="E376">
        <v>2.3127372496511998E-2</v>
      </c>
      <c r="F376" t="s">
        <v>1797</v>
      </c>
      <c r="G376" t="s">
        <v>1797</v>
      </c>
      <c r="H376">
        <v>0.58026577593751005</v>
      </c>
      <c r="I376">
        <v>445.62502000000001</v>
      </c>
      <c r="J376" t="s">
        <v>1797</v>
      </c>
      <c r="K376" t="s">
        <v>1797</v>
      </c>
      <c r="L376">
        <v>0.57841410426307405</v>
      </c>
      <c r="M376">
        <v>38.67</v>
      </c>
      <c r="N376">
        <v>22.24</v>
      </c>
    </row>
    <row r="377" spans="1:14" x14ac:dyDescent="0.25">
      <c r="A377" s="1" t="s">
        <v>389</v>
      </c>
      <c r="B377" t="str">
        <f>HYPERLINK("https://www.suredividend.com/sure-analysis-research-database/","CVR Energy Inc")</f>
        <v>CVR Energy Inc</v>
      </c>
      <c r="C377" t="s">
        <v>1807</v>
      </c>
      <c r="D377">
        <v>32.64</v>
      </c>
      <c r="E377">
        <v>5.6783288147015998E-2</v>
      </c>
      <c r="F377">
        <v>1.5</v>
      </c>
      <c r="G377">
        <v>5.9223841048812183E-2</v>
      </c>
      <c r="H377">
        <v>1.8534065251186209</v>
      </c>
      <c r="I377">
        <v>3281.3187509999998</v>
      </c>
      <c r="J377">
        <v>4.1588323844866926</v>
      </c>
      <c r="K377">
        <v>0.23610274205332751</v>
      </c>
      <c r="L377">
        <v>0.69893437782470902</v>
      </c>
      <c r="M377">
        <v>39.29</v>
      </c>
      <c r="N377">
        <v>22.3</v>
      </c>
    </row>
    <row r="378" spans="1:14" x14ac:dyDescent="0.25">
      <c r="A378" s="1" t="s">
        <v>390</v>
      </c>
      <c r="B378" t="str">
        <f>HYPERLINK("https://www.suredividend.com/sure-analysis-research-database/","Covenant Logistics Group Inc")</f>
        <v>Covenant Logistics Group Inc</v>
      </c>
      <c r="C378" t="s">
        <v>1797</v>
      </c>
      <c r="D378">
        <v>40.880000000000003</v>
      </c>
      <c r="E378">
        <v>9.9644610160650009E-3</v>
      </c>
      <c r="F378" t="s">
        <v>1797</v>
      </c>
      <c r="G378" t="s">
        <v>1797</v>
      </c>
      <c r="H378">
        <v>0.40734716633676799</v>
      </c>
      <c r="I378">
        <v>433.19452699999999</v>
      </c>
      <c r="J378">
        <v>4.7647252637020587</v>
      </c>
      <c r="K378">
        <v>6.3847518234603148E-2</v>
      </c>
      <c r="L378">
        <v>0.93811315160057307</v>
      </c>
      <c r="M378">
        <v>57.32</v>
      </c>
      <c r="N378">
        <v>28.95</v>
      </c>
    </row>
    <row r="379" spans="1:14" x14ac:dyDescent="0.25">
      <c r="A379" s="1" t="s">
        <v>391</v>
      </c>
      <c r="B379" t="str">
        <f>HYPERLINK("https://www.suredividend.com/sure-analysis-research-database/","Commvault Systems Inc")</f>
        <v>Commvault Systems Inc</v>
      </c>
      <c r="C379" t="s">
        <v>1803</v>
      </c>
      <c r="D379">
        <v>67.42</v>
      </c>
      <c r="E379">
        <v>0</v>
      </c>
      <c r="F379" t="s">
        <v>1797</v>
      </c>
      <c r="G379" t="s">
        <v>1797</v>
      </c>
      <c r="H379">
        <v>0</v>
      </c>
      <c r="I379">
        <v>2958.0331500000002</v>
      </c>
      <c r="J379" t="s">
        <v>1797</v>
      </c>
      <c r="K379">
        <v>0</v>
      </c>
      <c r="L379">
        <v>0.77803800159190806</v>
      </c>
      <c r="M379">
        <v>78.8</v>
      </c>
      <c r="N379">
        <v>53.2</v>
      </c>
    </row>
    <row r="380" spans="1:14" x14ac:dyDescent="0.25">
      <c r="A380" s="1" t="s">
        <v>392</v>
      </c>
      <c r="B380" t="str">
        <f>HYPERLINK("https://www.suredividend.com/sure-analysis-research-database/","Cvent Holding Corp")</f>
        <v>Cvent Holding Corp</v>
      </c>
      <c r="C380" t="s">
        <v>1797</v>
      </c>
      <c r="D380">
        <v>8.52</v>
      </c>
      <c r="E380">
        <v>0</v>
      </c>
      <c r="F380" t="s">
        <v>1797</v>
      </c>
      <c r="G380" t="s">
        <v>1797</v>
      </c>
      <c r="H380">
        <v>0</v>
      </c>
      <c r="I380">
        <v>0</v>
      </c>
      <c r="J380">
        <v>0</v>
      </c>
      <c r="K380" t="s">
        <v>1797</v>
      </c>
    </row>
    <row r="381" spans="1:14" x14ac:dyDescent="0.25">
      <c r="A381" s="1" t="s">
        <v>393</v>
      </c>
      <c r="B381" t="str">
        <f>HYPERLINK("https://www.suredividend.com/sure-analysis-CWEN/","Clearway Energy Inc")</f>
        <v>Clearway Energy Inc</v>
      </c>
      <c r="C381" t="s">
        <v>1805</v>
      </c>
      <c r="D381">
        <v>22.87</v>
      </c>
      <c r="E381">
        <v>6.9523393091386096E-2</v>
      </c>
      <c r="F381">
        <v>7.9633740288568289E-2</v>
      </c>
      <c r="G381">
        <v>3.2872340229946451E-2</v>
      </c>
      <c r="H381">
        <v>1.4814459086158189</v>
      </c>
      <c r="I381">
        <v>2628.7091449999998</v>
      </c>
      <c r="J381">
        <v>48.679798983518509</v>
      </c>
      <c r="K381">
        <v>3.2100669742487948</v>
      </c>
      <c r="L381">
        <v>0.8567018228955241</v>
      </c>
      <c r="M381">
        <v>34.75</v>
      </c>
      <c r="N381">
        <v>18.59</v>
      </c>
    </row>
    <row r="382" spans="1:14" x14ac:dyDescent="0.25">
      <c r="A382" s="1" t="s">
        <v>394</v>
      </c>
      <c r="B382" t="str">
        <f>HYPERLINK("https://www.suredividend.com/sure-analysis-CWH/","Camping World Holdings Inc")</f>
        <v>Camping World Holdings Inc</v>
      </c>
      <c r="C382" t="s">
        <v>1801</v>
      </c>
      <c r="D382">
        <v>19.13</v>
      </c>
      <c r="E382">
        <v>2.6136957658128599E-2</v>
      </c>
      <c r="F382">
        <v>-0.8</v>
      </c>
      <c r="G382">
        <v>9.3362073943278112E-2</v>
      </c>
      <c r="H382">
        <v>1.9452555571081791</v>
      </c>
      <c r="I382">
        <v>852.24647400000003</v>
      </c>
      <c r="J382">
        <v>58.321116389516177</v>
      </c>
      <c r="K382">
        <v>8.5618642478352953</v>
      </c>
      <c r="L382">
        <v>1.5502340424621921</v>
      </c>
      <c r="M382">
        <v>32.700000000000003</v>
      </c>
      <c r="N382">
        <v>16.18</v>
      </c>
    </row>
    <row r="383" spans="1:14" x14ac:dyDescent="0.25">
      <c r="A383" s="1" t="s">
        <v>395</v>
      </c>
      <c r="B383" t="str">
        <f>HYPERLINK("https://www.suredividend.com/sure-analysis-research-database/","Cushman &amp; Wakefield plc")</f>
        <v>Cushman &amp; Wakefield plc</v>
      </c>
      <c r="C383" t="s">
        <v>1799</v>
      </c>
      <c r="D383">
        <v>8.26</v>
      </c>
      <c r="E383">
        <v>0</v>
      </c>
      <c r="F383" t="s">
        <v>1797</v>
      </c>
      <c r="G383" t="s">
        <v>1797</v>
      </c>
      <c r="H383">
        <v>0</v>
      </c>
      <c r="I383">
        <v>1877.1126710000001</v>
      </c>
      <c r="J383" t="s">
        <v>1797</v>
      </c>
      <c r="K383">
        <v>0</v>
      </c>
      <c r="L383">
        <v>1.6477893855938259</v>
      </c>
      <c r="M383">
        <v>15.63</v>
      </c>
      <c r="N383">
        <v>6.24</v>
      </c>
    </row>
    <row r="384" spans="1:14" x14ac:dyDescent="0.25">
      <c r="A384" s="1" t="s">
        <v>396</v>
      </c>
      <c r="B384" t="str">
        <f>HYPERLINK("https://www.suredividend.com/sure-analysis-research-database/","Casella Waste Systems, Inc.")</f>
        <v>Casella Waste Systems, Inc.</v>
      </c>
      <c r="C384" t="s">
        <v>1798</v>
      </c>
      <c r="D384">
        <v>79.13</v>
      </c>
      <c r="E384">
        <v>0</v>
      </c>
      <c r="F384" t="s">
        <v>1797</v>
      </c>
      <c r="G384" t="s">
        <v>1797</v>
      </c>
      <c r="H384">
        <v>0</v>
      </c>
      <c r="I384">
        <v>4508.3564969999998</v>
      </c>
      <c r="J384">
        <v>126.529047665516</v>
      </c>
      <c r="K384">
        <v>0</v>
      </c>
      <c r="L384">
        <v>0.651331329996089</v>
      </c>
      <c r="M384">
        <v>95.78</v>
      </c>
      <c r="N384">
        <v>72.33</v>
      </c>
    </row>
    <row r="385" spans="1:14" x14ac:dyDescent="0.25">
      <c r="A385" s="1" t="s">
        <v>397</v>
      </c>
      <c r="B385" t="str">
        <f>HYPERLINK("https://www.suredividend.com/sure-analysis-CWT/","California Water Service Group")</f>
        <v>California Water Service Group</v>
      </c>
      <c r="C385" t="s">
        <v>1805</v>
      </c>
      <c r="D385">
        <v>52.48</v>
      </c>
      <c r="E385">
        <v>1.9817073170731711E-2</v>
      </c>
      <c r="F385">
        <v>4.0000000000000042E-2</v>
      </c>
      <c r="G385">
        <v>5.6528580043697867E-2</v>
      </c>
      <c r="H385">
        <v>1.0321915812182381</v>
      </c>
      <c r="I385">
        <v>3028.67328</v>
      </c>
      <c r="J385">
        <v>73.241276842716189</v>
      </c>
      <c r="K385">
        <v>1.408558380483403</v>
      </c>
      <c r="L385">
        <v>0.66226630397210506</v>
      </c>
      <c r="M385">
        <v>64.88</v>
      </c>
      <c r="N385">
        <v>45.21</v>
      </c>
    </row>
    <row r="386" spans="1:14" x14ac:dyDescent="0.25">
      <c r="A386" s="1" t="s">
        <v>398</v>
      </c>
      <c r="B386" t="str">
        <f>HYPERLINK("https://www.suredividend.com/sure-analysis-research-database/","CoreCivic Inc")</f>
        <v>CoreCivic Inc</v>
      </c>
      <c r="C386" t="s">
        <v>1799</v>
      </c>
      <c r="D386">
        <v>13.3</v>
      </c>
      <c r="E386">
        <v>0</v>
      </c>
      <c r="F386" t="s">
        <v>1797</v>
      </c>
      <c r="G386" t="s">
        <v>1797</v>
      </c>
      <c r="H386">
        <v>0</v>
      </c>
      <c r="I386">
        <v>1511.0129999999999</v>
      </c>
      <c r="J386">
        <v>12.59334916864608</v>
      </c>
      <c r="K386">
        <v>0</v>
      </c>
      <c r="L386">
        <v>0.58731178714919408</v>
      </c>
      <c r="M386">
        <v>13.6</v>
      </c>
      <c r="N386">
        <v>7.84</v>
      </c>
    </row>
    <row r="387" spans="1:14" x14ac:dyDescent="0.25">
      <c r="A387" s="1" t="s">
        <v>399</v>
      </c>
      <c r="B387" t="str">
        <f>HYPERLINK("https://www.suredividend.com/sure-analysis-research-database/","Community Health Systems, Inc.")</f>
        <v>Community Health Systems, Inc.</v>
      </c>
      <c r="C387" t="s">
        <v>1802</v>
      </c>
      <c r="D387">
        <v>2.5</v>
      </c>
      <c r="E387">
        <v>0</v>
      </c>
      <c r="F387" t="s">
        <v>1797</v>
      </c>
      <c r="G387" t="s">
        <v>1797</v>
      </c>
      <c r="H387">
        <v>0</v>
      </c>
      <c r="I387">
        <v>342.00228299999998</v>
      </c>
      <c r="J387">
        <v>1.4553288617021269</v>
      </c>
      <c r="K387">
        <v>0</v>
      </c>
      <c r="L387">
        <v>2.4496686796443998</v>
      </c>
      <c r="M387">
        <v>8.01</v>
      </c>
      <c r="N387">
        <v>2.0099999999999998</v>
      </c>
    </row>
    <row r="388" spans="1:14" x14ac:dyDescent="0.25">
      <c r="A388" s="1" t="s">
        <v>400</v>
      </c>
      <c r="B388" t="str">
        <f>HYPERLINK("https://www.suredividend.com/sure-analysis-research-database/","CryoPort Inc")</f>
        <v>CryoPort Inc</v>
      </c>
      <c r="C388" t="s">
        <v>1798</v>
      </c>
      <c r="D388">
        <v>10.1</v>
      </c>
      <c r="E388">
        <v>0</v>
      </c>
      <c r="F388" t="s">
        <v>1797</v>
      </c>
      <c r="G388" t="s">
        <v>1797</v>
      </c>
      <c r="H388">
        <v>0</v>
      </c>
      <c r="I388">
        <v>493.67808200000002</v>
      </c>
      <c r="J388">
        <v>0</v>
      </c>
      <c r="K388" t="s">
        <v>1797</v>
      </c>
      <c r="L388">
        <v>2.7423352780113248</v>
      </c>
      <c r="M388">
        <v>26.01</v>
      </c>
      <c r="N388">
        <v>9</v>
      </c>
    </row>
    <row r="389" spans="1:14" x14ac:dyDescent="0.25">
      <c r="A389" s="1" t="s">
        <v>401</v>
      </c>
      <c r="B389" t="str">
        <f>HYPERLINK("https://www.suredividend.com/sure-analysis-research-database/","Cytokinetics Inc")</f>
        <v>Cytokinetics Inc</v>
      </c>
      <c r="C389" t="s">
        <v>1802</v>
      </c>
      <c r="D389">
        <v>36.32</v>
      </c>
      <c r="E389">
        <v>0</v>
      </c>
      <c r="F389" t="s">
        <v>1797</v>
      </c>
      <c r="G389" t="s">
        <v>1797</v>
      </c>
      <c r="H389">
        <v>0</v>
      </c>
      <c r="I389">
        <v>3486.6472869999998</v>
      </c>
      <c r="J389" t="s">
        <v>1797</v>
      </c>
      <c r="K389">
        <v>0</v>
      </c>
      <c r="M389">
        <v>47.49</v>
      </c>
      <c r="N389">
        <v>25.98</v>
      </c>
    </row>
    <row r="390" spans="1:14" x14ac:dyDescent="0.25">
      <c r="A390" s="1" t="s">
        <v>402</v>
      </c>
      <c r="B390" t="str">
        <f>HYPERLINK("https://www.suredividend.com/sure-analysis-research-database/","Citizens &amp; Northern Corp")</f>
        <v>Citizens &amp; Northern Corp</v>
      </c>
      <c r="C390" t="s">
        <v>1800</v>
      </c>
      <c r="D390">
        <v>19.14</v>
      </c>
      <c r="E390">
        <v>5.6035343082889003E-2</v>
      </c>
      <c r="F390">
        <v>0</v>
      </c>
      <c r="G390">
        <v>7.3000451952116574E-3</v>
      </c>
      <c r="H390">
        <v>1.0725164666064999</v>
      </c>
      <c r="I390">
        <v>292.01084600000002</v>
      </c>
      <c r="J390">
        <v>12.00505038233843</v>
      </c>
      <c r="K390">
        <v>0.67453865824308179</v>
      </c>
      <c r="L390">
        <v>0.6837744535634741</v>
      </c>
      <c r="M390">
        <v>22.38</v>
      </c>
      <c r="N390">
        <v>15.78</v>
      </c>
    </row>
    <row r="391" spans="1:14" x14ac:dyDescent="0.25">
      <c r="A391" s="1" t="s">
        <v>403</v>
      </c>
      <c r="B391" t="str">
        <f>HYPERLINK("https://www.suredividend.com/sure-analysis-research-database/","Dana Inc")</f>
        <v>Dana Inc</v>
      </c>
      <c r="C391" t="s">
        <v>1801</v>
      </c>
      <c r="D391">
        <v>12.33</v>
      </c>
      <c r="E391">
        <v>3.2087997570953999E-2</v>
      </c>
      <c r="F391" t="s">
        <v>1797</v>
      </c>
      <c r="G391" t="s">
        <v>1797</v>
      </c>
      <c r="H391">
        <v>0.39564501004987201</v>
      </c>
      <c r="I391">
        <v>1779.6728430000001</v>
      </c>
      <c r="J391" t="s">
        <v>1797</v>
      </c>
      <c r="K391" t="s">
        <v>1797</v>
      </c>
      <c r="L391">
        <v>1.6402097036444681</v>
      </c>
      <c r="M391">
        <v>19.64</v>
      </c>
      <c r="N391">
        <v>11.1</v>
      </c>
    </row>
    <row r="392" spans="1:14" x14ac:dyDescent="0.25">
      <c r="A392" s="1" t="s">
        <v>404</v>
      </c>
      <c r="B392" t="str">
        <f>HYPERLINK("https://www.suredividend.com/sure-analysis-research-database/","Day One Biopharmaceuticals Inc")</f>
        <v>Day One Biopharmaceuticals Inc</v>
      </c>
      <c r="C392" t="s">
        <v>1797</v>
      </c>
      <c r="D392">
        <v>12.76</v>
      </c>
      <c r="E392">
        <v>0</v>
      </c>
      <c r="F392" t="s">
        <v>1797</v>
      </c>
      <c r="G392" t="s">
        <v>1797</v>
      </c>
      <c r="H392">
        <v>0</v>
      </c>
      <c r="I392">
        <v>1109.78593</v>
      </c>
      <c r="J392">
        <v>0</v>
      </c>
      <c r="K392" t="s">
        <v>1797</v>
      </c>
      <c r="L392">
        <v>1.0364202593169749</v>
      </c>
      <c r="M392">
        <v>25.77</v>
      </c>
      <c r="N392">
        <v>9.67</v>
      </c>
    </row>
    <row r="393" spans="1:14" x14ac:dyDescent="0.25">
      <c r="A393" s="1" t="s">
        <v>405</v>
      </c>
      <c r="B393" t="str">
        <f>HYPERLINK("https://www.suredividend.com/sure-analysis-research-database/","Designer Brands Inc")</f>
        <v>Designer Brands Inc</v>
      </c>
      <c r="C393" t="s">
        <v>1801</v>
      </c>
      <c r="D393">
        <v>10.85</v>
      </c>
      <c r="E393">
        <v>1.8304205475293999E-2</v>
      </c>
      <c r="F393" t="s">
        <v>1797</v>
      </c>
      <c r="G393" t="s">
        <v>1797</v>
      </c>
      <c r="H393">
        <v>0.19860062940694401</v>
      </c>
      <c r="I393">
        <v>546.83770000000004</v>
      </c>
      <c r="J393">
        <v>3.936661409987833</v>
      </c>
      <c r="K393">
        <v>9.6878355808265385E-2</v>
      </c>
      <c r="L393">
        <v>1.659798389348808</v>
      </c>
      <c r="M393">
        <v>16.07</v>
      </c>
      <c r="N393">
        <v>6.08</v>
      </c>
    </row>
    <row r="394" spans="1:14" x14ac:dyDescent="0.25">
      <c r="A394" s="1" t="s">
        <v>406</v>
      </c>
      <c r="B394" t="str">
        <f>HYPERLINK("https://www.suredividend.com/sure-analysis-research-database/","DigitalBridge Group Inc")</f>
        <v>DigitalBridge Group Inc</v>
      </c>
      <c r="C394" t="s">
        <v>1797</v>
      </c>
      <c r="D394">
        <v>16.2</v>
      </c>
      <c r="E394">
        <v>2.466588425133E-3</v>
      </c>
      <c r="F394" t="s">
        <v>1797</v>
      </c>
      <c r="G394" t="s">
        <v>1797</v>
      </c>
      <c r="H394">
        <v>3.9958732487157013E-2</v>
      </c>
      <c r="I394">
        <v>2632.0738270000002</v>
      </c>
      <c r="J394" t="s">
        <v>1797</v>
      </c>
      <c r="K394" t="s">
        <v>1797</v>
      </c>
      <c r="L394">
        <v>2.296536250672327</v>
      </c>
      <c r="M394">
        <v>18.420000000000002</v>
      </c>
      <c r="N394">
        <v>9.9700000000000006</v>
      </c>
    </row>
    <row r="395" spans="1:14" x14ac:dyDescent="0.25">
      <c r="A395" s="1" t="s">
        <v>407</v>
      </c>
      <c r="B395" t="str">
        <f>HYPERLINK("https://www.suredividend.com/sure-analysis-research-database/","Dakota Gold Corp")</f>
        <v>Dakota Gold Corp</v>
      </c>
      <c r="C395" t="s">
        <v>1797</v>
      </c>
      <c r="D395">
        <v>2.9</v>
      </c>
      <c r="E395">
        <v>0</v>
      </c>
      <c r="F395" t="s">
        <v>1797</v>
      </c>
      <c r="G395" t="s">
        <v>1797</v>
      </c>
      <c r="H395">
        <v>0</v>
      </c>
      <c r="I395">
        <v>228.39197999999999</v>
      </c>
      <c r="J395">
        <v>0</v>
      </c>
      <c r="K395" t="s">
        <v>1797</v>
      </c>
      <c r="L395">
        <v>0.97151837629566107</v>
      </c>
      <c r="M395">
        <v>4.03</v>
      </c>
      <c r="N395">
        <v>2.36</v>
      </c>
    </row>
    <row r="396" spans="1:14" x14ac:dyDescent="0.25">
      <c r="A396" s="1" t="s">
        <v>408</v>
      </c>
      <c r="B396" t="str">
        <f>HYPERLINK("https://www.suredividend.com/sure-analysis-research-database/","DocGo Inc")</f>
        <v>DocGo Inc</v>
      </c>
      <c r="C396" t="s">
        <v>1797</v>
      </c>
      <c r="D396">
        <v>6.04</v>
      </c>
      <c r="E396">
        <v>0</v>
      </c>
      <c r="F396" t="s">
        <v>1797</v>
      </c>
      <c r="G396" t="s">
        <v>1797</v>
      </c>
      <c r="H396">
        <v>0</v>
      </c>
      <c r="I396">
        <v>626.86743999999999</v>
      </c>
      <c r="J396">
        <v>109.1682476480326</v>
      </c>
      <c r="K396">
        <v>0</v>
      </c>
      <c r="L396">
        <v>1.194390138279094</v>
      </c>
      <c r="M396">
        <v>10.82</v>
      </c>
      <c r="N396">
        <v>4.88</v>
      </c>
    </row>
    <row r="397" spans="1:14" x14ac:dyDescent="0.25">
      <c r="A397" s="1" t="s">
        <v>409</v>
      </c>
      <c r="B397" t="str">
        <f>HYPERLINK("https://www.suredividend.com/sure-analysis-research-database/","Ducommun Inc.")</f>
        <v>Ducommun Inc.</v>
      </c>
      <c r="C397" t="s">
        <v>1798</v>
      </c>
      <c r="D397">
        <v>48.5</v>
      </c>
      <c r="E397">
        <v>0</v>
      </c>
      <c r="F397" t="s">
        <v>1797</v>
      </c>
      <c r="G397" t="s">
        <v>1797</v>
      </c>
      <c r="H397">
        <v>0</v>
      </c>
      <c r="I397">
        <v>706.62506699999994</v>
      </c>
      <c r="J397">
        <v>29.262260497763791</v>
      </c>
      <c r="K397">
        <v>0</v>
      </c>
      <c r="L397">
        <v>0.8165377155816731</v>
      </c>
      <c r="M397">
        <v>58.28</v>
      </c>
      <c r="N397">
        <v>40.24</v>
      </c>
    </row>
    <row r="398" spans="1:14" x14ac:dyDescent="0.25">
      <c r="A398" s="1" t="s">
        <v>410</v>
      </c>
      <c r="B398" t="str">
        <f>HYPERLINK("https://www.suredividend.com/sure-analysis-research-database/","Dime Community Bancshares Inc")</f>
        <v>Dime Community Bancshares Inc</v>
      </c>
      <c r="C398" t="s">
        <v>1800</v>
      </c>
      <c r="D398">
        <v>20.87</v>
      </c>
      <c r="E398">
        <v>4.5825770350302997E-2</v>
      </c>
      <c r="F398">
        <v>4.1666666666666741E-2</v>
      </c>
      <c r="G398">
        <v>0.1229551070568209</v>
      </c>
      <c r="H398">
        <v>0.95638382721082904</v>
      </c>
      <c r="I398">
        <v>810.31784100000004</v>
      </c>
      <c r="J398">
        <v>7.2935899304230434</v>
      </c>
      <c r="K398">
        <v>0.32865423615492412</v>
      </c>
      <c r="L398">
        <v>1.31010575999484</v>
      </c>
      <c r="M398">
        <v>34.020000000000003</v>
      </c>
      <c r="N398">
        <v>14.79</v>
      </c>
    </row>
    <row r="399" spans="1:14" x14ac:dyDescent="0.25">
      <c r="A399" s="1" t="s">
        <v>411</v>
      </c>
      <c r="B399" t="str">
        <f>HYPERLINK("https://www.suredividend.com/sure-analysis-research-database/","Deciphera Pharmaceuticals Inc")</f>
        <v>Deciphera Pharmaceuticals Inc</v>
      </c>
      <c r="C399" t="s">
        <v>1802</v>
      </c>
      <c r="D399">
        <v>12.15</v>
      </c>
      <c r="E399">
        <v>0</v>
      </c>
      <c r="F399" t="s">
        <v>1797</v>
      </c>
      <c r="G399" t="s">
        <v>1797</v>
      </c>
      <c r="H399">
        <v>0</v>
      </c>
      <c r="I399">
        <v>973.496127</v>
      </c>
      <c r="J399" t="s">
        <v>1797</v>
      </c>
      <c r="K399">
        <v>0</v>
      </c>
      <c r="L399">
        <v>1.049851186444861</v>
      </c>
      <c r="M399">
        <v>22.76</v>
      </c>
      <c r="N399">
        <v>9.9</v>
      </c>
    </row>
    <row r="400" spans="1:14" x14ac:dyDescent="0.25">
      <c r="A400" s="1" t="s">
        <v>412</v>
      </c>
      <c r="B400" t="str">
        <f>HYPERLINK("https://www.suredividend.com/sure-analysis-research-database/","3D Systems Corp.")</f>
        <v>3D Systems Corp.</v>
      </c>
      <c r="C400" t="s">
        <v>1803</v>
      </c>
      <c r="D400">
        <v>4.38</v>
      </c>
      <c r="E400">
        <v>0</v>
      </c>
      <c r="F400" t="s">
        <v>1797</v>
      </c>
      <c r="G400" t="s">
        <v>1797</v>
      </c>
      <c r="H400">
        <v>0</v>
      </c>
      <c r="I400">
        <v>584.62712299999998</v>
      </c>
      <c r="J400" t="s">
        <v>1797</v>
      </c>
      <c r="K400">
        <v>0</v>
      </c>
      <c r="L400">
        <v>2.459770531811023</v>
      </c>
      <c r="M400">
        <v>12.67</v>
      </c>
      <c r="N400">
        <v>3.5</v>
      </c>
    </row>
    <row r="401" spans="1:14" x14ac:dyDescent="0.25">
      <c r="A401" s="1" t="s">
        <v>413</v>
      </c>
      <c r="B401" t="str">
        <f>HYPERLINK("https://www.suredividend.com/sure-analysis-DDS/","Dillard`s Inc.")</f>
        <v>Dillard`s Inc.</v>
      </c>
      <c r="C401" t="s">
        <v>1801</v>
      </c>
      <c r="D401">
        <v>333.8</v>
      </c>
      <c r="E401">
        <v>2.9958058717795091E-3</v>
      </c>
      <c r="F401">
        <v>-0.98333333333333328</v>
      </c>
      <c r="G401">
        <v>0.20112443398143129</v>
      </c>
      <c r="H401">
        <v>0.84914426890477102</v>
      </c>
      <c r="I401">
        <v>4151.9849860000004</v>
      </c>
      <c r="J401">
        <v>5.1252683132103281</v>
      </c>
      <c r="K401">
        <v>1.775338216401361E-2</v>
      </c>
      <c r="L401">
        <v>1.1595844404488549</v>
      </c>
      <c r="M401">
        <v>416.99</v>
      </c>
      <c r="N401">
        <v>272.2</v>
      </c>
    </row>
    <row r="402" spans="1:14" x14ac:dyDescent="0.25">
      <c r="A402" s="1" t="s">
        <v>414</v>
      </c>
      <c r="B402" t="str">
        <f>HYPERLINK("https://www.suredividend.com/sure-analysis-DEA/","Easterly Government Properties Inc")</f>
        <v>Easterly Government Properties Inc</v>
      </c>
      <c r="C402" t="s">
        <v>1799</v>
      </c>
      <c r="D402">
        <v>11.72</v>
      </c>
      <c r="E402">
        <v>9.0443686006825938E-2</v>
      </c>
      <c r="F402">
        <v>0</v>
      </c>
      <c r="G402">
        <v>3.8169048926584011E-3</v>
      </c>
      <c r="H402">
        <v>1.0270206286702219</v>
      </c>
      <c r="I402">
        <v>1115.754876</v>
      </c>
      <c r="J402">
        <v>37.099081501579377</v>
      </c>
      <c r="K402">
        <v>3.1571491812795021</v>
      </c>
      <c r="L402">
        <v>0.82772914777793605</v>
      </c>
      <c r="M402">
        <v>15.89</v>
      </c>
      <c r="N402">
        <v>10.27</v>
      </c>
    </row>
    <row r="403" spans="1:14" x14ac:dyDescent="0.25">
      <c r="A403" s="1" t="s">
        <v>415</v>
      </c>
      <c r="B403" t="str">
        <f>HYPERLINK("https://www.suredividend.com/sure-analysis-research-database/","Denbury Inc.")</f>
        <v>Denbury Inc.</v>
      </c>
      <c r="C403" t="s">
        <v>1797</v>
      </c>
      <c r="D403">
        <v>88.66</v>
      </c>
      <c r="E403">
        <v>0</v>
      </c>
      <c r="F403" t="s">
        <v>1797</v>
      </c>
      <c r="G403" t="s">
        <v>1797</v>
      </c>
      <c r="H403">
        <v>0</v>
      </c>
      <c r="I403">
        <v>4561.2742630000002</v>
      </c>
      <c r="J403" t="s">
        <v>1797</v>
      </c>
      <c r="K403">
        <v>0</v>
      </c>
      <c r="M403">
        <v>100.65</v>
      </c>
      <c r="N403">
        <v>75.33</v>
      </c>
    </row>
    <row r="404" spans="1:14" x14ac:dyDescent="0.25">
      <c r="A404" s="1" t="s">
        <v>416</v>
      </c>
      <c r="B404" t="str">
        <f>HYPERLINK("https://www.suredividend.com/sure-analysis-research-database/","Denny`s Corp.")</f>
        <v>Denny`s Corp.</v>
      </c>
      <c r="C404" t="s">
        <v>1801</v>
      </c>
      <c r="D404">
        <v>9.17</v>
      </c>
      <c r="E404">
        <v>0</v>
      </c>
      <c r="F404" t="s">
        <v>1797</v>
      </c>
      <c r="G404" t="s">
        <v>1797</v>
      </c>
      <c r="H404">
        <v>0</v>
      </c>
      <c r="I404">
        <v>486.793521</v>
      </c>
      <c r="J404">
        <v>16.327682346548599</v>
      </c>
      <c r="K404">
        <v>0</v>
      </c>
      <c r="L404">
        <v>1.063799048571973</v>
      </c>
      <c r="M404">
        <v>13.13</v>
      </c>
      <c r="N404">
        <v>8.1199999999999992</v>
      </c>
    </row>
    <row r="405" spans="1:14" x14ac:dyDescent="0.25">
      <c r="A405" s="1" t="s">
        <v>417</v>
      </c>
      <c r="B405" t="str">
        <f>HYPERLINK("https://www.suredividend.com/sure-analysis-research-database/","Dream Finders Homes Inc")</f>
        <v>Dream Finders Homes Inc</v>
      </c>
      <c r="C405" t="s">
        <v>1797</v>
      </c>
      <c r="D405">
        <v>22.59</v>
      </c>
      <c r="E405">
        <v>0</v>
      </c>
      <c r="F405" t="s">
        <v>1797</v>
      </c>
      <c r="G405" t="s">
        <v>1797</v>
      </c>
      <c r="H405">
        <v>0</v>
      </c>
      <c r="I405">
        <v>742.80718100000001</v>
      </c>
      <c r="J405">
        <v>2.6502136461135568</v>
      </c>
      <c r="K405">
        <v>0</v>
      </c>
      <c r="L405">
        <v>1.5859701965849551</v>
      </c>
      <c r="M405">
        <v>31.6</v>
      </c>
      <c r="N405">
        <v>8.17</v>
      </c>
    </row>
    <row r="406" spans="1:14" x14ac:dyDescent="0.25">
      <c r="A406" s="1" t="s">
        <v>418</v>
      </c>
      <c r="B406" t="str">
        <f>HYPERLINK("https://www.suredividend.com/sure-analysis-research-database/","Donnelley Financial Solutions Inc")</f>
        <v>Donnelley Financial Solutions Inc</v>
      </c>
      <c r="C406" t="s">
        <v>1800</v>
      </c>
      <c r="D406">
        <v>54.92</v>
      </c>
      <c r="E406">
        <v>0</v>
      </c>
      <c r="F406" t="s">
        <v>1797</v>
      </c>
      <c r="G406" t="s">
        <v>1797</v>
      </c>
      <c r="H406">
        <v>0</v>
      </c>
      <c r="I406">
        <v>1610.5123040000001</v>
      </c>
      <c r="J406">
        <v>19.521361264484849</v>
      </c>
      <c r="K406">
        <v>0</v>
      </c>
      <c r="L406">
        <v>1.0420418862663821</v>
      </c>
      <c r="M406">
        <v>57.08</v>
      </c>
      <c r="N406">
        <v>33.81</v>
      </c>
    </row>
    <row r="407" spans="1:14" x14ac:dyDescent="0.25">
      <c r="A407" s="1" t="s">
        <v>419</v>
      </c>
      <c r="B407" t="str">
        <f>HYPERLINK("https://www.suredividend.com/sure-analysis-DGICA/","Donegal Group Inc.")</f>
        <v>Donegal Group Inc.</v>
      </c>
      <c r="C407" t="s">
        <v>1800</v>
      </c>
      <c r="D407">
        <v>14.57</v>
      </c>
      <c r="E407">
        <v>4.6671242278654768E-2</v>
      </c>
      <c r="F407">
        <v>3.030303030303028E-2</v>
      </c>
      <c r="G407">
        <v>3.5921415782331101E-2</v>
      </c>
      <c r="H407">
        <v>0.80595768624610808</v>
      </c>
      <c r="I407">
        <v>478.14405799999997</v>
      </c>
      <c r="J407">
        <v>1571.074835481136</v>
      </c>
      <c r="K407">
        <v>83.953925650636251</v>
      </c>
      <c r="L407">
        <v>0.32037892405611001</v>
      </c>
      <c r="M407">
        <v>15.04</v>
      </c>
      <c r="N407">
        <v>12.42</v>
      </c>
    </row>
    <row r="408" spans="1:14" x14ac:dyDescent="0.25">
      <c r="A408" s="1" t="s">
        <v>420</v>
      </c>
      <c r="B408" t="str">
        <f>HYPERLINK("https://www.suredividend.com/sure-analysis-research-database/","Digi International, Inc.")</f>
        <v>Digi International, Inc.</v>
      </c>
      <c r="C408" t="s">
        <v>1803</v>
      </c>
      <c r="D408">
        <v>25.18</v>
      </c>
      <c r="E408">
        <v>0</v>
      </c>
      <c r="F408" t="s">
        <v>1797</v>
      </c>
      <c r="G408" t="s">
        <v>1797</v>
      </c>
      <c r="H408">
        <v>0</v>
      </c>
      <c r="I408">
        <v>906.48</v>
      </c>
      <c r="J408">
        <v>30.59538274605104</v>
      </c>
      <c r="K408">
        <v>0</v>
      </c>
      <c r="L408">
        <v>1.1712556250360251</v>
      </c>
      <c r="M408">
        <v>43.68</v>
      </c>
      <c r="N408">
        <v>23.23</v>
      </c>
    </row>
    <row r="409" spans="1:14" x14ac:dyDescent="0.25">
      <c r="A409" s="1" t="s">
        <v>421</v>
      </c>
      <c r="B409" t="str">
        <f>HYPERLINK("https://www.suredividend.com/sure-analysis-research-database/","Diversified Healthcare Trust")</f>
        <v>Diversified Healthcare Trust</v>
      </c>
      <c r="C409" t="s">
        <v>1799</v>
      </c>
      <c r="D409">
        <v>2.4500000000000002</v>
      </c>
      <c r="E409">
        <v>1.6084654333842999E-2</v>
      </c>
      <c r="F409">
        <v>0</v>
      </c>
      <c r="G409">
        <v>-0.51939633471230828</v>
      </c>
      <c r="H409">
        <v>3.9407403117914998E-2</v>
      </c>
      <c r="I409">
        <v>589.10335499999997</v>
      </c>
      <c r="J409" t="s">
        <v>1797</v>
      </c>
      <c r="K409" t="s">
        <v>1797</v>
      </c>
      <c r="L409">
        <v>2.0819644560609731</v>
      </c>
      <c r="M409">
        <v>3.26</v>
      </c>
      <c r="N409">
        <v>0.58099999999999996</v>
      </c>
    </row>
    <row r="410" spans="1:14" x14ac:dyDescent="0.25">
      <c r="A410" s="1" t="s">
        <v>422</v>
      </c>
      <c r="B410" t="str">
        <f>HYPERLINK("https://www.suredividend.com/sure-analysis-research-database/","Diamond Hill Investment Group, Inc.")</f>
        <v>Diamond Hill Investment Group, Inc.</v>
      </c>
      <c r="C410" t="s">
        <v>1800</v>
      </c>
      <c r="D410">
        <v>152.41</v>
      </c>
      <c r="E410">
        <v>3.8421002211408997E-2</v>
      </c>
      <c r="F410" t="s">
        <v>1797</v>
      </c>
      <c r="G410" t="s">
        <v>1797</v>
      </c>
      <c r="H410">
        <v>5.8557449470408462</v>
      </c>
      <c r="I410">
        <v>438.70197400000001</v>
      </c>
      <c r="J410">
        <v>10.08735405892423</v>
      </c>
      <c r="K410">
        <v>0.40218028482423401</v>
      </c>
      <c r="L410">
        <v>0.73950840336784707</v>
      </c>
      <c r="M410">
        <v>185.02</v>
      </c>
      <c r="N410">
        <v>145.86000000000001</v>
      </c>
    </row>
    <row r="411" spans="1:14" x14ac:dyDescent="0.25">
      <c r="A411" s="1" t="s">
        <v>423</v>
      </c>
      <c r="B411" t="str">
        <f>HYPERLINK("https://www.suredividend.com/sure-analysis-research-database/","DHT Holdings Inc")</f>
        <v>DHT Holdings Inc</v>
      </c>
      <c r="C411" t="s">
        <v>1807</v>
      </c>
      <c r="D411">
        <v>11.28</v>
      </c>
      <c r="E411">
        <v>8.5539109833671009E-2</v>
      </c>
      <c r="F411">
        <v>7.75</v>
      </c>
      <c r="G411">
        <v>0.77258720340524367</v>
      </c>
      <c r="H411">
        <v>0.9648811589238101</v>
      </c>
      <c r="I411">
        <v>1834.692</v>
      </c>
      <c r="J411">
        <v>11.167467085440901</v>
      </c>
      <c r="K411">
        <v>0.95532788012258429</v>
      </c>
      <c r="L411">
        <v>0.69197570632220506</v>
      </c>
      <c r="M411">
        <v>11.5</v>
      </c>
      <c r="N411">
        <v>6.85</v>
      </c>
    </row>
    <row r="412" spans="1:14" x14ac:dyDescent="0.25">
      <c r="A412" s="1" t="s">
        <v>424</v>
      </c>
      <c r="B412" t="str">
        <f>HYPERLINK("https://www.suredividend.com/sure-analysis-research-database/","DHI Group Inc")</f>
        <v>DHI Group Inc</v>
      </c>
      <c r="C412" t="s">
        <v>1798</v>
      </c>
      <c r="D412">
        <v>2.62</v>
      </c>
      <c r="E412">
        <v>0</v>
      </c>
      <c r="F412" t="s">
        <v>1797</v>
      </c>
      <c r="G412" t="s">
        <v>1797</v>
      </c>
      <c r="H412">
        <v>0</v>
      </c>
      <c r="I412">
        <v>122.66282200000001</v>
      </c>
      <c r="J412">
        <v>33.205961564699507</v>
      </c>
      <c r="K412">
        <v>0</v>
      </c>
      <c r="L412">
        <v>1.5222081614583729</v>
      </c>
      <c r="M412">
        <v>6.31</v>
      </c>
      <c r="N412">
        <v>2.57</v>
      </c>
    </row>
    <row r="413" spans="1:14" x14ac:dyDescent="0.25">
      <c r="A413" s="1" t="s">
        <v>425</v>
      </c>
      <c r="B413" t="str">
        <f>HYPERLINK("https://www.suredividend.com/sure-analysis-research-database/","1stdibs.com Inc")</f>
        <v>1stdibs.com Inc</v>
      </c>
      <c r="C413" t="s">
        <v>1797</v>
      </c>
      <c r="D413">
        <v>4.22</v>
      </c>
      <c r="E413">
        <v>0</v>
      </c>
      <c r="F413" t="s">
        <v>1797</v>
      </c>
      <c r="G413" t="s">
        <v>1797</v>
      </c>
      <c r="H413">
        <v>0</v>
      </c>
      <c r="I413">
        <v>163.65474</v>
      </c>
      <c r="J413" t="s">
        <v>1797</v>
      </c>
      <c r="K413">
        <v>0</v>
      </c>
      <c r="L413">
        <v>1.163824907236467</v>
      </c>
      <c r="M413">
        <v>6.63</v>
      </c>
      <c r="N413">
        <v>3.45</v>
      </c>
    </row>
    <row r="414" spans="1:14" x14ac:dyDescent="0.25">
      <c r="A414" s="1" t="s">
        <v>426</v>
      </c>
      <c r="B414" t="str">
        <f>HYPERLINK("https://www.suredividend.com/sure-analysis-research-database/","DICE Therapeutics Inc")</f>
        <v>DICE Therapeutics Inc</v>
      </c>
      <c r="C414" t="s">
        <v>1797</v>
      </c>
      <c r="D414">
        <v>47.55</v>
      </c>
      <c r="E414">
        <v>0</v>
      </c>
      <c r="F414" t="s">
        <v>1797</v>
      </c>
      <c r="G414" t="s">
        <v>1797</v>
      </c>
      <c r="H414">
        <v>0</v>
      </c>
      <c r="I414">
        <v>0</v>
      </c>
      <c r="J414">
        <v>0</v>
      </c>
      <c r="K414" t="s">
        <v>1797</v>
      </c>
    </row>
    <row r="415" spans="1:14" x14ac:dyDescent="0.25">
      <c r="A415" s="1" t="s">
        <v>427</v>
      </c>
      <c r="B415" t="str">
        <f>HYPERLINK("https://www.suredividend.com/sure-analysis-research-database/","Dine Brands Global Inc")</f>
        <v>Dine Brands Global Inc</v>
      </c>
      <c r="C415" t="s">
        <v>1801</v>
      </c>
      <c r="D415">
        <v>45.52</v>
      </c>
      <c r="E415">
        <v>4.4226276798815002E-2</v>
      </c>
      <c r="F415" t="s">
        <v>1797</v>
      </c>
      <c r="G415" t="s">
        <v>1797</v>
      </c>
      <c r="H415">
        <v>2.0131801198821009</v>
      </c>
      <c r="I415">
        <v>702.96563300000003</v>
      </c>
      <c r="J415">
        <v>9.5506444367153964</v>
      </c>
      <c r="K415">
        <v>0.41854056546405422</v>
      </c>
      <c r="L415">
        <v>0.83620751266952709</v>
      </c>
      <c r="M415">
        <v>80.34</v>
      </c>
      <c r="N415">
        <v>43.39</v>
      </c>
    </row>
    <row r="416" spans="1:14" x14ac:dyDescent="0.25">
      <c r="A416" s="1" t="s">
        <v>428</v>
      </c>
      <c r="B416" t="str">
        <f>HYPERLINK("https://www.suredividend.com/sure-analysis-research-database/","Diodes, Inc.")</f>
        <v>Diodes, Inc.</v>
      </c>
      <c r="C416" t="s">
        <v>1803</v>
      </c>
      <c r="D416">
        <v>70.37</v>
      </c>
      <c r="E416">
        <v>0</v>
      </c>
      <c r="F416" t="s">
        <v>1797</v>
      </c>
      <c r="G416" t="s">
        <v>1797</v>
      </c>
      <c r="H416">
        <v>0</v>
      </c>
      <c r="I416">
        <v>3232.7123710000001</v>
      </c>
      <c r="J416">
        <v>9.7486252425913822</v>
      </c>
      <c r="K416">
        <v>0</v>
      </c>
      <c r="L416">
        <v>1.68338170971213</v>
      </c>
      <c r="M416">
        <v>97.45</v>
      </c>
      <c r="N416">
        <v>62.81</v>
      </c>
    </row>
    <row r="417" spans="1:14" x14ac:dyDescent="0.25">
      <c r="A417" s="1" t="s">
        <v>429</v>
      </c>
      <c r="B417" t="str">
        <f>HYPERLINK("https://www.suredividend.com/sure-analysis-research-database/","Daily Journal Corporation")</f>
        <v>Daily Journal Corporation</v>
      </c>
      <c r="C417" t="s">
        <v>1806</v>
      </c>
      <c r="D417">
        <v>293.79000000000002</v>
      </c>
      <c r="E417">
        <v>0</v>
      </c>
      <c r="F417" t="s">
        <v>1797</v>
      </c>
      <c r="G417" t="s">
        <v>1797</v>
      </c>
      <c r="H417">
        <v>0</v>
      </c>
      <c r="I417">
        <v>404.55646899999999</v>
      </c>
      <c r="J417">
        <v>0</v>
      </c>
      <c r="K417" t="s">
        <v>1797</v>
      </c>
      <c r="M417">
        <v>315.5</v>
      </c>
      <c r="N417">
        <v>250</v>
      </c>
    </row>
    <row r="418" spans="1:14" x14ac:dyDescent="0.25">
      <c r="A418" s="1" t="s">
        <v>430</v>
      </c>
      <c r="B418" t="str">
        <f>HYPERLINK("https://www.suredividend.com/sure-analysis-research-database/","Delek US Holdings Inc")</f>
        <v>Delek US Holdings Inc</v>
      </c>
      <c r="C418" t="s">
        <v>1807</v>
      </c>
      <c r="D418">
        <v>26.01</v>
      </c>
      <c r="E418">
        <v>3.3954340812798002E-2</v>
      </c>
      <c r="F418" t="s">
        <v>1797</v>
      </c>
      <c r="G418" t="s">
        <v>1797</v>
      </c>
      <c r="H418">
        <v>0.88315240454089905</v>
      </c>
      <c r="I418">
        <v>1685.913943</v>
      </c>
      <c r="J418">
        <v>0</v>
      </c>
      <c r="K418" t="s">
        <v>1797</v>
      </c>
      <c r="L418">
        <v>0.69917716697465904</v>
      </c>
      <c r="M418">
        <v>34.47</v>
      </c>
      <c r="N418">
        <v>19.03</v>
      </c>
    </row>
    <row r="419" spans="1:14" x14ac:dyDescent="0.25">
      <c r="A419" s="1" t="s">
        <v>431</v>
      </c>
      <c r="B419" t="str">
        <f>HYPERLINK("https://www.suredividend.com/sure-analysis-research-database/","Duluth Holdings Inc")</f>
        <v>Duluth Holdings Inc</v>
      </c>
      <c r="C419" t="s">
        <v>1801</v>
      </c>
      <c r="D419">
        <v>5.04</v>
      </c>
      <c r="E419">
        <v>0</v>
      </c>
      <c r="F419" t="s">
        <v>1797</v>
      </c>
      <c r="G419" t="s">
        <v>1797</v>
      </c>
      <c r="H419">
        <v>0</v>
      </c>
      <c r="I419">
        <v>157.30912499999999</v>
      </c>
      <c r="J419" t="s">
        <v>1797</v>
      </c>
      <c r="K419">
        <v>0</v>
      </c>
      <c r="L419">
        <v>0.94620951109811502</v>
      </c>
      <c r="M419">
        <v>9.23</v>
      </c>
      <c r="N419">
        <v>4.7699999999999996</v>
      </c>
    </row>
    <row r="420" spans="1:14" x14ac:dyDescent="0.25">
      <c r="A420" s="1" t="s">
        <v>432</v>
      </c>
      <c r="B420" t="str">
        <f>HYPERLINK("https://www.suredividend.com/sure-analysis-research-database/","Deluxe Corp.")</f>
        <v>Deluxe Corp.</v>
      </c>
      <c r="C420" t="s">
        <v>1806</v>
      </c>
      <c r="D420">
        <v>18.53</v>
      </c>
      <c r="E420">
        <v>6.3192849218194999E-2</v>
      </c>
      <c r="F420">
        <v>0</v>
      </c>
      <c r="G420">
        <v>0</v>
      </c>
      <c r="H420">
        <v>1.1709634960131581</v>
      </c>
      <c r="I420">
        <v>808.21478300000001</v>
      </c>
      <c r="J420">
        <v>15.314929654937179</v>
      </c>
      <c r="K420">
        <v>0.96773842645715547</v>
      </c>
      <c r="L420">
        <v>1.3652370552853881</v>
      </c>
      <c r="M420">
        <v>21.27</v>
      </c>
      <c r="N420">
        <v>13.15</v>
      </c>
    </row>
    <row r="421" spans="1:14" x14ac:dyDescent="0.25">
      <c r="A421" s="1" t="s">
        <v>433</v>
      </c>
      <c r="B421" t="str">
        <f>HYPERLINK("https://www.suredividend.com/sure-analysis-research-database/","Desktop Metal Inc")</f>
        <v>Desktop Metal Inc</v>
      </c>
      <c r="C421" t="s">
        <v>1797</v>
      </c>
      <c r="D421">
        <v>0.97630000000000006</v>
      </c>
      <c r="E421">
        <v>0</v>
      </c>
      <c r="F421" t="s">
        <v>1797</v>
      </c>
      <c r="G421" t="s">
        <v>1797</v>
      </c>
      <c r="H421">
        <v>0</v>
      </c>
      <c r="I421">
        <v>315.41360900000001</v>
      </c>
      <c r="J421" t="s">
        <v>1797</v>
      </c>
      <c r="K421">
        <v>0</v>
      </c>
      <c r="L421">
        <v>2.1790317862219681</v>
      </c>
      <c r="M421">
        <v>2.5499999999999998</v>
      </c>
      <c r="N421">
        <v>0.80049999999999999</v>
      </c>
    </row>
    <row r="422" spans="1:14" x14ac:dyDescent="0.25">
      <c r="A422" s="1" t="s">
        <v>434</v>
      </c>
      <c r="B422" t="str">
        <f>HYPERLINK("https://www.suredividend.com/sure-analysis-research-database/","Digimarc Corporation")</f>
        <v>Digimarc Corporation</v>
      </c>
      <c r="C422" t="s">
        <v>1803</v>
      </c>
      <c r="D422">
        <v>28.25</v>
      </c>
      <c r="E422">
        <v>0</v>
      </c>
      <c r="F422" t="s">
        <v>1797</v>
      </c>
      <c r="G422" t="s">
        <v>1797</v>
      </c>
      <c r="H422">
        <v>0</v>
      </c>
      <c r="I422">
        <v>574.49745199999995</v>
      </c>
      <c r="J422" t="s">
        <v>1797</v>
      </c>
      <c r="K422">
        <v>0</v>
      </c>
      <c r="L422">
        <v>1.689850800903361</v>
      </c>
      <c r="M422">
        <v>38.35</v>
      </c>
      <c r="N422">
        <v>16.13</v>
      </c>
    </row>
    <row r="423" spans="1:14" x14ac:dyDescent="0.25">
      <c r="A423" s="1" t="s">
        <v>435</v>
      </c>
      <c r="B423" t="str">
        <f>HYPERLINK("https://www.suredividend.com/sure-analysis-research-database/","Denali Therapeutics Inc")</f>
        <v>Denali Therapeutics Inc</v>
      </c>
      <c r="C423" t="s">
        <v>1802</v>
      </c>
      <c r="D423">
        <v>21.83</v>
      </c>
      <c r="E423">
        <v>0</v>
      </c>
      <c r="F423" t="s">
        <v>1797</v>
      </c>
      <c r="G423" t="s">
        <v>1797</v>
      </c>
      <c r="H423">
        <v>0</v>
      </c>
      <c r="I423">
        <v>2999.442</v>
      </c>
      <c r="J423" t="s">
        <v>1797</v>
      </c>
      <c r="K423">
        <v>0</v>
      </c>
      <c r="L423">
        <v>1.5775129779913799</v>
      </c>
      <c r="M423">
        <v>33.31</v>
      </c>
      <c r="N423">
        <v>17.98</v>
      </c>
    </row>
    <row r="424" spans="1:14" x14ac:dyDescent="0.25">
      <c r="A424" s="1" t="s">
        <v>436</v>
      </c>
      <c r="B424" t="str">
        <f>HYPERLINK("https://www.suredividend.com/sure-analysis-research-database/","Danimer Scientific Inc")</f>
        <v>Danimer Scientific Inc</v>
      </c>
      <c r="C424" t="s">
        <v>1797</v>
      </c>
      <c r="D424">
        <v>1.64</v>
      </c>
      <c r="E424">
        <v>0</v>
      </c>
      <c r="F424" t="s">
        <v>1797</v>
      </c>
      <c r="G424" t="s">
        <v>1797</v>
      </c>
      <c r="H424">
        <v>0</v>
      </c>
      <c r="I424">
        <v>167.337838</v>
      </c>
      <c r="J424" t="s">
        <v>1797</v>
      </c>
      <c r="K424">
        <v>0</v>
      </c>
      <c r="L424">
        <v>2.0867489674420301</v>
      </c>
      <c r="M424">
        <v>4.59</v>
      </c>
      <c r="N424">
        <v>1.32</v>
      </c>
    </row>
    <row r="425" spans="1:14" x14ac:dyDescent="0.25">
      <c r="A425" s="1" t="s">
        <v>437</v>
      </c>
      <c r="B425" t="str">
        <f>HYPERLINK("https://www.suredividend.com/sure-analysis-research-database/","NOW Inc")</f>
        <v>NOW Inc</v>
      </c>
      <c r="C425" t="s">
        <v>1807</v>
      </c>
      <c r="D425">
        <v>10.83</v>
      </c>
      <c r="E425">
        <v>0</v>
      </c>
      <c r="F425" t="s">
        <v>1797</v>
      </c>
      <c r="G425" t="s">
        <v>1797</v>
      </c>
      <c r="H425">
        <v>0</v>
      </c>
      <c r="I425">
        <v>1155.7667919999999</v>
      </c>
      <c r="J425">
        <v>8.8226472645801515</v>
      </c>
      <c r="K425">
        <v>0</v>
      </c>
      <c r="L425">
        <v>1.2691049401779331</v>
      </c>
      <c r="M425">
        <v>14.86</v>
      </c>
      <c r="N425">
        <v>8.83</v>
      </c>
    </row>
    <row r="426" spans="1:14" x14ac:dyDescent="0.25">
      <c r="A426" s="1" t="s">
        <v>438</v>
      </c>
      <c r="B426" t="str">
        <f>HYPERLINK("https://www.suredividend.com/sure-analysis-research-database/","Krispy Kreme Inc")</f>
        <v>Krispy Kreme Inc</v>
      </c>
      <c r="C426" t="s">
        <v>1797</v>
      </c>
      <c r="D426">
        <v>13.3</v>
      </c>
      <c r="E426">
        <v>1.0454234114384999E-2</v>
      </c>
      <c r="F426" t="s">
        <v>1797</v>
      </c>
      <c r="G426" t="s">
        <v>1797</v>
      </c>
      <c r="H426">
        <v>0.13904131372133099</v>
      </c>
      <c r="I426">
        <v>2237.06</v>
      </c>
      <c r="J426" t="s">
        <v>1797</v>
      </c>
      <c r="K426" t="s">
        <v>1797</v>
      </c>
      <c r="L426">
        <v>0.68577907843908603</v>
      </c>
      <c r="M426">
        <v>16.059999999999999</v>
      </c>
      <c r="N426">
        <v>10.06</v>
      </c>
    </row>
    <row r="427" spans="1:14" x14ac:dyDescent="0.25">
      <c r="A427" s="1" t="s">
        <v>439</v>
      </c>
      <c r="B427" t="str">
        <f>HYPERLINK("https://www.suredividend.com/sure-analysis-research-database/","Diamond Offshore Drilling, Inc.")</f>
        <v>Diamond Offshore Drilling, Inc.</v>
      </c>
      <c r="C427" t="s">
        <v>1807</v>
      </c>
      <c r="D427">
        <v>13.4</v>
      </c>
      <c r="E427">
        <v>0</v>
      </c>
      <c r="F427" t="s">
        <v>1797</v>
      </c>
      <c r="G427" t="s">
        <v>1797</v>
      </c>
      <c r="H427">
        <v>0</v>
      </c>
      <c r="I427">
        <v>1371.1148270000001</v>
      </c>
      <c r="J427" t="s">
        <v>1797</v>
      </c>
      <c r="K427">
        <v>0</v>
      </c>
      <c r="L427">
        <v>1.345430737177987</v>
      </c>
      <c r="M427">
        <v>17.32</v>
      </c>
      <c r="N427">
        <v>8.4</v>
      </c>
    </row>
    <row r="428" spans="1:14" x14ac:dyDescent="0.25">
      <c r="A428" s="1" t="s">
        <v>440</v>
      </c>
      <c r="B428" t="str">
        <f>HYPERLINK("https://www.suredividend.com/sure-analysis-DOC/","Physicians Realty Trust")</f>
        <v>Physicians Realty Trust</v>
      </c>
      <c r="C428" t="s">
        <v>1799</v>
      </c>
      <c r="D428">
        <v>11.81</v>
      </c>
      <c r="E428">
        <v>7.7900084674005082E-2</v>
      </c>
      <c r="F428">
        <v>0</v>
      </c>
      <c r="G428">
        <v>0</v>
      </c>
      <c r="H428">
        <v>0.89614376566967102</v>
      </c>
      <c r="I428">
        <v>2816.5367609999998</v>
      </c>
      <c r="J428">
        <v>60.562868466004389</v>
      </c>
      <c r="K428">
        <v>4.7616565657262004</v>
      </c>
      <c r="L428">
        <v>0.82070683968354607</v>
      </c>
      <c r="M428">
        <v>15.53</v>
      </c>
      <c r="N428">
        <v>10.52</v>
      </c>
    </row>
    <row r="429" spans="1:14" x14ac:dyDescent="0.25">
      <c r="A429" s="1" t="s">
        <v>441</v>
      </c>
      <c r="B429" t="str">
        <f>HYPERLINK("https://www.suredividend.com/sure-analysis-research-database/","DigitalOcean Holdings Inc")</f>
        <v>DigitalOcean Holdings Inc</v>
      </c>
      <c r="C429" t="s">
        <v>1797</v>
      </c>
      <c r="D429">
        <v>24.76</v>
      </c>
      <c r="E429">
        <v>0</v>
      </c>
      <c r="F429" t="s">
        <v>1797</v>
      </c>
      <c r="G429" t="s">
        <v>1797</v>
      </c>
      <c r="H429">
        <v>0</v>
      </c>
      <c r="I429">
        <v>2199.8705129999998</v>
      </c>
      <c r="J429" t="s">
        <v>1797</v>
      </c>
      <c r="K429">
        <v>0</v>
      </c>
      <c r="L429">
        <v>2.0515322265796052</v>
      </c>
      <c r="M429">
        <v>51.69</v>
      </c>
      <c r="N429">
        <v>19.39</v>
      </c>
    </row>
    <row r="430" spans="1:14" x14ac:dyDescent="0.25">
      <c r="A430" s="1" t="s">
        <v>442</v>
      </c>
      <c r="B430" t="str">
        <f>HYPERLINK("https://www.suredividend.com/sure-analysis-research-database/","Doma Holdings Inc")</f>
        <v>Doma Holdings Inc</v>
      </c>
      <c r="C430" t="s">
        <v>1797</v>
      </c>
      <c r="D430">
        <v>4.6500000000000004</v>
      </c>
      <c r="E430">
        <v>0</v>
      </c>
      <c r="F430" t="s">
        <v>1797</v>
      </c>
      <c r="G430" t="s">
        <v>1797</v>
      </c>
      <c r="H430">
        <v>0</v>
      </c>
      <c r="I430">
        <v>62.481655000000003</v>
      </c>
      <c r="J430" t="s">
        <v>1797</v>
      </c>
      <c r="K430">
        <v>0</v>
      </c>
      <c r="L430">
        <v>1.1897828121867511</v>
      </c>
      <c r="M430">
        <v>23.6</v>
      </c>
      <c r="N430">
        <v>3.86</v>
      </c>
    </row>
    <row r="431" spans="1:14" x14ac:dyDescent="0.25">
      <c r="A431" s="1" t="s">
        <v>443</v>
      </c>
      <c r="B431" t="str">
        <f>HYPERLINK("https://www.suredividend.com/sure-analysis-research-database/","Domo Inc.")</f>
        <v>Domo Inc.</v>
      </c>
      <c r="C431" t="s">
        <v>1803</v>
      </c>
      <c r="D431">
        <v>8.6999999999999993</v>
      </c>
      <c r="E431">
        <v>0</v>
      </c>
      <c r="F431" t="s">
        <v>1797</v>
      </c>
      <c r="G431" t="s">
        <v>1797</v>
      </c>
      <c r="H431">
        <v>0</v>
      </c>
      <c r="I431">
        <v>285.52659599999998</v>
      </c>
      <c r="J431" t="s">
        <v>1797</v>
      </c>
      <c r="K431">
        <v>0</v>
      </c>
      <c r="L431">
        <v>1.9064523842637779</v>
      </c>
      <c r="M431">
        <v>19.09</v>
      </c>
      <c r="N431">
        <v>7.78</v>
      </c>
    </row>
    <row r="432" spans="1:14" x14ac:dyDescent="0.25">
      <c r="A432" s="1" t="s">
        <v>444</v>
      </c>
      <c r="B432" t="str">
        <f>HYPERLINK("https://www.suredividend.com/sure-analysis-research-database/","Masonite International Corp")</f>
        <v>Masonite International Corp</v>
      </c>
      <c r="C432" t="s">
        <v>1798</v>
      </c>
      <c r="D432">
        <v>86.83</v>
      </c>
      <c r="E432">
        <v>0</v>
      </c>
      <c r="F432" t="s">
        <v>1797</v>
      </c>
      <c r="G432" t="s">
        <v>1797</v>
      </c>
      <c r="H432">
        <v>0</v>
      </c>
      <c r="I432">
        <v>1910.55774</v>
      </c>
      <c r="J432">
        <v>10.92546399692346</v>
      </c>
      <c r="K432">
        <v>0</v>
      </c>
      <c r="L432">
        <v>1.4051241851572369</v>
      </c>
      <c r="M432">
        <v>109.58</v>
      </c>
      <c r="N432">
        <v>69.11</v>
      </c>
    </row>
    <row r="433" spans="1:14" x14ac:dyDescent="0.25">
      <c r="A433" s="1" t="s">
        <v>445</v>
      </c>
      <c r="B433" t="str">
        <f>HYPERLINK("https://www.suredividend.com/sure-analysis-research-database/","Dorman Products Inc")</f>
        <v>Dorman Products Inc</v>
      </c>
      <c r="C433" t="s">
        <v>1801</v>
      </c>
      <c r="D433">
        <v>68.14</v>
      </c>
      <c r="E433">
        <v>0</v>
      </c>
      <c r="F433" t="s">
        <v>1797</v>
      </c>
      <c r="G433" t="s">
        <v>1797</v>
      </c>
      <c r="H433">
        <v>0</v>
      </c>
      <c r="I433">
        <v>2145.600156</v>
      </c>
      <c r="J433">
        <v>22.162772371941209</v>
      </c>
      <c r="K433">
        <v>0</v>
      </c>
      <c r="L433">
        <v>1.053093568897596</v>
      </c>
      <c r="M433">
        <v>102.25</v>
      </c>
      <c r="N433">
        <v>60.01</v>
      </c>
    </row>
    <row r="434" spans="1:14" x14ac:dyDescent="0.25">
      <c r="A434" s="1" t="s">
        <v>446</v>
      </c>
      <c r="B434" t="str">
        <f>HYPERLINK("https://www.suredividend.com/sure-analysis-research-database/","Douglas Elliman Inc")</f>
        <v>Douglas Elliman Inc</v>
      </c>
      <c r="C434" t="s">
        <v>1797</v>
      </c>
      <c r="D434">
        <v>1.84</v>
      </c>
      <c r="E434">
        <v>5.1335416971828002E-2</v>
      </c>
      <c r="F434" t="s">
        <v>1797</v>
      </c>
      <c r="G434" t="s">
        <v>1797</v>
      </c>
      <c r="H434">
        <v>9.445716722816401E-2</v>
      </c>
      <c r="I434">
        <v>163.08346700000001</v>
      </c>
      <c r="J434" t="s">
        <v>1797</v>
      </c>
      <c r="K434" t="s">
        <v>1797</v>
      </c>
      <c r="L434">
        <v>1.6854162226735789</v>
      </c>
      <c r="M434">
        <v>4.9400000000000004</v>
      </c>
      <c r="N434">
        <v>1.58</v>
      </c>
    </row>
    <row r="435" spans="1:14" x14ac:dyDescent="0.25">
      <c r="A435" s="1" t="s">
        <v>447</v>
      </c>
      <c r="B435" t="str">
        <f>HYPERLINK("https://www.suredividend.com/sure-analysis-research-database/","Diamondrock Hospitality Co.")</f>
        <v>Diamondrock Hospitality Co.</v>
      </c>
      <c r="C435" t="s">
        <v>1799</v>
      </c>
      <c r="D435">
        <v>8.4499999999999993</v>
      </c>
      <c r="E435">
        <v>1.4120072727910001E-2</v>
      </c>
      <c r="F435" t="s">
        <v>1797</v>
      </c>
      <c r="G435" t="s">
        <v>1797</v>
      </c>
      <c r="H435">
        <v>0.119314614550843</v>
      </c>
      <c r="I435">
        <v>1771.349815</v>
      </c>
      <c r="J435">
        <v>20.818101644787099</v>
      </c>
      <c r="K435">
        <v>0.30008705872948438</v>
      </c>
      <c r="L435">
        <v>1.2504772487139819</v>
      </c>
      <c r="M435">
        <v>9.9</v>
      </c>
      <c r="N435">
        <v>7.06</v>
      </c>
    </row>
    <row r="436" spans="1:14" x14ac:dyDescent="0.25">
      <c r="A436" s="1" t="s">
        <v>448</v>
      </c>
      <c r="B436" t="str">
        <f>HYPERLINK("https://www.suredividend.com/sure-analysis-research-database/","Dril-Quip, Inc.")</f>
        <v>Dril-Quip, Inc.</v>
      </c>
      <c r="C436" t="s">
        <v>1807</v>
      </c>
      <c r="D436">
        <v>23.02</v>
      </c>
      <c r="E436">
        <v>0</v>
      </c>
      <c r="F436" t="s">
        <v>1797</v>
      </c>
      <c r="G436" t="s">
        <v>1797</v>
      </c>
      <c r="H436">
        <v>0</v>
      </c>
      <c r="I436">
        <v>786.89387999999997</v>
      </c>
      <c r="J436" t="s">
        <v>1797</v>
      </c>
      <c r="K436">
        <v>0</v>
      </c>
      <c r="L436">
        <v>1.0439975182051959</v>
      </c>
      <c r="M436">
        <v>35.950000000000003</v>
      </c>
      <c r="N436">
        <v>21.31</v>
      </c>
    </row>
    <row r="437" spans="1:14" x14ac:dyDescent="0.25">
      <c r="A437" s="1" t="s">
        <v>449</v>
      </c>
      <c r="B437" t="str">
        <f>HYPERLINK("https://www.suredividend.com/sure-analysis-research-database/","Diversey Holdings Ltd")</f>
        <v>Diversey Holdings Ltd</v>
      </c>
      <c r="C437" t="s">
        <v>1797</v>
      </c>
      <c r="D437">
        <v>8.39</v>
      </c>
      <c r="E437">
        <v>0</v>
      </c>
      <c r="F437" t="s">
        <v>1797</v>
      </c>
      <c r="G437" t="s">
        <v>1797</v>
      </c>
      <c r="H437">
        <v>0</v>
      </c>
      <c r="I437">
        <v>0</v>
      </c>
      <c r="J437">
        <v>0</v>
      </c>
      <c r="K437" t="s">
        <v>1797</v>
      </c>
    </row>
    <row r="438" spans="1:14" x14ac:dyDescent="0.25">
      <c r="A438" s="1" t="s">
        <v>450</v>
      </c>
      <c r="B438" t="str">
        <f>HYPERLINK("https://www.suredividend.com/sure-analysis-research-database/","Design Therapeutics Inc")</f>
        <v>Design Therapeutics Inc</v>
      </c>
      <c r="C438" t="s">
        <v>1797</v>
      </c>
      <c r="D438">
        <v>2.19</v>
      </c>
      <c r="E438">
        <v>0</v>
      </c>
      <c r="F438" t="s">
        <v>1797</v>
      </c>
      <c r="G438" t="s">
        <v>1797</v>
      </c>
      <c r="H438">
        <v>0</v>
      </c>
      <c r="I438">
        <v>122.61077899999999</v>
      </c>
      <c r="J438">
        <v>0</v>
      </c>
      <c r="K438" t="s">
        <v>1797</v>
      </c>
      <c r="L438">
        <v>1.4238402193960269</v>
      </c>
      <c r="M438">
        <v>16.63</v>
      </c>
      <c r="N438">
        <v>1.94</v>
      </c>
    </row>
    <row r="439" spans="1:14" x14ac:dyDescent="0.25">
      <c r="A439" s="1" t="s">
        <v>451</v>
      </c>
      <c r="B439" t="str">
        <f>HYPERLINK("https://www.suredividend.com/sure-analysis-research-database/","Distribution Solutions Group Inc")</f>
        <v>Distribution Solutions Group Inc</v>
      </c>
      <c r="C439" t="s">
        <v>1797</v>
      </c>
      <c r="D439">
        <v>24.2</v>
      </c>
      <c r="E439">
        <v>0</v>
      </c>
      <c r="F439" t="s">
        <v>1797</v>
      </c>
      <c r="G439" t="s">
        <v>1797</v>
      </c>
      <c r="H439">
        <v>0</v>
      </c>
      <c r="I439">
        <v>565.06358699999998</v>
      </c>
      <c r="J439">
        <v>76.298080880367266</v>
      </c>
      <c r="K439">
        <v>0</v>
      </c>
      <c r="L439">
        <v>1.179929297355643</v>
      </c>
      <c r="M439">
        <v>32.869999999999997</v>
      </c>
      <c r="N439">
        <v>16.77</v>
      </c>
    </row>
    <row r="440" spans="1:14" x14ac:dyDescent="0.25">
      <c r="A440" s="1" t="s">
        <v>452</v>
      </c>
      <c r="B440" t="str">
        <f>HYPERLINK("https://www.suredividend.com/sure-analysis-research-database/","Daseke Inc")</f>
        <v>Daseke Inc</v>
      </c>
      <c r="C440" t="s">
        <v>1798</v>
      </c>
      <c r="D440">
        <v>4.62</v>
      </c>
      <c r="E440">
        <v>0</v>
      </c>
      <c r="F440" t="s">
        <v>1797</v>
      </c>
      <c r="G440" t="s">
        <v>1797</v>
      </c>
      <c r="H440">
        <v>0</v>
      </c>
      <c r="I440">
        <v>211.840846</v>
      </c>
      <c r="J440">
        <v>12.105191208000001</v>
      </c>
      <c r="K440">
        <v>0</v>
      </c>
      <c r="L440">
        <v>1.3618536452511421</v>
      </c>
      <c r="M440">
        <v>9.57</v>
      </c>
      <c r="N440">
        <v>4.25</v>
      </c>
    </row>
    <row r="441" spans="1:14" x14ac:dyDescent="0.25">
      <c r="A441" s="1" t="s">
        <v>453</v>
      </c>
      <c r="B441" t="str">
        <f>HYPERLINK("https://www.suredividend.com/sure-analysis-research-database/","Viant Technology Inc")</f>
        <v>Viant Technology Inc</v>
      </c>
      <c r="C441" t="s">
        <v>1797</v>
      </c>
      <c r="D441">
        <v>5.46</v>
      </c>
      <c r="E441">
        <v>0</v>
      </c>
      <c r="F441" t="s">
        <v>1797</v>
      </c>
      <c r="G441" t="s">
        <v>1797</v>
      </c>
      <c r="H441">
        <v>0</v>
      </c>
      <c r="I441">
        <v>83.770393999999996</v>
      </c>
      <c r="J441" t="s">
        <v>1797</v>
      </c>
      <c r="K441">
        <v>0</v>
      </c>
      <c r="L441">
        <v>1.3918150363913231</v>
      </c>
      <c r="M441">
        <v>7.21</v>
      </c>
      <c r="N441">
        <v>3.15</v>
      </c>
    </row>
    <row r="442" spans="1:14" x14ac:dyDescent="0.25">
      <c r="A442" s="1" t="s">
        <v>454</v>
      </c>
      <c r="B442" t="str">
        <f>HYPERLINK("https://www.suredividend.com/sure-analysis-research-database/","Solo Brands Inc")</f>
        <v>Solo Brands Inc</v>
      </c>
      <c r="C442" t="s">
        <v>1797</v>
      </c>
      <c r="D442">
        <v>4.17</v>
      </c>
      <c r="E442">
        <v>0</v>
      </c>
      <c r="F442" t="s">
        <v>1797</v>
      </c>
      <c r="G442" t="s">
        <v>1797</v>
      </c>
      <c r="H442">
        <v>0</v>
      </c>
      <c r="I442">
        <v>240.50326100000001</v>
      </c>
      <c r="J442">
        <v>13.761129559420951</v>
      </c>
      <c r="K442">
        <v>0</v>
      </c>
      <c r="L442">
        <v>1.1056204252050319</v>
      </c>
      <c r="M442">
        <v>8.86</v>
      </c>
      <c r="N442">
        <v>3.39</v>
      </c>
    </row>
    <row r="443" spans="1:14" x14ac:dyDescent="0.25">
      <c r="A443" s="1" t="s">
        <v>455</v>
      </c>
      <c r="B443" t="str">
        <f>HYPERLINK("https://www.suredividend.com/sure-analysis-research-database/","Duolingo Inc")</f>
        <v>Duolingo Inc</v>
      </c>
      <c r="C443" t="s">
        <v>1797</v>
      </c>
      <c r="D443">
        <v>159.33000000000001</v>
      </c>
      <c r="E443">
        <v>0</v>
      </c>
      <c r="F443" t="s">
        <v>1797</v>
      </c>
      <c r="G443" t="s">
        <v>1797</v>
      </c>
      <c r="H443">
        <v>0</v>
      </c>
      <c r="I443">
        <v>5636.2705489999998</v>
      </c>
      <c r="J443" t="s">
        <v>1797</v>
      </c>
      <c r="K443">
        <v>0</v>
      </c>
      <c r="L443">
        <v>1.702562172229227</v>
      </c>
      <c r="M443">
        <v>179.84</v>
      </c>
      <c r="N443">
        <v>64.73</v>
      </c>
    </row>
    <row r="444" spans="1:14" x14ac:dyDescent="0.25">
      <c r="A444" s="1" t="s">
        <v>456</v>
      </c>
      <c r="B444" t="str">
        <f>HYPERLINK("https://www.suredividend.com/sure-analysis-research-database/","Dynavax Technologies Corp.")</f>
        <v>Dynavax Technologies Corp.</v>
      </c>
      <c r="C444" t="s">
        <v>1802</v>
      </c>
      <c r="D444">
        <v>14.22</v>
      </c>
      <c r="E444">
        <v>0</v>
      </c>
      <c r="F444" t="s">
        <v>1797</v>
      </c>
      <c r="G444" t="s">
        <v>1797</v>
      </c>
      <c r="H444">
        <v>0</v>
      </c>
      <c r="I444">
        <v>1831.498417</v>
      </c>
      <c r="J444">
        <v>30.037859651649089</v>
      </c>
      <c r="K444">
        <v>0</v>
      </c>
      <c r="L444">
        <v>1.141421255428605</v>
      </c>
      <c r="M444">
        <v>15.15</v>
      </c>
      <c r="N444">
        <v>9.42</v>
      </c>
    </row>
    <row r="445" spans="1:14" x14ac:dyDescent="0.25">
      <c r="A445" s="1" t="s">
        <v>457</v>
      </c>
      <c r="B445" t="str">
        <f>HYPERLINK("https://www.suredividend.com/sure-analysis-DX/","Dynex Capital, Inc.")</f>
        <v>Dynex Capital, Inc.</v>
      </c>
      <c r="C445" t="s">
        <v>1799</v>
      </c>
      <c r="D445">
        <v>11.05</v>
      </c>
      <c r="E445">
        <v>0.14117647058823529</v>
      </c>
      <c r="F445">
        <v>0</v>
      </c>
      <c r="G445">
        <v>0</v>
      </c>
      <c r="H445">
        <v>1.4702598368520261</v>
      </c>
      <c r="I445">
        <v>598.95772499999998</v>
      </c>
      <c r="J445">
        <v>389.69272931034487</v>
      </c>
      <c r="K445">
        <v>48.523426958812742</v>
      </c>
      <c r="L445">
        <v>1.062574906741633</v>
      </c>
      <c r="M445">
        <v>13.61</v>
      </c>
      <c r="N445">
        <v>9.57</v>
      </c>
    </row>
    <row r="446" spans="1:14" x14ac:dyDescent="0.25">
      <c r="A446" s="1" t="s">
        <v>458</v>
      </c>
      <c r="B446" t="str">
        <f>HYPERLINK("https://www.suredividend.com/sure-analysis-research-database/","Destination XL Group Inc")</f>
        <v>Destination XL Group Inc</v>
      </c>
      <c r="C446" t="s">
        <v>1801</v>
      </c>
      <c r="D446">
        <v>4.5199999999999996</v>
      </c>
      <c r="E446">
        <v>0</v>
      </c>
      <c r="F446" t="s">
        <v>1797</v>
      </c>
      <c r="G446" t="s">
        <v>1797</v>
      </c>
      <c r="H446">
        <v>0</v>
      </c>
      <c r="I446">
        <v>272.96128599999997</v>
      </c>
      <c r="J446">
        <v>7.2997963736528222</v>
      </c>
      <c r="K446">
        <v>0</v>
      </c>
      <c r="L446">
        <v>1.3488402854776289</v>
      </c>
      <c r="M446">
        <v>7.57</v>
      </c>
      <c r="N446">
        <v>3.69</v>
      </c>
    </row>
    <row r="447" spans="1:14" x14ac:dyDescent="0.25">
      <c r="A447" s="1" t="s">
        <v>459</v>
      </c>
      <c r="B447" t="str">
        <f>HYPERLINK("https://www.suredividend.com/sure-analysis-research-database/","DXP Enterprises, Inc.")</f>
        <v>DXP Enterprises, Inc.</v>
      </c>
      <c r="C447" t="s">
        <v>1798</v>
      </c>
      <c r="D447">
        <v>34.11</v>
      </c>
      <c r="E447">
        <v>0</v>
      </c>
      <c r="F447" t="s">
        <v>1797</v>
      </c>
      <c r="G447" t="s">
        <v>1797</v>
      </c>
      <c r="H447">
        <v>0</v>
      </c>
      <c r="I447">
        <v>570.56185900000003</v>
      </c>
      <c r="J447">
        <v>9.9014622126197409</v>
      </c>
      <c r="K447">
        <v>0</v>
      </c>
      <c r="L447">
        <v>1.1279761981500649</v>
      </c>
      <c r="M447">
        <v>39.89</v>
      </c>
      <c r="N447">
        <v>22.06</v>
      </c>
    </row>
    <row r="448" spans="1:14" x14ac:dyDescent="0.25">
      <c r="A448" s="1" t="s">
        <v>460</v>
      </c>
      <c r="B448" t="str">
        <f>HYPERLINK("https://www.suredividend.com/sure-analysis-research-database/","Dycom Industries, Inc.")</f>
        <v>Dycom Industries, Inc.</v>
      </c>
      <c r="C448" t="s">
        <v>1798</v>
      </c>
      <c r="D448">
        <v>84.4</v>
      </c>
      <c r="E448">
        <v>0</v>
      </c>
      <c r="F448" t="s">
        <v>1797</v>
      </c>
      <c r="G448" t="s">
        <v>1797</v>
      </c>
      <c r="H448">
        <v>0</v>
      </c>
      <c r="I448">
        <v>2475.7398880000001</v>
      </c>
      <c r="J448">
        <v>12.989872965003411</v>
      </c>
      <c r="K448">
        <v>0</v>
      </c>
      <c r="L448">
        <v>0.81917802005278406</v>
      </c>
      <c r="M448">
        <v>116.95</v>
      </c>
      <c r="N448">
        <v>77.33</v>
      </c>
    </row>
    <row r="449" spans="1:14" x14ac:dyDescent="0.25">
      <c r="A449" s="1" t="s">
        <v>461</v>
      </c>
      <c r="B449" t="str">
        <f>HYPERLINK("https://www.suredividend.com/sure-analysis-research-database/","Dyne Therapeutics Inc")</f>
        <v>Dyne Therapeutics Inc</v>
      </c>
      <c r="C449" t="s">
        <v>1797</v>
      </c>
      <c r="D449">
        <v>8.23</v>
      </c>
      <c r="E449">
        <v>0</v>
      </c>
      <c r="F449" t="s">
        <v>1797</v>
      </c>
      <c r="G449" t="s">
        <v>1797</v>
      </c>
      <c r="H449">
        <v>0</v>
      </c>
      <c r="I449">
        <v>505.121172</v>
      </c>
      <c r="J449">
        <v>0</v>
      </c>
      <c r="K449" t="s">
        <v>1797</v>
      </c>
      <c r="L449">
        <v>1.173061928629092</v>
      </c>
      <c r="M449">
        <v>15.6</v>
      </c>
      <c r="N449">
        <v>6.4</v>
      </c>
    </row>
    <row r="450" spans="1:14" x14ac:dyDescent="0.25">
      <c r="A450" s="1" t="s">
        <v>462</v>
      </c>
      <c r="B450" t="str">
        <f>HYPERLINK("https://www.suredividend.com/sure-analysis-research-database/","DZS Inc")</f>
        <v>DZS Inc</v>
      </c>
      <c r="C450" t="s">
        <v>1803</v>
      </c>
      <c r="D450">
        <v>1.4750000000000001</v>
      </c>
      <c r="E450">
        <v>0</v>
      </c>
      <c r="F450" t="s">
        <v>1797</v>
      </c>
      <c r="G450" t="s">
        <v>1797</v>
      </c>
      <c r="H450">
        <v>0</v>
      </c>
      <c r="I450">
        <v>45.960673</v>
      </c>
      <c r="J450" t="s">
        <v>1797</v>
      </c>
      <c r="K450">
        <v>0</v>
      </c>
      <c r="L450">
        <v>1.189105181610425</v>
      </c>
      <c r="M450">
        <v>14.91</v>
      </c>
      <c r="N450">
        <v>1.24</v>
      </c>
    </row>
    <row r="451" spans="1:14" x14ac:dyDescent="0.25">
      <c r="A451" s="1" t="s">
        <v>463</v>
      </c>
      <c r="B451" t="str">
        <f>HYPERLINK("https://www.suredividend.com/sure-analysis-research-database/","GrafTech International Ltd.")</f>
        <v>GrafTech International Ltd.</v>
      </c>
      <c r="C451" t="s">
        <v>1798</v>
      </c>
      <c r="D451">
        <v>2.98</v>
      </c>
      <c r="E451">
        <v>1.0061142402301E-2</v>
      </c>
      <c r="F451">
        <v>0</v>
      </c>
      <c r="G451">
        <v>-0.34819721036862328</v>
      </c>
      <c r="H451">
        <v>2.9982204358859E-2</v>
      </c>
      <c r="I451">
        <v>765.28754200000003</v>
      </c>
      <c r="J451">
        <v>5.9526729671287013</v>
      </c>
      <c r="K451">
        <v>5.9916475537288169E-2</v>
      </c>
      <c r="L451">
        <v>1.368395813421277</v>
      </c>
      <c r="M451">
        <v>6.73</v>
      </c>
      <c r="N451">
        <v>2.88</v>
      </c>
    </row>
    <row r="452" spans="1:14" x14ac:dyDescent="0.25">
      <c r="A452" s="1" t="s">
        <v>464</v>
      </c>
      <c r="B452" t="str">
        <f>HYPERLINK("https://www.suredividend.com/sure-analysis-research-database/","Brinker International, Inc.")</f>
        <v>Brinker International, Inc.</v>
      </c>
      <c r="C452" t="s">
        <v>1801</v>
      </c>
      <c r="D452">
        <v>35.28</v>
      </c>
      <c r="E452">
        <v>0</v>
      </c>
      <c r="F452" t="s">
        <v>1797</v>
      </c>
      <c r="G452" t="s">
        <v>1797</v>
      </c>
      <c r="H452">
        <v>0</v>
      </c>
      <c r="I452">
        <v>1559.4854740000001</v>
      </c>
      <c r="J452">
        <v>11.139181956</v>
      </c>
      <c r="K452">
        <v>0</v>
      </c>
      <c r="L452">
        <v>1.1789394565927069</v>
      </c>
      <c r="M452">
        <v>42.12</v>
      </c>
      <c r="N452">
        <v>27.77</v>
      </c>
    </row>
    <row r="453" spans="1:14" x14ac:dyDescent="0.25">
      <c r="A453" s="1" t="s">
        <v>465</v>
      </c>
      <c r="B453" t="str">
        <f>HYPERLINK("https://www.suredividend.com/sure-analysis-research-database/","Eventbrite Inc")</f>
        <v>Eventbrite Inc</v>
      </c>
      <c r="C453" t="s">
        <v>1803</v>
      </c>
      <c r="D453">
        <v>8.1999999999999993</v>
      </c>
      <c r="E453">
        <v>0</v>
      </c>
      <c r="F453" t="s">
        <v>1797</v>
      </c>
      <c r="G453" t="s">
        <v>1797</v>
      </c>
      <c r="H453">
        <v>0</v>
      </c>
      <c r="I453">
        <v>696.67631300000005</v>
      </c>
      <c r="J453" t="s">
        <v>1797</v>
      </c>
      <c r="K453">
        <v>0</v>
      </c>
      <c r="L453">
        <v>1.6315427733674239</v>
      </c>
      <c r="M453">
        <v>11.91</v>
      </c>
      <c r="N453">
        <v>5.3</v>
      </c>
    </row>
    <row r="454" spans="1:14" x14ac:dyDescent="0.25">
      <c r="A454" s="1" t="s">
        <v>466</v>
      </c>
      <c r="B454" t="str">
        <f>HYPERLINK("https://www.suredividend.com/sure-analysis-research-database/","Eastern Bankshares Inc.")</f>
        <v>Eastern Bankshares Inc.</v>
      </c>
      <c r="C454" t="s">
        <v>1797</v>
      </c>
      <c r="D454">
        <v>11.68</v>
      </c>
      <c r="E454">
        <v>3.3507606549348E-2</v>
      </c>
      <c r="F454" t="s">
        <v>1797</v>
      </c>
      <c r="G454" t="s">
        <v>1797</v>
      </c>
      <c r="H454">
        <v>0.39136884449639298</v>
      </c>
      <c r="I454">
        <v>2060.0795640000001</v>
      </c>
      <c r="J454" t="s">
        <v>1797</v>
      </c>
      <c r="K454" t="s">
        <v>1797</v>
      </c>
      <c r="L454">
        <v>1.2162359615282301</v>
      </c>
      <c r="M454">
        <v>18.850000000000001</v>
      </c>
      <c r="N454">
        <v>9.61</v>
      </c>
    </row>
    <row r="455" spans="1:14" x14ac:dyDescent="0.25">
      <c r="A455" s="1" t="s">
        <v>467</v>
      </c>
      <c r="B455" t="str">
        <f>HYPERLINK("https://www.suredividend.com/sure-analysis-EBF/","Ennis Inc.")</f>
        <v>Ennis Inc.</v>
      </c>
      <c r="C455" t="s">
        <v>1798</v>
      </c>
      <c r="D455">
        <v>21.86</v>
      </c>
      <c r="E455">
        <v>4.5745654162854532E-2</v>
      </c>
      <c r="F455">
        <v>0</v>
      </c>
      <c r="G455">
        <v>2.1295687600135119E-2</v>
      </c>
      <c r="H455">
        <v>0.98230500376859908</v>
      </c>
      <c r="I455">
        <v>565.62091999999996</v>
      </c>
      <c r="J455">
        <v>12.2896949448114</v>
      </c>
      <c r="K455">
        <v>0.55497457840033848</v>
      </c>
      <c r="L455">
        <v>0.53001276035206502</v>
      </c>
      <c r="M455">
        <v>22.4</v>
      </c>
      <c r="N455">
        <v>18.489999999999998</v>
      </c>
    </row>
    <row r="456" spans="1:14" x14ac:dyDescent="0.25">
      <c r="A456" s="1" t="s">
        <v>468</v>
      </c>
      <c r="B456" t="str">
        <f>HYPERLINK("https://www.suredividend.com/sure-analysis-research-database/","Ebix Inc.")</f>
        <v>Ebix Inc.</v>
      </c>
      <c r="C456" t="s">
        <v>1803</v>
      </c>
      <c r="D456">
        <v>6.2</v>
      </c>
      <c r="E456">
        <v>1.2096774674231E-2</v>
      </c>
      <c r="F456" t="s">
        <v>1797</v>
      </c>
      <c r="G456" t="s">
        <v>1797</v>
      </c>
      <c r="H456">
        <v>7.5000002980232003E-2</v>
      </c>
      <c r="I456">
        <v>191.58892800000001</v>
      </c>
      <c r="J456">
        <v>5.7204385524901484</v>
      </c>
      <c r="K456">
        <v>6.8807342183699077E-2</v>
      </c>
      <c r="L456">
        <v>3.0427158922654578</v>
      </c>
      <c r="M456">
        <v>32.869999999999997</v>
      </c>
      <c r="N456">
        <v>5.12</v>
      </c>
    </row>
    <row r="457" spans="1:14" x14ac:dyDescent="0.25">
      <c r="A457" s="1" t="s">
        <v>469</v>
      </c>
      <c r="B457" t="str">
        <f>HYPERLINK("https://www.suredividend.com/sure-analysis-research-database/","Emergent Biosolutions Inc")</f>
        <v>Emergent Biosolutions Inc</v>
      </c>
      <c r="C457" t="s">
        <v>1802</v>
      </c>
      <c r="D457">
        <v>2.42</v>
      </c>
      <c r="E457">
        <v>0</v>
      </c>
      <c r="F457" t="s">
        <v>1797</v>
      </c>
      <c r="G457" t="s">
        <v>1797</v>
      </c>
      <c r="H457">
        <v>0</v>
      </c>
      <c r="I457">
        <v>125.37300500000001</v>
      </c>
      <c r="J457" t="s">
        <v>1797</v>
      </c>
      <c r="K457">
        <v>0</v>
      </c>
      <c r="L457">
        <v>2.339398450745783</v>
      </c>
      <c r="M457">
        <v>20.54</v>
      </c>
      <c r="N457">
        <v>1.93</v>
      </c>
    </row>
    <row r="458" spans="1:14" x14ac:dyDescent="0.25">
      <c r="A458" s="1" t="s">
        <v>470</v>
      </c>
      <c r="B458" t="str">
        <f>HYPERLINK("https://www.suredividend.com/sure-analysis-EBTC/","Enterprise Bancorp, Inc.")</f>
        <v>Enterprise Bancorp, Inc.</v>
      </c>
      <c r="C458" t="s">
        <v>1800</v>
      </c>
      <c r="D458">
        <v>27.25</v>
      </c>
      <c r="E458">
        <v>3.3761467889908262E-2</v>
      </c>
      <c r="F458" t="s">
        <v>1797</v>
      </c>
      <c r="G458" t="s">
        <v>1797</v>
      </c>
      <c r="H458">
        <v>0.87679335313207707</v>
      </c>
      <c r="I458">
        <v>333.61676299999999</v>
      </c>
      <c r="J458">
        <v>0</v>
      </c>
      <c r="K458" t="s">
        <v>1797</v>
      </c>
      <c r="L458">
        <v>0.78973300103933408</v>
      </c>
      <c r="M458">
        <v>35.35</v>
      </c>
      <c r="N458">
        <v>25</v>
      </c>
    </row>
    <row r="459" spans="1:14" x14ac:dyDescent="0.25">
      <c r="A459" s="1" t="s">
        <v>471</v>
      </c>
      <c r="B459" t="str">
        <f>HYPERLINK("https://www.suredividend.com/sure-analysis-research-database/","Encore Capital Group, Inc.")</f>
        <v>Encore Capital Group, Inc.</v>
      </c>
      <c r="C459" t="s">
        <v>1800</v>
      </c>
      <c r="D459">
        <v>42.75</v>
      </c>
      <c r="E459">
        <v>0</v>
      </c>
      <c r="F459" t="s">
        <v>1797</v>
      </c>
      <c r="G459" t="s">
        <v>1797</v>
      </c>
      <c r="H459">
        <v>0</v>
      </c>
      <c r="I459">
        <v>1005.847522</v>
      </c>
      <c r="J459" t="s">
        <v>1797</v>
      </c>
      <c r="K459">
        <v>0</v>
      </c>
      <c r="L459">
        <v>0.86080178037746302</v>
      </c>
      <c r="M459">
        <v>58.46</v>
      </c>
      <c r="N459">
        <v>34.74</v>
      </c>
    </row>
    <row r="460" spans="1:14" x14ac:dyDescent="0.25">
      <c r="A460" s="1" t="s">
        <v>472</v>
      </c>
      <c r="B460" t="str">
        <f>HYPERLINK("https://www.suredividend.com/sure-analysis-research-database/","Ecovyst Inc")</f>
        <v>Ecovyst Inc</v>
      </c>
      <c r="C460" t="s">
        <v>1797</v>
      </c>
      <c r="D460">
        <v>9.42</v>
      </c>
      <c r="E460">
        <v>0</v>
      </c>
      <c r="F460" t="s">
        <v>1797</v>
      </c>
      <c r="G460" t="s">
        <v>1797</v>
      </c>
      <c r="H460">
        <v>0</v>
      </c>
      <c r="I460">
        <v>1098.783494</v>
      </c>
      <c r="J460">
        <v>15.42628592491717</v>
      </c>
      <c r="K460">
        <v>0</v>
      </c>
      <c r="L460">
        <v>0.87998960250231406</v>
      </c>
      <c r="M460">
        <v>12.35</v>
      </c>
      <c r="N460">
        <v>8.1999999999999993</v>
      </c>
    </row>
    <row r="461" spans="1:14" x14ac:dyDescent="0.25">
      <c r="A461" s="1" t="s">
        <v>473</v>
      </c>
      <c r="B461" t="str">
        <f>HYPERLINK("https://www.suredividend.com/sure-analysis-research-database/","Editas Medicine Inc")</f>
        <v>Editas Medicine Inc</v>
      </c>
      <c r="C461" t="s">
        <v>1802</v>
      </c>
      <c r="D461">
        <v>8.31</v>
      </c>
      <c r="E461">
        <v>0</v>
      </c>
      <c r="F461" t="s">
        <v>1797</v>
      </c>
      <c r="G461" t="s">
        <v>1797</v>
      </c>
      <c r="H461">
        <v>0</v>
      </c>
      <c r="I461">
        <v>678.36706400000003</v>
      </c>
      <c r="J461" t="s">
        <v>1797</v>
      </c>
      <c r="K461">
        <v>0</v>
      </c>
      <c r="L461">
        <v>1.8534382103950711</v>
      </c>
      <c r="M461">
        <v>13.94</v>
      </c>
      <c r="N461">
        <v>6.08</v>
      </c>
    </row>
    <row r="462" spans="1:14" x14ac:dyDescent="0.25">
      <c r="A462" s="1" t="s">
        <v>474</v>
      </c>
      <c r="B462" t="str">
        <f>HYPERLINK("https://www.suredividend.com/sure-analysis-research-database/","Excelerate Energy Inc")</f>
        <v>Excelerate Energy Inc</v>
      </c>
      <c r="C462" t="s">
        <v>1805</v>
      </c>
      <c r="D462">
        <v>15.37</v>
      </c>
      <c r="E462">
        <v>6.4940117800590001E-3</v>
      </c>
      <c r="F462" t="s">
        <v>1797</v>
      </c>
      <c r="G462" t="s">
        <v>1797</v>
      </c>
      <c r="H462">
        <v>9.9812961059519006E-2</v>
      </c>
      <c r="I462">
        <v>403.52654699999999</v>
      </c>
      <c r="J462">
        <v>28.279945811899921</v>
      </c>
      <c r="K462">
        <v>0.18374992831281109</v>
      </c>
      <c r="L462">
        <v>1.1270454791926969</v>
      </c>
      <c r="M462">
        <v>31.02</v>
      </c>
      <c r="N462">
        <v>13.7</v>
      </c>
    </row>
    <row r="463" spans="1:14" x14ac:dyDescent="0.25">
      <c r="A463" s="1" t="s">
        <v>475</v>
      </c>
      <c r="B463" t="str">
        <f>HYPERLINK("https://www.suredividend.com/sure-analysis-EFC/","Ellington Financial Inc")</f>
        <v>Ellington Financial Inc</v>
      </c>
      <c r="C463" t="s">
        <v>1800</v>
      </c>
      <c r="D463">
        <v>12.8</v>
      </c>
      <c r="E463">
        <v>0.140625</v>
      </c>
      <c r="F463">
        <v>0</v>
      </c>
      <c r="G463">
        <v>0</v>
      </c>
      <c r="H463">
        <v>1.688940223747327</v>
      </c>
      <c r="I463">
        <v>870.61893099999998</v>
      </c>
      <c r="J463">
        <v>27.852675513468551</v>
      </c>
      <c r="K463">
        <v>3.4845063415459601</v>
      </c>
      <c r="L463">
        <v>1.017409742834571</v>
      </c>
      <c r="M463">
        <v>13.56</v>
      </c>
      <c r="N463">
        <v>9.84</v>
      </c>
    </row>
    <row r="464" spans="1:14" x14ac:dyDescent="0.25">
      <c r="A464" s="1" t="s">
        <v>476</v>
      </c>
      <c r="B464" t="str">
        <f>HYPERLINK("https://www.suredividend.com/sure-analysis-research-database/","Enterprise Financial Services Corp.")</f>
        <v>Enterprise Financial Services Corp.</v>
      </c>
      <c r="C464" t="s">
        <v>1800</v>
      </c>
      <c r="D464">
        <v>37.270000000000003</v>
      </c>
      <c r="E464">
        <v>2.6121916162472E-2</v>
      </c>
      <c r="F464">
        <v>8.6956521739130377E-2</v>
      </c>
      <c r="G464">
        <v>0.1397230490720158</v>
      </c>
      <c r="H464">
        <v>0.97356381537535908</v>
      </c>
      <c r="I464">
        <v>1393.3632130000001</v>
      </c>
      <c r="J464">
        <v>6.7710974908762234</v>
      </c>
      <c r="K464">
        <v>0.17733402830152259</v>
      </c>
      <c r="L464">
        <v>0.88745662688878102</v>
      </c>
      <c r="M464">
        <v>54.68</v>
      </c>
      <c r="N464">
        <v>32.97</v>
      </c>
    </row>
    <row r="465" spans="1:14" x14ac:dyDescent="0.25">
      <c r="A465" s="1" t="s">
        <v>477</v>
      </c>
      <c r="B465" t="str">
        <f>HYPERLINK("https://www.suredividend.com/sure-analysis-research-database/","eGain Corp")</f>
        <v>eGain Corp</v>
      </c>
      <c r="C465" t="s">
        <v>1803</v>
      </c>
      <c r="D465">
        <v>6.53</v>
      </c>
      <c r="E465">
        <v>0</v>
      </c>
      <c r="F465" t="s">
        <v>1797</v>
      </c>
      <c r="G465" t="s">
        <v>1797</v>
      </c>
      <c r="H465">
        <v>0</v>
      </c>
      <c r="I465">
        <v>204.383554</v>
      </c>
      <c r="J465">
        <v>96.910172584163107</v>
      </c>
      <c r="K465">
        <v>0</v>
      </c>
      <c r="L465">
        <v>1.0685837924942629</v>
      </c>
      <c r="M465">
        <v>10.35</v>
      </c>
      <c r="N465">
        <v>5.61</v>
      </c>
    </row>
    <row r="466" spans="1:14" x14ac:dyDescent="0.25">
      <c r="A466" s="1" t="s">
        <v>478</v>
      </c>
      <c r="B466" t="str">
        <f>HYPERLINK("https://www.suredividend.com/sure-analysis-research-database/","Eagle Bancorp Inc (MD)")</f>
        <v>Eagle Bancorp Inc (MD)</v>
      </c>
      <c r="C466" t="s">
        <v>1800</v>
      </c>
      <c r="D466">
        <v>23.19</v>
      </c>
      <c r="E466">
        <v>7.3399941691949008E-2</v>
      </c>
      <c r="F466" t="s">
        <v>1797</v>
      </c>
      <c r="G466" t="s">
        <v>1797</v>
      </c>
      <c r="H466">
        <v>1.702144647836312</v>
      </c>
      <c r="I466">
        <v>693.51863300000002</v>
      </c>
      <c r="J466">
        <v>5.2374232166052446</v>
      </c>
      <c r="K466">
        <v>0.40430989259769878</v>
      </c>
      <c r="L466">
        <v>1.122342238176568</v>
      </c>
      <c r="M466">
        <v>44.52</v>
      </c>
      <c r="N466">
        <v>15.39</v>
      </c>
    </row>
    <row r="467" spans="1:14" x14ac:dyDescent="0.25">
      <c r="A467" s="1" t="s">
        <v>479</v>
      </c>
      <c r="B467" t="str">
        <f>HYPERLINK("https://www.suredividend.com/sure-analysis-research-database/","8X8 Inc.")</f>
        <v>8X8 Inc.</v>
      </c>
      <c r="C467" t="s">
        <v>1803</v>
      </c>
      <c r="D467">
        <v>3.28</v>
      </c>
      <c r="E467">
        <v>0</v>
      </c>
      <c r="F467" t="s">
        <v>1797</v>
      </c>
      <c r="G467" t="s">
        <v>1797</v>
      </c>
      <c r="H467">
        <v>0</v>
      </c>
      <c r="I467">
        <v>393.42193900000001</v>
      </c>
      <c r="J467" t="s">
        <v>1797</v>
      </c>
      <c r="K467">
        <v>0</v>
      </c>
      <c r="L467">
        <v>2.6240119492021492</v>
      </c>
      <c r="M467">
        <v>6.49</v>
      </c>
      <c r="N467">
        <v>2.15</v>
      </c>
    </row>
    <row r="468" spans="1:14" x14ac:dyDescent="0.25">
      <c r="A468" s="1" t="s">
        <v>480</v>
      </c>
      <c r="B468" t="str">
        <f>HYPERLINK("https://www.suredividend.com/sure-analysis-research-database/","Edgio Inc")</f>
        <v>Edgio Inc</v>
      </c>
      <c r="C468" t="s">
        <v>1797</v>
      </c>
      <c r="D468">
        <v>0.77080000000000004</v>
      </c>
      <c r="E468">
        <v>0</v>
      </c>
      <c r="F468" t="s">
        <v>1797</v>
      </c>
      <c r="G468" t="s">
        <v>1797</v>
      </c>
      <c r="H468">
        <v>0</v>
      </c>
      <c r="I468">
        <v>173.39624800000001</v>
      </c>
      <c r="J468" t="s">
        <v>1797</v>
      </c>
      <c r="K468">
        <v>0</v>
      </c>
      <c r="L468">
        <v>0.38162497169508502</v>
      </c>
      <c r="M468">
        <v>2.3199999999999998</v>
      </c>
      <c r="N468">
        <v>0.45</v>
      </c>
    </row>
    <row r="469" spans="1:14" x14ac:dyDescent="0.25">
      <c r="A469" s="1" t="s">
        <v>481</v>
      </c>
      <c r="B469" t="str">
        <f>HYPERLINK("https://www.suredividend.com/sure-analysis-research-database/","Eagle Bulk Shipping Inc")</f>
        <v>Eagle Bulk Shipping Inc</v>
      </c>
      <c r="C469" t="s">
        <v>1798</v>
      </c>
      <c r="D469">
        <v>41.47</v>
      </c>
      <c r="E469">
        <v>4.2235407074584001E-2</v>
      </c>
      <c r="F469" t="s">
        <v>1797</v>
      </c>
      <c r="G469" t="s">
        <v>1797</v>
      </c>
      <c r="H469">
        <v>1.7515023313830369</v>
      </c>
      <c r="I469">
        <v>412.169915</v>
      </c>
      <c r="J469">
        <v>3.3864639621726869</v>
      </c>
      <c r="K469">
        <v>0.22255429877802249</v>
      </c>
      <c r="L469">
        <v>0.71655204583669307</v>
      </c>
      <c r="M469">
        <v>65.28</v>
      </c>
      <c r="N469">
        <v>38.659999999999997</v>
      </c>
    </row>
    <row r="470" spans="1:14" x14ac:dyDescent="0.25">
      <c r="A470" s="1" t="s">
        <v>482</v>
      </c>
      <c r="B470" t="str">
        <f>HYPERLINK("https://www.suredividend.com/sure-analysis-research-database/","Eagle Pharmaceuticals Inc")</f>
        <v>Eagle Pharmaceuticals Inc</v>
      </c>
      <c r="C470" t="s">
        <v>1802</v>
      </c>
      <c r="D470">
        <v>14.42</v>
      </c>
      <c r="E470">
        <v>0</v>
      </c>
      <c r="F470" t="s">
        <v>1797</v>
      </c>
      <c r="G470" t="s">
        <v>1797</v>
      </c>
      <c r="H470">
        <v>0</v>
      </c>
      <c r="I470">
        <v>187.272122</v>
      </c>
      <c r="J470">
        <v>15.673930517241381</v>
      </c>
      <c r="K470">
        <v>0</v>
      </c>
      <c r="L470">
        <v>0.90995894955542611</v>
      </c>
      <c r="M470">
        <v>40.85</v>
      </c>
      <c r="N470">
        <v>12.36</v>
      </c>
    </row>
    <row r="471" spans="1:14" x14ac:dyDescent="0.25">
      <c r="A471" s="1" t="s">
        <v>483</v>
      </c>
      <c r="B471" t="str">
        <f>HYPERLINK("https://www.suredividend.com/sure-analysis-research-database/","VAALCO Energy, Inc.")</f>
        <v>VAALCO Energy, Inc.</v>
      </c>
      <c r="C471" t="s">
        <v>1807</v>
      </c>
      <c r="D471">
        <v>4.4800000000000004</v>
      </c>
      <c r="E471">
        <v>4.8197550552801997E-2</v>
      </c>
      <c r="F471" t="s">
        <v>1797</v>
      </c>
      <c r="G471" t="s">
        <v>1797</v>
      </c>
      <c r="H471">
        <v>0.21592502647655601</v>
      </c>
      <c r="I471">
        <v>477.01164699999998</v>
      </c>
      <c r="J471">
        <v>13.926940723482531</v>
      </c>
      <c r="K471">
        <v>0.59532678929295835</v>
      </c>
      <c r="L471">
        <v>1.106102957423881</v>
      </c>
      <c r="M471">
        <v>5.45</v>
      </c>
      <c r="N471">
        <v>3.41</v>
      </c>
    </row>
    <row r="472" spans="1:14" x14ac:dyDescent="0.25">
      <c r="A472" s="1" t="s">
        <v>484</v>
      </c>
      <c r="B472" t="str">
        <f>HYPERLINK("https://www.suredividend.com/sure-analysis-research-database/","eHealth Inc")</f>
        <v>eHealth Inc</v>
      </c>
      <c r="C472" t="s">
        <v>1800</v>
      </c>
      <c r="D472">
        <v>8.61</v>
      </c>
      <c r="E472">
        <v>0</v>
      </c>
      <c r="F472" t="s">
        <v>1797</v>
      </c>
      <c r="G472" t="s">
        <v>1797</v>
      </c>
      <c r="H472">
        <v>0</v>
      </c>
      <c r="I472">
        <v>241.844585</v>
      </c>
      <c r="J472" t="s">
        <v>1797</v>
      </c>
      <c r="K472">
        <v>0</v>
      </c>
      <c r="L472">
        <v>1.52712788492674</v>
      </c>
      <c r="M472">
        <v>10.57</v>
      </c>
      <c r="N472">
        <v>2.87</v>
      </c>
    </row>
    <row r="473" spans="1:14" x14ac:dyDescent="0.25">
      <c r="A473" s="1" t="s">
        <v>485</v>
      </c>
      <c r="B473" t="str">
        <f>HYPERLINK("https://www.suredividend.com/sure-analysis-research-database/","Employers Holdings Inc")</f>
        <v>Employers Holdings Inc</v>
      </c>
      <c r="C473" t="s">
        <v>1800</v>
      </c>
      <c r="D473">
        <v>38.83</v>
      </c>
      <c r="E473">
        <v>2.7354129952045999E-2</v>
      </c>
      <c r="F473">
        <v>7.6923076923077094E-2</v>
      </c>
      <c r="G473">
        <v>4.9414522844583919E-2</v>
      </c>
      <c r="H473">
        <v>1.0621608660379529</v>
      </c>
      <c r="I473">
        <v>998.73388799999998</v>
      </c>
      <c r="J473">
        <v>8.3436415030075182</v>
      </c>
      <c r="K473">
        <v>0.23922542027881821</v>
      </c>
      <c r="L473">
        <v>0.51988287669962308</v>
      </c>
      <c r="M473">
        <v>45.19</v>
      </c>
      <c r="N473">
        <v>35.18</v>
      </c>
    </row>
    <row r="474" spans="1:14" x14ac:dyDescent="0.25">
      <c r="A474" s="1" t="s">
        <v>486</v>
      </c>
      <c r="B474" t="str">
        <f>HYPERLINK("https://www.suredividend.com/sure-analysis-research-database/","Eiger BioPharmaceuticals Inc")</f>
        <v>Eiger BioPharmaceuticals Inc</v>
      </c>
      <c r="C474" t="s">
        <v>1802</v>
      </c>
      <c r="D474">
        <v>0.39100000000000001</v>
      </c>
      <c r="E474">
        <v>0</v>
      </c>
      <c r="F474" t="s">
        <v>1797</v>
      </c>
      <c r="G474" t="s">
        <v>1797</v>
      </c>
      <c r="H474">
        <v>0</v>
      </c>
      <c r="I474">
        <v>17.319898999999999</v>
      </c>
      <c r="J474">
        <v>0</v>
      </c>
      <c r="K474" t="s">
        <v>1797</v>
      </c>
      <c r="L474">
        <v>1.2368445210067101</v>
      </c>
      <c r="M474">
        <v>4.6900000000000004</v>
      </c>
      <c r="N474">
        <v>0.21</v>
      </c>
    </row>
    <row r="475" spans="1:14" x14ac:dyDescent="0.25">
      <c r="A475" s="1" t="s">
        <v>487</v>
      </c>
      <c r="B475" t="str">
        <f>HYPERLINK("https://www.suredividend.com/sure-analysis-research-database/","e.l.f. Beauty Inc")</f>
        <v>e.l.f. Beauty Inc</v>
      </c>
      <c r="C475" t="s">
        <v>1804</v>
      </c>
      <c r="D475">
        <v>96.15</v>
      </c>
      <c r="E475">
        <v>0</v>
      </c>
      <c r="F475" t="s">
        <v>1797</v>
      </c>
      <c r="G475" t="s">
        <v>1797</v>
      </c>
      <c r="H475">
        <v>0</v>
      </c>
      <c r="I475">
        <v>5251.8630899999998</v>
      </c>
      <c r="J475">
        <v>43.190018751387761</v>
      </c>
      <c r="K475">
        <v>0</v>
      </c>
      <c r="L475">
        <v>1.0372384599612361</v>
      </c>
      <c r="M475">
        <v>139.85</v>
      </c>
      <c r="N475">
        <v>48.1</v>
      </c>
    </row>
    <row r="476" spans="1:14" x14ac:dyDescent="0.25">
      <c r="A476" s="1" t="s">
        <v>488</v>
      </c>
      <c r="B476" t="str">
        <f>HYPERLINK("https://www.suredividend.com/sure-analysis-research-database/","Elme Communities")</f>
        <v>Elme Communities</v>
      </c>
      <c r="C476" t="s">
        <v>1797</v>
      </c>
      <c r="D476">
        <v>13.49</v>
      </c>
      <c r="E476">
        <v>5.1735259336309007E-2</v>
      </c>
      <c r="F476" t="s">
        <v>1797</v>
      </c>
      <c r="G476" t="s">
        <v>1797</v>
      </c>
      <c r="H476">
        <v>0.69790864844681011</v>
      </c>
      <c r="I476">
        <v>1184.8618819999999</v>
      </c>
      <c r="J476" t="s">
        <v>1797</v>
      </c>
      <c r="K476" t="s">
        <v>1797</v>
      </c>
      <c r="L476">
        <v>0.90304304139447211</v>
      </c>
      <c r="M476">
        <v>19.38</v>
      </c>
      <c r="N476">
        <v>12.44</v>
      </c>
    </row>
    <row r="477" spans="1:14" x14ac:dyDescent="0.25">
      <c r="A477" s="1" t="s">
        <v>489</v>
      </c>
      <c r="B477" t="str">
        <f>HYPERLINK("https://www.suredividend.com/sure-analysis-research-database/","Embecta Corp")</f>
        <v>Embecta Corp</v>
      </c>
      <c r="C477" t="s">
        <v>1797</v>
      </c>
      <c r="D477">
        <v>16.21</v>
      </c>
      <c r="E477">
        <v>3.6404428068704003E-2</v>
      </c>
      <c r="F477" t="s">
        <v>1797</v>
      </c>
      <c r="G477" t="s">
        <v>1797</v>
      </c>
      <c r="H477">
        <v>0.59011577899369105</v>
      </c>
      <c r="I477">
        <v>928.89064299999995</v>
      </c>
      <c r="J477">
        <v>4.1542515329159206</v>
      </c>
      <c r="K477">
        <v>0.15170071439426511</v>
      </c>
      <c r="L477">
        <v>1.2080372575923519</v>
      </c>
      <c r="M477">
        <v>35.450000000000003</v>
      </c>
      <c r="N477">
        <v>12.72</v>
      </c>
    </row>
    <row r="478" spans="1:14" x14ac:dyDescent="0.25">
      <c r="A478" s="1" t="s">
        <v>490</v>
      </c>
      <c r="B478" t="str">
        <f>HYPERLINK("https://www.suredividend.com/sure-analysis-research-database/","Emcor Group, Inc.")</f>
        <v>Emcor Group, Inc.</v>
      </c>
      <c r="C478" t="s">
        <v>1798</v>
      </c>
      <c r="D478">
        <v>210.22</v>
      </c>
      <c r="E478">
        <v>3.277862340518E-3</v>
      </c>
      <c r="F478">
        <v>0.2</v>
      </c>
      <c r="G478">
        <v>0.17607902252467361</v>
      </c>
      <c r="H478">
        <v>0.68907222122378509</v>
      </c>
      <c r="I478">
        <v>9889.6821770000006</v>
      </c>
      <c r="J478">
        <v>18.054212164439178</v>
      </c>
      <c r="K478">
        <v>6.0023712650155492E-2</v>
      </c>
      <c r="L478">
        <v>0.83007253019946503</v>
      </c>
      <c r="M478">
        <v>227.3</v>
      </c>
      <c r="N478">
        <v>141.33000000000001</v>
      </c>
    </row>
    <row r="479" spans="1:14" x14ac:dyDescent="0.25">
      <c r="A479" s="1" t="s">
        <v>491</v>
      </c>
      <c r="B479" t="str">
        <f>HYPERLINK("https://www.suredividend.com/sure-analysis-research-database/","Enfusion Inc")</f>
        <v>Enfusion Inc</v>
      </c>
      <c r="C479" t="s">
        <v>1797</v>
      </c>
      <c r="D479">
        <v>8.6</v>
      </c>
      <c r="E479">
        <v>0</v>
      </c>
      <c r="F479" t="s">
        <v>1797</v>
      </c>
      <c r="G479" t="s">
        <v>1797</v>
      </c>
      <c r="H479">
        <v>0</v>
      </c>
      <c r="I479">
        <v>724.36743899999999</v>
      </c>
      <c r="J479">
        <v>129.18984112716251</v>
      </c>
      <c r="K479">
        <v>0</v>
      </c>
      <c r="L479">
        <v>0.79223138814461103</v>
      </c>
      <c r="M479">
        <v>14.61</v>
      </c>
      <c r="N479">
        <v>7.37</v>
      </c>
    </row>
    <row r="480" spans="1:14" x14ac:dyDescent="0.25">
      <c r="A480" s="1" t="s">
        <v>492</v>
      </c>
      <c r="B480" t="str">
        <f>HYPERLINK("https://www.suredividend.com/sure-analysis-research-database/","Enochian Biosciences Inc")</f>
        <v>Enochian Biosciences Inc</v>
      </c>
      <c r="C480" t="s">
        <v>1802</v>
      </c>
      <c r="D480">
        <v>0.70000000000000007</v>
      </c>
      <c r="E480">
        <v>0</v>
      </c>
      <c r="F480" t="s">
        <v>1797</v>
      </c>
      <c r="G480" t="s">
        <v>1797</v>
      </c>
      <c r="H480">
        <v>0</v>
      </c>
      <c r="I480">
        <v>40.798513999999997</v>
      </c>
      <c r="J480">
        <v>0</v>
      </c>
      <c r="K480" t="s">
        <v>1797</v>
      </c>
      <c r="L480">
        <v>1.377727815675019</v>
      </c>
      <c r="M480">
        <v>2.99</v>
      </c>
      <c r="N480">
        <v>0.39279999999999998</v>
      </c>
    </row>
    <row r="481" spans="1:14" x14ac:dyDescent="0.25">
      <c r="A481" s="1" t="s">
        <v>493</v>
      </c>
      <c r="B481" t="str">
        <f>HYPERLINK("https://www.suredividend.com/sure-analysis-research-database/","Energizer Holdings Inc")</f>
        <v>Energizer Holdings Inc</v>
      </c>
      <c r="C481" t="s">
        <v>1798</v>
      </c>
      <c r="D481">
        <v>33.47</v>
      </c>
      <c r="E481">
        <v>3.5394406818165997E-2</v>
      </c>
      <c r="F481">
        <v>0</v>
      </c>
      <c r="G481">
        <v>0</v>
      </c>
      <c r="H481">
        <v>1.1846507962040189</v>
      </c>
      <c r="I481">
        <v>2392.6098109999998</v>
      </c>
      <c r="J481" t="s">
        <v>1797</v>
      </c>
      <c r="K481" t="s">
        <v>1797</v>
      </c>
      <c r="L481">
        <v>0.86472399208877904</v>
      </c>
      <c r="M481">
        <v>37</v>
      </c>
      <c r="N481">
        <v>27.25</v>
      </c>
    </row>
    <row r="482" spans="1:14" x14ac:dyDescent="0.25">
      <c r="A482" s="1" t="s">
        <v>494</v>
      </c>
      <c r="B482" t="str">
        <f>HYPERLINK("https://www.suredividend.com/sure-analysis-research-database/","Enersys")</f>
        <v>Enersys</v>
      </c>
      <c r="C482" t="s">
        <v>1798</v>
      </c>
      <c r="D482">
        <v>90.41</v>
      </c>
      <c r="E482">
        <v>8.271230289634E-3</v>
      </c>
      <c r="F482">
        <v>0.28571428571428559</v>
      </c>
      <c r="G482">
        <v>5.1547496797280427E-2</v>
      </c>
      <c r="H482">
        <v>0.74780193048587407</v>
      </c>
      <c r="I482">
        <v>3710.4187149999998</v>
      </c>
      <c r="J482">
        <v>17.532657221600061</v>
      </c>
      <c r="K482">
        <v>0.14634088659214761</v>
      </c>
      <c r="L482">
        <v>1.4674993540612451</v>
      </c>
      <c r="M482">
        <v>113.07</v>
      </c>
      <c r="N482">
        <v>65.260000000000005</v>
      </c>
    </row>
    <row r="483" spans="1:14" x14ac:dyDescent="0.25">
      <c r="A483" s="1" t="s">
        <v>495</v>
      </c>
      <c r="B483" t="str">
        <f>HYPERLINK("https://www.suredividend.com/sure-analysis-ENSG/","Ensign Group Inc")</f>
        <v>Ensign Group Inc</v>
      </c>
      <c r="C483" t="s">
        <v>1802</v>
      </c>
      <c r="D483">
        <v>102</v>
      </c>
      <c r="E483">
        <v>2.2549019607843142E-3</v>
      </c>
      <c r="F483">
        <v>0</v>
      </c>
      <c r="G483">
        <v>3.8950477489882777E-2</v>
      </c>
      <c r="H483">
        <v>0.22960885702679801</v>
      </c>
      <c r="I483">
        <v>5758.1282760000004</v>
      </c>
      <c r="J483">
        <v>23.20151292413944</v>
      </c>
      <c r="K483">
        <v>5.2905266596036407E-2</v>
      </c>
      <c r="L483">
        <v>0.61711702669442103</v>
      </c>
      <c r="M483">
        <v>103.91</v>
      </c>
      <c r="N483">
        <v>85.23</v>
      </c>
    </row>
    <row r="484" spans="1:14" x14ac:dyDescent="0.25">
      <c r="A484" s="1" t="s">
        <v>496</v>
      </c>
      <c r="B484" t="str">
        <f>HYPERLINK("https://www.suredividend.com/sure-analysis-research-database/","Enanta Pharmaceuticals Inc")</f>
        <v>Enanta Pharmaceuticals Inc</v>
      </c>
      <c r="C484" t="s">
        <v>1802</v>
      </c>
      <c r="D484">
        <v>9.3699999999999992</v>
      </c>
      <c r="E484">
        <v>0</v>
      </c>
      <c r="F484" t="s">
        <v>1797</v>
      </c>
      <c r="G484" t="s">
        <v>1797</v>
      </c>
      <c r="H484">
        <v>0</v>
      </c>
      <c r="I484">
        <v>197.28902299999999</v>
      </c>
      <c r="J484" t="s">
        <v>1797</v>
      </c>
      <c r="K484">
        <v>0</v>
      </c>
      <c r="L484">
        <v>1.0956930538352181</v>
      </c>
      <c r="M484">
        <v>62.06</v>
      </c>
      <c r="N484">
        <v>8.1999999999999993</v>
      </c>
    </row>
    <row r="485" spans="1:14" x14ac:dyDescent="0.25">
      <c r="A485" s="1" t="s">
        <v>497</v>
      </c>
      <c r="B485" t="str">
        <f>HYPERLINK("https://www.suredividend.com/sure-analysis-research-database/","Envestnet Inc.")</f>
        <v>Envestnet Inc.</v>
      </c>
      <c r="C485" t="s">
        <v>1803</v>
      </c>
      <c r="D485">
        <v>40.58</v>
      </c>
      <c r="E485">
        <v>0</v>
      </c>
      <c r="F485" t="s">
        <v>1797</v>
      </c>
      <c r="G485" t="s">
        <v>1797</v>
      </c>
      <c r="H485">
        <v>0</v>
      </c>
      <c r="I485">
        <v>2212.997065</v>
      </c>
      <c r="J485" t="s">
        <v>1797</v>
      </c>
      <c r="K485">
        <v>0</v>
      </c>
      <c r="L485">
        <v>1.192280828949575</v>
      </c>
      <c r="M485">
        <v>69.22</v>
      </c>
      <c r="N485">
        <v>35.36</v>
      </c>
    </row>
    <row r="486" spans="1:14" x14ac:dyDescent="0.25">
      <c r="A486" s="1" t="s">
        <v>498</v>
      </c>
      <c r="B486" t="str">
        <f>HYPERLINK("https://www.suredividend.com/sure-analysis-research-database/","Enova International Inc.")</f>
        <v>Enova International Inc.</v>
      </c>
      <c r="C486" t="s">
        <v>1800</v>
      </c>
      <c r="D486">
        <v>42.81</v>
      </c>
      <c r="E486">
        <v>0</v>
      </c>
      <c r="F486" t="s">
        <v>1797</v>
      </c>
      <c r="G486" t="s">
        <v>1797</v>
      </c>
      <c r="H486">
        <v>0</v>
      </c>
      <c r="I486">
        <v>1278.6818720000001</v>
      </c>
      <c r="J486">
        <v>6.6867923778794616</v>
      </c>
      <c r="K486">
        <v>0</v>
      </c>
      <c r="L486">
        <v>1.3732809446531129</v>
      </c>
      <c r="M486">
        <v>58.64</v>
      </c>
      <c r="N486">
        <v>35.299999999999997</v>
      </c>
    </row>
    <row r="487" spans="1:14" x14ac:dyDescent="0.25">
      <c r="A487" s="1" t="s">
        <v>499</v>
      </c>
      <c r="B487" t="str">
        <f>HYPERLINK("https://www.suredividend.com/sure-analysis-research-database/","Enovix Corporation")</f>
        <v>Enovix Corporation</v>
      </c>
      <c r="C487" t="s">
        <v>1797</v>
      </c>
      <c r="D487">
        <v>10.59</v>
      </c>
      <c r="E487">
        <v>0</v>
      </c>
      <c r="F487" t="s">
        <v>1797</v>
      </c>
      <c r="G487" t="s">
        <v>1797</v>
      </c>
      <c r="H487">
        <v>0</v>
      </c>
      <c r="I487">
        <v>1695.7442840000001</v>
      </c>
      <c r="J487" t="s">
        <v>1797</v>
      </c>
      <c r="K487">
        <v>0</v>
      </c>
      <c r="L487">
        <v>2.2099018344315078</v>
      </c>
      <c r="M487">
        <v>23.9</v>
      </c>
      <c r="N487">
        <v>6.5</v>
      </c>
    </row>
    <row r="488" spans="1:14" x14ac:dyDescent="0.25">
      <c r="A488" s="1" t="s">
        <v>500</v>
      </c>
      <c r="B488" t="str">
        <f>HYPERLINK("https://www.suredividend.com/sure-analysis-research-database/","Evolus Inc")</f>
        <v>Evolus Inc</v>
      </c>
      <c r="C488" t="s">
        <v>1802</v>
      </c>
      <c r="D488">
        <v>7.93</v>
      </c>
      <c r="E488">
        <v>0</v>
      </c>
      <c r="F488" t="s">
        <v>1797</v>
      </c>
      <c r="G488" t="s">
        <v>1797</v>
      </c>
      <c r="H488">
        <v>0</v>
      </c>
      <c r="I488">
        <v>451.78449499999999</v>
      </c>
      <c r="J488" t="s">
        <v>1797</v>
      </c>
      <c r="K488">
        <v>0</v>
      </c>
      <c r="L488">
        <v>0.715162515550957</v>
      </c>
      <c r="M488">
        <v>11.49</v>
      </c>
      <c r="N488">
        <v>6.51</v>
      </c>
    </row>
    <row r="489" spans="1:14" x14ac:dyDescent="0.25">
      <c r="A489" s="1" t="s">
        <v>501</v>
      </c>
      <c r="B489" t="str">
        <f>HYPERLINK("https://www.suredividend.com/sure-analysis-research-database/","Empire Petroleum Corporation")</f>
        <v>Empire Petroleum Corporation</v>
      </c>
      <c r="C489" t="s">
        <v>1797</v>
      </c>
      <c r="D489">
        <v>8.4</v>
      </c>
      <c r="E489">
        <v>0</v>
      </c>
      <c r="F489" t="s">
        <v>1797</v>
      </c>
      <c r="G489" t="s">
        <v>1797</v>
      </c>
      <c r="H489">
        <v>0</v>
      </c>
      <c r="I489">
        <v>190.879752</v>
      </c>
      <c r="J489">
        <v>0</v>
      </c>
      <c r="K489" t="s">
        <v>1797</v>
      </c>
      <c r="L489">
        <v>0.90397891925444906</v>
      </c>
      <c r="M489">
        <v>16.95</v>
      </c>
      <c r="N489">
        <v>8</v>
      </c>
    </row>
    <row r="490" spans="1:14" x14ac:dyDescent="0.25">
      <c r="A490" s="1" t="s">
        <v>502</v>
      </c>
      <c r="B490" t="str">
        <f>HYPERLINK("https://www.suredividend.com/sure-analysis-research-database/","Enerpac Tool Group Corp")</f>
        <v>Enerpac Tool Group Corp</v>
      </c>
      <c r="C490" t="s">
        <v>1798</v>
      </c>
      <c r="D490">
        <v>28.06</v>
      </c>
      <c r="E490">
        <v>1.4255167179589999E-3</v>
      </c>
      <c r="F490" t="s">
        <v>1797</v>
      </c>
      <c r="G490" t="s">
        <v>1797</v>
      </c>
      <c r="H490">
        <v>3.9999999105930002E-2</v>
      </c>
      <c r="I490">
        <v>1524.8437879999999</v>
      </c>
      <c r="J490">
        <v>32.749377967397614</v>
      </c>
      <c r="K490">
        <v>4.9067712347804222E-2</v>
      </c>
      <c r="L490">
        <v>0.7793598104455941</v>
      </c>
      <c r="M490">
        <v>30.22</v>
      </c>
      <c r="N490">
        <v>22.91</v>
      </c>
    </row>
    <row r="491" spans="1:14" x14ac:dyDescent="0.25">
      <c r="A491" s="1" t="s">
        <v>503</v>
      </c>
      <c r="B491" t="str">
        <f>HYPERLINK("https://www.suredividend.com/sure-analysis-research-database/","Edgewell Personal Care Co")</f>
        <v>Edgewell Personal Care Co</v>
      </c>
      <c r="C491" t="s">
        <v>1804</v>
      </c>
      <c r="D491">
        <v>36.18</v>
      </c>
      <c r="E491">
        <v>1.6490036162095E-2</v>
      </c>
      <c r="F491" t="s">
        <v>1797</v>
      </c>
      <c r="G491" t="s">
        <v>1797</v>
      </c>
      <c r="H491">
        <v>0.59660950834460402</v>
      </c>
      <c r="I491">
        <v>1838.3742159999999</v>
      </c>
      <c r="J491">
        <v>15.69918203569598</v>
      </c>
      <c r="K491">
        <v>0.26398650811708152</v>
      </c>
      <c r="L491">
        <v>0.64881792920498005</v>
      </c>
      <c r="M491">
        <v>45.78</v>
      </c>
      <c r="N491">
        <v>33.71</v>
      </c>
    </row>
    <row r="492" spans="1:14" x14ac:dyDescent="0.25">
      <c r="A492" s="1" t="s">
        <v>504</v>
      </c>
      <c r="B492" t="str">
        <f>HYPERLINK("https://www.suredividend.com/sure-analysis-EPRT/","Essential Properties Realty Trust Inc")</f>
        <v>Essential Properties Realty Trust Inc</v>
      </c>
      <c r="C492" t="s">
        <v>1799</v>
      </c>
      <c r="D492">
        <v>23.35</v>
      </c>
      <c r="E492">
        <v>4.796573875802998E-2</v>
      </c>
      <c r="F492">
        <v>3.7037037037036979E-2</v>
      </c>
      <c r="G492">
        <v>5.9223841048812183E-2</v>
      </c>
      <c r="H492">
        <v>1.0896875800392081</v>
      </c>
      <c r="I492">
        <v>3643.1655839999999</v>
      </c>
      <c r="J492">
        <v>20.598217787841779</v>
      </c>
      <c r="K492">
        <v>0.92346405088068484</v>
      </c>
      <c r="L492">
        <v>0.79221391780241202</v>
      </c>
      <c r="M492">
        <v>25.81</v>
      </c>
      <c r="N492">
        <v>20.04</v>
      </c>
    </row>
    <row r="493" spans="1:14" x14ac:dyDescent="0.25">
      <c r="A493" s="1" t="s">
        <v>505</v>
      </c>
      <c r="B493" t="str">
        <f>HYPERLINK("https://www.suredividend.com/sure-analysis-research-database/","Equity Bancshares Inc")</f>
        <v>Equity Bancshares Inc</v>
      </c>
      <c r="C493" t="s">
        <v>1800</v>
      </c>
      <c r="D493">
        <v>26.26</v>
      </c>
      <c r="E493">
        <v>7.497437945445001E-3</v>
      </c>
      <c r="F493" t="s">
        <v>1797</v>
      </c>
      <c r="G493" t="s">
        <v>1797</v>
      </c>
      <c r="H493">
        <v>0.19688272044741101</v>
      </c>
      <c r="I493">
        <v>404.72277000000003</v>
      </c>
      <c r="J493">
        <v>8.0051182827643501</v>
      </c>
      <c r="K493">
        <v>6.250245093568603E-2</v>
      </c>
      <c r="L493">
        <v>0.97039859558010211</v>
      </c>
      <c r="M493">
        <v>37.25</v>
      </c>
      <c r="N493">
        <v>20.22</v>
      </c>
    </row>
    <row r="494" spans="1:14" x14ac:dyDescent="0.25">
      <c r="A494" s="1" t="s">
        <v>506</v>
      </c>
      <c r="B494" t="str">
        <f>HYPERLINK("https://www.suredividend.com/sure-analysis-research-database/","Equity Commonwealth")</f>
        <v>Equity Commonwealth</v>
      </c>
      <c r="C494" t="s">
        <v>1799</v>
      </c>
      <c r="D494">
        <v>19.2</v>
      </c>
      <c r="E494">
        <v>0</v>
      </c>
      <c r="F494" t="s">
        <v>1797</v>
      </c>
      <c r="G494" t="s">
        <v>1797</v>
      </c>
      <c r="H494">
        <v>0</v>
      </c>
      <c r="I494">
        <v>2048.8712829999999</v>
      </c>
      <c r="J494">
        <v>26.436366586668729</v>
      </c>
      <c r="K494">
        <v>0</v>
      </c>
      <c r="L494">
        <v>0.42229042690317498</v>
      </c>
      <c r="M494">
        <v>22.89</v>
      </c>
      <c r="N494">
        <v>18.100000000000001</v>
      </c>
    </row>
    <row r="495" spans="1:14" x14ac:dyDescent="0.25">
      <c r="A495" s="1" t="s">
        <v>507</v>
      </c>
      <c r="B495" t="str">
        <f>HYPERLINK("https://www.suredividend.com/sure-analysis-research-database/","EQRx Inc")</f>
        <v>EQRx Inc</v>
      </c>
      <c r="C495" t="s">
        <v>1797</v>
      </c>
      <c r="D495">
        <v>2.4700000000000002</v>
      </c>
      <c r="E495">
        <v>0</v>
      </c>
      <c r="F495" t="s">
        <v>1797</v>
      </c>
      <c r="G495" t="s">
        <v>1797</v>
      </c>
      <c r="H495">
        <v>0</v>
      </c>
      <c r="I495">
        <v>1203.9150520000001</v>
      </c>
      <c r="J495">
        <v>0</v>
      </c>
      <c r="K495" t="s">
        <v>1797</v>
      </c>
      <c r="L495">
        <v>0.80841199981728007</v>
      </c>
      <c r="M495">
        <v>5.71</v>
      </c>
      <c r="N495">
        <v>1.58</v>
      </c>
    </row>
    <row r="496" spans="1:14" x14ac:dyDescent="0.25">
      <c r="A496" s="1" t="s">
        <v>508</v>
      </c>
      <c r="B496" t="str">
        <f>HYPERLINK("https://www.suredividend.com/sure-analysis-research-database/","Erasca Inc")</f>
        <v>Erasca Inc</v>
      </c>
      <c r="C496" t="s">
        <v>1797</v>
      </c>
      <c r="D496">
        <v>2.42</v>
      </c>
      <c r="E496">
        <v>0</v>
      </c>
      <c r="F496" t="s">
        <v>1797</v>
      </c>
      <c r="G496" t="s">
        <v>1797</v>
      </c>
      <c r="H496">
        <v>0</v>
      </c>
      <c r="I496">
        <v>365.52434599999998</v>
      </c>
      <c r="J496">
        <v>0</v>
      </c>
      <c r="K496" t="s">
        <v>1797</v>
      </c>
      <c r="L496">
        <v>1.711375991672764</v>
      </c>
      <c r="M496">
        <v>9.25</v>
      </c>
      <c r="N496">
        <v>1.82</v>
      </c>
    </row>
    <row r="497" spans="1:14" x14ac:dyDescent="0.25">
      <c r="A497" s="1" t="s">
        <v>509</v>
      </c>
      <c r="B497" t="str">
        <f>HYPERLINK("https://www.suredividend.com/sure-analysis-research-database/","Energy Recovery Inc")</f>
        <v>Energy Recovery Inc</v>
      </c>
      <c r="C497" t="s">
        <v>1798</v>
      </c>
      <c r="D497">
        <v>18.079999999999998</v>
      </c>
      <c r="E497">
        <v>0</v>
      </c>
      <c r="F497" t="s">
        <v>1797</v>
      </c>
      <c r="G497" t="s">
        <v>1797</v>
      </c>
      <c r="H497">
        <v>0</v>
      </c>
      <c r="I497">
        <v>1021.844229</v>
      </c>
      <c r="J497">
        <v>66.250274159751029</v>
      </c>
      <c r="K497">
        <v>0</v>
      </c>
      <c r="L497">
        <v>1.340309188787288</v>
      </c>
      <c r="M497">
        <v>30.76</v>
      </c>
      <c r="N497">
        <v>14.04</v>
      </c>
    </row>
    <row r="498" spans="1:14" x14ac:dyDescent="0.25">
      <c r="A498" s="1" t="s">
        <v>510</v>
      </c>
      <c r="B498" t="str">
        <f>HYPERLINK("https://www.suredividend.com/sure-analysis-research-database/","Esco Technologies, Inc.")</f>
        <v>Esco Technologies, Inc.</v>
      </c>
      <c r="C498" t="s">
        <v>1803</v>
      </c>
      <c r="D498">
        <v>100.16</v>
      </c>
      <c r="E498">
        <v>3.191137748622E-3</v>
      </c>
      <c r="F498">
        <v>0</v>
      </c>
      <c r="G498">
        <v>0</v>
      </c>
      <c r="H498">
        <v>0.31962435690200097</v>
      </c>
      <c r="I498">
        <v>2582.3815100000002</v>
      </c>
      <c r="J498">
        <v>28.195631633838492</v>
      </c>
      <c r="K498">
        <v>9.054514359830057E-2</v>
      </c>
      <c r="L498">
        <v>0.97059496341485907</v>
      </c>
      <c r="M498">
        <v>109.49</v>
      </c>
      <c r="N498">
        <v>84.73</v>
      </c>
    </row>
    <row r="499" spans="1:14" x14ac:dyDescent="0.25">
      <c r="A499" s="1" t="s">
        <v>511</v>
      </c>
      <c r="B499" t="str">
        <f>HYPERLINK("https://www.suredividend.com/sure-analysis-research-database/","Enstar Group Limited")</f>
        <v>Enstar Group Limited</v>
      </c>
      <c r="C499" t="s">
        <v>1800</v>
      </c>
      <c r="D499">
        <v>253.31</v>
      </c>
      <c r="E499">
        <v>0</v>
      </c>
      <c r="F499" t="s">
        <v>1797</v>
      </c>
      <c r="G499" t="s">
        <v>1797</v>
      </c>
      <c r="H499">
        <v>0</v>
      </c>
      <c r="I499">
        <v>4060.9152009999998</v>
      </c>
      <c r="J499">
        <v>12.932850957165609</v>
      </c>
      <c r="K499">
        <v>0</v>
      </c>
      <c r="L499">
        <v>0.73301188319910104</v>
      </c>
      <c r="M499">
        <v>271.39</v>
      </c>
      <c r="N499">
        <v>185.55</v>
      </c>
    </row>
    <row r="500" spans="1:14" x14ac:dyDescent="0.25">
      <c r="A500" s="1" t="s">
        <v>512</v>
      </c>
      <c r="B500" t="str">
        <f>HYPERLINK("https://www.suredividend.com/sure-analysis-research-database/","Engagesmart Inc")</f>
        <v>Engagesmart Inc</v>
      </c>
      <c r="C500" t="s">
        <v>1797</v>
      </c>
      <c r="D500">
        <v>22.81</v>
      </c>
      <c r="E500">
        <v>0</v>
      </c>
      <c r="F500" t="s">
        <v>1797</v>
      </c>
      <c r="G500" t="s">
        <v>1797</v>
      </c>
      <c r="H500">
        <v>0</v>
      </c>
      <c r="I500">
        <v>3817.4921610000001</v>
      </c>
      <c r="J500">
        <v>153.45468348394101</v>
      </c>
      <c r="K500">
        <v>0</v>
      </c>
      <c r="L500">
        <v>0.96492118744671607</v>
      </c>
      <c r="M500">
        <v>23.1</v>
      </c>
      <c r="N500">
        <v>15.01</v>
      </c>
    </row>
    <row r="501" spans="1:14" x14ac:dyDescent="0.25">
      <c r="A501" s="1" t="s">
        <v>513</v>
      </c>
      <c r="B501" t="str">
        <f>HYPERLINK("https://www.suredividend.com/sure-analysis-research-database/","Essent Group Ltd")</f>
        <v>Essent Group Ltd</v>
      </c>
      <c r="C501" t="s">
        <v>1800</v>
      </c>
      <c r="D501">
        <v>49.06</v>
      </c>
      <c r="E501">
        <v>1.9821391954853999E-2</v>
      </c>
      <c r="F501" t="s">
        <v>1797</v>
      </c>
      <c r="G501" t="s">
        <v>1797</v>
      </c>
      <c r="H501">
        <v>0.97243748930515805</v>
      </c>
      <c r="I501">
        <v>5248.8523269999996</v>
      </c>
      <c r="J501">
        <v>7.851956502228199</v>
      </c>
      <c r="K501">
        <v>0.1560894846396722</v>
      </c>
      <c r="L501">
        <v>1.016255874988262</v>
      </c>
      <c r="M501">
        <v>53.39</v>
      </c>
      <c r="N501">
        <v>36.15</v>
      </c>
    </row>
    <row r="502" spans="1:14" x14ac:dyDescent="0.25">
      <c r="A502" s="1" t="s">
        <v>514</v>
      </c>
      <c r="B502" t="str">
        <f>HYPERLINK("https://www.suredividend.com/sure-analysis-research-database/","Esperion Therapeutics Inc.")</f>
        <v>Esperion Therapeutics Inc.</v>
      </c>
      <c r="C502" t="s">
        <v>1802</v>
      </c>
      <c r="D502">
        <v>1.03</v>
      </c>
      <c r="E502">
        <v>0</v>
      </c>
      <c r="F502" t="s">
        <v>1797</v>
      </c>
      <c r="G502" t="s">
        <v>1797</v>
      </c>
      <c r="H502">
        <v>0</v>
      </c>
      <c r="I502">
        <v>110.204097</v>
      </c>
      <c r="J502">
        <v>0</v>
      </c>
      <c r="K502" t="s">
        <v>1797</v>
      </c>
      <c r="L502">
        <v>0.59045515032575102</v>
      </c>
      <c r="M502">
        <v>8.8699999999999992</v>
      </c>
      <c r="N502">
        <v>0.70000000000000007</v>
      </c>
    </row>
    <row r="503" spans="1:14" x14ac:dyDescent="0.25">
      <c r="A503" s="1" t="s">
        <v>515</v>
      </c>
      <c r="B503" t="str">
        <f>HYPERLINK("https://www.suredividend.com/sure-analysis-research-database/","Esquire Financial Holdings Inc")</f>
        <v>Esquire Financial Holdings Inc</v>
      </c>
      <c r="C503" t="s">
        <v>1800</v>
      </c>
      <c r="D503">
        <v>47.71</v>
      </c>
      <c r="E503">
        <v>9.3802050727360003E-3</v>
      </c>
      <c r="F503" t="s">
        <v>1797</v>
      </c>
      <c r="G503" t="s">
        <v>1797</v>
      </c>
      <c r="H503">
        <v>0.44752958402027798</v>
      </c>
      <c r="I503">
        <v>391.34280200000001</v>
      </c>
      <c r="J503">
        <v>10.266883587900409</v>
      </c>
      <c r="K503">
        <v>9.7289040004408273E-2</v>
      </c>
      <c r="L503">
        <v>1.0329501968481749</v>
      </c>
      <c r="M503">
        <v>53.76</v>
      </c>
      <c r="N503">
        <v>34.47</v>
      </c>
    </row>
    <row r="504" spans="1:14" x14ac:dyDescent="0.25">
      <c r="A504" s="1" t="s">
        <v>516</v>
      </c>
      <c r="B504" t="str">
        <f>HYPERLINK("https://www.suredividend.com/sure-analysis-ESRT/","Empire State Realty Trust Inc")</f>
        <v>Empire State Realty Trust Inc</v>
      </c>
      <c r="C504" t="s">
        <v>1799</v>
      </c>
      <c r="D504">
        <v>9.01</v>
      </c>
      <c r="E504">
        <v>1.5538290788013319E-2</v>
      </c>
      <c r="F504" t="s">
        <v>1797</v>
      </c>
      <c r="G504" t="s">
        <v>1797</v>
      </c>
      <c r="H504">
        <v>0.139058280238122</v>
      </c>
      <c r="I504">
        <v>1442.6037859999999</v>
      </c>
      <c r="J504">
        <v>30.959820286719889</v>
      </c>
      <c r="K504">
        <v>0.79461874421783996</v>
      </c>
      <c r="L504">
        <v>1.2712964952054691</v>
      </c>
      <c r="M504">
        <v>9.32</v>
      </c>
      <c r="N504">
        <v>5.34</v>
      </c>
    </row>
    <row r="505" spans="1:14" x14ac:dyDescent="0.25">
      <c r="A505" s="1" t="s">
        <v>517</v>
      </c>
      <c r="B505" t="str">
        <f>HYPERLINK("https://www.suredividend.com/sure-analysis-research-database/","Earthstone Energy Inc")</f>
        <v>Earthstone Energy Inc</v>
      </c>
      <c r="C505" t="s">
        <v>1807</v>
      </c>
      <c r="D505">
        <v>21.17</v>
      </c>
      <c r="E505">
        <v>0</v>
      </c>
      <c r="F505" t="s">
        <v>1797</v>
      </c>
      <c r="G505" t="s">
        <v>1797</v>
      </c>
      <c r="H505">
        <v>0</v>
      </c>
      <c r="I505">
        <v>2251.0061000000001</v>
      </c>
      <c r="J505">
        <v>0</v>
      </c>
      <c r="K505" t="s">
        <v>1797</v>
      </c>
      <c r="L505">
        <v>1.3587672505185491</v>
      </c>
      <c r="M505">
        <v>22.45</v>
      </c>
      <c r="N505">
        <v>11.32</v>
      </c>
    </row>
    <row r="506" spans="1:14" x14ac:dyDescent="0.25">
      <c r="A506" s="1" t="s">
        <v>518</v>
      </c>
      <c r="B506" t="str">
        <f>HYPERLINK("https://www.suredividend.com/sure-analysis-ETD/","Ethan Allen Interiors, Inc.")</f>
        <v>Ethan Allen Interiors, Inc.</v>
      </c>
      <c r="C506" t="s">
        <v>1797</v>
      </c>
      <c r="D506">
        <v>27.2</v>
      </c>
      <c r="E506">
        <v>5.2941176470588228E-2</v>
      </c>
      <c r="F506">
        <v>0.125</v>
      </c>
      <c r="G506">
        <v>0.11382417860287911</v>
      </c>
      <c r="H506">
        <v>1.3375965195727031</v>
      </c>
      <c r="I506">
        <v>690.85970899999995</v>
      </c>
      <c r="J506">
        <v>7.6030606475469371</v>
      </c>
      <c r="K506">
        <v>0.37678775199231068</v>
      </c>
      <c r="L506">
        <v>0.75471087693760608</v>
      </c>
      <c r="M506">
        <v>35.81</v>
      </c>
      <c r="N506">
        <v>24.49</v>
      </c>
    </row>
    <row r="507" spans="1:14" x14ac:dyDescent="0.25">
      <c r="A507" s="1" t="s">
        <v>519</v>
      </c>
      <c r="B507" t="str">
        <f>HYPERLINK("https://www.suredividend.com/sure-analysis-research-database/","Equitrans Midstream Corporation")</f>
        <v>Equitrans Midstream Corporation</v>
      </c>
      <c r="C507" t="s">
        <v>1807</v>
      </c>
      <c r="D507">
        <v>9.19</v>
      </c>
      <c r="E507">
        <v>6.3494514565437005E-2</v>
      </c>
      <c r="F507">
        <v>0</v>
      </c>
      <c r="G507">
        <v>-0.18217293206394081</v>
      </c>
      <c r="H507">
        <v>0.58351458885637308</v>
      </c>
      <c r="I507">
        <v>3981.6685900000002</v>
      </c>
      <c r="J507">
        <v>13.09578476000026</v>
      </c>
      <c r="K507">
        <v>0.8352627953855899</v>
      </c>
      <c r="L507">
        <v>1.1918967413534931</v>
      </c>
      <c r="M507">
        <v>10.14</v>
      </c>
      <c r="N507">
        <v>4.32</v>
      </c>
    </row>
    <row r="508" spans="1:14" x14ac:dyDescent="0.25">
      <c r="A508" s="1" t="s">
        <v>520</v>
      </c>
      <c r="B508" t="str">
        <f>HYPERLINK("https://www.suredividend.com/sure-analysis-research-database/","E2open Parent Holdings Inc")</f>
        <v>E2open Parent Holdings Inc</v>
      </c>
      <c r="C508" t="s">
        <v>1797</v>
      </c>
      <c r="D508">
        <v>3.21</v>
      </c>
      <c r="E508">
        <v>0</v>
      </c>
      <c r="F508" t="s">
        <v>1797</v>
      </c>
      <c r="G508" t="s">
        <v>1797</v>
      </c>
      <c r="H508">
        <v>0</v>
      </c>
      <c r="I508">
        <v>973.60421599999995</v>
      </c>
      <c r="J508" t="s">
        <v>1797</v>
      </c>
      <c r="K508">
        <v>0</v>
      </c>
      <c r="L508">
        <v>1.4897123889225869</v>
      </c>
      <c r="M508">
        <v>7.21</v>
      </c>
      <c r="N508">
        <v>2.15</v>
      </c>
    </row>
    <row r="509" spans="1:14" x14ac:dyDescent="0.25">
      <c r="A509" s="1" t="s">
        <v>521</v>
      </c>
      <c r="B509" t="str">
        <f>HYPERLINK("https://www.suredividend.com/sure-analysis-research-database/","Everbridge Inc")</f>
        <v>Everbridge Inc</v>
      </c>
      <c r="C509" t="s">
        <v>1803</v>
      </c>
      <c r="D509">
        <v>21.22</v>
      </c>
      <c r="E509">
        <v>0</v>
      </c>
      <c r="F509" t="s">
        <v>1797</v>
      </c>
      <c r="G509" t="s">
        <v>1797</v>
      </c>
      <c r="H509">
        <v>0</v>
      </c>
      <c r="I509">
        <v>8649.9399630000007</v>
      </c>
      <c r="J509" t="s">
        <v>1797</v>
      </c>
      <c r="K509">
        <v>0</v>
      </c>
      <c r="L509">
        <v>1.9794487237934979</v>
      </c>
      <c r="M509">
        <v>36.409999999999997</v>
      </c>
      <c r="N509">
        <v>19.37</v>
      </c>
    </row>
    <row r="510" spans="1:14" x14ac:dyDescent="0.25">
      <c r="A510" s="1" t="s">
        <v>522</v>
      </c>
      <c r="B510" t="str">
        <f>HYPERLINK("https://www.suredividend.com/sure-analysis-research-database/","Entravision Communications Corp.")</f>
        <v>Entravision Communications Corp.</v>
      </c>
      <c r="C510" t="s">
        <v>1806</v>
      </c>
      <c r="D510">
        <v>4.1100000000000003</v>
      </c>
      <c r="E510">
        <v>4.1919223238448003E-2</v>
      </c>
      <c r="F510">
        <v>1</v>
      </c>
      <c r="G510">
        <v>0</v>
      </c>
      <c r="H510">
        <v>0.17228800751002399</v>
      </c>
      <c r="I510">
        <v>323.22688900000003</v>
      </c>
      <c r="J510">
        <v>282.78817963254602</v>
      </c>
      <c r="K510">
        <v>13.35565949690109</v>
      </c>
      <c r="L510">
        <v>1.486818333284518</v>
      </c>
      <c r="M510">
        <v>7.09</v>
      </c>
      <c r="N510">
        <v>3.35</v>
      </c>
    </row>
    <row r="511" spans="1:14" x14ac:dyDescent="0.25">
      <c r="A511" s="1" t="s">
        <v>523</v>
      </c>
      <c r="B511" t="str">
        <f>HYPERLINK("https://www.suredividend.com/sure-analysis-research-database/","EverCommerce Inc")</f>
        <v>EverCommerce Inc</v>
      </c>
      <c r="C511" t="s">
        <v>1797</v>
      </c>
      <c r="D511">
        <v>9.6</v>
      </c>
      <c r="E511">
        <v>0</v>
      </c>
      <c r="F511" t="s">
        <v>1797</v>
      </c>
      <c r="G511" t="s">
        <v>1797</v>
      </c>
      <c r="H511">
        <v>0</v>
      </c>
      <c r="I511">
        <v>1811.9106529999999</v>
      </c>
      <c r="J511" t="s">
        <v>1797</v>
      </c>
      <c r="K511">
        <v>0</v>
      </c>
      <c r="L511">
        <v>1.2185747617580169</v>
      </c>
      <c r="M511">
        <v>13.47</v>
      </c>
      <c r="N511">
        <v>5.87</v>
      </c>
    </row>
    <row r="512" spans="1:14" x14ac:dyDescent="0.25">
      <c r="A512" s="1" t="s">
        <v>524</v>
      </c>
      <c r="B512" t="str">
        <f>HYPERLINK("https://www.suredividend.com/sure-analysis-research-database/","EverQuote Inc")</f>
        <v>EverQuote Inc</v>
      </c>
      <c r="C512" t="s">
        <v>1806</v>
      </c>
      <c r="D512">
        <v>7.88</v>
      </c>
      <c r="E512">
        <v>0</v>
      </c>
      <c r="F512" t="s">
        <v>1797</v>
      </c>
      <c r="G512" t="s">
        <v>1797</v>
      </c>
      <c r="H512">
        <v>0</v>
      </c>
      <c r="I512">
        <v>218.76463899999999</v>
      </c>
      <c r="J512" t="s">
        <v>1797</v>
      </c>
      <c r="K512">
        <v>0</v>
      </c>
      <c r="L512">
        <v>1.344544347469643</v>
      </c>
      <c r="M512">
        <v>18.86</v>
      </c>
      <c r="N512">
        <v>5.36</v>
      </c>
    </row>
    <row r="513" spans="1:14" x14ac:dyDescent="0.25">
      <c r="A513" s="1" t="s">
        <v>525</v>
      </c>
      <c r="B513" t="str">
        <f>HYPERLINK("https://www.suredividend.com/sure-analysis-research-database/","EVgo Inc")</f>
        <v>EVgo Inc</v>
      </c>
      <c r="C513" t="s">
        <v>1797</v>
      </c>
      <c r="D513">
        <v>2.4900000000000002</v>
      </c>
      <c r="E513">
        <v>0</v>
      </c>
      <c r="F513" t="s">
        <v>1797</v>
      </c>
      <c r="G513" t="s">
        <v>1797</v>
      </c>
      <c r="H513">
        <v>0</v>
      </c>
      <c r="I513">
        <v>254.1045</v>
      </c>
      <c r="J513" t="s">
        <v>1797</v>
      </c>
      <c r="K513">
        <v>0</v>
      </c>
      <c r="L513">
        <v>2.0652824590814838</v>
      </c>
      <c r="M513">
        <v>8.16</v>
      </c>
      <c r="N513">
        <v>1.88</v>
      </c>
    </row>
    <row r="514" spans="1:14" x14ac:dyDescent="0.25">
      <c r="A514" s="1" t="s">
        <v>526</v>
      </c>
      <c r="B514" t="str">
        <f>HYPERLINK("https://www.suredividend.com/sure-analysis-research-database/","Evolent Health Inc")</f>
        <v>Evolent Health Inc</v>
      </c>
      <c r="C514" t="s">
        <v>1802</v>
      </c>
      <c r="D514">
        <v>27.26</v>
      </c>
      <c r="E514">
        <v>0</v>
      </c>
      <c r="F514" t="s">
        <v>1797</v>
      </c>
      <c r="G514" t="s">
        <v>1797</v>
      </c>
      <c r="H514">
        <v>0</v>
      </c>
      <c r="I514">
        <v>3087.0445789999999</v>
      </c>
      <c r="J514" t="s">
        <v>1797</v>
      </c>
      <c r="K514">
        <v>0</v>
      </c>
      <c r="L514">
        <v>1.1975186428518889</v>
      </c>
      <c r="M514">
        <v>36.700000000000003</v>
      </c>
      <c r="N514">
        <v>21.83</v>
      </c>
    </row>
    <row r="515" spans="1:14" x14ac:dyDescent="0.25">
      <c r="A515" s="1" t="s">
        <v>527</v>
      </c>
      <c r="B515" t="str">
        <f>HYPERLINK("https://www.suredividend.com/sure-analysis-research-database/","Evolv Technologies Holdings Inc")</f>
        <v>Evolv Technologies Holdings Inc</v>
      </c>
      <c r="C515" t="s">
        <v>1797</v>
      </c>
      <c r="D515">
        <v>4.5199999999999996</v>
      </c>
      <c r="E515">
        <v>0</v>
      </c>
      <c r="F515" t="s">
        <v>1797</v>
      </c>
      <c r="G515" t="s">
        <v>1797</v>
      </c>
      <c r="H515">
        <v>0</v>
      </c>
      <c r="I515">
        <v>677.97656400000005</v>
      </c>
      <c r="J515" t="s">
        <v>1797</v>
      </c>
      <c r="K515">
        <v>0</v>
      </c>
      <c r="L515">
        <v>2.3183423973448192</v>
      </c>
      <c r="M515">
        <v>8.3000000000000007</v>
      </c>
      <c r="N515">
        <v>1.98</v>
      </c>
    </row>
    <row r="516" spans="1:14" x14ac:dyDescent="0.25">
      <c r="A516" s="1" t="s">
        <v>528</v>
      </c>
      <c r="B516" t="str">
        <f>HYPERLINK("https://www.suredividend.com/sure-analysis-research-database/","Everi Holdings Inc")</f>
        <v>Everi Holdings Inc</v>
      </c>
      <c r="C516" t="s">
        <v>1801</v>
      </c>
      <c r="D516">
        <v>11.5</v>
      </c>
      <c r="E516">
        <v>0</v>
      </c>
      <c r="F516" t="s">
        <v>1797</v>
      </c>
      <c r="G516" t="s">
        <v>1797</v>
      </c>
      <c r="H516">
        <v>0</v>
      </c>
      <c r="I516">
        <v>1011.919282</v>
      </c>
      <c r="J516">
        <v>9.0424212880223038</v>
      </c>
      <c r="K516">
        <v>0</v>
      </c>
      <c r="L516">
        <v>1.1719578672397291</v>
      </c>
      <c r="M516">
        <v>19.850000000000001</v>
      </c>
      <c r="N516">
        <v>10.52</v>
      </c>
    </row>
    <row r="517" spans="1:14" x14ac:dyDescent="0.25">
      <c r="A517" s="1" t="s">
        <v>529</v>
      </c>
      <c r="B517" t="str">
        <f>HYPERLINK("https://www.suredividend.com/sure-analysis-research-database/","Evertec Inc")</f>
        <v>Evertec Inc</v>
      </c>
      <c r="C517" t="s">
        <v>1803</v>
      </c>
      <c r="D517">
        <v>33.78</v>
      </c>
      <c r="E517">
        <v>5.9083418638580009E-3</v>
      </c>
      <c r="F517" t="s">
        <v>1797</v>
      </c>
      <c r="G517" t="s">
        <v>1797</v>
      </c>
      <c r="H517">
        <v>0.19958378816115199</v>
      </c>
      <c r="I517">
        <v>2183.2325449999998</v>
      </c>
      <c r="J517">
        <v>22.518927552681252</v>
      </c>
      <c r="K517">
        <v>0.13485391091969731</v>
      </c>
      <c r="L517">
        <v>0.99079203616516909</v>
      </c>
      <c r="M517">
        <v>41.92</v>
      </c>
      <c r="N517">
        <v>30</v>
      </c>
    </row>
    <row r="518" spans="1:14" x14ac:dyDescent="0.25">
      <c r="A518" s="1" t="s">
        <v>530</v>
      </c>
      <c r="B518" t="str">
        <f>HYPERLINK("https://www.suredividend.com/sure-analysis-research-database/","European Wax Center Inc")</f>
        <v>European Wax Center Inc</v>
      </c>
      <c r="C518" t="s">
        <v>1797</v>
      </c>
      <c r="D518">
        <v>15.89</v>
      </c>
      <c r="E518">
        <v>0</v>
      </c>
      <c r="F518" t="s">
        <v>1797</v>
      </c>
      <c r="G518" t="s">
        <v>1797</v>
      </c>
      <c r="H518">
        <v>0</v>
      </c>
      <c r="I518">
        <v>799.79102</v>
      </c>
      <c r="J518">
        <v>100.8818138773966</v>
      </c>
      <c r="K518">
        <v>0</v>
      </c>
      <c r="L518">
        <v>1.119137342519537</v>
      </c>
      <c r="M518">
        <v>20.7</v>
      </c>
      <c r="N518">
        <v>12.02</v>
      </c>
    </row>
    <row r="519" spans="1:14" x14ac:dyDescent="0.25">
      <c r="A519" s="1" t="s">
        <v>531</v>
      </c>
      <c r="B519" t="str">
        <f>HYPERLINK("https://www.suredividend.com/sure-analysis-research-database/","Edgewise Therapeutics Inc")</f>
        <v>Edgewise Therapeutics Inc</v>
      </c>
      <c r="C519" t="s">
        <v>1797</v>
      </c>
      <c r="D519">
        <v>6.74</v>
      </c>
      <c r="E519">
        <v>0</v>
      </c>
      <c r="F519" t="s">
        <v>1797</v>
      </c>
      <c r="G519" t="s">
        <v>1797</v>
      </c>
      <c r="H519">
        <v>0</v>
      </c>
      <c r="I519">
        <v>427.71574900000002</v>
      </c>
      <c r="J519">
        <v>0</v>
      </c>
      <c r="K519" t="s">
        <v>1797</v>
      </c>
      <c r="L519">
        <v>1.0907948215741241</v>
      </c>
      <c r="M519">
        <v>11.48</v>
      </c>
      <c r="N519">
        <v>5.49</v>
      </c>
    </row>
    <row r="520" spans="1:14" x14ac:dyDescent="0.25">
      <c r="A520" s="1" t="s">
        <v>532</v>
      </c>
      <c r="B520" t="str">
        <f>HYPERLINK("https://www.suredividend.com/sure-analysis-research-database/","ExlService Holdings Inc")</f>
        <v>ExlService Holdings Inc</v>
      </c>
      <c r="C520" t="s">
        <v>1803</v>
      </c>
      <c r="D520">
        <v>26.66</v>
      </c>
      <c r="E520">
        <v>0</v>
      </c>
      <c r="F520" t="s">
        <v>1797</v>
      </c>
      <c r="G520" t="s">
        <v>1797</v>
      </c>
      <c r="H520">
        <v>0</v>
      </c>
      <c r="I520">
        <v>4396.8409680000004</v>
      </c>
      <c r="J520">
        <v>24.964462357316439</v>
      </c>
      <c r="K520">
        <v>0</v>
      </c>
      <c r="L520">
        <v>0.96477764225320006</v>
      </c>
      <c r="M520">
        <v>38.24</v>
      </c>
      <c r="N520">
        <v>25.17</v>
      </c>
    </row>
    <row r="521" spans="1:14" x14ac:dyDescent="0.25">
      <c r="A521" s="1" t="s">
        <v>533</v>
      </c>
      <c r="B521" t="str">
        <f>HYPERLINK("https://www.suredividend.com/sure-analysis-research-database/","eXp World Holdings Inc")</f>
        <v>eXp World Holdings Inc</v>
      </c>
      <c r="C521" t="s">
        <v>1799</v>
      </c>
      <c r="D521">
        <v>14.15</v>
      </c>
      <c r="E521">
        <v>1.3006783636230999E-2</v>
      </c>
      <c r="F521" t="s">
        <v>1797</v>
      </c>
      <c r="G521" t="s">
        <v>1797</v>
      </c>
      <c r="H521">
        <v>0.184045988452681</v>
      </c>
      <c r="I521">
        <v>2173.2728320000001</v>
      </c>
      <c r="J521">
        <v>432.6643105514633</v>
      </c>
      <c r="K521">
        <v>5.7335198894916202</v>
      </c>
      <c r="L521">
        <v>2.1139538534682272</v>
      </c>
      <c r="M521">
        <v>25.33</v>
      </c>
      <c r="N521">
        <v>9.86</v>
      </c>
    </row>
    <row r="522" spans="1:14" x14ac:dyDescent="0.25">
      <c r="A522" s="1" t="s">
        <v>534</v>
      </c>
      <c r="B522" t="str">
        <f>HYPERLINK("https://www.suredividend.com/sure-analysis-EXPO/","Exponent Inc.")</f>
        <v>Exponent Inc.</v>
      </c>
      <c r="C522" t="s">
        <v>1798</v>
      </c>
      <c r="D522">
        <v>75</v>
      </c>
      <c r="E522">
        <v>1.3866666666666669E-2</v>
      </c>
      <c r="F522">
        <v>8.3333333333333481E-2</v>
      </c>
      <c r="G522">
        <v>0.1486983549970351</v>
      </c>
      <c r="H522">
        <v>1.013663573548311</v>
      </c>
      <c r="I522">
        <v>3813.6705000000002</v>
      </c>
      <c r="J522">
        <v>37.448403346491489</v>
      </c>
      <c r="K522">
        <v>0.51455003733416804</v>
      </c>
      <c r="L522">
        <v>0.9515895433980841</v>
      </c>
      <c r="M522">
        <v>111.51</v>
      </c>
      <c r="N522">
        <v>64.61</v>
      </c>
    </row>
    <row r="523" spans="1:14" x14ac:dyDescent="0.25">
      <c r="A523" s="1" t="s">
        <v>535</v>
      </c>
      <c r="B523" t="str">
        <f>HYPERLINK("https://www.suredividend.com/sure-analysis-research-database/","Express Inc.")</f>
        <v>Express Inc.</v>
      </c>
      <c r="C523" t="s">
        <v>1801</v>
      </c>
      <c r="D523">
        <v>8.99</v>
      </c>
      <c r="E523">
        <v>0</v>
      </c>
      <c r="F523" t="s">
        <v>1797</v>
      </c>
      <c r="G523" t="s">
        <v>1797</v>
      </c>
      <c r="H523">
        <v>0</v>
      </c>
      <c r="I523">
        <v>33.669581999999998</v>
      </c>
      <c r="J523">
        <v>0.18578473500377901</v>
      </c>
      <c r="K523">
        <v>0</v>
      </c>
      <c r="L523">
        <v>1.7546338497493019</v>
      </c>
      <c r="M523">
        <v>42.8</v>
      </c>
      <c r="N523">
        <v>7.36</v>
      </c>
    </row>
    <row r="524" spans="1:14" x14ac:dyDescent="0.25">
      <c r="A524" s="1" t="s">
        <v>536</v>
      </c>
      <c r="B524" t="str">
        <f>HYPERLINK("https://www.suredividend.com/sure-analysis-research-database/","Extreme Networks Inc.")</f>
        <v>Extreme Networks Inc.</v>
      </c>
      <c r="C524" t="s">
        <v>1803</v>
      </c>
      <c r="D524">
        <v>16.8</v>
      </c>
      <c r="E524">
        <v>0</v>
      </c>
      <c r="F524" t="s">
        <v>1797</v>
      </c>
      <c r="G524" t="s">
        <v>1797</v>
      </c>
      <c r="H524">
        <v>0</v>
      </c>
      <c r="I524">
        <v>2176.1019500000002</v>
      </c>
      <c r="J524">
        <v>23.109456277810231</v>
      </c>
      <c r="K524">
        <v>0</v>
      </c>
      <c r="L524">
        <v>1.117793103211602</v>
      </c>
      <c r="M524">
        <v>32.729999999999997</v>
      </c>
      <c r="N524">
        <v>14.63</v>
      </c>
    </row>
    <row r="525" spans="1:14" x14ac:dyDescent="0.25">
      <c r="A525" s="1" t="s">
        <v>537</v>
      </c>
      <c r="B525" t="str">
        <f>HYPERLINK("https://www.suredividend.com/sure-analysis-research-database/","National Vision Holdings Inc")</f>
        <v>National Vision Holdings Inc</v>
      </c>
      <c r="C525" t="s">
        <v>1801</v>
      </c>
      <c r="D525">
        <v>17.059999999999999</v>
      </c>
      <c r="E525">
        <v>0</v>
      </c>
      <c r="F525" t="s">
        <v>1797</v>
      </c>
      <c r="G525" t="s">
        <v>1797</v>
      </c>
      <c r="H525">
        <v>0</v>
      </c>
      <c r="I525">
        <v>1333.3718630000001</v>
      </c>
      <c r="J525">
        <v>51.038157446124401</v>
      </c>
      <c r="K525">
        <v>0</v>
      </c>
      <c r="L525">
        <v>1.375877841173698</v>
      </c>
      <c r="M525">
        <v>43.82</v>
      </c>
      <c r="N525">
        <v>13.71</v>
      </c>
    </row>
    <row r="526" spans="1:14" x14ac:dyDescent="0.25">
      <c r="A526" s="1" t="s">
        <v>538</v>
      </c>
      <c r="B526" t="str">
        <f>HYPERLINK("https://www.suredividend.com/sure-analysis-research-database/","EyePoint Pharmaceuticals Inc")</f>
        <v>EyePoint Pharmaceuticals Inc</v>
      </c>
      <c r="C526" t="s">
        <v>1802</v>
      </c>
      <c r="D526">
        <v>7.75</v>
      </c>
      <c r="E526">
        <v>0</v>
      </c>
      <c r="F526" t="s">
        <v>1797</v>
      </c>
      <c r="G526" t="s">
        <v>1797</v>
      </c>
      <c r="H526">
        <v>0</v>
      </c>
      <c r="I526">
        <v>273.648098</v>
      </c>
      <c r="J526">
        <v>0</v>
      </c>
      <c r="K526" t="s">
        <v>1797</v>
      </c>
      <c r="L526">
        <v>1.2324590057599869</v>
      </c>
      <c r="M526">
        <v>15.63</v>
      </c>
      <c r="N526">
        <v>2.19</v>
      </c>
    </row>
    <row r="527" spans="1:14" x14ac:dyDescent="0.25">
      <c r="A527" s="1" t="s">
        <v>539</v>
      </c>
      <c r="B527" t="str">
        <f>HYPERLINK("https://www.suredividend.com/sure-analysis-research-database/","EZCorp, Inc.")</f>
        <v>EZCorp, Inc.</v>
      </c>
      <c r="C527" t="s">
        <v>1800</v>
      </c>
      <c r="D527">
        <v>8.49</v>
      </c>
      <c r="E527">
        <v>0</v>
      </c>
      <c r="F527" t="s">
        <v>1797</v>
      </c>
      <c r="G527" t="s">
        <v>1797</v>
      </c>
      <c r="H527">
        <v>0</v>
      </c>
      <c r="I527">
        <v>442.34240599999998</v>
      </c>
      <c r="J527">
        <v>12.443874467887589</v>
      </c>
      <c r="K527">
        <v>0</v>
      </c>
      <c r="L527">
        <v>0.63414547736994509</v>
      </c>
      <c r="M527">
        <v>10.68</v>
      </c>
      <c r="N527">
        <v>7.05</v>
      </c>
    </row>
    <row r="528" spans="1:14" x14ac:dyDescent="0.25">
      <c r="A528" s="1" t="s">
        <v>540</v>
      </c>
      <c r="B528" t="str">
        <f>HYPERLINK("https://www.suredividend.com/sure-analysis-research-database/","First Advantage Corp.")</f>
        <v>First Advantage Corp.</v>
      </c>
      <c r="C528" t="s">
        <v>1797</v>
      </c>
      <c r="D528">
        <v>13.32</v>
      </c>
      <c r="E528">
        <v>0</v>
      </c>
      <c r="F528" t="s">
        <v>1797</v>
      </c>
      <c r="G528" t="s">
        <v>1797</v>
      </c>
      <c r="H528">
        <v>0</v>
      </c>
      <c r="I528">
        <v>1933.913151</v>
      </c>
      <c r="J528">
        <v>39.417739819004531</v>
      </c>
      <c r="K528">
        <v>0</v>
      </c>
      <c r="L528">
        <v>1.2451079389710411</v>
      </c>
      <c r="M528">
        <v>14.69</v>
      </c>
      <c r="N528">
        <v>9.07</v>
      </c>
    </row>
    <row r="529" spans="1:14" x14ac:dyDescent="0.25">
      <c r="A529" s="1" t="s">
        <v>541</v>
      </c>
      <c r="B529" t="str">
        <f>HYPERLINK("https://www.suredividend.com/sure-analysis-research-database/","Faro Technologies Inc.")</f>
        <v>Faro Technologies Inc.</v>
      </c>
      <c r="C529" t="s">
        <v>1803</v>
      </c>
      <c r="D529">
        <v>16.54</v>
      </c>
      <c r="E529">
        <v>0</v>
      </c>
      <c r="F529" t="s">
        <v>1797</v>
      </c>
      <c r="G529" t="s">
        <v>1797</v>
      </c>
      <c r="H529">
        <v>0</v>
      </c>
      <c r="I529">
        <v>313.50341100000003</v>
      </c>
      <c r="J529" t="s">
        <v>1797</v>
      </c>
      <c r="K529">
        <v>0</v>
      </c>
      <c r="L529">
        <v>1.472061697841438</v>
      </c>
      <c r="M529">
        <v>36.74</v>
      </c>
      <c r="N529">
        <v>10.3</v>
      </c>
    </row>
    <row r="530" spans="1:14" x14ac:dyDescent="0.25">
      <c r="A530" s="1" t="s">
        <v>542</v>
      </c>
      <c r="B530" t="str">
        <f>HYPERLINK("https://www.suredividend.com/sure-analysis-research-database/","Fate Therapeutics Inc")</f>
        <v>Fate Therapeutics Inc</v>
      </c>
      <c r="C530" t="s">
        <v>1802</v>
      </c>
      <c r="D530">
        <v>2.39</v>
      </c>
      <c r="E530">
        <v>0</v>
      </c>
      <c r="F530" t="s">
        <v>1797</v>
      </c>
      <c r="G530" t="s">
        <v>1797</v>
      </c>
      <c r="H530">
        <v>0</v>
      </c>
      <c r="I530">
        <v>235.564212</v>
      </c>
      <c r="J530" t="s">
        <v>1797</v>
      </c>
      <c r="K530">
        <v>0</v>
      </c>
      <c r="L530">
        <v>1.4863832236501131</v>
      </c>
      <c r="M530">
        <v>23.96</v>
      </c>
      <c r="N530">
        <v>1.63</v>
      </c>
    </row>
    <row r="531" spans="1:14" x14ac:dyDescent="0.25">
      <c r="A531" s="1" t="s">
        <v>543</v>
      </c>
      <c r="B531" t="str">
        <f>HYPERLINK("https://www.suredividend.com/sure-analysis-research-database/","First Business Financial Services Inc")</f>
        <v>First Business Financial Services Inc</v>
      </c>
      <c r="C531" t="s">
        <v>1800</v>
      </c>
      <c r="D531">
        <v>33</v>
      </c>
      <c r="E531">
        <v>2.6970824175991E-2</v>
      </c>
      <c r="F531">
        <v>0.15189873417721511</v>
      </c>
      <c r="G531">
        <v>8.6871068489539516E-2</v>
      </c>
      <c r="H531">
        <v>0.89003719780772605</v>
      </c>
      <c r="I531">
        <v>274.39173299999999</v>
      </c>
      <c r="J531">
        <v>7.7115320386712378</v>
      </c>
      <c r="K531">
        <v>0.20366983931526911</v>
      </c>
      <c r="L531">
        <v>0.79358218000539804</v>
      </c>
      <c r="M531">
        <v>37.85</v>
      </c>
      <c r="N531">
        <v>23.87</v>
      </c>
    </row>
    <row r="532" spans="1:14" x14ac:dyDescent="0.25">
      <c r="A532" s="1" t="s">
        <v>544</v>
      </c>
      <c r="B532" t="str">
        <f>HYPERLINK("https://www.suredividend.com/sure-analysis-research-database/","FB Financial Corp")</f>
        <v>FB Financial Corp</v>
      </c>
      <c r="C532" t="s">
        <v>1800</v>
      </c>
      <c r="D532">
        <v>33.119999999999997</v>
      </c>
      <c r="E532">
        <v>1.7392125902151001E-2</v>
      </c>
      <c r="F532" t="s">
        <v>1797</v>
      </c>
      <c r="G532" t="s">
        <v>1797</v>
      </c>
      <c r="H532">
        <v>0.57602720987927003</v>
      </c>
      <c r="I532">
        <v>1549.970924</v>
      </c>
      <c r="J532">
        <v>10.941949564996399</v>
      </c>
      <c r="K532">
        <v>0.19073748671499011</v>
      </c>
      <c r="L532">
        <v>1.1931097492659</v>
      </c>
      <c r="M532">
        <v>43.5</v>
      </c>
      <c r="N532">
        <v>24.09</v>
      </c>
    </row>
    <row r="533" spans="1:14" x14ac:dyDescent="0.25">
      <c r="A533" s="1" t="s">
        <v>545</v>
      </c>
      <c r="B533" t="str">
        <f>HYPERLINK("https://www.suredividend.com/sure-analysis-research-database/","First Bancshares Inc Miss")</f>
        <v>First Bancshares Inc Miss</v>
      </c>
      <c r="C533" t="s">
        <v>1800</v>
      </c>
      <c r="D533">
        <v>26.28</v>
      </c>
      <c r="E533">
        <v>3.2053647071930001E-2</v>
      </c>
      <c r="F533">
        <v>0.2105263157894737</v>
      </c>
      <c r="G533">
        <v>0.35691163482860699</v>
      </c>
      <c r="H533">
        <v>0.84236984505033707</v>
      </c>
      <c r="I533">
        <v>817.19744000000003</v>
      </c>
      <c r="J533">
        <v>11.610062085896541</v>
      </c>
      <c r="K533">
        <v>0.33034111570601449</v>
      </c>
      <c r="L533">
        <v>1.140908035688704</v>
      </c>
      <c r="M533">
        <v>34.520000000000003</v>
      </c>
      <c r="N533">
        <v>22.09</v>
      </c>
    </row>
    <row r="534" spans="1:14" x14ac:dyDescent="0.25">
      <c r="A534" s="1" t="s">
        <v>546</v>
      </c>
      <c r="B534" t="str">
        <f>HYPERLINK("https://www.suredividend.com/sure-analysis-research-database/","First Bancorp")</f>
        <v>First Bancorp</v>
      </c>
      <c r="C534" t="s">
        <v>1800</v>
      </c>
      <c r="D534">
        <v>31.73</v>
      </c>
      <c r="E534">
        <v>3.3857653925681012E-2</v>
      </c>
      <c r="F534">
        <v>0</v>
      </c>
      <c r="G534">
        <v>0.12888132073019751</v>
      </c>
      <c r="H534">
        <v>1.07430335906186</v>
      </c>
      <c r="I534">
        <v>1303.569238</v>
      </c>
      <c r="J534">
        <v>10.84256646127742</v>
      </c>
      <c r="K534">
        <v>0.34322791024340582</v>
      </c>
      <c r="L534">
        <v>0.9531981400310211</v>
      </c>
      <c r="M534">
        <v>47.01</v>
      </c>
      <c r="N534">
        <v>25.47</v>
      </c>
    </row>
    <row r="535" spans="1:14" x14ac:dyDescent="0.25">
      <c r="A535" s="1" t="s">
        <v>547</v>
      </c>
      <c r="B535" t="str">
        <f>HYPERLINK("https://www.suredividend.com/sure-analysis-research-database/","First Bancorp PR")</f>
        <v>First Bancorp PR</v>
      </c>
      <c r="C535" t="s">
        <v>1800</v>
      </c>
      <c r="D535">
        <v>14.42</v>
      </c>
      <c r="E535">
        <v>3.6870297972820001E-2</v>
      </c>
      <c r="F535">
        <v>0.16666666666666671</v>
      </c>
      <c r="G535">
        <v>0.36082210785873881</v>
      </c>
      <c r="H535">
        <v>0.53166969676806608</v>
      </c>
      <c r="I535">
        <v>2571.0635480000001</v>
      </c>
      <c r="J535">
        <v>8.8924136134610734</v>
      </c>
      <c r="K535">
        <v>0.33649980808105451</v>
      </c>
      <c r="L535">
        <v>1.2638409057579481</v>
      </c>
      <c r="M535">
        <v>15.36</v>
      </c>
      <c r="N535">
        <v>9.9499999999999993</v>
      </c>
    </row>
    <row r="536" spans="1:14" x14ac:dyDescent="0.25">
      <c r="A536" s="1" t="s">
        <v>548</v>
      </c>
      <c r="B536" t="str">
        <f>HYPERLINK("https://www.suredividend.com/sure-analysis-research-database/","Franklin BSP Realty Trust Inc.")</f>
        <v>Franklin BSP Realty Trust Inc.</v>
      </c>
      <c r="C536" t="s">
        <v>1797</v>
      </c>
      <c r="D536">
        <v>13.53</v>
      </c>
      <c r="E536">
        <v>0.100881677762877</v>
      </c>
      <c r="F536" t="s">
        <v>1797</v>
      </c>
      <c r="G536" t="s">
        <v>1797</v>
      </c>
      <c r="H536">
        <v>1.364929100131735</v>
      </c>
      <c r="I536">
        <v>1110.4501250000001</v>
      </c>
      <c r="J536">
        <v>9.7529389713502752</v>
      </c>
      <c r="K536">
        <v>0.98907905806647467</v>
      </c>
      <c r="L536">
        <v>1.1402629607049299</v>
      </c>
      <c r="M536">
        <v>14.32</v>
      </c>
      <c r="N536">
        <v>10.210000000000001</v>
      </c>
    </row>
    <row r="537" spans="1:14" x14ac:dyDescent="0.25">
      <c r="A537" s="1" t="s">
        <v>549</v>
      </c>
      <c r="B537" t="str">
        <f>HYPERLINK("https://www.suredividend.com/sure-analysis-research-database/","Franklin Covey Co.")</f>
        <v>Franklin Covey Co.</v>
      </c>
      <c r="C537" t="s">
        <v>1798</v>
      </c>
      <c r="D537">
        <v>35.93</v>
      </c>
      <c r="E537">
        <v>0</v>
      </c>
      <c r="F537" t="s">
        <v>1797</v>
      </c>
      <c r="G537" t="s">
        <v>1797</v>
      </c>
      <c r="H537">
        <v>0</v>
      </c>
      <c r="I537">
        <v>474.43150500000002</v>
      </c>
      <c r="J537">
        <v>28.671753492475979</v>
      </c>
      <c r="K537">
        <v>0</v>
      </c>
      <c r="L537">
        <v>0.62471439345038304</v>
      </c>
      <c r="M537">
        <v>52.72</v>
      </c>
      <c r="N537">
        <v>32.19</v>
      </c>
    </row>
    <row r="538" spans="1:14" x14ac:dyDescent="0.25">
      <c r="A538" s="1" t="s">
        <v>550</v>
      </c>
      <c r="B538" t="str">
        <f>HYPERLINK("https://www.suredividend.com/sure-analysis-research-database/","First Community Bankshares Inc.")</f>
        <v>First Community Bankshares Inc.</v>
      </c>
      <c r="C538" t="s">
        <v>1800</v>
      </c>
      <c r="D538">
        <v>34.28</v>
      </c>
      <c r="E538">
        <v>2.4987573802216001E-2</v>
      </c>
      <c r="F538" t="s">
        <v>1797</v>
      </c>
      <c r="G538" t="s">
        <v>1797</v>
      </c>
      <c r="H538">
        <v>0.85657402993997211</v>
      </c>
      <c r="I538">
        <v>644.08284100000003</v>
      </c>
      <c r="J538">
        <v>13.55108017420577</v>
      </c>
      <c r="K538">
        <v>0.30374965600708231</v>
      </c>
      <c r="L538">
        <v>0.69013656449358507</v>
      </c>
      <c r="M538">
        <v>37.909999999999997</v>
      </c>
      <c r="N538">
        <v>21.89</v>
      </c>
    </row>
    <row r="539" spans="1:14" x14ac:dyDescent="0.25">
      <c r="A539" s="1" t="s">
        <v>551</v>
      </c>
      <c r="B539" t="str">
        <f>HYPERLINK("https://www.suredividend.com/sure-analysis-research-database/","Fuelcell Energy Inc")</f>
        <v>Fuelcell Energy Inc</v>
      </c>
      <c r="C539" t="s">
        <v>1798</v>
      </c>
      <c r="D539">
        <v>1.25</v>
      </c>
      <c r="E539">
        <v>0</v>
      </c>
      <c r="F539" t="s">
        <v>1797</v>
      </c>
      <c r="G539" t="s">
        <v>1797</v>
      </c>
      <c r="H539">
        <v>0</v>
      </c>
      <c r="I539">
        <v>508.45078599999999</v>
      </c>
      <c r="J539" t="s">
        <v>1797</v>
      </c>
      <c r="K539">
        <v>0</v>
      </c>
      <c r="L539">
        <v>2.8899719822697261</v>
      </c>
      <c r="M539">
        <v>4.3600000000000003</v>
      </c>
      <c r="N539">
        <v>0.98099999999999998</v>
      </c>
    </row>
    <row r="540" spans="1:14" x14ac:dyDescent="0.25">
      <c r="A540" s="1" t="s">
        <v>552</v>
      </c>
      <c r="B540" t="str">
        <f>HYPERLINK("https://www.suredividend.com/sure-analysis-research-database/","First Commonwealth Financial Corp.")</f>
        <v>First Commonwealth Financial Corp.</v>
      </c>
      <c r="C540" t="s">
        <v>1800</v>
      </c>
      <c r="D540">
        <v>13.24</v>
      </c>
      <c r="E540">
        <v>3.6848251289626002E-2</v>
      </c>
      <c r="F540">
        <v>4.1666666666666741E-2</v>
      </c>
      <c r="G540">
        <v>4.5639552591273169E-2</v>
      </c>
      <c r="H540">
        <v>0.48787084707465911</v>
      </c>
      <c r="I540">
        <v>1355.858287</v>
      </c>
      <c r="J540">
        <v>9.5010601278152276</v>
      </c>
      <c r="K540">
        <v>0.33188492998276131</v>
      </c>
      <c r="L540">
        <v>1.0187525310490839</v>
      </c>
      <c r="M540">
        <v>16.05</v>
      </c>
      <c r="N540">
        <v>11.05</v>
      </c>
    </row>
    <row r="541" spans="1:14" x14ac:dyDescent="0.25">
      <c r="A541" s="1" t="s">
        <v>553</v>
      </c>
      <c r="B541" t="str">
        <f>HYPERLINK("https://www.suredividend.com/sure-analysis-research-database/","FirstCash Holdings Inc")</f>
        <v>FirstCash Holdings Inc</v>
      </c>
      <c r="C541" t="s">
        <v>1800</v>
      </c>
      <c r="D541">
        <v>109.1</v>
      </c>
      <c r="E541">
        <v>1.218568760823E-2</v>
      </c>
      <c r="F541">
        <v>6.0606060606060552E-2</v>
      </c>
      <c r="G541">
        <v>6.9610375725068785E-2</v>
      </c>
      <c r="H541">
        <v>1.329458518057937</v>
      </c>
      <c r="I541">
        <v>4921.2731990000002</v>
      </c>
      <c r="J541">
        <v>21.417512552115522</v>
      </c>
      <c r="K541">
        <v>0.26589170361158743</v>
      </c>
      <c r="L541">
        <v>0.59898177150349907</v>
      </c>
      <c r="M541">
        <v>111.84</v>
      </c>
      <c r="N541">
        <v>84.09</v>
      </c>
    </row>
    <row r="542" spans="1:14" x14ac:dyDescent="0.25">
      <c r="A542" s="1" t="s">
        <v>554</v>
      </c>
      <c r="B542" t="str">
        <f>HYPERLINK("https://www.suredividend.com/sure-analysis-FCPT/","Four Corners Property Trust Inc")</f>
        <v>Four Corners Property Trust Inc</v>
      </c>
      <c r="C542" t="s">
        <v>1799</v>
      </c>
      <c r="D542">
        <v>22.32</v>
      </c>
      <c r="E542">
        <v>6.137992831541219E-2</v>
      </c>
      <c r="F542">
        <v>2.2556390977443549E-2</v>
      </c>
      <c r="G542">
        <v>3.4113513981932631E-2</v>
      </c>
      <c r="H542">
        <v>1.331243286391093</v>
      </c>
      <c r="I542">
        <v>2021.4296830000001</v>
      </c>
      <c r="J542">
        <v>21.555248858699709</v>
      </c>
      <c r="K542">
        <v>1.2326326725843451</v>
      </c>
      <c r="L542">
        <v>0.66635586313932105</v>
      </c>
      <c r="M542">
        <v>28.1</v>
      </c>
      <c r="N542">
        <v>20.51</v>
      </c>
    </row>
    <row r="543" spans="1:14" x14ac:dyDescent="0.25">
      <c r="A543" s="1" t="s">
        <v>555</v>
      </c>
      <c r="B543" t="str">
        <f>HYPERLINK("https://www.suredividend.com/sure-analysis-research-database/","Focus Universal Inc")</f>
        <v>Focus Universal Inc</v>
      </c>
      <c r="C543" t="s">
        <v>1803</v>
      </c>
      <c r="D543">
        <v>1.72</v>
      </c>
      <c r="E543">
        <v>0</v>
      </c>
      <c r="F543" t="s">
        <v>1797</v>
      </c>
      <c r="G543" t="s">
        <v>1797</v>
      </c>
      <c r="H543">
        <v>0</v>
      </c>
      <c r="I543">
        <v>111.49352500000001</v>
      </c>
      <c r="J543">
        <v>0</v>
      </c>
      <c r="K543" t="s">
        <v>1797</v>
      </c>
      <c r="L543">
        <v>1.9771659153953101</v>
      </c>
      <c r="M543">
        <v>9.6</v>
      </c>
      <c r="N543">
        <v>1.4</v>
      </c>
    </row>
    <row r="544" spans="1:14" x14ac:dyDescent="0.25">
      <c r="A544" s="1" t="s">
        <v>556</v>
      </c>
      <c r="B544" t="str">
        <f>HYPERLINK("https://www.suredividend.com/sure-analysis-research-database/","4D Molecular Therapeutics Inc")</f>
        <v>4D Molecular Therapeutics Inc</v>
      </c>
      <c r="C544" t="s">
        <v>1797</v>
      </c>
      <c r="D544">
        <v>11.6</v>
      </c>
      <c r="E544">
        <v>0</v>
      </c>
      <c r="F544" t="s">
        <v>1797</v>
      </c>
      <c r="G544" t="s">
        <v>1797</v>
      </c>
      <c r="H544">
        <v>0</v>
      </c>
      <c r="I544">
        <v>487.81456800000001</v>
      </c>
      <c r="J544" t="s">
        <v>1797</v>
      </c>
      <c r="K544">
        <v>0</v>
      </c>
      <c r="L544">
        <v>1.2666550886888199</v>
      </c>
      <c r="M544">
        <v>26.49</v>
      </c>
      <c r="N544">
        <v>7.86</v>
      </c>
    </row>
    <row r="545" spans="1:14" x14ac:dyDescent="0.25">
      <c r="A545" s="1" t="s">
        <v>557</v>
      </c>
      <c r="B545" t="str">
        <f>HYPERLINK("https://www.suredividend.com/sure-analysis-research-database/","Fresh Del Monte Produce Inc")</f>
        <v>Fresh Del Monte Produce Inc</v>
      </c>
      <c r="C545" t="s">
        <v>1804</v>
      </c>
      <c r="D545">
        <v>23</v>
      </c>
      <c r="E545">
        <v>3.0147516717039999E-2</v>
      </c>
      <c r="F545" t="s">
        <v>1797</v>
      </c>
      <c r="G545" t="s">
        <v>1797</v>
      </c>
      <c r="H545">
        <v>0.69339288449193004</v>
      </c>
      <c r="I545">
        <v>1106.9333280000001</v>
      </c>
      <c r="J545">
        <v>9.7613168253968237</v>
      </c>
      <c r="K545">
        <v>0.29506080191145961</v>
      </c>
      <c r="L545">
        <v>0.40787297883984802</v>
      </c>
      <c r="M545">
        <v>31.86</v>
      </c>
      <c r="N545">
        <v>21.41</v>
      </c>
    </row>
    <row r="546" spans="1:14" x14ac:dyDescent="0.25">
      <c r="A546" s="1" t="s">
        <v>558</v>
      </c>
      <c r="B546" t="str">
        <f>HYPERLINK("https://www.suredividend.com/sure-analysis-research-database/","5E Advanced Materials Inc")</f>
        <v>5E Advanced Materials Inc</v>
      </c>
      <c r="C546" t="s">
        <v>1797</v>
      </c>
      <c r="D546">
        <v>2.5299999999999998</v>
      </c>
      <c r="E546">
        <v>0</v>
      </c>
      <c r="F546" t="s">
        <v>1797</v>
      </c>
      <c r="G546" t="s">
        <v>1797</v>
      </c>
      <c r="H546">
        <v>0</v>
      </c>
      <c r="I546">
        <v>111.919747</v>
      </c>
      <c r="J546">
        <v>0</v>
      </c>
      <c r="K546" t="s">
        <v>1797</v>
      </c>
      <c r="L546">
        <v>1.571868631183821</v>
      </c>
      <c r="M546">
        <v>14.37</v>
      </c>
      <c r="N546">
        <v>2.17</v>
      </c>
    </row>
    <row r="547" spans="1:14" x14ac:dyDescent="0.25">
      <c r="A547" s="1" t="s">
        <v>559</v>
      </c>
      <c r="B547" t="str">
        <f>HYPERLINK("https://www.suredividend.com/sure-analysis-FELE/","Franklin Electric Co., Inc.")</f>
        <v>Franklin Electric Co., Inc.</v>
      </c>
      <c r="C547" t="s">
        <v>1798</v>
      </c>
      <c r="D547">
        <v>87.54</v>
      </c>
      <c r="E547">
        <v>1.028101439342015E-2</v>
      </c>
      <c r="F547">
        <v>0.15384615384615369</v>
      </c>
      <c r="G547">
        <v>9.1849810789540687E-2</v>
      </c>
      <c r="H547">
        <v>0.89341039775185405</v>
      </c>
      <c r="I547">
        <v>4038.0561499999999</v>
      </c>
      <c r="J547">
        <v>20.189876952660949</v>
      </c>
      <c r="K547">
        <v>0.20972075064597509</v>
      </c>
      <c r="L547">
        <v>1.0147155465064051</v>
      </c>
      <c r="M547">
        <v>106.31</v>
      </c>
      <c r="N547">
        <v>76.38</v>
      </c>
    </row>
    <row r="548" spans="1:14" x14ac:dyDescent="0.25">
      <c r="A548" s="1" t="s">
        <v>560</v>
      </c>
      <c r="B548" t="str">
        <f>HYPERLINK("https://www.suredividend.com/sure-analysis-research-database/","Futurefuel Corp")</f>
        <v>Futurefuel Corp</v>
      </c>
      <c r="C548" t="s">
        <v>1808</v>
      </c>
      <c r="D548">
        <v>6.74</v>
      </c>
      <c r="E548">
        <v>3.5209196641213997E-2</v>
      </c>
      <c r="F548">
        <v>0</v>
      </c>
      <c r="G548">
        <v>0</v>
      </c>
      <c r="H548">
        <v>0.23730998536178699</v>
      </c>
      <c r="I548">
        <v>294.96425799999997</v>
      </c>
      <c r="J548">
        <v>7.0338442308334326</v>
      </c>
      <c r="K548">
        <v>0.2476622681713494</v>
      </c>
      <c r="L548">
        <v>1.183243597461721</v>
      </c>
      <c r="M548">
        <v>10.220000000000001</v>
      </c>
      <c r="N548">
        <v>6.45</v>
      </c>
    </row>
    <row r="549" spans="1:14" x14ac:dyDescent="0.25">
      <c r="A549" s="1" t="s">
        <v>561</v>
      </c>
      <c r="B549" t="str">
        <f>HYPERLINK("https://www.suredividend.com/sure-analysis-research-database/","First Financial Bancorp")</f>
        <v>First Financial Bancorp</v>
      </c>
      <c r="C549" t="s">
        <v>1800</v>
      </c>
      <c r="D549">
        <v>20.09</v>
      </c>
      <c r="E549">
        <v>4.4421660848177003E-2</v>
      </c>
      <c r="F549">
        <v>0</v>
      </c>
      <c r="G549">
        <v>2.834672210021361E-2</v>
      </c>
      <c r="H549">
        <v>0.89243116643988907</v>
      </c>
      <c r="I549">
        <v>1911.0521490000001</v>
      </c>
      <c r="J549">
        <v>7.3259404404261268</v>
      </c>
      <c r="K549">
        <v>0.32452042415995969</v>
      </c>
      <c r="L549">
        <v>1.0902755444962611</v>
      </c>
      <c r="M549">
        <v>25.29</v>
      </c>
      <c r="N549">
        <v>17.190000000000001</v>
      </c>
    </row>
    <row r="550" spans="1:14" x14ac:dyDescent="0.25">
      <c r="A550" s="1" t="s">
        <v>562</v>
      </c>
      <c r="B550" t="str">
        <f>HYPERLINK("https://www.suredividend.com/sure-analysis-research-database/","Flushing Financial Corp.")</f>
        <v>Flushing Financial Corp.</v>
      </c>
      <c r="C550" t="s">
        <v>1800</v>
      </c>
      <c r="D550">
        <v>13.63</v>
      </c>
      <c r="E550">
        <v>6.1699921916328997E-2</v>
      </c>
      <c r="F550">
        <v>0</v>
      </c>
      <c r="G550">
        <v>1.9244876491456561E-2</v>
      </c>
      <c r="H550">
        <v>0.84096993571957002</v>
      </c>
      <c r="I550">
        <v>394.77844800000003</v>
      </c>
      <c r="J550">
        <v>8.3151514981991284</v>
      </c>
      <c r="K550">
        <v>0.53908329212792949</v>
      </c>
      <c r="L550">
        <v>1.0700583329821389</v>
      </c>
      <c r="M550">
        <v>19.64</v>
      </c>
      <c r="N550">
        <v>8.65</v>
      </c>
    </row>
    <row r="551" spans="1:14" x14ac:dyDescent="0.25">
      <c r="A551" s="1" t="s">
        <v>563</v>
      </c>
      <c r="B551" t="str">
        <f>HYPERLINK("https://www.suredividend.com/sure-analysis-research-database/","Faraday Future Intelligent Electric Inc")</f>
        <v>Faraday Future Intelligent Electric Inc</v>
      </c>
      <c r="C551" t="s">
        <v>1797</v>
      </c>
      <c r="D551">
        <v>1.1200000000000001</v>
      </c>
      <c r="E551">
        <v>0</v>
      </c>
      <c r="F551" t="s">
        <v>1797</v>
      </c>
      <c r="G551" t="s">
        <v>1797</v>
      </c>
      <c r="H551">
        <v>0</v>
      </c>
      <c r="I551">
        <v>736.47329500000001</v>
      </c>
      <c r="J551">
        <v>0</v>
      </c>
      <c r="K551" t="s">
        <v>1797</v>
      </c>
      <c r="L551">
        <v>1.8121506689972839</v>
      </c>
      <c r="M551">
        <v>105.6</v>
      </c>
      <c r="N551">
        <v>1.01</v>
      </c>
    </row>
    <row r="552" spans="1:14" x14ac:dyDescent="0.25">
      <c r="A552" s="1" t="s">
        <v>564</v>
      </c>
      <c r="B552" t="str">
        <f>HYPERLINK("https://www.suredividend.com/sure-analysis-FFIN/","First Financial Bankshares, Inc.")</f>
        <v>First Financial Bankshares, Inc.</v>
      </c>
      <c r="C552" t="s">
        <v>1800</v>
      </c>
      <c r="D552">
        <v>25.95</v>
      </c>
      <c r="E552">
        <v>2.774566473988439E-2</v>
      </c>
      <c r="F552">
        <v>5.8823529411764497E-2</v>
      </c>
      <c r="G552">
        <v>-3.035973390442093E-2</v>
      </c>
      <c r="H552">
        <v>0.69085849047080505</v>
      </c>
      <c r="I552">
        <v>3704.1340359999999</v>
      </c>
      <c r="J552">
        <v>16.726728544592461</v>
      </c>
      <c r="K552">
        <v>0.44571515514245491</v>
      </c>
      <c r="L552">
        <v>1.2534861217333599</v>
      </c>
      <c r="M552">
        <v>37.299999999999997</v>
      </c>
      <c r="N552">
        <v>22.84</v>
      </c>
    </row>
    <row r="553" spans="1:14" x14ac:dyDescent="0.25">
      <c r="A553" s="1" t="s">
        <v>565</v>
      </c>
      <c r="B553" t="str">
        <f>HYPERLINK("https://www.suredividend.com/sure-analysis-research-database/","First Foundation Inc")</f>
        <v>First Foundation Inc</v>
      </c>
      <c r="C553" t="s">
        <v>1800</v>
      </c>
      <c r="D553">
        <v>5.72</v>
      </c>
      <c r="E553">
        <v>2.6069565439429999E-2</v>
      </c>
      <c r="F553">
        <v>-0.90909090909090906</v>
      </c>
      <c r="G553">
        <v>-0.27522033632230453</v>
      </c>
      <c r="H553">
        <v>0.14911791431354399</v>
      </c>
      <c r="I553">
        <v>322.85838699999999</v>
      </c>
      <c r="J553">
        <v>0</v>
      </c>
      <c r="K553" t="s">
        <v>1797</v>
      </c>
      <c r="L553">
        <v>1.7870357741495679</v>
      </c>
      <c r="M553">
        <v>16.46</v>
      </c>
      <c r="N553">
        <v>3.68</v>
      </c>
    </row>
    <row r="554" spans="1:14" x14ac:dyDescent="0.25">
      <c r="A554" s="1" t="s">
        <v>566</v>
      </c>
      <c r="B554" t="str">
        <f>HYPERLINK("https://www.suredividend.com/sure-analysis-research-database/","First Guaranty Bancshares Inc")</f>
        <v>First Guaranty Bancshares Inc</v>
      </c>
      <c r="C554" t="s">
        <v>1800</v>
      </c>
      <c r="D554">
        <v>10.52</v>
      </c>
      <c r="E554">
        <v>5.8701818643678003E-2</v>
      </c>
      <c r="F554">
        <v>0</v>
      </c>
      <c r="G554">
        <v>0</v>
      </c>
      <c r="H554">
        <v>0.61754313213149503</v>
      </c>
      <c r="I554">
        <v>120.254993</v>
      </c>
      <c r="J554">
        <v>0</v>
      </c>
      <c r="K554" t="s">
        <v>1797</v>
      </c>
      <c r="L554">
        <v>0.64675924245460903</v>
      </c>
      <c r="M554">
        <v>23.46</v>
      </c>
      <c r="N554">
        <v>10.17</v>
      </c>
    </row>
    <row r="555" spans="1:14" x14ac:dyDescent="0.25">
      <c r="A555" s="1" t="s">
        <v>567</v>
      </c>
      <c r="B555" t="str">
        <f>HYPERLINK("https://www.suredividend.com/sure-analysis-research-database/","FibroGen Inc")</f>
        <v>FibroGen Inc</v>
      </c>
      <c r="C555" t="s">
        <v>1802</v>
      </c>
      <c r="D555">
        <v>0.64740000000000009</v>
      </c>
      <c r="E555">
        <v>0</v>
      </c>
      <c r="F555" t="s">
        <v>1797</v>
      </c>
      <c r="G555" t="s">
        <v>1797</v>
      </c>
      <c r="H555">
        <v>0</v>
      </c>
      <c r="I555">
        <v>63.581263</v>
      </c>
      <c r="J555" t="s">
        <v>1797</v>
      </c>
      <c r="K555">
        <v>0</v>
      </c>
      <c r="L555">
        <v>1.405261169326657</v>
      </c>
      <c r="M555">
        <v>25.69</v>
      </c>
      <c r="N555">
        <v>0.4748</v>
      </c>
    </row>
    <row r="556" spans="1:14" x14ac:dyDescent="0.25">
      <c r="A556" s="1" t="s">
        <v>568</v>
      </c>
      <c r="B556" t="str">
        <f>HYPERLINK("https://www.suredividend.com/sure-analysis-research-database/","Federated Hermes Inc")</f>
        <v>Federated Hermes Inc</v>
      </c>
      <c r="C556" t="s">
        <v>1800</v>
      </c>
      <c r="D556">
        <v>32.74</v>
      </c>
      <c r="E556">
        <v>3.3214065669808002E-2</v>
      </c>
      <c r="F556">
        <v>-0.87037037037037035</v>
      </c>
      <c r="G556">
        <v>-0.33542981092151208</v>
      </c>
      <c r="H556">
        <v>1.0874285100295431</v>
      </c>
      <c r="I556">
        <v>2823.6891289999999</v>
      </c>
      <c r="J556">
        <v>10.83155586115363</v>
      </c>
      <c r="K556">
        <v>0.35306120455504653</v>
      </c>
      <c r="L556">
        <v>0.61729596016555299</v>
      </c>
      <c r="M556">
        <v>44.84</v>
      </c>
      <c r="N556">
        <v>30.23</v>
      </c>
    </row>
    <row r="557" spans="1:14" x14ac:dyDescent="0.25">
      <c r="A557" s="1" t="s">
        <v>569</v>
      </c>
      <c r="B557" t="str">
        <f>HYPERLINK("https://www.suredividend.com/sure-analysis-research-database/","Foghorn Therapeutics Inc")</f>
        <v>Foghorn Therapeutics Inc</v>
      </c>
      <c r="C557" t="s">
        <v>1797</v>
      </c>
      <c r="D557">
        <v>3.83</v>
      </c>
      <c r="E557">
        <v>0</v>
      </c>
      <c r="F557" t="s">
        <v>1797</v>
      </c>
      <c r="G557" t="s">
        <v>1797</v>
      </c>
      <c r="H557">
        <v>0</v>
      </c>
      <c r="I557">
        <v>160.33212599999999</v>
      </c>
      <c r="J557" t="s">
        <v>1797</v>
      </c>
      <c r="K557">
        <v>0</v>
      </c>
      <c r="L557">
        <v>1.2100947091772549</v>
      </c>
      <c r="M557">
        <v>9.9700000000000006</v>
      </c>
      <c r="N557">
        <v>2.84</v>
      </c>
    </row>
    <row r="558" spans="1:14" x14ac:dyDescent="0.25">
      <c r="A558" s="1" t="s">
        <v>570</v>
      </c>
      <c r="B558" t="str">
        <f>HYPERLINK("https://www.suredividend.com/sure-analysis-research-database/","First Interstate BancSystem Inc.")</f>
        <v>First Interstate BancSystem Inc.</v>
      </c>
      <c r="C558" t="s">
        <v>1800</v>
      </c>
      <c r="D558">
        <v>24.78</v>
      </c>
      <c r="E558">
        <v>8.8586330124966001E-2</v>
      </c>
      <c r="F558">
        <v>0</v>
      </c>
      <c r="G558">
        <v>8.6794001831422829E-2</v>
      </c>
      <c r="H558">
        <v>2.1951692604966699</v>
      </c>
      <c r="I558">
        <v>2602.353697</v>
      </c>
      <c r="J558">
        <v>8.8275227171641788</v>
      </c>
      <c r="K558">
        <v>0.78119902508778283</v>
      </c>
      <c r="L558">
        <v>1.034243202151528</v>
      </c>
      <c r="M558">
        <v>40.89</v>
      </c>
      <c r="N558">
        <v>19.59</v>
      </c>
    </row>
    <row r="559" spans="1:14" x14ac:dyDescent="0.25">
      <c r="A559" s="1" t="s">
        <v>571</v>
      </c>
      <c r="B559" t="str">
        <f>HYPERLINK("https://www.suredividend.com/sure-analysis-research-database/","Figs Inc")</f>
        <v>Figs Inc</v>
      </c>
      <c r="C559" t="s">
        <v>1797</v>
      </c>
      <c r="D559">
        <v>6.81</v>
      </c>
      <c r="E559">
        <v>0</v>
      </c>
      <c r="F559" t="s">
        <v>1797</v>
      </c>
      <c r="G559" t="s">
        <v>1797</v>
      </c>
      <c r="H559">
        <v>0</v>
      </c>
      <c r="I559">
        <v>1094.4895799999999</v>
      </c>
      <c r="J559">
        <v>68.286098078362855</v>
      </c>
      <c r="K559">
        <v>0</v>
      </c>
      <c r="L559">
        <v>1.924116003563094</v>
      </c>
      <c r="M559">
        <v>10.199999999999999</v>
      </c>
      <c r="N559">
        <v>5.16</v>
      </c>
    </row>
    <row r="560" spans="1:14" x14ac:dyDescent="0.25">
      <c r="A560" s="1" t="s">
        <v>572</v>
      </c>
      <c r="B560" t="str">
        <f>HYPERLINK("https://www.suredividend.com/sure-analysis-FISI/","Financial Institutions Inc.")</f>
        <v>Financial Institutions Inc.</v>
      </c>
      <c r="C560" t="s">
        <v>1800</v>
      </c>
      <c r="D560">
        <v>17.28</v>
      </c>
      <c r="E560">
        <v>6.9444444444444434E-2</v>
      </c>
      <c r="F560">
        <v>3.4482758620689953E-2</v>
      </c>
      <c r="G560">
        <v>4.5639552591273169E-2</v>
      </c>
      <c r="H560">
        <v>1.136467119680715</v>
      </c>
      <c r="I560">
        <v>266.14310399999999</v>
      </c>
      <c r="J560">
        <v>5.2240235543516667</v>
      </c>
      <c r="K560">
        <v>0.34334354068903777</v>
      </c>
      <c r="L560">
        <v>0.89626441747416008</v>
      </c>
      <c r="M560">
        <v>23.78</v>
      </c>
      <c r="N560">
        <v>12.91</v>
      </c>
    </row>
    <row r="561" spans="1:14" x14ac:dyDescent="0.25">
      <c r="A561" s="1" t="s">
        <v>573</v>
      </c>
      <c r="B561" t="str">
        <f>HYPERLINK("https://www.suredividend.com/sure-analysis-research-database/","Comfort Systems USA, Inc.")</f>
        <v>Comfort Systems USA, Inc.</v>
      </c>
      <c r="C561" t="s">
        <v>1798</v>
      </c>
      <c r="D561">
        <v>187.81</v>
      </c>
      <c r="E561">
        <v>3.9866514902860001E-3</v>
      </c>
      <c r="F561">
        <v>0.60714285714285698</v>
      </c>
      <c r="G561">
        <v>0.20112443398143129</v>
      </c>
      <c r="H561">
        <v>0.74873301639078105</v>
      </c>
      <c r="I561">
        <v>6707.5994049999999</v>
      </c>
      <c r="J561">
        <v>23.351817481313599</v>
      </c>
      <c r="K561">
        <v>9.3591627048847631E-2</v>
      </c>
      <c r="L561">
        <v>1.040385182412612</v>
      </c>
      <c r="M561">
        <v>192.33</v>
      </c>
      <c r="N561">
        <v>110.86</v>
      </c>
    </row>
    <row r="562" spans="1:14" x14ac:dyDescent="0.25">
      <c r="A562" s="1" t="s">
        <v>574</v>
      </c>
      <c r="B562" t="str">
        <f>HYPERLINK("https://www.suredividend.com/sure-analysis-research-database/","National Beverage Corp.")</f>
        <v>National Beverage Corp.</v>
      </c>
      <c r="C562" t="s">
        <v>1804</v>
      </c>
      <c r="D562">
        <v>49.04</v>
      </c>
      <c r="E562">
        <v>0</v>
      </c>
      <c r="F562" t="s">
        <v>1797</v>
      </c>
      <c r="G562" t="s">
        <v>1797</v>
      </c>
      <c r="H562">
        <v>0</v>
      </c>
      <c r="I562">
        <v>4578.0873199999996</v>
      </c>
      <c r="J562">
        <v>29.282704599817059</v>
      </c>
      <c r="K562">
        <v>0</v>
      </c>
      <c r="L562">
        <v>0.670405287407283</v>
      </c>
      <c r="M562">
        <v>55.12</v>
      </c>
      <c r="N562">
        <v>42.09</v>
      </c>
    </row>
    <row r="563" spans="1:14" x14ac:dyDescent="0.25">
      <c r="A563" s="1" t="s">
        <v>575</v>
      </c>
      <c r="B563" t="str">
        <f>HYPERLINK("https://www.suredividend.com/sure-analysis-research-database/","Foot Locker Inc")</f>
        <v>Foot Locker Inc</v>
      </c>
      <c r="C563" t="s">
        <v>1801</v>
      </c>
      <c r="D563">
        <v>22.9</v>
      </c>
      <c r="E563">
        <v>6.817254147535301E-2</v>
      </c>
      <c r="F563" t="s">
        <v>1797</v>
      </c>
      <c r="G563" t="s">
        <v>1797</v>
      </c>
      <c r="H563">
        <v>1.5611511997855929</v>
      </c>
      <c r="I563">
        <v>2156.2445349999998</v>
      </c>
      <c r="J563">
        <v>14.76879818493151</v>
      </c>
      <c r="K563">
        <v>1.0137345453153199</v>
      </c>
      <c r="L563">
        <v>1.2644432473854459</v>
      </c>
      <c r="M563">
        <v>45.15</v>
      </c>
      <c r="N563">
        <v>14.56</v>
      </c>
    </row>
    <row r="564" spans="1:14" x14ac:dyDescent="0.25">
      <c r="A564" s="1" t="s">
        <v>576</v>
      </c>
      <c r="B564" t="str">
        <f>HYPERLINK("https://www.suredividend.com/sure-analysis-research-database/","Fulgent Genetics Inc")</f>
        <v>Fulgent Genetics Inc</v>
      </c>
      <c r="C564" t="s">
        <v>1802</v>
      </c>
      <c r="D564">
        <v>26.94</v>
      </c>
      <c r="E564">
        <v>0</v>
      </c>
      <c r="F564" t="s">
        <v>1797</v>
      </c>
      <c r="G564" t="s">
        <v>1797</v>
      </c>
      <c r="H564">
        <v>0</v>
      </c>
      <c r="I564">
        <v>806.22923100000003</v>
      </c>
      <c r="J564" t="s">
        <v>1797</v>
      </c>
      <c r="K564">
        <v>0</v>
      </c>
      <c r="L564">
        <v>1.245085416550842</v>
      </c>
      <c r="M564">
        <v>44.09</v>
      </c>
      <c r="N564">
        <v>23.09</v>
      </c>
    </row>
    <row r="565" spans="1:14" x14ac:dyDescent="0.25">
      <c r="A565" s="1" t="s">
        <v>577</v>
      </c>
      <c r="B565" t="str">
        <f>HYPERLINK("https://www.suredividend.com/sure-analysis-FLIC/","First Of Long Island Corp.")</f>
        <v>First Of Long Island Corp.</v>
      </c>
      <c r="C565" t="s">
        <v>1800</v>
      </c>
      <c r="D565">
        <v>11.59</v>
      </c>
      <c r="E565">
        <v>7.2476272648835202E-2</v>
      </c>
      <c r="F565">
        <v>0</v>
      </c>
      <c r="G565">
        <v>4.3167563810134979E-2</v>
      </c>
      <c r="H565">
        <v>0.81165299490292309</v>
      </c>
      <c r="I565">
        <v>261.79990400000003</v>
      </c>
      <c r="J565">
        <v>8.7022970249966747</v>
      </c>
      <c r="K565">
        <v>0.61026540970144594</v>
      </c>
      <c r="L565">
        <v>1.005698224666574</v>
      </c>
      <c r="M565">
        <v>18.07</v>
      </c>
      <c r="N565">
        <v>8.34</v>
      </c>
    </row>
    <row r="566" spans="1:14" x14ac:dyDescent="0.25">
      <c r="A566" s="1" t="s">
        <v>578</v>
      </c>
      <c r="B566" t="str">
        <f>HYPERLINK("https://www.suredividend.com/sure-analysis-research-database/","Full House Resorts, Inc.")</f>
        <v>Full House Resorts, Inc.</v>
      </c>
      <c r="C566" t="s">
        <v>1801</v>
      </c>
      <c r="D566">
        <v>3.93</v>
      </c>
      <c r="E566">
        <v>0</v>
      </c>
      <c r="F566" t="s">
        <v>1797</v>
      </c>
      <c r="G566" t="s">
        <v>1797</v>
      </c>
      <c r="H566">
        <v>0</v>
      </c>
      <c r="I566">
        <v>135.89031399999999</v>
      </c>
      <c r="J566">
        <v>0</v>
      </c>
      <c r="K566" t="s">
        <v>1797</v>
      </c>
      <c r="L566">
        <v>1.5676930735641059</v>
      </c>
      <c r="M566">
        <v>10.130000000000001</v>
      </c>
      <c r="N566">
        <v>3.4</v>
      </c>
    </row>
    <row r="567" spans="1:14" x14ac:dyDescent="0.25">
      <c r="A567" s="1" t="s">
        <v>579</v>
      </c>
      <c r="B567" t="str">
        <f>HYPERLINK("https://www.suredividend.com/sure-analysis-research-database/","Fluence Energy Inc")</f>
        <v>Fluence Energy Inc</v>
      </c>
      <c r="C567" t="s">
        <v>1797</v>
      </c>
      <c r="D567">
        <v>19.010000000000002</v>
      </c>
      <c r="E567">
        <v>0</v>
      </c>
      <c r="F567" t="s">
        <v>1797</v>
      </c>
      <c r="G567" t="s">
        <v>1797</v>
      </c>
      <c r="H567">
        <v>0</v>
      </c>
      <c r="I567">
        <v>2252.81961</v>
      </c>
      <c r="J567" t="s">
        <v>1797</v>
      </c>
      <c r="K567">
        <v>0</v>
      </c>
      <c r="L567">
        <v>2.5759102374359402</v>
      </c>
      <c r="M567">
        <v>31.32</v>
      </c>
      <c r="N567">
        <v>12.6</v>
      </c>
    </row>
    <row r="568" spans="1:14" x14ac:dyDescent="0.25">
      <c r="A568" s="1" t="s">
        <v>580</v>
      </c>
      <c r="B568" t="str">
        <f>HYPERLINK("https://www.suredividend.com/sure-analysis-research-database/","Flex Lng Ltd")</f>
        <v>Flex Lng Ltd</v>
      </c>
      <c r="C568" t="s">
        <v>1807</v>
      </c>
      <c r="D568">
        <v>31.1</v>
      </c>
      <c r="E568">
        <v>9.3453649938812014E-2</v>
      </c>
      <c r="F568" t="s">
        <v>1797</v>
      </c>
      <c r="G568" t="s">
        <v>1797</v>
      </c>
      <c r="H568">
        <v>2.9064085130970718</v>
      </c>
      <c r="I568">
        <v>1695.5821080000001</v>
      </c>
      <c r="J568">
        <v>0</v>
      </c>
      <c r="K568" t="s">
        <v>1797</v>
      </c>
      <c r="L568">
        <v>0.88960552548448402</v>
      </c>
      <c r="M568">
        <v>36.18</v>
      </c>
      <c r="N568">
        <v>27.54</v>
      </c>
    </row>
    <row r="569" spans="1:14" x14ac:dyDescent="0.25">
      <c r="A569" s="1" t="s">
        <v>581</v>
      </c>
      <c r="B569" t="str">
        <f>HYPERLINK("https://www.suredividend.com/sure-analysis-research-database/","Fluor Corporation")</f>
        <v>Fluor Corporation</v>
      </c>
      <c r="C569" t="s">
        <v>1798</v>
      </c>
      <c r="D569">
        <v>36.659999999999997</v>
      </c>
      <c r="E569">
        <v>0</v>
      </c>
      <c r="F569" t="s">
        <v>1797</v>
      </c>
      <c r="G569" t="s">
        <v>1797</v>
      </c>
      <c r="H569">
        <v>0</v>
      </c>
      <c r="I569">
        <v>5255.8834909999996</v>
      </c>
      <c r="J569" t="s">
        <v>1797</v>
      </c>
      <c r="K569">
        <v>0</v>
      </c>
      <c r="L569">
        <v>1.079559171308794</v>
      </c>
      <c r="M569">
        <v>38.869999999999997</v>
      </c>
      <c r="N569">
        <v>25.69</v>
      </c>
    </row>
    <row r="570" spans="1:14" x14ac:dyDescent="0.25">
      <c r="A570" s="1" t="s">
        <v>582</v>
      </c>
      <c r="B570" t="str">
        <f>HYPERLINK("https://www.suredividend.com/sure-analysis-research-database/","1-800 Flowers.com Inc.")</f>
        <v>1-800 Flowers.com Inc.</v>
      </c>
      <c r="C570" t="s">
        <v>1801</v>
      </c>
      <c r="D570">
        <v>8.8000000000000007</v>
      </c>
      <c r="E570">
        <v>0</v>
      </c>
      <c r="F570" t="s">
        <v>1797</v>
      </c>
      <c r="G570" t="s">
        <v>1797</v>
      </c>
      <c r="H570">
        <v>0</v>
      </c>
      <c r="I570">
        <v>332.05206299999998</v>
      </c>
      <c r="J570" t="s">
        <v>1797</v>
      </c>
      <c r="K570">
        <v>0</v>
      </c>
      <c r="L570">
        <v>2.0324504470462701</v>
      </c>
      <c r="M570">
        <v>13.29</v>
      </c>
      <c r="N570">
        <v>5.98</v>
      </c>
    </row>
    <row r="571" spans="1:14" x14ac:dyDescent="0.25">
      <c r="A571" s="1" t="s">
        <v>583</v>
      </c>
      <c r="B571" t="str">
        <f>HYPERLINK("https://www.suredividend.com/sure-analysis-research-database/","Flywire Corp")</f>
        <v>Flywire Corp</v>
      </c>
      <c r="C571" t="s">
        <v>1797</v>
      </c>
      <c r="D571">
        <v>28.47</v>
      </c>
      <c r="E571">
        <v>0</v>
      </c>
      <c r="F571" t="s">
        <v>1797</v>
      </c>
      <c r="G571" t="s">
        <v>1797</v>
      </c>
      <c r="H571">
        <v>0</v>
      </c>
      <c r="I571">
        <v>3371.1744939999999</v>
      </c>
      <c r="J571" t="s">
        <v>1797</v>
      </c>
      <c r="K571">
        <v>0</v>
      </c>
      <c r="L571">
        <v>1.789774173365595</v>
      </c>
      <c r="M571">
        <v>35.799999999999997</v>
      </c>
      <c r="N571">
        <v>17.16</v>
      </c>
    </row>
    <row r="572" spans="1:14" x14ac:dyDescent="0.25">
      <c r="A572" s="1" t="s">
        <v>584</v>
      </c>
      <c r="B572" t="str">
        <f>HYPERLINK("https://www.suredividend.com/sure-analysis-FMAO/","Farmers &amp; Merchants Bancorp Inc.")</f>
        <v>Farmers &amp; Merchants Bancorp Inc.</v>
      </c>
      <c r="C572" t="s">
        <v>1800</v>
      </c>
      <c r="D572">
        <v>18.829999999999998</v>
      </c>
      <c r="E572">
        <v>4.4609665427509299E-2</v>
      </c>
      <c r="F572">
        <v>0</v>
      </c>
      <c r="G572">
        <v>6.9610375725068785E-2</v>
      </c>
      <c r="H572">
        <v>0.81605962439537905</v>
      </c>
      <c r="I572">
        <v>257.33420699999999</v>
      </c>
      <c r="J572">
        <v>0</v>
      </c>
      <c r="K572" t="s">
        <v>1797</v>
      </c>
      <c r="L572">
        <v>1.0665120890333519</v>
      </c>
      <c r="M572">
        <v>29.07</v>
      </c>
      <c r="N572">
        <v>16.61</v>
      </c>
    </row>
    <row r="573" spans="1:14" x14ac:dyDescent="0.25">
      <c r="A573" s="1" t="s">
        <v>585</v>
      </c>
      <c r="B573" t="str">
        <f>HYPERLINK("https://www.suredividend.com/sure-analysis-FMBH/","First Mid Bancshares Inc.")</f>
        <v>First Mid Bancshares Inc.</v>
      </c>
      <c r="C573" t="s">
        <v>1800</v>
      </c>
      <c r="D573">
        <v>29.86</v>
      </c>
      <c r="E573">
        <v>3.0810448760884131E-2</v>
      </c>
      <c r="F573" t="s">
        <v>1797</v>
      </c>
      <c r="G573" t="s">
        <v>1797</v>
      </c>
      <c r="H573">
        <v>0.89876740854966208</v>
      </c>
      <c r="I573">
        <v>613.31890599999997</v>
      </c>
      <c r="J573">
        <v>0</v>
      </c>
      <c r="K573" t="s">
        <v>1797</v>
      </c>
      <c r="L573">
        <v>0.96851444665356112</v>
      </c>
      <c r="M573">
        <v>34.35</v>
      </c>
      <c r="N573">
        <v>21.01</v>
      </c>
    </row>
    <row r="574" spans="1:14" x14ac:dyDescent="0.25">
      <c r="A574" s="1" t="s">
        <v>586</v>
      </c>
      <c r="B574" t="str">
        <f>HYPERLINK("https://www.suredividend.com/sure-analysis-research-database/","Farmers National Banc Corp.")</f>
        <v>Farmers National Banc Corp.</v>
      </c>
      <c r="C574" t="s">
        <v>1800</v>
      </c>
      <c r="D574">
        <v>12.16</v>
      </c>
      <c r="E574">
        <v>5.3908694126146003E-2</v>
      </c>
      <c r="F574">
        <v>6.25E-2</v>
      </c>
      <c r="G574">
        <v>0.16271101521949821</v>
      </c>
      <c r="H574">
        <v>0.6555297205739361</v>
      </c>
      <c r="I574">
        <v>455.850189</v>
      </c>
      <c r="J574">
        <v>0</v>
      </c>
      <c r="K574" t="s">
        <v>1797</v>
      </c>
      <c r="L574">
        <v>0.95999248121148006</v>
      </c>
      <c r="M574">
        <v>14.31</v>
      </c>
      <c r="N574">
        <v>10.25</v>
      </c>
    </row>
    <row r="575" spans="1:14" x14ac:dyDescent="0.25">
      <c r="A575" s="1" t="s">
        <v>587</v>
      </c>
      <c r="B575" t="str">
        <f>HYPERLINK("https://www.suredividend.com/sure-analysis-research-database/","Fabrinet")</f>
        <v>Fabrinet</v>
      </c>
      <c r="C575" t="s">
        <v>1803</v>
      </c>
      <c r="D575">
        <v>162.52000000000001</v>
      </c>
      <c r="E575">
        <v>0</v>
      </c>
      <c r="F575" t="s">
        <v>1797</v>
      </c>
      <c r="G575" t="s">
        <v>1797</v>
      </c>
      <c r="H575">
        <v>0</v>
      </c>
      <c r="I575">
        <v>5904.4910419999997</v>
      </c>
      <c r="J575">
        <v>23.81678670404537</v>
      </c>
      <c r="K575">
        <v>0</v>
      </c>
      <c r="L575">
        <v>1.164320827040358</v>
      </c>
      <c r="M575">
        <v>183.74</v>
      </c>
      <c r="N575">
        <v>90.19</v>
      </c>
    </row>
    <row r="576" spans="1:14" x14ac:dyDescent="0.25">
      <c r="A576" s="1" t="s">
        <v>588</v>
      </c>
      <c r="B576" t="str">
        <f>HYPERLINK("https://www.suredividend.com/sure-analysis-research-database/","Paragon 28 Inc")</f>
        <v>Paragon 28 Inc</v>
      </c>
      <c r="C576" t="s">
        <v>1797</v>
      </c>
      <c r="D576">
        <v>10.16</v>
      </c>
      <c r="E576">
        <v>0</v>
      </c>
      <c r="F576" t="s">
        <v>1797</v>
      </c>
      <c r="G576" t="s">
        <v>1797</v>
      </c>
      <c r="H576">
        <v>0</v>
      </c>
      <c r="I576">
        <v>838.65799200000004</v>
      </c>
      <c r="J576" t="s">
        <v>1797</v>
      </c>
      <c r="K576">
        <v>0</v>
      </c>
      <c r="L576">
        <v>1.13797515060131</v>
      </c>
      <c r="M576">
        <v>21.49</v>
      </c>
      <c r="N576">
        <v>7.95</v>
      </c>
    </row>
    <row r="577" spans="1:14" x14ac:dyDescent="0.25">
      <c r="A577" s="1" t="s">
        <v>589</v>
      </c>
      <c r="B577" t="str">
        <f>HYPERLINK("https://www.suredividend.com/sure-analysis-research-database/","Funko Inc")</f>
        <v>Funko Inc</v>
      </c>
      <c r="C577" t="s">
        <v>1801</v>
      </c>
      <c r="D577">
        <v>8.75</v>
      </c>
      <c r="E577">
        <v>0</v>
      </c>
      <c r="F577" t="s">
        <v>1797</v>
      </c>
      <c r="G577" t="s">
        <v>1797</v>
      </c>
      <c r="H577">
        <v>0</v>
      </c>
      <c r="I577">
        <v>424.44493899999998</v>
      </c>
      <c r="J577" t="s">
        <v>1797</v>
      </c>
      <c r="K577">
        <v>0</v>
      </c>
      <c r="L577">
        <v>1.3938510183237109</v>
      </c>
      <c r="M577">
        <v>13.42</v>
      </c>
      <c r="N577">
        <v>5.27</v>
      </c>
    </row>
    <row r="578" spans="1:14" x14ac:dyDescent="0.25">
      <c r="A578" s="1" t="s">
        <v>590</v>
      </c>
      <c r="B578" t="str">
        <f>HYPERLINK("https://www.suredividend.com/sure-analysis-research-database/","First Bancorp Inc (ME)")</f>
        <v>First Bancorp Inc (ME)</v>
      </c>
      <c r="C578" t="s">
        <v>1800</v>
      </c>
      <c r="D578">
        <v>24.78</v>
      </c>
      <c r="E578">
        <v>6.6002325889090011E-2</v>
      </c>
      <c r="F578">
        <v>2.941176470588247E-2</v>
      </c>
      <c r="G578">
        <v>3.8326670088616899E-2</v>
      </c>
      <c r="H578">
        <v>1.635537635531672</v>
      </c>
      <c r="I578">
        <v>274.711253</v>
      </c>
      <c r="J578">
        <v>7.9274883404034284</v>
      </c>
      <c r="K578">
        <v>0.52253598579286642</v>
      </c>
      <c r="L578">
        <v>0.71240842979896501</v>
      </c>
      <c r="M578">
        <v>29.13</v>
      </c>
      <c r="N578">
        <v>21.23</v>
      </c>
    </row>
    <row r="579" spans="1:14" x14ac:dyDescent="0.25">
      <c r="A579" s="1" t="s">
        <v>591</v>
      </c>
      <c r="B579" t="str">
        <f>HYPERLINK("https://www.suredividend.com/sure-analysis-research-database/","Finance of America Companies Inc")</f>
        <v>Finance of America Companies Inc</v>
      </c>
      <c r="C579" t="s">
        <v>1797</v>
      </c>
      <c r="D579">
        <v>1.06</v>
      </c>
      <c r="E579">
        <v>0</v>
      </c>
      <c r="F579" t="s">
        <v>1797</v>
      </c>
      <c r="G579" t="s">
        <v>1797</v>
      </c>
      <c r="H579">
        <v>0</v>
      </c>
      <c r="I579">
        <v>93.042884000000001</v>
      </c>
      <c r="J579">
        <v>0</v>
      </c>
      <c r="K579" t="s">
        <v>1797</v>
      </c>
      <c r="L579">
        <v>1.029308933708881</v>
      </c>
      <c r="M579">
        <v>2.25</v>
      </c>
      <c r="N579">
        <v>1</v>
      </c>
    </row>
    <row r="580" spans="1:14" x14ac:dyDescent="0.25">
      <c r="A580" s="1" t="s">
        <v>592</v>
      </c>
      <c r="B580" t="str">
        <f>HYPERLINK("https://www.suredividend.com/sure-analysis-research-database/","Focus Financial Partners Inc")</f>
        <v>Focus Financial Partners Inc</v>
      </c>
      <c r="C580" t="s">
        <v>1800</v>
      </c>
      <c r="D580">
        <v>52.99</v>
      </c>
      <c r="E580">
        <v>0</v>
      </c>
      <c r="F580" t="s">
        <v>1797</v>
      </c>
      <c r="G580" t="s">
        <v>1797</v>
      </c>
      <c r="H580">
        <v>0</v>
      </c>
      <c r="I580">
        <v>0</v>
      </c>
      <c r="J580">
        <v>0</v>
      </c>
      <c r="K580" t="s">
        <v>1797</v>
      </c>
    </row>
    <row r="581" spans="1:14" x14ac:dyDescent="0.25">
      <c r="A581" s="1" t="s">
        <v>593</v>
      </c>
      <c r="B581" t="str">
        <f>HYPERLINK("https://www.suredividend.com/sure-analysis-research-database/","Amicus Therapeutics Inc")</f>
        <v>Amicus Therapeutics Inc</v>
      </c>
      <c r="C581" t="s">
        <v>1802</v>
      </c>
      <c r="D581">
        <v>11.58</v>
      </c>
      <c r="E581">
        <v>0</v>
      </c>
      <c r="F581" t="s">
        <v>1797</v>
      </c>
      <c r="G581" t="s">
        <v>1797</v>
      </c>
      <c r="H581">
        <v>0</v>
      </c>
      <c r="I581">
        <v>3324.8604500000001</v>
      </c>
      <c r="J581" t="s">
        <v>1797</v>
      </c>
      <c r="K581">
        <v>0</v>
      </c>
      <c r="L581">
        <v>0.75199337949787903</v>
      </c>
      <c r="M581">
        <v>14.1</v>
      </c>
      <c r="N581">
        <v>9.1</v>
      </c>
    </row>
    <row r="582" spans="1:14" x14ac:dyDescent="0.25">
      <c r="A582" s="1" t="s">
        <v>594</v>
      </c>
      <c r="B582" t="str">
        <f>HYPERLINK("https://www.suredividend.com/sure-analysis-research-database/","Forestar Group Inc")</f>
        <v>Forestar Group Inc</v>
      </c>
      <c r="C582" t="s">
        <v>1799</v>
      </c>
      <c r="D582">
        <v>26.46</v>
      </c>
      <c r="E582">
        <v>0</v>
      </c>
      <c r="F582" t="s">
        <v>1797</v>
      </c>
      <c r="G582" t="s">
        <v>1797</v>
      </c>
      <c r="H582">
        <v>0</v>
      </c>
      <c r="I582">
        <v>1320.4522460000001</v>
      </c>
      <c r="J582">
        <v>9.087764941362698</v>
      </c>
      <c r="K582">
        <v>0</v>
      </c>
      <c r="L582">
        <v>0.88586223123416508</v>
      </c>
      <c r="M582">
        <v>31.43</v>
      </c>
      <c r="N582">
        <v>11.24</v>
      </c>
    </row>
    <row r="583" spans="1:14" x14ac:dyDescent="0.25">
      <c r="A583" s="1" t="s">
        <v>595</v>
      </c>
      <c r="B583" t="str">
        <f>HYPERLINK("https://www.suredividend.com/sure-analysis-research-database/","ForgeRock Inc")</f>
        <v>ForgeRock Inc</v>
      </c>
      <c r="C583" t="s">
        <v>1797</v>
      </c>
      <c r="D583">
        <v>23.21</v>
      </c>
      <c r="E583">
        <v>0</v>
      </c>
      <c r="F583" t="s">
        <v>1797</v>
      </c>
      <c r="G583" t="s">
        <v>1797</v>
      </c>
      <c r="H583">
        <v>0</v>
      </c>
      <c r="I583">
        <v>1226.7116779999999</v>
      </c>
      <c r="J583" t="s">
        <v>1797</v>
      </c>
      <c r="K583">
        <v>0</v>
      </c>
      <c r="L583">
        <v>0.21475279550132501</v>
      </c>
      <c r="M583">
        <v>23.8</v>
      </c>
      <c r="N583">
        <v>14.13</v>
      </c>
    </row>
    <row r="584" spans="1:14" x14ac:dyDescent="0.25">
      <c r="A584" s="1" t="s">
        <v>596</v>
      </c>
      <c r="B584" t="str">
        <f>HYPERLINK("https://www.suredividend.com/sure-analysis-research-database/","FormFactor Inc.")</f>
        <v>FormFactor Inc.</v>
      </c>
      <c r="C584" t="s">
        <v>1803</v>
      </c>
      <c r="D584">
        <v>33.67</v>
      </c>
      <c r="E584">
        <v>0</v>
      </c>
      <c r="F584" t="s">
        <v>1797</v>
      </c>
      <c r="G584" t="s">
        <v>1797</v>
      </c>
      <c r="H584">
        <v>0</v>
      </c>
      <c r="I584">
        <v>2614.6899109999999</v>
      </c>
      <c r="J584" t="s">
        <v>1797</v>
      </c>
      <c r="K584">
        <v>0</v>
      </c>
      <c r="L584">
        <v>1.5587753552263139</v>
      </c>
      <c r="M584">
        <v>37.74</v>
      </c>
      <c r="N584">
        <v>18.760000000000002</v>
      </c>
    </row>
    <row r="585" spans="1:14" x14ac:dyDescent="0.25">
      <c r="A585" s="1" t="s">
        <v>597</v>
      </c>
      <c r="B585" t="str">
        <f>HYPERLINK("https://www.suredividend.com/sure-analysis-research-database/","Forrester Research Inc.")</f>
        <v>Forrester Research Inc.</v>
      </c>
      <c r="C585" t="s">
        <v>1798</v>
      </c>
      <c r="D585">
        <v>23.54</v>
      </c>
      <c r="E585">
        <v>0</v>
      </c>
      <c r="F585" t="s">
        <v>1797</v>
      </c>
      <c r="G585" t="s">
        <v>1797</v>
      </c>
      <c r="H585">
        <v>0</v>
      </c>
      <c r="I585">
        <v>454.23483099999999</v>
      </c>
      <c r="J585">
        <v>90.611376696588877</v>
      </c>
      <c r="K585">
        <v>0</v>
      </c>
      <c r="L585">
        <v>0.84859558746709607</v>
      </c>
      <c r="M585">
        <v>39.090000000000003</v>
      </c>
      <c r="N585">
        <v>22.27</v>
      </c>
    </row>
    <row r="586" spans="1:14" x14ac:dyDescent="0.25">
      <c r="A586" s="1" t="s">
        <v>598</v>
      </c>
      <c r="B586" t="str">
        <f>HYPERLINK("https://www.suredividend.com/sure-analysis-research-database/","Fossil Group Inc")</f>
        <v>Fossil Group Inc</v>
      </c>
      <c r="C586" t="s">
        <v>1801</v>
      </c>
      <c r="D586">
        <v>1.7949999999999999</v>
      </c>
      <c r="E586">
        <v>0</v>
      </c>
      <c r="F586" t="s">
        <v>1797</v>
      </c>
      <c r="G586" t="s">
        <v>1797</v>
      </c>
      <c r="H586">
        <v>0</v>
      </c>
      <c r="I586">
        <v>94.173848000000007</v>
      </c>
      <c r="J586" t="s">
        <v>1797</v>
      </c>
      <c r="K586">
        <v>0</v>
      </c>
      <c r="L586">
        <v>2.2722676361992828</v>
      </c>
      <c r="M586">
        <v>6.08</v>
      </c>
      <c r="N586">
        <v>1.43</v>
      </c>
    </row>
    <row r="587" spans="1:14" x14ac:dyDescent="0.25">
      <c r="A587" s="1" t="s">
        <v>599</v>
      </c>
      <c r="B587" t="str">
        <f>HYPERLINK("https://www.suredividend.com/sure-analysis-research-database/","Fox Factory Holding Corp")</f>
        <v>Fox Factory Holding Corp</v>
      </c>
      <c r="C587" t="s">
        <v>1801</v>
      </c>
      <c r="D587">
        <v>60.53</v>
      </c>
      <c r="E587">
        <v>0</v>
      </c>
      <c r="F587" t="s">
        <v>1797</v>
      </c>
      <c r="G587" t="s">
        <v>1797</v>
      </c>
      <c r="H587">
        <v>0</v>
      </c>
      <c r="I587">
        <v>2564.5105859999999</v>
      </c>
      <c r="J587">
        <v>13.84485718385592</v>
      </c>
      <c r="K587">
        <v>0</v>
      </c>
      <c r="L587">
        <v>1.3474797110210199</v>
      </c>
      <c r="M587">
        <v>127.54</v>
      </c>
      <c r="N587">
        <v>49.12</v>
      </c>
    </row>
    <row r="588" spans="1:14" x14ac:dyDescent="0.25">
      <c r="A588" s="1" t="s">
        <v>600</v>
      </c>
      <c r="B588" t="str">
        <f>HYPERLINK("https://www.suredividend.com/sure-analysis-research-database/","Farmland Partners Inc")</f>
        <v>Farmland Partners Inc</v>
      </c>
      <c r="C588" t="s">
        <v>1799</v>
      </c>
      <c r="D588">
        <v>11.19</v>
      </c>
      <c r="E588">
        <v>2.1270358210119002E-2</v>
      </c>
      <c r="F588">
        <v>0</v>
      </c>
      <c r="G588">
        <v>3.7137289336648172E-2</v>
      </c>
      <c r="H588">
        <v>0.238015308371234</v>
      </c>
      <c r="I588">
        <v>539.20076900000004</v>
      </c>
      <c r="J588">
        <v>0</v>
      </c>
      <c r="K588" t="s">
        <v>1797</v>
      </c>
      <c r="L588">
        <v>0.70658681785353805</v>
      </c>
      <c r="M588">
        <v>13.95</v>
      </c>
      <c r="N588">
        <v>9.2799999999999994</v>
      </c>
    </row>
    <row r="589" spans="1:14" x14ac:dyDescent="0.25">
      <c r="A589" s="1" t="s">
        <v>601</v>
      </c>
      <c r="B589" t="str">
        <f>HYPERLINK("https://www.suredividend.com/sure-analysis-research-database/","First Bank (NJ)")</f>
        <v>First Bank (NJ)</v>
      </c>
      <c r="C589" t="s">
        <v>1800</v>
      </c>
      <c r="D589">
        <v>12</v>
      </c>
      <c r="E589">
        <v>1.9749978086049998E-2</v>
      </c>
      <c r="F589">
        <v>0</v>
      </c>
      <c r="G589">
        <v>0.1486983549970351</v>
      </c>
      <c r="H589">
        <v>0.23699973703260999</v>
      </c>
      <c r="I589">
        <v>234.832008</v>
      </c>
      <c r="J589">
        <v>0</v>
      </c>
      <c r="K589" t="s">
        <v>1797</v>
      </c>
      <c r="L589">
        <v>0.81267646050719211</v>
      </c>
      <c r="M589">
        <v>15.83</v>
      </c>
      <c r="N589">
        <v>8.4499999999999993</v>
      </c>
    </row>
    <row r="590" spans="1:14" x14ac:dyDescent="0.25">
      <c r="A590" s="1" t="s">
        <v>602</v>
      </c>
      <c r="B590" t="str">
        <f>HYPERLINK("https://www.suredividend.com/sure-analysis-research-database/","Republic First Bancorp, Inc.")</f>
        <v>Republic First Bancorp, Inc.</v>
      </c>
      <c r="C590" t="s">
        <v>1800</v>
      </c>
      <c r="D590">
        <v>0.19900000000000001</v>
      </c>
      <c r="E590">
        <v>0</v>
      </c>
      <c r="F590" t="s">
        <v>1797</v>
      </c>
      <c r="G590" t="s">
        <v>1797</v>
      </c>
      <c r="H590">
        <v>0</v>
      </c>
      <c r="I590">
        <v>13.966498</v>
      </c>
      <c r="J590">
        <v>0.91770142538931609</v>
      </c>
      <c r="K590">
        <v>0</v>
      </c>
      <c r="M590">
        <v>0.70000000000000007</v>
      </c>
      <c r="N590">
        <v>2E-3</v>
      </c>
    </row>
    <row r="591" spans="1:14" x14ac:dyDescent="0.25">
      <c r="A591" s="1" t="s">
        <v>603</v>
      </c>
      <c r="B591" t="str">
        <f>HYPERLINK("https://www.suredividend.com/sure-analysis-research-database/","Whole Earth Brands Inc")</f>
        <v>Whole Earth Brands Inc</v>
      </c>
      <c r="C591" t="s">
        <v>1797</v>
      </c>
      <c r="D591">
        <v>3.57</v>
      </c>
      <c r="E591">
        <v>0</v>
      </c>
      <c r="F591" t="s">
        <v>1797</v>
      </c>
      <c r="G591" t="s">
        <v>1797</v>
      </c>
      <c r="H591">
        <v>0</v>
      </c>
      <c r="I591">
        <v>152.67857900000001</v>
      </c>
      <c r="J591" t="s">
        <v>1797</v>
      </c>
      <c r="K591">
        <v>0</v>
      </c>
      <c r="L591">
        <v>0.88673493071450904</v>
      </c>
      <c r="M591">
        <v>4.72</v>
      </c>
      <c r="N591">
        <v>2.09</v>
      </c>
    </row>
    <row r="592" spans="1:14" x14ac:dyDescent="0.25">
      <c r="A592" s="1" t="s">
        <v>604</v>
      </c>
      <c r="B592" t="str">
        <f>HYPERLINK("https://www.suredividend.com/sure-analysis-research-database/","Franchise Group Inc")</f>
        <v>Franchise Group Inc</v>
      </c>
      <c r="C592" t="s">
        <v>1801</v>
      </c>
      <c r="D592">
        <v>29.88</v>
      </c>
      <c r="E592">
        <v>0</v>
      </c>
      <c r="F592" t="s">
        <v>1797</v>
      </c>
      <c r="G592" t="s">
        <v>1797</v>
      </c>
      <c r="H592">
        <v>1.875</v>
      </c>
      <c r="I592">
        <v>0</v>
      </c>
      <c r="J592">
        <v>0</v>
      </c>
      <c r="K592" t="s">
        <v>1797</v>
      </c>
    </row>
    <row r="593" spans="1:14" x14ac:dyDescent="0.25">
      <c r="A593" s="1" t="s">
        <v>605</v>
      </c>
      <c r="B593" t="str">
        <f>HYPERLINK("https://www.suredividend.com/sure-analysis-research-database/","First Merchants Corp.")</f>
        <v>First Merchants Corp.</v>
      </c>
      <c r="C593" t="s">
        <v>1800</v>
      </c>
      <c r="D593">
        <v>29.65</v>
      </c>
      <c r="E593">
        <v>4.3153552490552007E-2</v>
      </c>
      <c r="F593">
        <v>6.25E-2</v>
      </c>
      <c r="G593">
        <v>9.0966078501449665E-2</v>
      </c>
      <c r="H593">
        <v>1.279502831344888</v>
      </c>
      <c r="I593">
        <v>1774.461237</v>
      </c>
      <c r="J593">
        <v>7.0923696398380454</v>
      </c>
      <c r="K593">
        <v>0.30391991243346511</v>
      </c>
      <c r="L593">
        <v>0.98324218733442403</v>
      </c>
      <c r="M593">
        <v>42.25</v>
      </c>
      <c r="N593">
        <v>23.35</v>
      </c>
    </row>
    <row r="594" spans="1:14" x14ac:dyDescent="0.25">
      <c r="A594" s="1" t="s">
        <v>606</v>
      </c>
      <c r="B594" t="str">
        <f>HYPERLINK("https://www.suredividend.com/sure-analysis-research-database/","Frontline Plc")</f>
        <v>Frontline Plc</v>
      </c>
      <c r="C594" t="s">
        <v>1807</v>
      </c>
      <c r="D594">
        <v>22.67</v>
      </c>
      <c r="E594">
        <v>0.10762935025673</v>
      </c>
      <c r="F594" t="s">
        <v>1797</v>
      </c>
      <c r="G594" t="s">
        <v>1797</v>
      </c>
      <c r="H594">
        <v>2.439957370320077</v>
      </c>
      <c r="I594">
        <v>5046.8608940000004</v>
      </c>
      <c r="J594">
        <v>6.0982475587366727</v>
      </c>
      <c r="K594">
        <v>0.65767045022104498</v>
      </c>
      <c r="L594">
        <v>0.81674141112590304</v>
      </c>
      <c r="M594">
        <v>22.93</v>
      </c>
      <c r="N594">
        <v>9.18</v>
      </c>
    </row>
    <row r="595" spans="1:14" x14ac:dyDescent="0.25">
      <c r="A595" s="1" t="s">
        <v>607</v>
      </c>
      <c r="B595" t="str">
        <f>HYPERLINK("https://www.suredividend.com/sure-analysis-research-database/","FRP Holdings Inc")</f>
        <v>FRP Holdings Inc</v>
      </c>
      <c r="C595" t="s">
        <v>1799</v>
      </c>
      <c r="D595">
        <v>54.97</v>
      </c>
      <c r="E595">
        <v>0</v>
      </c>
      <c r="F595" t="s">
        <v>1797</v>
      </c>
      <c r="G595" t="s">
        <v>1797</v>
      </c>
      <c r="H595">
        <v>0</v>
      </c>
      <c r="I595">
        <v>521.97714499999995</v>
      </c>
      <c r="J595">
        <v>118.65813703341669</v>
      </c>
      <c r="K595">
        <v>0</v>
      </c>
      <c r="L595">
        <v>0.68241680327714804</v>
      </c>
      <c r="M595">
        <v>61.55</v>
      </c>
      <c r="N595">
        <v>52.45</v>
      </c>
    </row>
    <row r="596" spans="1:14" x14ac:dyDescent="0.25">
      <c r="A596" s="1" t="s">
        <v>608</v>
      </c>
      <c r="B596" t="str">
        <f>HYPERLINK("https://www.suredividend.com/sure-analysis-research-database/","Primis Financial Corp")</f>
        <v>Primis Financial Corp</v>
      </c>
      <c r="C596" t="s">
        <v>1797</v>
      </c>
      <c r="D596">
        <v>10</v>
      </c>
      <c r="E596">
        <v>3.8964408941582013E-2</v>
      </c>
      <c r="F596">
        <v>0</v>
      </c>
      <c r="G596">
        <v>2.1295687600135119E-2</v>
      </c>
      <c r="H596">
        <v>0.38964408941582801</v>
      </c>
      <c r="I596">
        <v>246.86763999999999</v>
      </c>
      <c r="J596">
        <v>0</v>
      </c>
      <c r="K596" t="s">
        <v>1797</v>
      </c>
      <c r="L596">
        <v>0.9466208515890171</v>
      </c>
      <c r="M596">
        <v>12.45</v>
      </c>
      <c r="N596">
        <v>6.77</v>
      </c>
    </row>
    <row r="597" spans="1:14" x14ac:dyDescent="0.25">
      <c r="A597" s="1" t="s">
        <v>609</v>
      </c>
      <c r="B597" t="str">
        <f>HYPERLINK("https://www.suredividend.com/sure-analysis-research-database/","Five Star Bancorp")</f>
        <v>Five Star Bancorp</v>
      </c>
      <c r="C597" t="s">
        <v>1800</v>
      </c>
      <c r="D597">
        <v>20.59</v>
      </c>
      <c r="E597">
        <v>3.5475755371620003E-2</v>
      </c>
      <c r="F597" t="s">
        <v>1797</v>
      </c>
      <c r="G597" t="s">
        <v>1797</v>
      </c>
      <c r="H597">
        <v>0.73044580310166107</v>
      </c>
      <c r="I597">
        <v>355.328981</v>
      </c>
      <c r="J597">
        <v>6.9842161457268652</v>
      </c>
      <c r="K597">
        <v>0.2467722307775882</v>
      </c>
      <c r="L597">
        <v>0.89671575544328908</v>
      </c>
      <c r="M597">
        <v>29.47</v>
      </c>
      <c r="N597">
        <v>17.100000000000001</v>
      </c>
    </row>
    <row r="598" spans="1:14" x14ac:dyDescent="0.25">
      <c r="A598" s="1" t="s">
        <v>610</v>
      </c>
      <c r="B598" t="str">
        <f>HYPERLINK("https://www.suredividend.com/sure-analysis-research-database/","Fastly Inc")</f>
        <v>Fastly Inc</v>
      </c>
      <c r="C598" t="s">
        <v>1803</v>
      </c>
      <c r="D598">
        <v>17.559999999999999</v>
      </c>
      <c r="E598">
        <v>0</v>
      </c>
      <c r="F598" t="s">
        <v>1797</v>
      </c>
      <c r="G598" t="s">
        <v>1797</v>
      </c>
      <c r="H598">
        <v>0</v>
      </c>
      <c r="I598">
        <v>2268.752</v>
      </c>
      <c r="J598" t="s">
        <v>1797</v>
      </c>
      <c r="K598">
        <v>0</v>
      </c>
      <c r="L598">
        <v>2.737810825590151</v>
      </c>
      <c r="M598">
        <v>24.31</v>
      </c>
      <c r="N598">
        <v>7.15</v>
      </c>
    </row>
    <row r="599" spans="1:14" x14ac:dyDescent="0.25">
      <c r="A599" s="1" t="s">
        <v>611</v>
      </c>
      <c r="B599" t="str">
        <f>HYPERLINK("https://www.suredividend.com/sure-analysis-research-database/","Franklin Street Properties Corp.")</f>
        <v>Franklin Street Properties Corp.</v>
      </c>
      <c r="C599" t="s">
        <v>1799</v>
      </c>
      <c r="D599">
        <v>2.0499999999999998</v>
      </c>
      <c r="E599">
        <v>1.9249031075733E-2</v>
      </c>
      <c r="F599">
        <v>0</v>
      </c>
      <c r="G599">
        <v>-0.35560598502274582</v>
      </c>
      <c r="H599">
        <v>3.9460513705252998E-2</v>
      </c>
      <c r="I599">
        <v>212.03222400000001</v>
      </c>
      <c r="J599">
        <v>25.399164308816481</v>
      </c>
      <c r="K599">
        <v>0.48837269437194308</v>
      </c>
      <c r="L599">
        <v>1.3079107488723949</v>
      </c>
      <c r="M599">
        <v>3.11</v>
      </c>
      <c r="N599">
        <v>1.1100000000000001</v>
      </c>
    </row>
    <row r="600" spans="1:14" x14ac:dyDescent="0.25">
      <c r="A600" s="1" t="s">
        <v>612</v>
      </c>
      <c r="B600" t="str">
        <f>HYPERLINK("https://www.suredividend.com/sure-analysis-research-database/","Fisker Inc")</f>
        <v>Fisker Inc</v>
      </c>
      <c r="C600" t="s">
        <v>1797</v>
      </c>
      <c r="D600">
        <v>4.55</v>
      </c>
      <c r="E600">
        <v>0</v>
      </c>
      <c r="F600" t="s">
        <v>1797</v>
      </c>
      <c r="G600" t="s">
        <v>1797</v>
      </c>
      <c r="H600">
        <v>0</v>
      </c>
      <c r="I600">
        <v>959.29510000000005</v>
      </c>
      <c r="J600" t="s">
        <v>1797</v>
      </c>
      <c r="K600">
        <v>0</v>
      </c>
      <c r="L600">
        <v>2.01203130660083</v>
      </c>
      <c r="M600">
        <v>8.85</v>
      </c>
      <c r="N600">
        <v>4.1900000000000004</v>
      </c>
    </row>
    <row r="601" spans="1:14" x14ac:dyDescent="0.25">
      <c r="A601" s="1" t="s">
        <v>613</v>
      </c>
      <c r="B601" t="str">
        <f>HYPERLINK("https://www.suredividend.com/sure-analysis-research-database/","Federal Signal Corp.")</f>
        <v>Federal Signal Corp.</v>
      </c>
      <c r="C601" t="s">
        <v>1798</v>
      </c>
      <c r="D601">
        <v>64.349999999999994</v>
      </c>
      <c r="E601">
        <v>5.8903393400440004E-3</v>
      </c>
      <c r="F601">
        <v>0.1111111111111112</v>
      </c>
      <c r="G601">
        <v>4.5639552591273169E-2</v>
      </c>
      <c r="H601">
        <v>0.37904333653187711</v>
      </c>
      <c r="I601">
        <v>3924.8792149999999</v>
      </c>
      <c r="J601">
        <v>26.95658801785714</v>
      </c>
      <c r="K601">
        <v>0.15993389727083421</v>
      </c>
      <c r="L601">
        <v>0.94003674863842213</v>
      </c>
      <c r="M601">
        <v>65.22</v>
      </c>
      <c r="N601">
        <v>43.21</v>
      </c>
    </row>
    <row r="602" spans="1:14" x14ac:dyDescent="0.25">
      <c r="A602" s="1" t="s">
        <v>614</v>
      </c>
      <c r="B602" t="str">
        <f>HYPERLINK("https://www.suredividend.com/sure-analysis-research-database/","FTC Solar Inc")</f>
        <v>FTC Solar Inc</v>
      </c>
      <c r="C602" t="s">
        <v>1797</v>
      </c>
      <c r="D602">
        <v>1.25</v>
      </c>
      <c r="E602">
        <v>0</v>
      </c>
      <c r="F602" t="s">
        <v>1797</v>
      </c>
      <c r="G602" t="s">
        <v>1797</v>
      </c>
      <c r="H602">
        <v>0</v>
      </c>
      <c r="I602">
        <v>147.63634500000001</v>
      </c>
      <c r="J602" t="s">
        <v>1797</v>
      </c>
      <c r="K602">
        <v>0</v>
      </c>
      <c r="L602">
        <v>2.1746900313476081</v>
      </c>
      <c r="M602">
        <v>3.87</v>
      </c>
      <c r="N602">
        <v>1.02</v>
      </c>
    </row>
    <row r="603" spans="1:14" x14ac:dyDescent="0.25">
      <c r="A603" s="1" t="s">
        <v>615</v>
      </c>
      <c r="B603" t="str">
        <f>HYPERLINK("https://www.suredividend.com/sure-analysis-research-database/","Frontdoor Inc.")</f>
        <v>Frontdoor Inc.</v>
      </c>
      <c r="C603" t="s">
        <v>1801</v>
      </c>
      <c r="D603">
        <v>33.729999999999997</v>
      </c>
      <c r="E603">
        <v>0</v>
      </c>
      <c r="F603" t="s">
        <v>1797</v>
      </c>
      <c r="G603" t="s">
        <v>1797</v>
      </c>
      <c r="H603">
        <v>0</v>
      </c>
      <c r="I603">
        <v>2685.6411549999998</v>
      </c>
      <c r="J603">
        <v>15.70550383204678</v>
      </c>
      <c r="K603">
        <v>0</v>
      </c>
      <c r="L603">
        <v>1.031630865544654</v>
      </c>
      <c r="M603">
        <v>38.97</v>
      </c>
      <c r="N603">
        <v>19.059999999999999</v>
      </c>
    </row>
    <row r="604" spans="1:14" x14ac:dyDescent="0.25">
      <c r="A604" s="1" t="s">
        <v>616</v>
      </c>
      <c r="B604" t="str">
        <f>HYPERLINK("https://www.suredividend.com/sure-analysis-research-database/","fuboTV Inc")</f>
        <v>fuboTV Inc</v>
      </c>
      <c r="C604" t="s">
        <v>1797</v>
      </c>
      <c r="D604">
        <v>3</v>
      </c>
      <c r="E604">
        <v>0</v>
      </c>
      <c r="F604" t="s">
        <v>1797</v>
      </c>
      <c r="G604" t="s">
        <v>1797</v>
      </c>
      <c r="H604">
        <v>0</v>
      </c>
      <c r="I604">
        <v>875.55</v>
      </c>
      <c r="J604">
        <v>0</v>
      </c>
      <c r="K604" t="s">
        <v>1797</v>
      </c>
      <c r="L604">
        <v>3.3411439656692359</v>
      </c>
      <c r="M604">
        <v>3.88</v>
      </c>
      <c r="N604">
        <v>0.96</v>
      </c>
    </row>
    <row r="605" spans="1:14" x14ac:dyDescent="0.25">
      <c r="A605" s="1" t="s">
        <v>617</v>
      </c>
      <c r="B605" t="str">
        <f>HYPERLINK("https://www.suredividend.com/sure-analysis-FUL/","H.B. Fuller Company")</f>
        <v>H.B. Fuller Company</v>
      </c>
      <c r="C605" t="s">
        <v>1808</v>
      </c>
      <c r="D605">
        <v>70.12</v>
      </c>
      <c r="E605">
        <v>1.169423844837421E-2</v>
      </c>
      <c r="F605" t="s">
        <v>1797</v>
      </c>
      <c r="G605" t="s">
        <v>1797</v>
      </c>
      <c r="H605">
        <v>0.8015763061898421</v>
      </c>
      <c r="I605">
        <v>3787.9874399999999</v>
      </c>
      <c r="J605">
        <v>25.555830633095852</v>
      </c>
      <c r="K605">
        <v>0.30134447601121878</v>
      </c>
      <c r="L605">
        <v>1.073980488316399</v>
      </c>
      <c r="M605">
        <v>80.489999999999995</v>
      </c>
      <c r="N605">
        <v>62.21</v>
      </c>
    </row>
    <row r="606" spans="1:14" x14ac:dyDescent="0.25">
      <c r="A606" s="1" t="s">
        <v>618</v>
      </c>
      <c r="B606" t="str">
        <f>HYPERLINK("https://www.suredividend.com/sure-analysis-research-database/","Fulcrum Therapeutics Inc")</f>
        <v>Fulcrum Therapeutics Inc</v>
      </c>
      <c r="C606" t="s">
        <v>1802</v>
      </c>
      <c r="D606">
        <v>3.89</v>
      </c>
      <c r="E606">
        <v>0</v>
      </c>
      <c r="F606" t="s">
        <v>1797</v>
      </c>
      <c r="G606" t="s">
        <v>1797</v>
      </c>
      <c r="H606">
        <v>0</v>
      </c>
      <c r="I606">
        <v>240.489735</v>
      </c>
      <c r="J606" t="s">
        <v>1797</v>
      </c>
      <c r="K606">
        <v>0</v>
      </c>
      <c r="L606">
        <v>1.4586404414483221</v>
      </c>
      <c r="M606">
        <v>15</v>
      </c>
      <c r="N606">
        <v>2.25</v>
      </c>
    </row>
    <row r="607" spans="1:14" x14ac:dyDescent="0.25">
      <c r="A607" s="1" t="s">
        <v>619</v>
      </c>
      <c r="B607" t="str">
        <f>HYPERLINK("https://www.suredividend.com/sure-analysis-FULT/","Fulton Financial Corp.")</f>
        <v>Fulton Financial Corp.</v>
      </c>
      <c r="C607" t="s">
        <v>1800</v>
      </c>
      <c r="D607">
        <v>14.15</v>
      </c>
      <c r="E607">
        <v>4.5229681978798578E-2</v>
      </c>
      <c r="F607">
        <v>1.666666666666667</v>
      </c>
      <c r="G607">
        <v>0.3195079107728942</v>
      </c>
      <c r="H607">
        <v>0.59887688093593405</v>
      </c>
      <c r="I607">
        <v>2321.013293</v>
      </c>
      <c r="J607">
        <v>7.9931030804781376</v>
      </c>
      <c r="K607">
        <v>0.34818423310228719</v>
      </c>
      <c r="L607">
        <v>1.132887926494184</v>
      </c>
      <c r="M607">
        <v>17.53</v>
      </c>
      <c r="N607">
        <v>9.15</v>
      </c>
    </row>
    <row r="608" spans="1:14" x14ac:dyDescent="0.25">
      <c r="A608" s="1" t="s">
        <v>620</v>
      </c>
      <c r="B608" t="str">
        <f>HYPERLINK("https://www.suredividend.com/sure-analysis-research-database/","FVCBankcorp Inc")</f>
        <v>FVCBankcorp Inc</v>
      </c>
      <c r="C608" t="s">
        <v>1800</v>
      </c>
      <c r="D608">
        <v>11.19</v>
      </c>
      <c r="E608">
        <v>0</v>
      </c>
      <c r="F608" t="s">
        <v>1797</v>
      </c>
      <c r="G608" t="s">
        <v>1797</v>
      </c>
      <c r="H608">
        <v>0</v>
      </c>
      <c r="I608">
        <v>199.20603600000001</v>
      </c>
      <c r="J608">
        <v>0</v>
      </c>
      <c r="K608" t="s">
        <v>1797</v>
      </c>
      <c r="L608">
        <v>0.60750925618031204</v>
      </c>
      <c r="M608">
        <v>16.53</v>
      </c>
      <c r="N608">
        <v>8.3000000000000007</v>
      </c>
    </row>
    <row r="609" spans="1:14" x14ac:dyDescent="0.25">
      <c r="A609" s="1" t="s">
        <v>621</v>
      </c>
      <c r="B609" t="str">
        <f>HYPERLINK("https://www.suredividend.com/sure-analysis-research-database/","Forward Air Corp.")</f>
        <v>Forward Air Corp.</v>
      </c>
      <c r="C609" t="s">
        <v>1798</v>
      </c>
      <c r="D609">
        <v>66.23</v>
      </c>
      <c r="E609">
        <v>1.4412598839521E-2</v>
      </c>
      <c r="F609">
        <v>0</v>
      </c>
      <c r="G609">
        <v>5.9223841048812183E-2</v>
      </c>
      <c r="H609">
        <v>0.95454642114153709</v>
      </c>
      <c r="I609">
        <v>1701.8268069999999</v>
      </c>
      <c r="J609">
        <v>11.219701791049699</v>
      </c>
      <c r="K609">
        <v>0.1668787449548142</v>
      </c>
      <c r="L609">
        <v>1.021385747308051</v>
      </c>
      <c r="M609">
        <v>120.95</v>
      </c>
      <c r="N609">
        <v>60.09</v>
      </c>
    </row>
    <row r="610" spans="1:14" x14ac:dyDescent="0.25">
      <c r="A610" s="1" t="s">
        <v>622</v>
      </c>
      <c r="B610" t="str">
        <f>HYPERLINK("https://www.suredividend.com/sure-analysis-research-database/","First Watch Restaurant Group Inc")</f>
        <v>First Watch Restaurant Group Inc</v>
      </c>
      <c r="C610" t="s">
        <v>1797</v>
      </c>
      <c r="D610">
        <v>17.2</v>
      </c>
      <c r="E610">
        <v>0</v>
      </c>
      <c r="F610" t="s">
        <v>1797</v>
      </c>
      <c r="G610" t="s">
        <v>1797</v>
      </c>
      <c r="H610">
        <v>0</v>
      </c>
      <c r="I610">
        <v>1028.8632190000001</v>
      </c>
      <c r="J610">
        <v>46.238965385825352</v>
      </c>
      <c r="K610">
        <v>0</v>
      </c>
      <c r="L610">
        <v>0.79390479851652407</v>
      </c>
      <c r="M610">
        <v>20.309999999999999</v>
      </c>
      <c r="N610">
        <v>12.75</v>
      </c>
    </row>
    <row r="611" spans="1:14" x14ac:dyDescent="0.25">
      <c r="A611" s="1" t="s">
        <v>623</v>
      </c>
      <c r="B611" t="str">
        <f>HYPERLINK("https://www.suredividend.com/sure-analysis-research-database/","F45 Training Holdings Inc")</f>
        <v>F45 Training Holdings Inc</v>
      </c>
      <c r="C611" t="s">
        <v>1797</v>
      </c>
      <c r="D611">
        <v>9.7500000000000003E-2</v>
      </c>
      <c r="E611">
        <v>0</v>
      </c>
      <c r="F611" t="s">
        <v>1797</v>
      </c>
      <c r="G611" t="s">
        <v>1797</v>
      </c>
      <c r="H611">
        <v>0</v>
      </c>
      <c r="I611">
        <v>0</v>
      </c>
      <c r="J611">
        <v>0</v>
      </c>
      <c r="K611" t="s">
        <v>1797</v>
      </c>
    </row>
    <row r="612" spans="1:14" x14ac:dyDescent="0.25">
      <c r="A612" s="1" t="s">
        <v>624</v>
      </c>
      <c r="B612" t="str">
        <f>HYPERLINK("https://www.suredividend.com/sure-analysis-research-database/","German American Bancorp Inc")</f>
        <v>German American Bancorp Inc</v>
      </c>
      <c r="C612" t="s">
        <v>1800</v>
      </c>
      <c r="D612">
        <v>28.57</v>
      </c>
      <c r="E612">
        <v>3.3744725368693003E-2</v>
      </c>
      <c r="F612">
        <v>8.6956521739130377E-2</v>
      </c>
      <c r="G612">
        <v>0.10756634324829011</v>
      </c>
      <c r="H612">
        <v>0.96408680378357403</v>
      </c>
      <c r="I612">
        <v>844.90755300000001</v>
      </c>
      <c r="J612">
        <v>9.1896711207187192</v>
      </c>
      <c r="K612">
        <v>0.30900218069986352</v>
      </c>
      <c r="L612">
        <v>0.77119449101949511</v>
      </c>
      <c r="M612">
        <v>39.520000000000003</v>
      </c>
      <c r="N612">
        <v>24.85</v>
      </c>
    </row>
    <row r="613" spans="1:14" x14ac:dyDescent="0.25">
      <c r="A613" s="1" t="s">
        <v>625</v>
      </c>
      <c r="B613" t="str">
        <f>HYPERLINK("https://www.suredividend.com/sure-analysis-research-database/","Gambling.com Group Ltd")</f>
        <v>Gambling.com Group Ltd</v>
      </c>
      <c r="C613" t="s">
        <v>1797</v>
      </c>
      <c r="D613">
        <v>13.6</v>
      </c>
      <c r="E613">
        <v>0</v>
      </c>
      <c r="F613" t="s">
        <v>1797</v>
      </c>
      <c r="G613" t="s">
        <v>1797</v>
      </c>
      <c r="H613">
        <v>0</v>
      </c>
      <c r="I613">
        <v>575.50495799999999</v>
      </c>
      <c r="J613">
        <v>0</v>
      </c>
      <c r="K613" t="s">
        <v>1797</v>
      </c>
      <c r="L613">
        <v>0.39650992378870997</v>
      </c>
      <c r="M613">
        <v>14.83</v>
      </c>
      <c r="N613">
        <v>8.09</v>
      </c>
    </row>
    <row r="614" spans="1:14" x14ac:dyDescent="0.25">
      <c r="A614" s="1" t="s">
        <v>626</v>
      </c>
      <c r="B614" t="str">
        <f>HYPERLINK("https://www.suredividend.com/sure-analysis-GATX/","GATX Corp.")</f>
        <v>GATX Corp.</v>
      </c>
      <c r="C614" t="s">
        <v>1798</v>
      </c>
      <c r="D614">
        <v>109.03</v>
      </c>
      <c r="E614">
        <v>2.017793267907915E-2</v>
      </c>
      <c r="F614">
        <v>5.7692307692307709E-2</v>
      </c>
      <c r="G614">
        <v>4.5639552591273169E-2</v>
      </c>
      <c r="H614">
        <v>2.1549494191974361</v>
      </c>
      <c r="I614">
        <v>3870.5650000000001</v>
      </c>
      <c r="J614">
        <v>16.020550496688742</v>
      </c>
      <c r="K614">
        <v>0.31925176580702758</v>
      </c>
      <c r="L614">
        <v>0.84869864051288602</v>
      </c>
      <c r="M614">
        <v>132.37</v>
      </c>
      <c r="N614">
        <v>97.21</v>
      </c>
    </row>
    <row r="615" spans="1:14" x14ac:dyDescent="0.25">
      <c r="A615" s="1" t="s">
        <v>627</v>
      </c>
      <c r="B615" t="str">
        <f>HYPERLINK("https://www.suredividend.com/sure-analysis-research-database/","Glacier Bancorp, Inc.")</f>
        <v>Glacier Bancorp, Inc.</v>
      </c>
      <c r="C615" t="s">
        <v>1800</v>
      </c>
      <c r="D615">
        <v>32.78</v>
      </c>
      <c r="E615">
        <v>3.9552178897339002E-2</v>
      </c>
      <c r="F615">
        <v>0</v>
      </c>
      <c r="G615">
        <v>2.6179154775372689E-2</v>
      </c>
      <c r="H615">
        <v>1.2965204242547781</v>
      </c>
      <c r="I615">
        <v>3634.7258590000001</v>
      </c>
      <c r="J615">
        <v>14.63915235017399</v>
      </c>
      <c r="K615">
        <v>0.57880376082802587</v>
      </c>
      <c r="L615">
        <v>1.3581394448288511</v>
      </c>
      <c r="M615">
        <v>57.11</v>
      </c>
      <c r="N615">
        <v>26.18</v>
      </c>
    </row>
    <row r="616" spans="1:14" x14ac:dyDescent="0.25">
      <c r="A616" s="1" t="s">
        <v>628</v>
      </c>
      <c r="B616" t="str">
        <f>HYPERLINK("https://www.suredividend.com/sure-analysis-research-database/","Generation Bio Co")</f>
        <v>Generation Bio Co</v>
      </c>
      <c r="C616" t="s">
        <v>1797</v>
      </c>
      <c r="D616">
        <v>1.32</v>
      </c>
      <c r="E616">
        <v>0</v>
      </c>
      <c r="F616" t="s">
        <v>1797</v>
      </c>
      <c r="G616" t="s">
        <v>1797</v>
      </c>
      <c r="H616">
        <v>0</v>
      </c>
      <c r="I616">
        <v>87.025623999999993</v>
      </c>
      <c r="J616">
        <v>0</v>
      </c>
      <c r="K616" t="s">
        <v>1797</v>
      </c>
      <c r="L616">
        <v>2.1935928314364839</v>
      </c>
      <c r="M616">
        <v>7.35</v>
      </c>
      <c r="N616">
        <v>0.86</v>
      </c>
    </row>
    <row r="617" spans="1:14" x14ac:dyDescent="0.25">
      <c r="A617" s="1" t="s">
        <v>629</v>
      </c>
      <c r="B617" t="str">
        <f>HYPERLINK("https://www.suredividend.com/sure-analysis-research-database/","Greenbrier Cos., Inc.")</f>
        <v>Greenbrier Cos., Inc.</v>
      </c>
      <c r="C617" t="s">
        <v>1798</v>
      </c>
      <c r="D617">
        <v>37.47</v>
      </c>
      <c r="E617">
        <v>2.9274161414083E-2</v>
      </c>
      <c r="F617">
        <v>0.1111111111111112</v>
      </c>
      <c r="G617">
        <v>3.7137289336648172E-2</v>
      </c>
      <c r="H617">
        <v>1.0969028281857109</v>
      </c>
      <c r="I617">
        <v>1165.317</v>
      </c>
      <c r="J617">
        <v>18.645071999999999</v>
      </c>
      <c r="K617">
        <v>0.59292044766795182</v>
      </c>
      <c r="L617">
        <v>1.0212164199471261</v>
      </c>
      <c r="M617">
        <v>48.21</v>
      </c>
      <c r="N617">
        <v>25.24</v>
      </c>
    </row>
    <row r="618" spans="1:14" x14ac:dyDescent="0.25">
      <c r="A618" s="1" t="s">
        <v>630</v>
      </c>
      <c r="B618" t="str">
        <f>HYPERLINK("https://www.suredividend.com/sure-analysis-research-database/","Greene County Bancorp Inc")</f>
        <v>Greene County Bancorp Inc</v>
      </c>
      <c r="C618" t="s">
        <v>1800</v>
      </c>
      <c r="D618">
        <v>25.23</v>
      </c>
      <c r="E618">
        <v>7.305497442496001E-3</v>
      </c>
      <c r="F618">
        <v>-0.4285714285714286</v>
      </c>
      <c r="G618">
        <v>-4.3647500209962997E-2</v>
      </c>
      <c r="H618">
        <v>0.184317700474182</v>
      </c>
      <c r="I618">
        <v>429.58686999999998</v>
      </c>
      <c r="J618">
        <v>0</v>
      </c>
      <c r="K618" t="s">
        <v>1797</v>
      </c>
      <c r="L618">
        <v>0.32784528989277001</v>
      </c>
      <c r="M618">
        <v>36.78</v>
      </c>
      <c r="N618">
        <v>5.69</v>
      </c>
    </row>
    <row r="619" spans="1:14" x14ac:dyDescent="0.25">
      <c r="A619" s="1" t="s">
        <v>631</v>
      </c>
      <c r="B619" t="str">
        <f>HYPERLINK("https://www.suredividend.com/sure-analysis-research-database/","Gannett Co Inc.")</f>
        <v>Gannett Co Inc.</v>
      </c>
      <c r="C619" t="s">
        <v>1806</v>
      </c>
      <c r="D619">
        <v>1.96</v>
      </c>
      <c r="E619">
        <v>0</v>
      </c>
      <c r="F619" t="s">
        <v>1797</v>
      </c>
      <c r="G619" t="s">
        <v>1797</v>
      </c>
      <c r="H619">
        <v>0</v>
      </c>
      <c r="I619">
        <v>292.18282900000003</v>
      </c>
      <c r="J619">
        <v>10.4845281010478</v>
      </c>
      <c r="K619">
        <v>0</v>
      </c>
      <c r="L619">
        <v>1.765530296717108</v>
      </c>
      <c r="M619">
        <v>3.6</v>
      </c>
      <c r="N619">
        <v>1.62</v>
      </c>
    </row>
    <row r="620" spans="1:14" x14ac:dyDescent="0.25">
      <c r="A620" s="1" t="s">
        <v>632</v>
      </c>
      <c r="B620" t="str">
        <f>HYPERLINK("https://www.suredividend.com/sure-analysis-research-database/","GCM Grosvenor Inc")</f>
        <v>GCM Grosvenor Inc</v>
      </c>
      <c r="C620" t="s">
        <v>1797</v>
      </c>
      <c r="D620">
        <v>8.4499999999999993</v>
      </c>
      <c r="E620">
        <v>5.0030734602452012E-2</v>
      </c>
      <c r="F620" t="s">
        <v>1797</v>
      </c>
      <c r="G620" t="s">
        <v>1797</v>
      </c>
      <c r="H620">
        <v>0.42275970739072599</v>
      </c>
      <c r="I620">
        <v>353.56974200000002</v>
      </c>
      <c r="J620">
        <v>31.83305499684883</v>
      </c>
      <c r="K620">
        <v>7.1291687586968973</v>
      </c>
      <c r="L620">
        <v>0.84830604018913802</v>
      </c>
      <c r="M620">
        <v>8.81</v>
      </c>
      <c r="N620">
        <v>6.38</v>
      </c>
    </row>
    <row r="621" spans="1:14" x14ac:dyDescent="0.25">
      <c r="A621" s="1" t="s">
        <v>633</v>
      </c>
      <c r="B621" t="str">
        <f>HYPERLINK("https://www.suredividend.com/sure-analysis-research-database/","Genesco Inc.")</f>
        <v>Genesco Inc.</v>
      </c>
      <c r="C621" t="s">
        <v>1801</v>
      </c>
      <c r="D621">
        <v>29.88</v>
      </c>
      <c r="E621">
        <v>0</v>
      </c>
      <c r="F621" t="s">
        <v>1797</v>
      </c>
      <c r="G621" t="s">
        <v>1797</v>
      </c>
      <c r="H621">
        <v>0</v>
      </c>
      <c r="I621">
        <v>375.38710099999997</v>
      </c>
      <c r="J621">
        <v>42.803546326111743</v>
      </c>
      <c r="K621">
        <v>0</v>
      </c>
      <c r="L621">
        <v>1.3986675625661109</v>
      </c>
      <c r="M621">
        <v>53.25</v>
      </c>
      <c r="N621">
        <v>17.309999999999999</v>
      </c>
    </row>
    <row r="622" spans="1:14" x14ac:dyDescent="0.25">
      <c r="A622" s="1" t="s">
        <v>634</v>
      </c>
      <c r="B622" t="str">
        <f>HYPERLINK("https://www.suredividend.com/sure-analysis-research-database/","Golden Entertainment Inc")</f>
        <v>Golden Entertainment Inc</v>
      </c>
      <c r="C622" t="s">
        <v>1801</v>
      </c>
      <c r="D622">
        <v>36.81</v>
      </c>
      <c r="E622">
        <v>0</v>
      </c>
      <c r="F622" t="s">
        <v>1797</v>
      </c>
      <c r="G622" t="s">
        <v>1797</v>
      </c>
      <c r="H622">
        <v>0</v>
      </c>
      <c r="I622">
        <v>1062.468269</v>
      </c>
      <c r="J622">
        <v>21.69542329024749</v>
      </c>
      <c r="K622">
        <v>0</v>
      </c>
      <c r="L622">
        <v>1.2514068481505121</v>
      </c>
      <c r="M622">
        <v>43</v>
      </c>
      <c r="N622">
        <v>29.97</v>
      </c>
    </row>
    <row r="623" spans="1:14" x14ac:dyDescent="0.25">
      <c r="A623" s="1" t="s">
        <v>635</v>
      </c>
      <c r="B623" t="str">
        <f>HYPERLINK("https://www.suredividend.com/sure-analysis-research-database/","Green Dot Corp.")</f>
        <v>Green Dot Corp.</v>
      </c>
      <c r="C623" t="s">
        <v>1800</v>
      </c>
      <c r="D623">
        <v>12.2</v>
      </c>
      <c r="E623">
        <v>0</v>
      </c>
      <c r="F623" t="s">
        <v>1797</v>
      </c>
      <c r="G623" t="s">
        <v>1797</v>
      </c>
      <c r="H623">
        <v>0</v>
      </c>
      <c r="I623">
        <v>638.62707999999998</v>
      </c>
      <c r="J623">
        <v>13.51992294859852</v>
      </c>
      <c r="K623">
        <v>0</v>
      </c>
      <c r="L623">
        <v>1.5203002911706891</v>
      </c>
      <c r="M623">
        <v>21.37</v>
      </c>
      <c r="N623">
        <v>10.84</v>
      </c>
    </row>
    <row r="624" spans="1:14" x14ac:dyDescent="0.25">
      <c r="A624" s="1" t="s">
        <v>636</v>
      </c>
      <c r="B624" t="str">
        <f>HYPERLINK("https://www.suredividend.com/sure-analysis-research-database/","Grid Dynamics Holdings Inc")</f>
        <v>Grid Dynamics Holdings Inc</v>
      </c>
      <c r="C624" t="s">
        <v>1803</v>
      </c>
      <c r="D624">
        <v>11.91</v>
      </c>
      <c r="E624">
        <v>0</v>
      </c>
      <c r="F624" t="s">
        <v>1797</v>
      </c>
      <c r="G624" t="s">
        <v>1797</v>
      </c>
      <c r="H624">
        <v>0</v>
      </c>
      <c r="I624">
        <v>897.25706000000002</v>
      </c>
      <c r="J624" t="s">
        <v>1797</v>
      </c>
      <c r="K624">
        <v>0</v>
      </c>
      <c r="L624">
        <v>1.5844469344664001</v>
      </c>
      <c r="M624">
        <v>14.16</v>
      </c>
      <c r="N624">
        <v>8</v>
      </c>
    </row>
    <row r="625" spans="1:14" x14ac:dyDescent="0.25">
      <c r="A625" s="1" t="s">
        <v>637</v>
      </c>
      <c r="B625" t="str">
        <f>HYPERLINK("https://www.suredividend.com/sure-analysis-GEF/","Greif Inc")</f>
        <v>Greif Inc</v>
      </c>
      <c r="C625" t="s">
        <v>1801</v>
      </c>
      <c r="D625">
        <v>66.23</v>
      </c>
      <c r="E625">
        <v>3.1405707383361008E-2</v>
      </c>
      <c r="F625">
        <v>4.0000000000000042E-2</v>
      </c>
      <c r="G625">
        <v>3.3975226531950183E-2</v>
      </c>
      <c r="H625">
        <v>1.9972603442205501</v>
      </c>
      <c r="I625">
        <v>3100.133695</v>
      </c>
      <c r="J625">
        <v>7.9307590046047576</v>
      </c>
      <c r="K625">
        <v>0.29943933196709899</v>
      </c>
      <c r="L625">
        <v>0.65017778283393601</v>
      </c>
      <c r="M625">
        <v>75.42</v>
      </c>
      <c r="N625">
        <v>56.53</v>
      </c>
    </row>
    <row r="626" spans="1:14" x14ac:dyDescent="0.25">
      <c r="A626" s="1" t="s">
        <v>638</v>
      </c>
      <c r="B626" t="str">
        <f>HYPERLINK("https://www.suredividend.com/sure-analysis-research-database/","Geo Group, Inc.")</f>
        <v>Geo Group, Inc.</v>
      </c>
      <c r="C626" t="s">
        <v>1799</v>
      </c>
      <c r="D626">
        <v>9.0399999999999991</v>
      </c>
      <c r="E626">
        <v>0</v>
      </c>
      <c r="F626" t="s">
        <v>1797</v>
      </c>
      <c r="G626" t="s">
        <v>1797</v>
      </c>
      <c r="H626">
        <v>0</v>
      </c>
      <c r="I626">
        <v>1139.68354</v>
      </c>
      <c r="J626">
        <v>9.9952951142761908</v>
      </c>
      <c r="K626">
        <v>0</v>
      </c>
      <c r="L626">
        <v>0.65128349217849102</v>
      </c>
      <c r="M626">
        <v>12.44</v>
      </c>
      <c r="N626">
        <v>6.94</v>
      </c>
    </row>
    <row r="627" spans="1:14" x14ac:dyDescent="0.25">
      <c r="A627" s="1" t="s">
        <v>639</v>
      </c>
      <c r="B627" t="str">
        <f>HYPERLINK("https://www.suredividend.com/sure-analysis-research-database/","Geron Corp.")</f>
        <v>Geron Corp.</v>
      </c>
      <c r="C627" t="s">
        <v>1802</v>
      </c>
      <c r="D627">
        <v>1.98</v>
      </c>
      <c r="E627">
        <v>0</v>
      </c>
      <c r="F627" t="s">
        <v>1797</v>
      </c>
      <c r="G627" t="s">
        <v>1797</v>
      </c>
      <c r="H627">
        <v>0</v>
      </c>
      <c r="I627">
        <v>1074.109739</v>
      </c>
      <c r="J627" t="s">
        <v>1797</v>
      </c>
      <c r="K627">
        <v>0</v>
      </c>
      <c r="L627">
        <v>1.149749419349767</v>
      </c>
      <c r="M627">
        <v>3.84</v>
      </c>
      <c r="N627">
        <v>1.73</v>
      </c>
    </row>
    <row r="628" spans="1:14" x14ac:dyDescent="0.25">
      <c r="A628" s="1" t="s">
        <v>640</v>
      </c>
      <c r="B628" t="str">
        <f>HYPERLINK("https://www.suredividend.com/sure-analysis-research-database/","Guess Inc.")</f>
        <v>Guess Inc.</v>
      </c>
      <c r="C628" t="s">
        <v>1801</v>
      </c>
      <c r="D628">
        <v>23.48</v>
      </c>
      <c r="E628">
        <v>4.3921036431744997E-2</v>
      </c>
      <c r="F628" t="s">
        <v>1797</v>
      </c>
      <c r="G628" t="s">
        <v>1797</v>
      </c>
      <c r="H628">
        <v>1.0312659354173761</v>
      </c>
      <c r="I628">
        <v>1258.2293810000001</v>
      </c>
      <c r="J628">
        <v>8.7892800206768875</v>
      </c>
      <c r="K628">
        <v>0.46875724337153463</v>
      </c>
      <c r="L628">
        <v>1.11953893296427</v>
      </c>
      <c r="M628">
        <v>24.54</v>
      </c>
      <c r="N628">
        <v>15.46</v>
      </c>
    </row>
    <row r="629" spans="1:14" x14ac:dyDescent="0.25">
      <c r="A629" s="1" t="s">
        <v>641</v>
      </c>
      <c r="B629" t="str">
        <f>HYPERLINK("https://www.suredividend.com/sure-analysis-research-database/","Gevo Inc")</f>
        <v>Gevo Inc</v>
      </c>
      <c r="C629" t="s">
        <v>1808</v>
      </c>
      <c r="D629">
        <v>1.27</v>
      </c>
      <c r="E629">
        <v>0</v>
      </c>
      <c r="F629" t="s">
        <v>1797</v>
      </c>
      <c r="G629" t="s">
        <v>1797</v>
      </c>
      <c r="H629">
        <v>0</v>
      </c>
      <c r="I629">
        <v>301.50196699999998</v>
      </c>
      <c r="J629">
        <v>0</v>
      </c>
      <c r="K629" t="s">
        <v>1797</v>
      </c>
      <c r="L629">
        <v>2.773918601206546</v>
      </c>
      <c r="M629">
        <v>2.4900000000000002</v>
      </c>
      <c r="N629">
        <v>0.97</v>
      </c>
    </row>
    <row r="630" spans="1:14" x14ac:dyDescent="0.25">
      <c r="A630" s="1" t="s">
        <v>642</v>
      </c>
      <c r="B630" t="str">
        <f>HYPERLINK("https://www.suredividend.com/sure-analysis-research-database/","Griffon Corp.")</f>
        <v>Griffon Corp.</v>
      </c>
      <c r="C630" t="s">
        <v>1798</v>
      </c>
      <c r="D630">
        <v>42.5</v>
      </c>
      <c r="E630">
        <v>1.0249619907014E-2</v>
      </c>
      <c r="F630">
        <v>0.25</v>
      </c>
      <c r="G630">
        <v>0.1151015032663814</v>
      </c>
      <c r="H630">
        <v>0.43560884604811612</v>
      </c>
      <c r="I630">
        <v>2320.666643</v>
      </c>
      <c r="J630" t="s">
        <v>1797</v>
      </c>
      <c r="K630" t="s">
        <v>1797</v>
      </c>
      <c r="L630">
        <v>1.249834795471362</v>
      </c>
      <c r="M630">
        <v>43.77</v>
      </c>
      <c r="N630">
        <v>24.18</v>
      </c>
    </row>
    <row r="631" spans="1:14" x14ac:dyDescent="0.25">
      <c r="A631" s="1" t="s">
        <v>643</v>
      </c>
      <c r="B631" t="str">
        <f>HYPERLINK("https://www.suredividend.com/sure-analysis-research-database/","Graham Holdings Co.")</f>
        <v>Graham Holdings Co.</v>
      </c>
      <c r="C631" t="s">
        <v>1804</v>
      </c>
      <c r="D631">
        <v>622.54</v>
      </c>
      <c r="E631">
        <v>1.0556880509809E-2</v>
      </c>
      <c r="F631">
        <v>4.4303797468354222E-2</v>
      </c>
      <c r="G631">
        <v>3.4889138224710958E-2</v>
      </c>
      <c r="H631">
        <v>6.5720803925770968</v>
      </c>
      <c r="I631">
        <v>2228.9017509999999</v>
      </c>
      <c r="J631">
        <v>14.12395761295228</v>
      </c>
      <c r="K631">
        <v>0.1966511188682554</v>
      </c>
      <c r="L631">
        <v>0.76958705553574402</v>
      </c>
      <c r="M631">
        <v>675.93</v>
      </c>
      <c r="N631">
        <v>540.39</v>
      </c>
    </row>
    <row r="632" spans="1:14" x14ac:dyDescent="0.25">
      <c r="A632" s="1" t="s">
        <v>644</v>
      </c>
      <c r="B632" t="str">
        <f>HYPERLINK("https://www.suredividend.com/sure-analysis-research-database/","Global Industrial Co")</f>
        <v>Global Industrial Co</v>
      </c>
      <c r="C632" t="s">
        <v>1797</v>
      </c>
      <c r="D632">
        <v>34.61</v>
      </c>
      <c r="E632">
        <v>2.2270541801704999E-2</v>
      </c>
      <c r="F632">
        <v>0.1111111111111112</v>
      </c>
      <c r="G632">
        <v>0.10756634324829011</v>
      </c>
      <c r="H632">
        <v>0.77078345175701601</v>
      </c>
      <c r="I632">
        <v>1317.382719</v>
      </c>
      <c r="J632">
        <v>19.037322526589591</v>
      </c>
      <c r="K632">
        <v>0.42584721091547839</v>
      </c>
      <c r="L632">
        <v>1.1179854298304039</v>
      </c>
      <c r="M632">
        <v>35.47</v>
      </c>
      <c r="N632">
        <v>20.22</v>
      </c>
    </row>
    <row r="633" spans="1:14" x14ac:dyDescent="0.25">
      <c r="A633" s="1" t="s">
        <v>645</v>
      </c>
      <c r="B633" t="str">
        <f>HYPERLINK("https://www.suredividend.com/sure-analysis-research-database/","G-III Apparel Group Ltd.")</f>
        <v>G-III Apparel Group Ltd.</v>
      </c>
      <c r="C633" t="s">
        <v>1801</v>
      </c>
      <c r="D633">
        <v>27.18</v>
      </c>
      <c r="E633">
        <v>0</v>
      </c>
      <c r="F633" t="s">
        <v>1797</v>
      </c>
      <c r="G633" t="s">
        <v>1797</v>
      </c>
      <c r="H633">
        <v>0</v>
      </c>
      <c r="I633">
        <v>1242.6968340000001</v>
      </c>
      <c r="J633" t="s">
        <v>1797</v>
      </c>
      <c r="K633">
        <v>0</v>
      </c>
      <c r="L633">
        <v>1.368269532834941</v>
      </c>
      <c r="M633">
        <v>27.5</v>
      </c>
      <c r="N633">
        <v>11.6</v>
      </c>
    </row>
    <row r="634" spans="1:14" x14ac:dyDescent="0.25">
      <c r="A634" s="1" t="s">
        <v>646</v>
      </c>
      <c r="B634" t="str">
        <f>HYPERLINK("https://www.suredividend.com/sure-analysis-research-database/","Glaukos Corporation")</f>
        <v>Glaukos Corporation</v>
      </c>
      <c r="C634" t="s">
        <v>1802</v>
      </c>
      <c r="D634">
        <v>64.209999999999994</v>
      </c>
      <c r="E634">
        <v>0</v>
      </c>
      <c r="F634" t="s">
        <v>1797</v>
      </c>
      <c r="G634" t="s">
        <v>1797</v>
      </c>
      <c r="H634">
        <v>0</v>
      </c>
      <c r="I634">
        <v>3133.421096</v>
      </c>
      <c r="J634" t="s">
        <v>1797</v>
      </c>
      <c r="K634">
        <v>0</v>
      </c>
      <c r="L634">
        <v>0.86855889780168105</v>
      </c>
      <c r="M634">
        <v>80.28</v>
      </c>
      <c r="N634">
        <v>40.450000000000003</v>
      </c>
    </row>
    <row r="635" spans="1:14" x14ac:dyDescent="0.25">
      <c r="A635" s="1" t="s">
        <v>647</v>
      </c>
      <c r="B635" t="str">
        <f>HYPERLINK("https://www.suredividend.com/sure-analysis-research-database/","Great Lakes Dredge &amp; Dock Corporation")</f>
        <v>Great Lakes Dredge &amp; Dock Corporation</v>
      </c>
      <c r="C635" t="s">
        <v>1798</v>
      </c>
      <c r="D635">
        <v>7.55</v>
      </c>
      <c r="E635">
        <v>0</v>
      </c>
      <c r="F635" t="s">
        <v>1797</v>
      </c>
      <c r="G635" t="s">
        <v>1797</v>
      </c>
      <c r="H635">
        <v>0</v>
      </c>
      <c r="I635">
        <v>502.01438100000001</v>
      </c>
      <c r="J635" t="s">
        <v>1797</v>
      </c>
      <c r="K635">
        <v>0</v>
      </c>
      <c r="L635">
        <v>1.196530689672894</v>
      </c>
      <c r="M635">
        <v>9.67</v>
      </c>
      <c r="N635">
        <v>4.75</v>
      </c>
    </row>
    <row r="636" spans="1:14" x14ac:dyDescent="0.25">
      <c r="A636" s="1" t="s">
        <v>648</v>
      </c>
      <c r="B636" t="str">
        <f>HYPERLINK("https://www.suredividend.com/sure-analysis-research-database/","Golar Lng")</f>
        <v>Golar Lng</v>
      </c>
      <c r="C636" t="s">
        <v>1807</v>
      </c>
      <c r="D636">
        <v>23.07</v>
      </c>
      <c r="E636">
        <v>2.1551153455198001E-2</v>
      </c>
      <c r="F636" t="s">
        <v>1797</v>
      </c>
      <c r="G636" t="s">
        <v>1797</v>
      </c>
      <c r="H636">
        <v>0.49718511021142597</v>
      </c>
      <c r="I636">
        <v>1852.492209</v>
      </c>
      <c r="J636">
        <v>2.3515558525615878</v>
      </c>
      <c r="K636">
        <v>6.8482797549783203E-2</v>
      </c>
      <c r="L636">
        <v>0.84571969954330906</v>
      </c>
      <c r="M636">
        <v>27.4</v>
      </c>
      <c r="N636">
        <v>19.14</v>
      </c>
    </row>
    <row r="637" spans="1:14" x14ac:dyDescent="0.25">
      <c r="A637" s="1" t="s">
        <v>649</v>
      </c>
      <c r="B637" t="str">
        <f>HYPERLINK("https://www.suredividend.com/sure-analysis-research-database/","Greenlight Capital Re Ltd")</f>
        <v>Greenlight Capital Re Ltd</v>
      </c>
      <c r="C637" t="s">
        <v>1800</v>
      </c>
      <c r="D637">
        <v>11.48</v>
      </c>
      <c r="E637">
        <v>0</v>
      </c>
      <c r="F637" t="s">
        <v>1797</v>
      </c>
      <c r="G637" t="s">
        <v>1797</v>
      </c>
      <c r="H637">
        <v>0</v>
      </c>
      <c r="I637">
        <v>404.922709</v>
      </c>
      <c r="J637">
        <v>5.6217402848892091</v>
      </c>
      <c r="K637">
        <v>0</v>
      </c>
      <c r="L637">
        <v>0.37438922758276011</v>
      </c>
      <c r="M637">
        <v>11.72</v>
      </c>
      <c r="N637">
        <v>7.52</v>
      </c>
    </row>
    <row r="638" spans="1:14" x14ac:dyDescent="0.25">
      <c r="A638" s="1" t="s">
        <v>650</v>
      </c>
      <c r="B638" t="str">
        <f>HYPERLINK("https://www.suredividend.com/sure-analysis-research-database/","Glatfelter Corporation")</f>
        <v>Glatfelter Corporation</v>
      </c>
      <c r="C638" t="s">
        <v>1808</v>
      </c>
      <c r="D638">
        <v>1.67</v>
      </c>
      <c r="E638">
        <v>0</v>
      </c>
      <c r="F638" t="s">
        <v>1797</v>
      </c>
      <c r="G638" t="s">
        <v>1797</v>
      </c>
      <c r="H638">
        <v>0</v>
      </c>
      <c r="I638">
        <v>75.226669999999999</v>
      </c>
      <c r="J638" t="s">
        <v>1797</v>
      </c>
      <c r="K638">
        <v>0</v>
      </c>
      <c r="L638">
        <v>1.336569860423495</v>
      </c>
      <c r="M638">
        <v>4.87</v>
      </c>
      <c r="N638">
        <v>1.44</v>
      </c>
    </row>
    <row r="639" spans="1:14" x14ac:dyDescent="0.25">
      <c r="A639" s="1" t="s">
        <v>651</v>
      </c>
      <c r="B639" t="str">
        <f>HYPERLINK("https://www.suredividend.com/sure-analysis-research-database/","Monte Rosa Therapeutics Inc")</f>
        <v>Monte Rosa Therapeutics Inc</v>
      </c>
      <c r="C639" t="s">
        <v>1797</v>
      </c>
      <c r="D639">
        <v>3.58</v>
      </c>
      <c r="E639">
        <v>0</v>
      </c>
      <c r="F639" t="s">
        <v>1797</v>
      </c>
      <c r="G639" t="s">
        <v>1797</v>
      </c>
      <c r="H639">
        <v>0</v>
      </c>
      <c r="I639">
        <v>177.78043</v>
      </c>
      <c r="J639">
        <v>0</v>
      </c>
      <c r="K639" t="s">
        <v>1797</v>
      </c>
      <c r="L639">
        <v>1.411633066149192</v>
      </c>
      <c r="M639">
        <v>10.96</v>
      </c>
      <c r="N639">
        <v>2.44</v>
      </c>
    </row>
    <row r="640" spans="1:14" x14ac:dyDescent="0.25">
      <c r="A640" s="1" t="s">
        <v>652</v>
      </c>
      <c r="B640" t="str">
        <f>HYPERLINK("https://www.suredividend.com/sure-analysis-GMRE/","Global Medical REIT Inc")</f>
        <v>Global Medical REIT Inc</v>
      </c>
      <c r="C640" t="s">
        <v>1799</v>
      </c>
      <c r="D640">
        <v>9.32</v>
      </c>
      <c r="E640">
        <v>9.0128755364806856E-2</v>
      </c>
      <c r="F640">
        <v>0</v>
      </c>
      <c r="G640">
        <v>9.805797673485328E-3</v>
      </c>
      <c r="H640">
        <v>0.81197726442306506</v>
      </c>
      <c r="I640">
        <v>611.06526899999994</v>
      </c>
      <c r="J640">
        <v>0</v>
      </c>
      <c r="K640" t="s">
        <v>1797</v>
      </c>
      <c r="L640">
        <v>1.053376723509482</v>
      </c>
      <c r="M640">
        <v>10.99</v>
      </c>
      <c r="N640">
        <v>7.69</v>
      </c>
    </row>
    <row r="641" spans="1:14" x14ac:dyDescent="0.25">
      <c r="A641" s="1" t="s">
        <v>653</v>
      </c>
      <c r="B641" t="str">
        <f>HYPERLINK("https://www.suredividend.com/sure-analysis-research-database/","GMS Inc")</f>
        <v>GMS Inc</v>
      </c>
      <c r="C641" t="s">
        <v>1798</v>
      </c>
      <c r="D641">
        <v>62.33</v>
      </c>
      <c r="E641">
        <v>0</v>
      </c>
      <c r="F641" t="s">
        <v>1797</v>
      </c>
      <c r="G641" t="s">
        <v>1797</v>
      </c>
      <c r="H641">
        <v>0</v>
      </c>
      <c r="I641">
        <v>2530.1651179999999</v>
      </c>
      <c r="J641">
        <v>7.6590206118643502</v>
      </c>
      <c r="K641">
        <v>0</v>
      </c>
      <c r="L641">
        <v>1.363515786175578</v>
      </c>
      <c r="M641">
        <v>76.14</v>
      </c>
      <c r="N641">
        <v>44.93</v>
      </c>
    </row>
    <row r="642" spans="1:14" x14ac:dyDescent="0.25">
      <c r="A642" s="1" t="s">
        <v>654</v>
      </c>
      <c r="B642" t="str">
        <f>HYPERLINK("https://www.suredividend.com/sure-analysis-research-database/","Genco Shipping &amp; Trading Limited")</f>
        <v>Genco Shipping &amp; Trading Limited</v>
      </c>
      <c r="C642" t="s">
        <v>1798</v>
      </c>
      <c r="D642">
        <v>13.42</v>
      </c>
      <c r="E642">
        <v>0.114135208601105</v>
      </c>
      <c r="F642" t="s">
        <v>1797</v>
      </c>
      <c r="G642" t="s">
        <v>1797</v>
      </c>
      <c r="H642">
        <v>1.531694499426838</v>
      </c>
      <c r="I642">
        <v>570.735006</v>
      </c>
      <c r="J642">
        <v>0</v>
      </c>
      <c r="K642" t="s">
        <v>1797</v>
      </c>
      <c r="L642">
        <v>1.070728444968259</v>
      </c>
      <c r="M642">
        <v>18.920000000000002</v>
      </c>
      <c r="N642">
        <v>12.26</v>
      </c>
    </row>
    <row r="643" spans="1:14" x14ac:dyDescent="0.25">
      <c r="A643" s="1" t="s">
        <v>655</v>
      </c>
      <c r="B643" t="str">
        <f>HYPERLINK("https://www.suredividend.com/sure-analysis-GNL/","Global Net Lease Inc")</f>
        <v>Global Net Lease Inc</v>
      </c>
      <c r="C643" t="s">
        <v>1799</v>
      </c>
      <c r="D643">
        <v>8.75</v>
      </c>
      <c r="E643">
        <v>0.18285714285714291</v>
      </c>
      <c r="F643">
        <v>-0.1150000000000001</v>
      </c>
      <c r="G643">
        <v>0.14805047057174581</v>
      </c>
      <c r="H643">
        <v>1.4654444931864441</v>
      </c>
      <c r="I643">
        <v>913.76774999999998</v>
      </c>
      <c r="J643" t="s">
        <v>1797</v>
      </c>
      <c r="K643" t="s">
        <v>1797</v>
      </c>
      <c r="L643">
        <v>1.074528648052715</v>
      </c>
      <c r="M643">
        <v>13.68</v>
      </c>
      <c r="N643">
        <v>7.56</v>
      </c>
    </row>
    <row r="644" spans="1:14" x14ac:dyDescent="0.25">
      <c r="A644" s="1" t="s">
        <v>656</v>
      </c>
      <c r="B644" t="str">
        <f>HYPERLINK("https://www.suredividend.com/sure-analysis-research-database/","Guaranty Bancshares, Inc. (TX)")</f>
        <v>Guaranty Bancshares, Inc. (TX)</v>
      </c>
      <c r="C644" t="s">
        <v>1800</v>
      </c>
      <c r="D644">
        <v>30.11</v>
      </c>
      <c r="E644">
        <v>2.2726306215796001E-2</v>
      </c>
      <c r="F644">
        <v>4.5454545454545407E-2</v>
      </c>
      <c r="G644">
        <v>6.2321039666164653E-2</v>
      </c>
      <c r="H644">
        <v>0.68428908015762602</v>
      </c>
      <c r="I644">
        <v>348.29146300000002</v>
      </c>
      <c r="J644">
        <v>0</v>
      </c>
      <c r="K644" t="s">
        <v>1797</v>
      </c>
      <c r="L644">
        <v>0.77033350807418211</v>
      </c>
      <c r="M644">
        <v>36.04</v>
      </c>
      <c r="N644">
        <v>21.75</v>
      </c>
    </row>
    <row r="645" spans="1:14" x14ac:dyDescent="0.25">
      <c r="A645" s="1" t="s">
        <v>657</v>
      </c>
      <c r="B645" t="str">
        <f>HYPERLINK("https://www.suredividend.com/sure-analysis-research-database/","Genworth Financial Inc")</f>
        <v>Genworth Financial Inc</v>
      </c>
      <c r="C645" t="s">
        <v>1800</v>
      </c>
      <c r="D645">
        <v>6.2</v>
      </c>
      <c r="E645">
        <v>0</v>
      </c>
      <c r="F645" t="s">
        <v>1797</v>
      </c>
      <c r="G645" t="s">
        <v>1797</v>
      </c>
      <c r="H645">
        <v>0</v>
      </c>
      <c r="I645">
        <v>2871.141353</v>
      </c>
      <c r="J645">
        <v>6.0065718682008367</v>
      </c>
      <c r="K645">
        <v>0</v>
      </c>
      <c r="L645">
        <v>0.94388794587163005</v>
      </c>
      <c r="M645">
        <v>6.4</v>
      </c>
      <c r="N645">
        <v>4.4800000000000004</v>
      </c>
    </row>
    <row r="646" spans="1:14" x14ac:dyDescent="0.25">
      <c r="A646" s="1" t="s">
        <v>658</v>
      </c>
      <c r="B646" t="str">
        <f>HYPERLINK("https://www.suredividend.com/sure-analysis-research-database/","Canoo Inc")</f>
        <v>Canoo Inc</v>
      </c>
      <c r="C646" t="s">
        <v>1797</v>
      </c>
      <c r="D646">
        <v>0.2732</v>
      </c>
      <c r="E646">
        <v>0</v>
      </c>
      <c r="F646" t="s">
        <v>1797</v>
      </c>
      <c r="G646" t="s">
        <v>1797</v>
      </c>
      <c r="H646">
        <v>0</v>
      </c>
      <c r="I646">
        <v>173.271863</v>
      </c>
      <c r="J646">
        <v>0</v>
      </c>
      <c r="K646" t="s">
        <v>1797</v>
      </c>
      <c r="L646">
        <v>1.9034599715487559</v>
      </c>
      <c r="M646">
        <v>1.68</v>
      </c>
      <c r="N646">
        <v>0.25</v>
      </c>
    </row>
    <row r="647" spans="1:14" x14ac:dyDescent="0.25">
      <c r="A647" s="1" t="s">
        <v>659</v>
      </c>
      <c r="B647" t="str">
        <f>HYPERLINK("https://www.suredividend.com/sure-analysis-research-database/","Golden Ocean Group Limited")</f>
        <v>Golden Ocean Group Limited</v>
      </c>
      <c r="C647" t="s">
        <v>1798</v>
      </c>
      <c r="D647">
        <v>7.53</v>
      </c>
      <c r="E647">
        <v>9.5531649166227001E-2</v>
      </c>
      <c r="F647" t="s">
        <v>1797</v>
      </c>
      <c r="G647" t="s">
        <v>1797</v>
      </c>
      <c r="H647">
        <v>0.71935331822169302</v>
      </c>
      <c r="I647">
        <v>1509.6567259999999</v>
      </c>
      <c r="J647">
        <v>7.5922045338784869</v>
      </c>
      <c r="K647">
        <v>0.72457022383329273</v>
      </c>
      <c r="L647">
        <v>1.0545117302006961</v>
      </c>
      <c r="M647">
        <v>10.17</v>
      </c>
      <c r="N647">
        <v>6.71</v>
      </c>
    </row>
    <row r="648" spans="1:14" x14ac:dyDescent="0.25">
      <c r="A648" s="1" t="s">
        <v>660</v>
      </c>
      <c r="B648" t="str">
        <f>HYPERLINK("https://www.suredividend.com/sure-analysis-research-database/","Gogo Inc")</f>
        <v>Gogo Inc</v>
      </c>
      <c r="C648" t="s">
        <v>1806</v>
      </c>
      <c r="D648">
        <v>11.12</v>
      </c>
      <c r="E648">
        <v>0</v>
      </c>
      <c r="F648" t="s">
        <v>1797</v>
      </c>
      <c r="G648" t="s">
        <v>1797</v>
      </c>
      <c r="H648">
        <v>0</v>
      </c>
      <c r="I648">
        <v>1431.1115520000001</v>
      </c>
      <c r="J648">
        <v>9.0494204765277217</v>
      </c>
      <c r="K648">
        <v>0</v>
      </c>
      <c r="L648">
        <v>0.98978184053286711</v>
      </c>
      <c r="M648">
        <v>17.940000000000001</v>
      </c>
      <c r="N648">
        <v>10.39</v>
      </c>
    </row>
    <row r="649" spans="1:14" x14ac:dyDescent="0.25">
      <c r="A649" s="1" t="s">
        <v>661</v>
      </c>
      <c r="B649" t="str">
        <f>HYPERLINK("https://www.suredividend.com/sure-analysis-research-database/","Acushnet Holdings Corp")</f>
        <v>Acushnet Holdings Corp</v>
      </c>
      <c r="C649" t="s">
        <v>1801</v>
      </c>
      <c r="D649">
        <v>55.2</v>
      </c>
      <c r="E649">
        <v>1.3782171217654E-2</v>
      </c>
      <c r="F649">
        <v>8.3333333333333481E-2</v>
      </c>
      <c r="G649">
        <v>8.4471771197698553E-2</v>
      </c>
      <c r="H649">
        <v>0.76077585121451108</v>
      </c>
      <c r="I649">
        <v>3674.1424149999998</v>
      </c>
      <c r="J649">
        <v>16.316541130389599</v>
      </c>
      <c r="K649">
        <v>0.23265316550902479</v>
      </c>
      <c r="L649">
        <v>0.82733116240712612</v>
      </c>
      <c r="M649">
        <v>61.77</v>
      </c>
      <c r="N649">
        <v>41.58</v>
      </c>
    </row>
    <row r="650" spans="1:14" x14ac:dyDescent="0.25">
      <c r="A650" s="1" t="s">
        <v>662</v>
      </c>
      <c r="B650" t="str">
        <f>HYPERLINK("https://www.suredividend.com/sure-analysis-GOOD/","Gladstone Commercial Corp")</f>
        <v>Gladstone Commercial Corp</v>
      </c>
      <c r="C650" t="s">
        <v>1799</v>
      </c>
      <c r="D650">
        <v>12.66</v>
      </c>
      <c r="E650">
        <v>9.4786729857819899E-2</v>
      </c>
      <c r="F650">
        <v>0</v>
      </c>
      <c r="G650">
        <v>-4.4258393394558837E-2</v>
      </c>
      <c r="H650">
        <v>1.166648306309471</v>
      </c>
      <c r="I650">
        <v>505.36181699999997</v>
      </c>
      <c r="J650" t="s">
        <v>1797</v>
      </c>
      <c r="K650" t="s">
        <v>1797</v>
      </c>
      <c r="L650">
        <v>0.91077876434547311</v>
      </c>
      <c r="M650">
        <v>17.8</v>
      </c>
      <c r="N650">
        <v>10.01</v>
      </c>
    </row>
    <row r="651" spans="1:14" x14ac:dyDescent="0.25">
      <c r="A651" s="1" t="s">
        <v>663</v>
      </c>
      <c r="B651" t="str">
        <f>HYPERLINK("https://www.suredividend.com/sure-analysis-research-database/","Gossamer Bio Inc")</f>
        <v>Gossamer Bio Inc</v>
      </c>
      <c r="C651" t="s">
        <v>1802</v>
      </c>
      <c r="D651">
        <v>0.57040000000000002</v>
      </c>
      <c r="E651">
        <v>0</v>
      </c>
      <c r="F651" t="s">
        <v>1797</v>
      </c>
      <c r="G651" t="s">
        <v>1797</v>
      </c>
      <c r="H651">
        <v>0</v>
      </c>
      <c r="I651">
        <v>128.52375000000001</v>
      </c>
      <c r="J651">
        <v>0</v>
      </c>
      <c r="K651" t="s">
        <v>1797</v>
      </c>
      <c r="L651">
        <v>2.512782246529921</v>
      </c>
      <c r="M651">
        <v>10.57</v>
      </c>
      <c r="N651">
        <v>0.45250000000000001</v>
      </c>
    </row>
    <row r="652" spans="1:14" x14ac:dyDescent="0.25">
      <c r="A652" s="1" t="s">
        <v>664</v>
      </c>
      <c r="B652" t="str">
        <f>HYPERLINK("https://www.suredividend.com/sure-analysis-research-database/","Group 1 Automotive, Inc.")</f>
        <v>Group 1 Automotive, Inc.</v>
      </c>
      <c r="C652" t="s">
        <v>1801</v>
      </c>
      <c r="D652">
        <v>274.95</v>
      </c>
      <c r="E652">
        <v>6.3117252468860002E-3</v>
      </c>
      <c r="F652" t="s">
        <v>1797</v>
      </c>
      <c r="G652" t="s">
        <v>1797</v>
      </c>
      <c r="H652">
        <v>1.735408856631524</v>
      </c>
      <c r="I652">
        <v>3800.5631880000001</v>
      </c>
      <c r="J652">
        <v>6.0031009127310053</v>
      </c>
      <c r="K652">
        <v>3.8082265890531583E-2</v>
      </c>
      <c r="L652">
        <v>1.0510370900728081</v>
      </c>
      <c r="M652">
        <v>278.49</v>
      </c>
      <c r="N652">
        <v>158.97</v>
      </c>
    </row>
    <row r="653" spans="1:14" x14ac:dyDescent="0.25">
      <c r="A653" s="1" t="s">
        <v>665</v>
      </c>
      <c r="B653" t="str">
        <f>HYPERLINK("https://www.suredividend.com/sure-analysis-research-database/","Granite Point Mortgage Trust Inc")</f>
        <v>Granite Point Mortgage Trust Inc</v>
      </c>
      <c r="C653" t="s">
        <v>1799</v>
      </c>
      <c r="D653">
        <v>4.78</v>
      </c>
      <c r="E653">
        <v>0.157886626602075</v>
      </c>
      <c r="F653" t="s">
        <v>1797</v>
      </c>
      <c r="G653" t="s">
        <v>1797</v>
      </c>
      <c r="H653">
        <v>0.75469807515792309</v>
      </c>
      <c r="I653">
        <v>246.54208</v>
      </c>
      <c r="J653" t="s">
        <v>1797</v>
      </c>
      <c r="K653" t="s">
        <v>1797</v>
      </c>
      <c r="L653">
        <v>1.455767426227879</v>
      </c>
      <c r="M653">
        <v>6.54</v>
      </c>
      <c r="N653">
        <v>3.67</v>
      </c>
    </row>
    <row r="654" spans="1:14" x14ac:dyDescent="0.25">
      <c r="A654" s="1" t="s">
        <v>666</v>
      </c>
      <c r="B654" t="str">
        <f>HYPERLINK("https://www.suredividend.com/sure-analysis-research-database/","Gulfport Energy Corp.")</f>
        <v>Gulfport Energy Corp.</v>
      </c>
      <c r="C654" t="s">
        <v>1807</v>
      </c>
      <c r="D654">
        <v>133.16999999999999</v>
      </c>
      <c r="E654">
        <v>0</v>
      </c>
      <c r="F654" t="s">
        <v>1797</v>
      </c>
      <c r="G654" t="s">
        <v>1797</v>
      </c>
      <c r="H654">
        <v>0</v>
      </c>
      <c r="I654">
        <v>2480.4023139999999</v>
      </c>
      <c r="J654" t="s">
        <v>1797</v>
      </c>
      <c r="K654">
        <v>0</v>
      </c>
      <c r="L654">
        <v>0.84494300557481505</v>
      </c>
      <c r="M654">
        <v>134.84</v>
      </c>
      <c r="N654">
        <v>60.15</v>
      </c>
    </row>
    <row r="655" spans="1:14" x14ac:dyDescent="0.25">
      <c r="A655" s="1" t="s">
        <v>667</v>
      </c>
      <c r="B655" t="str">
        <f>HYPERLINK("https://www.suredividend.com/sure-analysis-research-database/","Green Plains Inc")</f>
        <v>Green Plains Inc</v>
      </c>
      <c r="C655" t="s">
        <v>1808</v>
      </c>
      <c r="D655">
        <v>28.2</v>
      </c>
      <c r="E655">
        <v>0</v>
      </c>
      <c r="F655" t="s">
        <v>1797</v>
      </c>
      <c r="G655" t="s">
        <v>1797</v>
      </c>
      <c r="H655">
        <v>0</v>
      </c>
      <c r="I655">
        <v>1678.21976</v>
      </c>
      <c r="J655" t="s">
        <v>1797</v>
      </c>
      <c r="K655">
        <v>0</v>
      </c>
      <c r="L655">
        <v>1.4574174903529691</v>
      </c>
      <c r="M655">
        <v>37.49</v>
      </c>
      <c r="N655">
        <v>25.78</v>
      </c>
    </row>
    <row r="656" spans="1:14" x14ac:dyDescent="0.25">
      <c r="A656" s="1" t="s">
        <v>668</v>
      </c>
      <c r="B656" t="str">
        <f>HYPERLINK("https://www.suredividend.com/sure-analysis-research-database/","GoPro Inc.")</f>
        <v>GoPro Inc.</v>
      </c>
      <c r="C656" t="s">
        <v>1803</v>
      </c>
      <c r="D656">
        <v>2.83</v>
      </c>
      <c r="E656">
        <v>0</v>
      </c>
      <c r="F656" t="s">
        <v>1797</v>
      </c>
      <c r="G656" t="s">
        <v>1797</v>
      </c>
      <c r="H656">
        <v>0</v>
      </c>
      <c r="I656">
        <v>357.90426200000002</v>
      </c>
      <c r="J656" t="s">
        <v>1797</v>
      </c>
      <c r="K656">
        <v>0</v>
      </c>
      <c r="L656">
        <v>1.4288830031107771</v>
      </c>
      <c r="M656">
        <v>6.57</v>
      </c>
      <c r="N656">
        <v>2.41</v>
      </c>
    </row>
    <row r="657" spans="1:14" x14ac:dyDescent="0.25">
      <c r="A657" s="1" t="s">
        <v>669</v>
      </c>
      <c r="B657" t="str">
        <f>HYPERLINK("https://www.suredividend.com/sure-analysis-research-database/","Green Brick Partners Inc")</f>
        <v>Green Brick Partners Inc</v>
      </c>
      <c r="C657" t="s">
        <v>1801</v>
      </c>
      <c r="D657">
        <v>44.89</v>
      </c>
      <c r="E657">
        <v>0</v>
      </c>
      <c r="F657" t="s">
        <v>1797</v>
      </c>
      <c r="G657" t="s">
        <v>1797</v>
      </c>
      <c r="H657">
        <v>0</v>
      </c>
      <c r="I657">
        <v>2037.03476</v>
      </c>
      <c r="J657">
        <v>7.7079240797947612</v>
      </c>
      <c r="K657">
        <v>0</v>
      </c>
      <c r="L657">
        <v>1.526975613409902</v>
      </c>
      <c r="M657">
        <v>59.3</v>
      </c>
      <c r="N657">
        <v>19.53</v>
      </c>
    </row>
    <row r="658" spans="1:14" x14ac:dyDescent="0.25">
      <c r="A658" s="1" t="s">
        <v>670</v>
      </c>
      <c r="B658" t="str">
        <f>HYPERLINK("https://www.suredividend.com/sure-analysis-GRC/","Gorman-Rupp Co.")</f>
        <v>Gorman-Rupp Co.</v>
      </c>
      <c r="C658" t="s">
        <v>1798</v>
      </c>
      <c r="D658">
        <v>31.02</v>
      </c>
      <c r="E658">
        <v>2.321083172147002E-2</v>
      </c>
      <c r="F658">
        <v>2.941176470588247E-2</v>
      </c>
      <c r="G658">
        <v>-0.38567016045842639</v>
      </c>
      <c r="H658">
        <v>0.69361983027664509</v>
      </c>
      <c r="I658">
        <v>812.53781800000002</v>
      </c>
      <c r="J658">
        <v>28.608471866769939</v>
      </c>
      <c r="K658">
        <v>0.63634846814371104</v>
      </c>
      <c r="L658">
        <v>1.0056689294494681</v>
      </c>
      <c r="M658">
        <v>33.56</v>
      </c>
      <c r="N658">
        <v>22.63</v>
      </c>
    </row>
    <row r="659" spans="1:14" x14ac:dyDescent="0.25">
      <c r="A659" s="1" t="s">
        <v>671</v>
      </c>
      <c r="B659" t="str">
        <f>HYPERLINK("https://www.suredividend.com/sure-analysis-research-database/","Greenidge Generation Holdings Inc")</f>
        <v>Greenidge Generation Holdings Inc</v>
      </c>
      <c r="C659" t="s">
        <v>1797</v>
      </c>
      <c r="D659">
        <v>5.66</v>
      </c>
      <c r="E659">
        <v>0</v>
      </c>
      <c r="F659" t="s">
        <v>1797</v>
      </c>
      <c r="G659" t="s">
        <v>1797</v>
      </c>
      <c r="H659">
        <v>0</v>
      </c>
      <c r="I659">
        <v>24.813535999999999</v>
      </c>
      <c r="J659" t="s">
        <v>1797</v>
      </c>
      <c r="K659">
        <v>0</v>
      </c>
      <c r="L659">
        <v>2.3561544256753262</v>
      </c>
      <c r="M659">
        <v>13.9</v>
      </c>
      <c r="N659">
        <v>1.55</v>
      </c>
    </row>
    <row r="660" spans="1:14" x14ac:dyDescent="0.25">
      <c r="A660" s="1" t="s">
        <v>672</v>
      </c>
      <c r="B660" t="str">
        <f>HYPERLINK("https://www.suredividend.com/sure-analysis-research-database/","GreenLight Biosciences Holdings PBC")</f>
        <v>GreenLight Biosciences Holdings PBC</v>
      </c>
      <c r="C660" t="s">
        <v>1797</v>
      </c>
      <c r="D660">
        <v>0.29949999999999999</v>
      </c>
      <c r="E660">
        <v>0</v>
      </c>
      <c r="F660" t="s">
        <v>1797</v>
      </c>
      <c r="G660" t="s">
        <v>1797</v>
      </c>
      <c r="H660">
        <v>0</v>
      </c>
      <c r="I660">
        <v>0</v>
      </c>
      <c r="J660">
        <v>0</v>
      </c>
      <c r="K660" t="s">
        <v>1797</v>
      </c>
    </row>
    <row r="661" spans="1:14" x14ac:dyDescent="0.25">
      <c r="A661" s="1" t="s">
        <v>673</v>
      </c>
      <c r="B661" t="str">
        <f>HYPERLINK("https://www.suredividend.com/sure-analysis-research-database/","Groupon Inc")</f>
        <v>Groupon Inc</v>
      </c>
      <c r="C661" t="s">
        <v>1806</v>
      </c>
      <c r="D661">
        <v>14.49</v>
      </c>
      <c r="E661">
        <v>0</v>
      </c>
      <c r="F661" t="s">
        <v>1797</v>
      </c>
      <c r="G661" t="s">
        <v>1797</v>
      </c>
      <c r="H661">
        <v>0</v>
      </c>
      <c r="I661">
        <v>452.79247500000002</v>
      </c>
      <c r="J661" t="s">
        <v>1797</v>
      </c>
      <c r="K661">
        <v>0</v>
      </c>
      <c r="L661">
        <v>2.4647499741937549</v>
      </c>
      <c r="M661">
        <v>16.25</v>
      </c>
      <c r="N661">
        <v>2.89</v>
      </c>
    </row>
    <row r="662" spans="1:14" x14ac:dyDescent="0.25">
      <c r="A662" s="1" t="s">
        <v>674</v>
      </c>
      <c r="B662" t="str">
        <f>HYPERLINK("https://www.suredividend.com/sure-analysis-research-database/","GrowGeneration Corp")</f>
        <v>GrowGeneration Corp</v>
      </c>
      <c r="C662" t="s">
        <v>1801</v>
      </c>
      <c r="D662">
        <v>2.27</v>
      </c>
      <c r="E662">
        <v>0</v>
      </c>
      <c r="F662" t="s">
        <v>1797</v>
      </c>
      <c r="G662" t="s">
        <v>1797</v>
      </c>
      <c r="H662">
        <v>0</v>
      </c>
      <c r="I662">
        <v>138.99615399999999</v>
      </c>
      <c r="J662" t="s">
        <v>1797</v>
      </c>
      <c r="K662">
        <v>0</v>
      </c>
      <c r="L662">
        <v>2.153687098558895</v>
      </c>
      <c r="M662">
        <v>8.6300000000000008</v>
      </c>
      <c r="N662">
        <v>1.86</v>
      </c>
    </row>
    <row r="663" spans="1:14" x14ac:dyDescent="0.25">
      <c r="A663" s="1" t="s">
        <v>675</v>
      </c>
      <c r="B663" t="str">
        <f>HYPERLINK("https://www.suredividend.com/sure-analysis-research-database/","Globalstar Inc.")</f>
        <v>Globalstar Inc.</v>
      </c>
      <c r="C663" t="s">
        <v>1806</v>
      </c>
      <c r="D663">
        <v>1.42</v>
      </c>
      <c r="E663">
        <v>0</v>
      </c>
      <c r="F663" t="s">
        <v>1797</v>
      </c>
      <c r="G663" t="s">
        <v>1797</v>
      </c>
      <c r="H663">
        <v>0</v>
      </c>
      <c r="I663">
        <v>2556</v>
      </c>
      <c r="J663" t="s">
        <v>1797</v>
      </c>
      <c r="K663">
        <v>0</v>
      </c>
      <c r="L663">
        <v>1.3072130846480241</v>
      </c>
      <c r="M663">
        <v>2.1</v>
      </c>
      <c r="N663">
        <v>0.8538</v>
      </c>
    </row>
    <row r="664" spans="1:14" x14ac:dyDescent="0.25">
      <c r="A664" s="1" t="s">
        <v>676</v>
      </c>
      <c r="B664" t="str">
        <f>HYPERLINK("https://www.suredividend.com/sure-analysis-research-database/","Great Southern Bancorp, Inc.")</f>
        <v>Great Southern Bancorp, Inc.</v>
      </c>
      <c r="C664" t="s">
        <v>1800</v>
      </c>
      <c r="D664">
        <v>52.38</v>
      </c>
      <c r="E664">
        <v>2.9884765822812E-2</v>
      </c>
      <c r="F664">
        <v>0</v>
      </c>
      <c r="G664">
        <v>4.5639552591273169E-2</v>
      </c>
      <c r="H664">
        <v>1.5653640337989181</v>
      </c>
      <c r="I664">
        <v>626.11191599999995</v>
      </c>
      <c r="J664">
        <v>7.8743339572145432</v>
      </c>
      <c r="K664">
        <v>0.2411963072109273</v>
      </c>
      <c r="L664">
        <v>0.78426045333695205</v>
      </c>
      <c r="M664">
        <v>60.4</v>
      </c>
      <c r="N664">
        <v>43.96</v>
      </c>
    </row>
    <row r="665" spans="1:14" x14ac:dyDescent="0.25">
      <c r="A665" s="1" t="s">
        <v>677</v>
      </c>
      <c r="B665" t="str">
        <f>HYPERLINK("https://www.suredividend.com/sure-analysis-research-database/","Goosehead Insurance Inc")</f>
        <v>Goosehead Insurance Inc</v>
      </c>
      <c r="C665" t="s">
        <v>1800</v>
      </c>
      <c r="D665">
        <v>71.12</v>
      </c>
      <c r="E665">
        <v>0</v>
      </c>
      <c r="F665" t="s">
        <v>1797</v>
      </c>
      <c r="G665" t="s">
        <v>1797</v>
      </c>
      <c r="H665">
        <v>0</v>
      </c>
      <c r="I665">
        <v>1699.6795979999999</v>
      </c>
      <c r="J665">
        <v>280.24395677493823</v>
      </c>
      <c r="K665">
        <v>0</v>
      </c>
      <c r="L665">
        <v>1.8250091288310151</v>
      </c>
      <c r="M665">
        <v>79.400000000000006</v>
      </c>
      <c r="N665">
        <v>31.21</v>
      </c>
    </row>
    <row r="666" spans="1:14" x14ac:dyDescent="0.25">
      <c r="A666" s="1" t="s">
        <v>678</v>
      </c>
      <c r="B666" t="str">
        <f>HYPERLINK("https://www.suredividend.com/sure-analysis-research-database/","Goodyear Tire &amp; Rubber Co.")</f>
        <v>Goodyear Tire &amp; Rubber Co.</v>
      </c>
      <c r="C666" t="s">
        <v>1801</v>
      </c>
      <c r="D666">
        <v>12.57</v>
      </c>
      <c r="E666">
        <v>0</v>
      </c>
      <c r="F666" t="s">
        <v>1797</v>
      </c>
      <c r="G666" t="s">
        <v>1797</v>
      </c>
      <c r="H666">
        <v>0</v>
      </c>
      <c r="I666">
        <v>3563.3098749999999</v>
      </c>
      <c r="J666" t="s">
        <v>1797</v>
      </c>
      <c r="K666">
        <v>0</v>
      </c>
      <c r="L666">
        <v>1.521900470874008</v>
      </c>
      <c r="M666">
        <v>16.510000000000002</v>
      </c>
      <c r="N666">
        <v>9.66</v>
      </c>
    </row>
    <row r="667" spans="1:14" x14ac:dyDescent="0.25">
      <c r="A667" s="1" t="s">
        <v>679</v>
      </c>
      <c r="B667" t="str">
        <f>HYPERLINK("https://www.suredividend.com/sure-analysis-research-database/","Chart Industries Inc")</f>
        <v>Chart Industries Inc</v>
      </c>
      <c r="C667" t="s">
        <v>1798</v>
      </c>
      <c r="D667">
        <v>122.5</v>
      </c>
      <c r="E667">
        <v>0</v>
      </c>
      <c r="F667" t="s">
        <v>1797</v>
      </c>
      <c r="G667" t="s">
        <v>1797</v>
      </c>
      <c r="H667">
        <v>0</v>
      </c>
      <c r="I667">
        <v>5236.9513180000004</v>
      </c>
      <c r="J667" t="s">
        <v>1797</v>
      </c>
      <c r="K667">
        <v>0</v>
      </c>
      <c r="L667">
        <v>1.8357918536041791</v>
      </c>
      <c r="M667">
        <v>242.59</v>
      </c>
      <c r="N667">
        <v>101.44</v>
      </c>
    </row>
    <row r="668" spans="1:14" x14ac:dyDescent="0.25">
      <c r="A668" s="1" t="s">
        <v>680</v>
      </c>
      <c r="B668" t="str">
        <f>HYPERLINK("https://www.suredividend.com/sure-analysis-research-database/","Gray Television, Inc.")</f>
        <v>Gray Television, Inc.</v>
      </c>
      <c r="C668" t="s">
        <v>1806</v>
      </c>
      <c r="D668">
        <v>7.77</v>
      </c>
      <c r="E668">
        <v>4.0553143640459012E-2</v>
      </c>
      <c r="F668" t="s">
        <v>1797</v>
      </c>
      <c r="G668" t="s">
        <v>1797</v>
      </c>
      <c r="H668">
        <v>0.31509792608637099</v>
      </c>
      <c r="I668">
        <v>749.71126500000003</v>
      </c>
      <c r="J668">
        <v>3.4870291400000002</v>
      </c>
      <c r="K668">
        <v>0.13523516141045969</v>
      </c>
      <c r="L668">
        <v>1.7816336751078199</v>
      </c>
      <c r="M668">
        <v>13.98</v>
      </c>
      <c r="N668">
        <v>5.97</v>
      </c>
    </row>
    <row r="669" spans="1:14" x14ac:dyDescent="0.25">
      <c r="A669" s="1" t="s">
        <v>681</v>
      </c>
      <c r="B669" t="str">
        <f>HYPERLINK("https://www.suredividend.com/sure-analysis-research-database/","Getty Realty Corp.")</f>
        <v>Getty Realty Corp.</v>
      </c>
      <c r="C669" t="s">
        <v>1799</v>
      </c>
      <c r="D669">
        <v>28.21</v>
      </c>
      <c r="E669">
        <v>5.9713168049696001E-2</v>
      </c>
      <c r="F669">
        <v>4.878048780487787E-2</v>
      </c>
      <c r="G669">
        <v>4.2029663567281883E-2</v>
      </c>
      <c r="H669">
        <v>1.684508470681932</v>
      </c>
      <c r="I669">
        <v>1486.7167910000001</v>
      </c>
      <c r="J669">
        <v>21.596699457437541</v>
      </c>
      <c r="K669">
        <v>1.1946868586396679</v>
      </c>
      <c r="L669">
        <v>0.60695040077882301</v>
      </c>
      <c r="M669">
        <v>35.11</v>
      </c>
      <c r="N669">
        <v>25.95</v>
      </c>
    </row>
    <row r="670" spans="1:14" x14ac:dyDescent="0.25">
      <c r="A670" s="1" t="s">
        <v>682</v>
      </c>
      <c r="B670" t="str">
        <f>HYPERLINK("https://www.suredividend.com/sure-analysis-research-database/","Granite Construction Inc.")</f>
        <v>Granite Construction Inc.</v>
      </c>
      <c r="C670" t="s">
        <v>1798</v>
      </c>
      <c r="D670">
        <v>45.93</v>
      </c>
      <c r="E670">
        <v>1.1264749751752999E-2</v>
      </c>
      <c r="F670">
        <v>0</v>
      </c>
      <c r="G670">
        <v>0</v>
      </c>
      <c r="H670">
        <v>0.51738995609801908</v>
      </c>
      <c r="I670">
        <v>2017.2537299999999</v>
      </c>
      <c r="J670">
        <v>86.584845463559105</v>
      </c>
      <c r="K670">
        <v>1.1572130532275089</v>
      </c>
      <c r="L670">
        <v>0.89392609176469306</v>
      </c>
      <c r="M670">
        <v>46.72</v>
      </c>
      <c r="N670">
        <v>32.659999999999997</v>
      </c>
    </row>
    <row r="671" spans="1:14" x14ac:dyDescent="0.25">
      <c r="A671" s="1" t="s">
        <v>683</v>
      </c>
      <c r="B671" t="str">
        <f>HYPERLINK("https://www.suredividend.com/sure-analysis-research-database/","ESS Tech Inc")</f>
        <v>ESS Tech Inc</v>
      </c>
      <c r="C671" t="s">
        <v>1797</v>
      </c>
      <c r="D671">
        <v>1.32</v>
      </c>
      <c r="E671">
        <v>0</v>
      </c>
      <c r="F671" t="s">
        <v>1797</v>
      </c>
      <c r="G671" t="s">
        <v>1797</v>
      </c>
      <c r="H671">
        <v>0</v>
      </c>
      <c r="I671">
        <v>205.37900099999999</v>
      </c>
      <c r="J671" t="s">
        <v>1797</v>
      </c>
      <c r="K671">
        <v>0</v>
      </c>
      <c r="L671">
        <v>2.3840723040312759</v>
      </c>
      <c r="M671">
        <v>4.32</v>
      </c>
      <c r="N671">
        <v>0.75</v>
      </c>
    </row>
    <row r="672" spans="1:14" x14ac:dyDescent="0.25">
      <c r="A672" s="1" t="s">
        <v>684</v>
      </c>
      <c r="B672" t="str">
        <f>HYPERLINK("https://www.suredividend.com/sure-analysis-GWRS/","Global Water Resources Inc")</f>
        <v>Global Water Resources Inc</v>
      </c>
      <c r="C672" t="s">
        <v>1805</v>
      </c>
      <c r="D672">
        <v>10.75</v>
      </c>
      <c r="E672">
        <v>2.790697674418605E-2</v>
      </c>
      <c r="F672">
        <v>0</v>
      </c>
      <c r="G672">
        <v>2.025948542577316E-3</v>
      </c>
      <c r="H672">
        <v>0.29176250101057799</v>
      </c>
      <c r="I672">
        <v>259.83305799999999</v>
      </c>
      <c r="J672">
        <v>0</v>
      </c>
      <c r="K672" t="s">
        <v>1797</v>
      </c>
      <c r="L672">
        <v>0.64806247043966003</v>
      </c>
      <c r="M672">
        <v>14.48</v>
      </c>
      <c r="N672">
        <v>9.3000000000000007</v>
      </c>
    </row>
    <row r="673" spans="1:14" x14ac:dyDescent="0.25">
      <c r="A673" s="1" t="s">
        <v>685</v>
      </c>
      <c r="B673" t="str">
        <f>HYPERLINK("https://www.suredividend.com/sure-analysis-research-database/","Hawaiian Holdings, Inc.")</f>
        <v>Hawaiian Holdings, Inc.</v>
      </c>
      <c r="C673" t="s">
        <v>1798</v>
      </c>
      <c r="D673">
        <v>4.53</v>
      </c>
      <c r="E673">
        <v>0</v>
      </c>
      <c r="F673" t="s">
        <v>1797</v>
      </c>
      <c r="G673" t="s">
        <v>1797</v>
      </c>
      <c r="H673">
        <v>0</v>
      </c>
      <c r="I673">
        <v>233.89972299999999</v>
      </c>
      <c r="J673" t="s">
        <v>1797</v>
      </c>
      <c r="K673">
        <v>0</v>
      </c>
      <c r="L673">
        <v>1.830741020918208</v>
      </c>
      <c r="M673">
        <v>15.74</v>
      </c>
      <c r="N673">
        <v>3.7</v>
      </c>
    </row>
    <row r="674" spans="1:14" x14ac:dyDescent="0.25">
      <c r="A674" s="1" t="s">
        <v>686</v>
      </c>
      <c r="B674" t="str">
        <f>HYPERLINK("https://www.suredividend.com/sure-analysis-research-database/","Haemonetics Corp.")</f>
        <v>Haemonetics Corp.</v>
      </c>
      <c r="C674" t="s">
        <v>1802</v>
      </c>
      <c r="D674">
        <v>88.43</v>
      </c>
      <c r="E674">
        <v>0</v>
      </c>
      <c r="F674" t="s">
        <v>1797</v>
      </c>
      <c r="G674" t="s">
        <v>1797</v>
      </c>
      <c r="H674">
        <v>0</v>
      </c>
      <c r="I674">
        <v>4484.4630440000001</v>
      </c>
      <c r="J674">
        <v>34.959213610390023</v>
      </c>
      <c r="K674">
        <v>0</v>
      </c>
      <c r="L674">
        <v>0.671376461588023</v>
      </c>
      <c r="M674">
        <v>95.26</v>
      </c>
      <c r="N674">
        <v>72.260000000000005</v>
      </c>
    </row>
    <row r="675" spans="1:14" x14ac:dyDescent="0.25">
      <c r="A675" s="1" t="s">
        <v>687</v>
      </c>
      <c r="B675" t="str">
        <f>HYPERLINK("https://www.suredividend.com/sure-analysis-research-database/","Hanmi Financial Corp.")</f>
        <v>Hanmi Financial Corp.</v>
      </c>
      <c r="C675" t="s">
        <v>1800</v>
      </c>
      <c r="D675">
        <v>16.36</v>
      </c>
      <c r="E675">
        <v>5.8408451429025003E-2</v>
      </c>
      <c r="F675">
        <v>0</v>
      </c>
      <c r="G675">
        <v>8.197818497166498E-3</v>
      </c>
      <c r="H675">
        <v>0.95556226537885003</v>
      </c>
      <c r="I675">
        <v>498.60864400000003</v>
      </c>
      <c r="J675">
        <v>5.1018473602030063</v>
      </c>
      <c r="K675">
        <v>0.29768294871615258</v>
      </c>
      <c r="L675">
        <v>1.256844791406339</v>
      </c>
      <c r="M675">
        <v>24.42</v>
      </c>
      <c r="N675">
        <v>12.15</v>
      </c>
    </row>
    <row r="676" spans="1:14" x14ac:dyDescent="0.25">
      <c r="A676" s="1" t="s">
        <v>688</v>
      </c>
      <c r="B676" t="str">
        <f>HYPERLINK("https://www.suredividend.com/sure-analysis-research-database/","Hain Celestial Group Inc")</f>
        <v>Hain Celestial Group Inc</v>
      </c>
      <c r="C676" t="s">
        <v>1804</v>
      </c>
      <c r="D676">
        <v>11.61</v>
      </c>
      <c r="E676">
        <v>0</v>
      </c>
      <c r="F676" t="s">
        <v>1797</v>
      </c>
      <c r="G676" t="s">
        <v>1797</v>
      </c>
      <c r="H676">
        <v>0</v>
      </c>
      <c r="I676">
        <v>1038.8929860000001</v>
      </c>
      <c r="J676" t="s">
        <v>1797</v>
      </c>
      <c r="K676">
        <v>0</v>
      </c>
      <c r="L676">
        <v>1.1746978261390939</v>
      </c>
      <c r="M676">
        <v>22.14</v>
      </c>
      <c r="N676">
        <v>9.36</v>
      </c>
    </row>
    <row r="677" spans="1:14" x14ac:dyDescent="0.25">
      <c r="A677" s="1" t="s">
        <v>689</v>
      </c>
      <c r="B677" t="str">
        <f>HYPERLINK("https://www.suredividend.com/sure-analysis-research-database/","Halozyme Therapeutics Inc.")</f>
        <v>Halozyme Therapeutics Inc.</v>
      </c>
      <c r="C677" t="s">
        <v>1802</v>
      </c>
      <c r="D677">
        <v>35.58</v>
      </c>
      <c r="E677">
        <v>0</v>
      </c>
      <c r="F677" t="s">
        <v>1797</v>
      </c>
      <c r="G677" t="s">
        <v>1797</v>
      </c>
      <c r="H677">
        <v>0</v>
      </c>
      <c r="I677">
        <v>4693.7449100000003</v>
      </c>
      <c r="J677">
        <v>20.084058579833549</v>
      </c>
      <c r="K677">
        <v>0</v>
      </c>
      <c r="L677">
        <v>0.615025537499853</v>
      </c>
      <c r="M677">
        <v>59.46</v>
      </c>
      <c r="N677">
        <v>29.85</v>
      </c>
    </row>
    <row r="678" spans="1:14" x14ac:dyDescent="0.25">
      <c r="A678" s="1" t="s">
        <v>690</v>
      </c>
      <c r="B678" t="str">
        <f>HYPERLINK("https://www.suredividend.com/sure-analysis-HASI/","Hannon Armstrong Sustainable Infrastructure capital Inc")</f>
        <v>Hannon Armstrong Sustainable Infrastructure capital Inc</v>
      </c>
      <c r="C678" t="s">
        <v>1799</v>
      </c>
      <c r="D678">
        <v>21.76</v>
      </c>
      <c r="E678">
        <v>7.2610294117647051E-2</v>
      </c>
      <c r="F678">
        <v>5.3333333333333448E-2</v>
      </c>
      <c r="G678">
        <v>3.6612952724090382E-2</v>
      </c>
      <c r="H678">
        <v>1.519639873484727</v>
      </c>
      <c r="I678">
        <v>2334.10655</v>
      </c>
      <c r="J678">
        <v>44.686434816303873</v>
      </c>
      <c r="K678">
        <v>2.767006324626232</v>
      </c>
      <c r="L678">
        <v>1.9223698216131839</v>
      </c>
      <c r="M678">
        <v>37.72</v>
      </c>
      <c r="N678">
        <v>13.22</v>
      </c>
    </row>
    <row r="679" spans="1:14" x14ac:dyDescent="0.25">
      <c r="A679" s="1" t="s">
        <v>691</v>
      </c>
      <c r="B679" t="str">
        <f>HYPERLINK("https://www.suredividend.com/sure-analysis-research-database/","Haynes International Inc.")</f>
        <v>Haynes International Inc.</v>
      </c>
      <c r="C679" t="s">
        <v>1798</v>
      </c>
      <c r="D679">
        <v>47.04</v>
      </c>
      <c r="E679">
        <v>1.8470976654576001E-2</v>
      </c>
      <c r="F679">
        <v>0</v>
      </c>
      <c r="G679">
        <v>0</v>
      </c>
      <c r="H679">
        <v>0.86887474183127411</v>
      </c>
      <c r="I679">
        <v>598.90566000000001</v>
      </c>
      <c r="J679">
        <v>13.255110539804789</v>
      </c>
      <c r="K679">
        <v>0.24406593871665</v>
      </c>
      <c r="L679">
        <v>1.3187778042243321</v>
      </c>
      <c r="M679">
        <v>59.71</v>
      </c>
      <c r="N679">
        <v>41.15</v>
      </c>
    </row>
    <row r="680" spans="1:14" x14ac:dyDescent="0.25">
      <c r="A680" s="1" t="s">
        <v>692</v>
      </c>
      <c r="B680" t="str">
        <f>HYPERLINK("https://www.suredividend.com/sure-analysis-research-database/","Home Bancorp Inc")</f>
        <v>Home Bancorp Inc</v>
      </c>
      <c r="C680" t="s">
        <v>1800</v>
      </c>
      <c r="D680">
        <v>36.57</v>
      </c>
      <c r="E680">
        <v>2.6746256408149999E-2</v>
      </c>
      <c r="F680">
        <v>4.1666666666666741E-2</v>
      </c>
      <c r="G680">
        <v>4.5639552591273169E-2</v>
      </c>
      <c r="H680">
        <v>0.97811059684606405</v>
      </c>
      <c r="I680">
        <v>297.96756900000003</v>
      </c>
      <c r="J680">
        <v>7.1573483541111198</v>
      </c>
      <c r="K680">
        <v>0.19029389043697739</v>
      </c>
      <c r="L680">
        <v>0.9274124320704461</v>
      </c>
      <c r="M680">
        <v>41.29</v>
      </c>
      <c r="N680">
        <v>26.95</v>
      </c>
    </row>
    <row r="681" spans="1:14" x14ac:dyDescent="0.25">
      <c r="A681" s="1" t="s">
        <v>693</v>
      </c>
      <c r="B681" t="str">
        <f>HYPERLINK("https://www.suredividend.com/sure-analysis-HBNC/","Horizon Bancorp Inc (IN)")</f>
        <v>Horizon Bancorp Inc (IN)</v>
      </c>
      <c r="C681" t="s">
        <v>1800</v>
      </c>
      <c r="D681">
        <v>10.59</v>
      </c>
      <c r="E681">
        <v>6.043437204910293E-2</v>
      </c>
      <c r="F681">
        <v>0</v>
      </c>
      <c r="G681">
        <v>9.8560543306117632E-2</v>
      </c>
      <c r="H681">
        <v>0.6112740935956531</v>
      </c>
      <c r="I681">
        <v>467.12176499999998</v>
      </c>
      <c r="J681">
        <v>5.6982051716944992</v>
      </c>
      <c r="K681">
        <v>0.32514579446577302</v>
      </c>
      <c r="L681">
        <v>1.19307460099553</v>
      </c>
      <c r="M681">
        <v>14.99</v>
      </c>
      <c r="N681">
        <v>7.23</v>
      </c>
    </row>
    <row r="682" spans="1:14" x14ac:dyDescent="0.25">
      <c r="A682" s="1" t="s">
        <v>694</v>
      </c>
      <c r="B682" t="str">
        <f>HYPERLINK("https://www.suredividend.com/sure-analysis-research-database/","HBT Financial Inc")</f>
        <v>HBT Financial Inc</v>
      </c>
      <c r="C682" t="s">
        <v>1800</v>
      </c>
      <c r="D682">
        <v>19.04</v>
      </c>
      <c r="E682">
        <v>2.6313843914522E-2</v>
      </c>
      <c r="F682" t="s">
        <v>1797</v>
      </c>
      <c r="G682" t="s">
        <v>1797</v>
      </c>
      <c r="H682">
        <v>0.50101558813249902</v>
      </c>
      <c r="I682">
        <v>606.35233300000004</v>
      </c>
      <c r="J682">
        <v>10.741785952380949</v>
      </c>
      <c r="K682">
        <v>0.26792277440240592</v>
      </c>
      <c r="L682">
        <v>0.67108082317457407</v>
      </c>
      <c r="M682">
        <v>22.65</v>
      </c>
      <c r="N682">
        <v>16.05</v>
      </c>
    </row>
    <row r="683" spans="1:14" x14ac:dyDescent="0.25">
      <c r="A683" s="1" t="s">
        <v>695</v>
      </c>
      <c r="B683" t="str">
        <f>HYPERLINK("https://www.suredividend.com/sure-analysis-research-database/","Health Catalyst Inc")</f>
        <v>Health Catalyst Inc</v>
      </c>
      <c r="C683" t="s">
        <v>1802</v>
      </c>
      <c r="D683">
        <v>7.6</v>
      </c>
      <c r="E683">
        <v>0</v>
      </c>
      <c r="F683" t="s">
        <v>1797</v>
      </c>
      <c r="G683" t="s">
        <v>1797</v>
      </c>
      <c r="H683">
        <v>0</v>
      </c>
      <c r="I683">
        <v>432.92250100000001</v>
      </c>
      <c r="J683" t="s">
        <v>1797</v>
      </c>
      <c r="K683">
        <v>0</v>
      </c>
      <c r="L683">
        <v>1.735473588977291</v>
      </c>
      <c r="M683">
        <v>15.87</v>
      </c>
      <c r="N683">
        <v>6.4</v>
      </c>
    </row>
    <row r="684" spans="1:14" x14ac:dyDescent="0.25">
      <c r="A684" s="1" t="s">
        <v>696</v>
      </c>
      <c r="B684" t="str">
        <f>HYPERLINK("https://www.suredividend.com/sure-analysis-research-database/","Warrior Met Coal Inc")</f>
        <v>Warrior Met Coal Inc</v>
      </c>
      <c r="C684" t="s">
        <v>1808</v>
      </c>
      <c r="D684">
        <v>49.37</v>
      </c>
      <c r="E684">
        <v>5.6237040835340002E-3</v>
      </c>
      <c r="F684">
        <v>0</v>
      </c>
      <c r="G684">
        <v>6.9610375725068785E-2</v>
      </c>
      <c r="H684">
        <v>0.27764227060409702</v>
      </c>
      <c r="I684">
        <v>2568.1342880000002</v>
      </c>
      <c r="J684">
        <v>5.7145082357155887</v>
      </c>
      <c r="K684">
        <v>3.2097372324173062E-2</v>
      </c>
      <c r="L684">
        <v>0.68257258585075109</v>
      </c>
      <c r="M684">
        <v>52.92</v>
      </c>
      <c r="N684">
        <v>30.09</v>
      </c>
    </row>
    <row r="685" spans="1:14" x14ac:dyDescent="0.25">
      <c r="A685" s="1" t="s">
        <v>697</v>
      </c>
      <c r="B685" t="str">
        <f>HYPERLINK("https://www.suredividend.com/sure-analysis-research-database/","Heritage-Crystal Clean Inc")</f>
        <v>Heritage-Crystal Clean Inc</v>
      </c>
      <c r="C685" t="s">
        <v>1798</v>
      </c>
      <c r="D685">
        <v>45.51</v>
      </c>
      <c r="E685">
        <v>0</v>
      </c>
      <c r="F685" t="s">
        <v>1797</v>
      </c>
      <c r="G685" t="s">
        <v>1797</v>
      </c>
      <c r="H685">
        <v>0</v>
      </c>
      <c r="I685">
        <v>0</v>
      </c>
      <c r="J685">
        <v>0</v>
      </c>
      <c r="K685" t="s">
        <v>1797</v>
      </c>
    </row>
    <row r="686" spans="1:14" x14ac:dyDescent="0.25">
      <c r="A686" s="1" t="s">
        <v>698</v>
      </c>
      <c r="B686" t="str">
        <f>HYPERLINK("https://www.suredividend.com/sure-analysis-research-database/","HCI Group Inc")</f>
        <v>HCI Group Inc</v>
      </c>
      <c r="C686" t="s">
        <v>1800</v>
      </c>
      <c r="D686">
        <v>62.69</v>
      </c>
      <c r="E686">
        <v>2.5252570391717001E-2</v>
      </c>
      <c r="F686">
        <v>0</v>
      </c>
      <c r="G686">
        <v>1.299136822423641E-2</v>
      </c>
      <c r="H686">
        <v>1.5830836378567641</v>
      </c>
      <c r="I686">
        <v>538.59417599999995</v>
      </c>
      <c r="J686" t="s">
        <v>1797</v>
      </c>
      <c r="K686" t="s">
        <v>1797</v>
      </c>
      <c r="L686">
        <v>1.006353968246015</v>
      </c>
      <c r="M686">
        <v>69.52</v>
      </c>
      <c r="N686">
        <v>31.72</v>
      </c>
    </row>
    <row r="687" spans="1:14" x14ac:dyDescent="0.25">
      <c r="A687" s="1" t="s">
        <v>699</v>
      </c>
      <c r="B687" t="str">
        <f>HYPERLINK("https://www.suredividend.com/sure-analysis-research-database/","Hackett Group Inc (The)")</f>
        <v>Hackett Group Inc (The)</v>
      </c>
      <c r="C687" t="s">
        <v>1803</v>
      </c>
      <c r="D687">
        <v>23.49</v>
      </c>
      <c r="E687">
        <v>1.8590172061216999E-2</v>
      </c>
      <c r="F687" t="s">
        <v>1797</v>
      </c>
      <c r="G687" t="s">
        <v>1797</v>
      </c>
      <c r="H687">
        <v>0.43668314171799399</v>
      </c>
      <c r="I687">
        <v>639.31931999999995</v>
      </c>
      <c r="J687">
        <v>17.296196734842951</v>
      </c>
      <c r="K687">
        <v>0.34934651337439532</v>
      </c>
      <c r="L687">
        <v>0.6493399084719681</v>
      </c>
      <c r="M687">
        <v>24.7</v>
      </c>
      <c r="N687">
        <v>16.940000000000001</v>
      </c>
    </row>
    <row r="688" spans="1:14" x14ac:dyDescent="0.25">
      <c r="A688" s="1" t="s">
        <v>700</v>
      </c>
      <c r="B688" t="str">
        <f>HYPERLINK("https://www.suredividend.com/sure-analysis-research-database/","Healthcare Services Group, Inc.")</f>
        <v>Healthcare Services Group, Inc.</v>
      </c>
      <c r="C688" t="s">
        <v>1802</v>
      </c>
      <c r="D688">
        <v>10.039999999999999</v>
      </c>
      <c r="E688">
        <v>2.1414342985684998E-2</v>
      </c>
      <c r="F688" t="s">
        <v>1797</v>
      </c>
      <c r="G688" t="s">
        <v>1797</v>
      </c>
      <c r="H688">
        <v>0.21500000357627799</v>
      </c>
      <c r="I688">
        <v>741.44395999999995</v>
      </c>
      <c r="J688">
        <v>23.20856293235672</v>
      </c>
      <c r="K688">
        <v>0.50104871492956882</v>
      </c>
      <c r="L688">
        <v>1.082817795835519</v>
      </c>
      <c r="M688">
        <v>15.97</v>
      </c>
      <c r="N688">
        <v>8.75</v>
      </c>
    </row>
    <row r="689" spans="1:14" x14ac:dyDescent="0.25">
      <c r="A689" s="1" t="s">
        <v>701</v>
      </c>
      <c r="B689" t="str">
        <f>HYPERLINK("https://www.suredividend.com/sure-analysis-research-database/","Hudson Technologies, Inc.")</f>
        <v>Hudson Technologies, Inc.</v>
      </c>
      <c r="C689" t="s">
        <v>1808</v>
      </c>
      <c r="D689">
        <v>12.37</v>
      </c>
      <c r="E689">
        <v>0</v>
      </c>
      <c r="F689" t="s">
        <v>1797</v>
      </c>
      <c r="G689" t="s">
        <v>1797</v>
      </c>
      <c r="H689">
        <v>0</v>
      </c>
      <c r="I689">
        <v>561.53720099999998</v>
      </c>
      <c r="J689">
        <v>0</v>
      </c>
      <c r="K689" t="s">
        <v>1797</v>
      </c>
      <c r="L689">
        <v>1.254765411157887</v>
      </c>
      <c r="M689">
        <v>14.14</v>
      </c>
      <c r="N689">
        <v>7.21</v>
      </c>
    </row>
    <row r="690" spans="1:14" x14ac:dyDescent="0.25">
      <c r="A690" s="1" t="s">
        <v>702</v>
      </c>
      <c r="B690" t="str">
        <f>HYPERLINK("https://www.suredividend.com/sure-analysis-research-database/","Turtle Beach Corp")</f>
        <v>Turtle Beach Corp</v>
      </c>
      <c r="C690" t="s">
        <v>1803</v>
      </c>
      <c r="D690">
        <v>8.51</v>
      </c>
      <c r="E690">
        <v>0</v>
      </c>
      <c r="F690" t="s">
        <v>1797</v>
      </c>
      <c r="G690" t="s">
        <v>1797</v>
      </c>
      <c r="H690">
        <v>0</v>
      </c>
      <c r="I690">
        <v>147.30188799999999</v>
      </c>
      <c r="J690" t="s">
        <v>1797</v>
      </c>
      <c r="K690">
        <v>0</v>
      </c>
      <c r="L690">
        <v>1.5701562662563471</v>
      </c>
      <c r="M690">
        <v>13.26</v>
      </c>
      <c r="N690">
        <v>6.17</v>
      </c>
    </row>
    <row r="691" spans="1:14" x14ac:dyDescent="0.25">
      <c r="A691" s="1" t="s">
        <v>703</v>
      </c>
      <c r="B691" t="str">
        <f>HYPERLINK("https://www.suredividend.com/sure-analysis-research-database/","H&amp;E Equipment Services Inc")</f>
        <v>H&amp;E Equipment Services Inc</v>
      </c>
      <c r="C691" t="s">
        <v>1798</v>
      </c>
      <c r="D691">
        <v>43.54</v>
      </c>
      <c r="E691">
        <v>2.4820101549806999E-2</v>
      </c>
      <c r="F691">
        <v>0</v>
      </c>
      <c r="G691">
        <v>0</v>
      </c>
      <c r="H691">
        <v>1.0806672214786199</v>
      </c>
      <c r="I691">
        <v>1587.0297780000001</v>
      </c>
      <c r="J691">
        <v>9.5076699638751236</v>
      </c>
      <c r="K691">
        <v>0.23240155300615481</v>
      </c>
      <c r="L691">
        <v>1.25594695166015</v>
      </c>
      <c r="M691">
        <v>54.98</v>
      </c>
      <c r="N691">
        <v>31.48</v>
      </c>
    </row>
    <row r="692" spans="1:14" x14ac:dyDescent="0.25">
      <c r="A692" s="1" t="s">
        <v>704</v>
      </c>
      <c r="B692" t="str">
        <f>HYPERLINK("https://www.suredividend.com/sure-analysis-research-database/","Helen of Troy Ltd")</f>
        <v>Helen of Troy Ltd</v>
      </c>
      <c r="C692" t="s">
        <v>1804</v>
      </c>
      <c r="D692">
        <v>102.65</v>
      </c>
      <c r="E692">
        <v>0</v>
      </c>
      <c r="F692" t="s">
        <v>1797</v>
      </c>
      <c r="G692" t="s">
        <v>1797</v>
      </c>
      <c r="H692">
        <v>0</v>
      </c>
      <c r="I692">
        <v>2437.1929799999998</v>
      </c>
      <c r="J692">
        <v>17.664914904543089</v>
      </c>
      <c r="K692">
        <v>0</v>
      </c>
      <c r="L692">
        <v>1.4806446390114969</v>
      </c>
      <c r="M692">
        <v>143.68</v>
      </c>
      <c r="N692">
        <v>81.14</v>
      </c>
    </row>
    <row r="693" spans="1:14" x14ac:dyDescent="0.25">
      <c r="A693" s="1" t="s">
        <v>705</v>
      </c>
      <c r="B693" t="str">
        <f>HYPERLINK("https://www.suredividend.com/sure-analysis-research-database/","HF Foods Group Inc.")</f>
        <v>HF Foods Group Inc.</v>
      </c>
      <c r="C693" t="s">
        <v>1804</v>
      </c>
      <c r="D693">
        <v>4.1900000000000004</v>
      </c>
      <c r="E693">
        <v>0</v>
      </c>
      <c r="F693" t="s">
        <v>1797</v>
      </c>
      <c r="G693" t="s">
        <v>1797</v>
      </c>
      <c r="H693">
        <v>0</v>
      </c>
      <c r="I693">
        <v>226.871422</v>
      </c>
      <c r="J693" t="s">
        <v>1797</v>
      </c>
      <c r="K693">
        <v>0</v>
      </c>
      <c r="L693">
        <v>1.5066876442064021</v>
      </c>
      <c r="M693">
        <v>6.55</v>
      </c>
      <c r="N693">
        <v>3.42</v>
      </c>
    </row>
    <row r="694" spans="1:14" x14ac:dyDescent="0.25">
      <c r="A694" s="1" t="s">
        <v>706</v>
      </c>
      <c r="B694" t="str">
        <f>HYPERLINK("https://www.suredividend.com/sure-analysis-research-database/","Heritage Financial Corp.")</f>
        <v>Heritage Financial Corp.</v>
      </c>
      <c r="C694" t="s">
        <v>1800</v>
      </c>
      <c r="D694">
        <v>17.649999999999999</v>
      </c>
      <c r="E694">
        <v>4.7985228534603998E-2</v>
      </c>
      <c r="F694">
        <v>4.7619047619047672E-2</v>
      </c>
      <c r="G694">
        <v>4.0950396969256841E-2</v>
      </c>
      <c r="H694">
        <v>0.84693928363577309</v>
      </c>
      <c r="I694">
        <v>618.59366999999997</v>
      </c>
      <c r="J694">
        <v>7.6523580786026191</v>
      </c>
      <c r="K694">
        <v>0.37146459808586529</v>
      </c>
      <c r="L694">
        <v>0.96217946838109603</v>
      </c>
      <c r="M694">
        <v>31.55</v>
      </c>
      <c r="N694">
        <v>14.12</v>
      </c>
    </row>
    <row r="695" spans="1:14" x14ac:dyDescent="0.25">
      <c r="A695" s="1" t="s">
        <v>707</v>
      </c>
      <c r="B695" t="str">
        <f>HYPERLINK("https://www.suredividend.com/sure-analysis-research-database/","Hilton Grand Vacations Inc")</f>
        <v>Hilton Grand Vacations Inc</v>
      </c>
      <c r="C695" t="s">
        <v>1801</v>
      </c>
      <c r="D695">
        <v>37.25</v>
      </c>
      <c r="E695">
        <v>0</v>
      </c>
      <c r="F695" t="s">
        <v>1797</v>
      </c>
      <c r="G695" t="s">
        <v>1797</v>
      </c>
      <c r="H695">
        <v>0</v>
      </c>
      <c r="I695">
        <v>4099.2424810000002</v>
      </c>
      <c r="J695">
        <v>10.75916661548556</v>
      </c>
      <c r="K695">
        <v>0</v>
      </c>
      <c r="L695">
        <v>1.2117791809438661</v>
      </c>
      <c r="M695">
        <v>51.81</v>
      </c>
      <c r="N695">
        <v>34.409999999999997</v>
      </c>
    </row>
    <row r="696" spans="1:14" x14ac:dyDescent="0.25">
      <c r="A696" s="1" t="s">
        <v>708</v>
      </c>
      <c r="B696" t="str">
        <f>HYPERLINK("https://www.suredividend.com/sure-analysis-HI/","Hillenbrand Inc")</f>
        <v>Hillenbrand Inc</v>
      </c>
      <c r="C696" t="s">
        <v>1798</v>
      </c>
      <c r="D696">
        <v>40.47</v>
      </c>
      <c r="E696">
        <v>2.1744502100321229E-2</v>
      </c>
      <c r="F696">
        <v>1.1494252873563321E-2</v>
      </c>
      <c r="G696">
        <v>9.3474199095688881E-3</v>
      </c>
      <c r="H696">
        <v>0.87370850192472005</v>
      </c>
      <c r="I696">
        <v>2829.4717460000002</v>
      </c>
      <c r="J696">
        <v>4.6514413049975341</v>
      </c>
      <c r="K696">
        <v>0.1004262645890483</v>
      </c>
      <c r="L696">
        <v>1.17190221406498</v>
      </c>
      <c r="M696">
        <v>53.4</v>
      </c>
      <c r="N696">
        <v>37.19</v>
      </c>
    </row>
    <row r="697" spans="1:14" x14ac:dyDescent="0.25">
      <c r="A697" s="1" t="s">
        <v>709</v>
      </c>
      <c r="B697" t="str">
        <f>HYPERLINK("https://www.suredividend.com/sure-analysis-research-database/","Hibbett Inc")</f>
        <v>Hibbett Inc</v>
      </c>
      <c r="C697" t="s">
        <v>1801</v>
      </c>
      <c r="D697">
        <v>50.37</v>
      </c>
      <c r="E697">
        <v>1.9684674466131001E-2</v>
      </c>
      <c r="F697" t="s">
        <v>1797</v>
      </c>
      <c r="G697" t="s">
        <v>1797</v>
      </c>
      <c r="H697">
        <v>0.99151705285906111</v>
      </c>
      <c r="I697">
        <v>624.30748900000003</v>
      </c>
      <c r="J697">
        <v>5.6358666245689406</v>
      </c>
      <c r="K697">
        <v>0.1170622258393224</v>
      </c>
      <c r="L697">
        <v>1.247470697192365</v>
      </c>
      <c r="M697">
        <v>74.16</v>
      </c>
      <c r="N697">
        <v>34.43</v>
      </c>
    </row>
    <row r="698" spans="1:14" x14ac:dyDescent="0.25">
      <c r="A698" s="1" t="s">
        <v>710</v>
      </c>
      <c r="B698" t="str">
        <f>HYPERLINK("https://www.suredividend.com/sure-analysis-HIFS/","Hingham Institution For Savings")</f>
        <v>Hingham Institution For Savings</v>
      </c>
      <c r="C698" t="s">
        <v>1800</v>
      </c>
      <c r="D698">
        <v>163.94</v>
      </c>
      <c r="E698">
        <v>1.537147736976943E-2</v>
      </c>
      <c r="F698">
        <v>0</v>
      </c>
      <c r="G698">
        <v>8.9711009225780014E-2</v>
      </c>
      <c r="H698">
        <v>2.4933437759476722</v>
      </c>
      <c r="I698">
        <v>345.25763999999998</v>
      </c>
      <c r="J698">
        <v>0</v>
      </c>
      <c r="K698" t="s">
        <v>1797</v>
      </c>
      <c r="L698">
        <v>1.2089263329165001</v>
      </c>
      <c r="M698">
        <v>304.86</v>
      </c>
      <c r="N698">
        <v>147.01</v>
      </c>
    </row>
    <row r="699" spans="1:14" x14ac:dyDescent="0.25">
      <c r="A699" s="1" t="s">
        <v>711</v>
      </c>
      <c r="B699" t="str">
        <f>HYPERLINK("https://www.suredividend.com/sure-analysis-research-database/","Hims &amp; Hers Health Inc")</f>
        <v>Hims &amp; Hers Health Inc</v>
      </c>
      <c r="C699" t="s">
        <v>1797</v>
      </c>
      <c r="D699">
        <v>6.48</v>
      </c>
      <c r="E699">
        <v>0</v>
      </c>
      <c r="F699" t="s">
        <v>1797</v>
      </c>
      <c r="G699" t="s">
        <v>1797</v>
      </c>
      <c r="H699">
        <v>0</v>
      </c>
      <c r="I699">
        <v>1313.1402029999999</v>
      </c>
      <c r="J699" t="s">
        <v>1797</v>
      </c>
      <c r="K699">
        <v>0</v>
      </c>
      <c r="L699">
        <v>1.5617433084479839</v>
      </c>
      <c r="M699">
        <v>12.34</v>
      </c>
      <c r="N699">
        <v>4.2</v>
      </c>
    </row>
    <row r="700" spans="1:14" x14ac:dyDescent="0.25">
      <c r="A700" s="1" t="s">
        <v>712</v>
      </c>
      <c r="B700" t="str">
        <f>HYPERLINK("https://www.suredividend.com/sure-analysis-research-database/","Hippo Holdings Inc")</f>
        <v>Hippo Holdings Inc</v>
      </c>
      <c r="C700" t="s">
        <v>1797</v>
      </c>
      <c r="D700">
        <v>9.7799999999999994</v>
      </c>
      <c r="E700">
        <v>0</v>
      </c>
      <c r="F700" t="s">
        <v>1797</v>
      </c>
      <c r="G700" t="s">
        <v>1797</v>
      </c>
      <c r="H700">
        <v>0</v>
      </c>
      <c r="I700">
        <v>231.44725</v>
      </c>
      <c r="J700" t="s">
        <v>1797</v>
      </c>
      <c r="K700">
        <v>0</v>
      </c>
      <c r="L700">
        <v>1.664245591528162</v>
      </c>
      <c r="M700">
        <v>20.39</v>
      </c>
      <c r="N700">
        <v>6.65</v>
      </c>
    </row>
    <row r="701" spans="1:14" x14ac:dyDescent="0.25">
      <c r="A701" s="1" t="s">
        <v>713</v>
      </c>
      <c r="B701" t="str">
        <f>HYPERLINK("https://www.suredividend.com/sure-analysis-research-database/","Hecla Mining Co.")</f>
        <v>Hecla Mining Co.</v>
      </c>
      <c r="C701" t="s">
        <v>1808</v>
      </c>
      <c r="D701">
        <v>4.34</v>
      </c>
      <c r="E701">
        <v>5.1748310626020004E-3</v>
      </c>
      <c r="F701">
        <v>0.66666666666666652</v>
      </c>
      <c r="G701">
        <v>0.20112443398143129</v>
      </c>
      <c r="H701">
        <v>2.2458766811695001E-2</v>
      </c>
      <c r="I701">
        <v>2679.2536340000001</v>
      </c>
      <c r="J701" t="s">
        <v>1797</v>
      </c>
      <c r="K701" t="s">
        <v>1797</v>
      </c>
      <c r="L701">
        <v>1.1901178555980181</v>
      </c>
      <c r="M701">
        <v>6.98</v>
      </c>
      <c r="N701">
        <v>3.55</v>
      </c>
    </row>
    <row r="702" spans="1:14" x14ac:dyDescent="0.25">
      <c r="A702" s="1" t="s">
        <v>714</v>
      </c>
      <c r="B702" t="str">
        <f>HYPERLINK("https://www.suredividend.com/sure-analysis-research-database/","Herbalife Ltd")</f>
        <v>Herbalife Ltd</v>
      </c>
      <c r="C702" t="s">
        <v>1804</v>
      </c>
      <c r="D702">
        <v>13.26</v>
      </c>
      <c r="E702">
        <v>0</v>
      </c>
      <c r="F702" t="s">
        <v>1797</v>
      </c>
      <c r="G702" t="s">
        <v>1797</v>
      </c>
      <c r="H702">
        <v>0</v>
      </c>
      <c r="I702">
        <v>1314.2311</v>
      </c>
      <c r="J702">
        <v>7.0505960314377676</v>
      </c>
      <c r="K702">
        <v>0</v>
      </c>
      <c r="L702">
        <v>1.3807554707258389</v>
      </c>
      <c r="M702">
        <v>21.33</v>
      </c>
      <c r="N702">
        <v>11.14</v>
      </c>
    </row>
    <row r="703" spans="1:14" x14ac:dyDescent="0.25">
      <c r="A703" s="1" t="s">
        <v>715</v>
      </c>
      <c r="B703" t="str">
        <f>HYPERLINK("https://www.suredividend.com/sure-analysis-research-database/","Heliogen Inc")</f>
        <v>Heliogen Inc</v>
      </c>
      <c r="C703" t="s">
        <v>1797</v>
      </c>
      <c r="D703">
        <v>2.5299999999999998</v>
      </c>
      <c r="E703">
        <v>0</v>
      </c>
      <c r="F703" t="s">
        <v>1797</v>
      </c>
      <c r="G703" t="s">
        <v>1797</v>
      </c>
      <c r="H703">
        <v>0</v>
      </c>
      <c r="I703">
        <v>518.89540699999998</v>
      </c>
      <c r="J703" t="s">
        <v>1797</v>
      </c>
      <c r="K703">
        <v>0</v>
      </c>
      <c r="L703">
        <v>2.6945914133390478</v>
      </c>
      <c r="M703">
        <v>60.73</v>
      </c>
      <c r="N703">
        <v>1.63</v>
      </c>
    </row>
    <row r="704" spans="1:14" x14ac:dyDescent="0.25">
      <c r="A704" s="1" t="s">
        <v>716</v>
      </c>
      <c r="B704" t="str">
        <f>HYPERLINK("https://www.suredividend.com/sure-analysis-HLI/","Houlihan Lokey Inc")</f>
        <v>Houlihan Lokey Inc</v>
      </c>
      <c r="C704" t="s">
        <v>1800</v>
      </c>
      <c r="D704">
        <v>105.8</v>
      </c>
      <c r="E704">
        <v>2.079395085066163E-2</v>
      </c>
      <c r="F704">
        <v>3.7735849056603772E-2</v>
      </c>
      <c r="G704">
        <v>0.15292162467409559</v>
      </c>
      <c r="H704">
        <v>2.1421215227547208</v>
      </c>
      <c r="I704">
        <v>5441.4378880000004</v>
      </c>
      <c r="J704">
        <v>22.22528147170906</v>
      </c>
      <c r="K704">
        <v>0.5901161219709975</v>
      </c>
      <c r="L704">
        <v>0.83219668732494512</v>
      </c>
      <c r="M704">
        <v>110.94</v>
      </c>
      <c r="N704">
        <v>82.96</v>
      </c>
    </row>
    <row r="705" spans="1:14" x14ac:dyDescent="0.25">
      <c r="A705" s="1" t="s">
        <v>717</v>
      </c>
      <c r="B705" t="str">
        <f>HYPERLINK("https://www.suredividend.com/sure-analysis-research-database/","Helios Technologies Inc")</f>
        <v>Helios Technologies Inc</v>
      </c>
      <c r="C705" t="s">
        <v>1798</v>
      </c>
      <c r="D705">
        <v>44.01</v>
      </c>
      <c r="E705">
        <v>8.1613243721579999E-3</v>
      </c>
      <c r="F705">
        <v>0</v>
      </c>
      <c r="G705">
        <v>0</v>
      </c>
      <c r="H705">
        <v>0.35917988561868502</v>
      </c>
      <c r="I705">
        <v>1453.8654650000001</v>
      </c>
      <c r="J705">
        <v>21.19770018502318</v>
      </c>
      <c r="K705">
        <v>0.1710380407708024</v>
      </c>
      <c r="L705">
        <v>1.042641820973474</v>
      </c>
      <c r="M705">
        <v>72.290000000000006</v>
      </c>
      <c r="N705">
        <v>39.090000000000003</v>
      </c>
    </row>
    <row r="706" spans="1:14" x14ac:dyDescent="0.25">
      <c r="A706" s="1" t="s">
        <v>718</v>
      </c>
      <c r="B706" t="str">
        <f>HYPERLINK("https://www.suredividend.com/sure-analysis-research-database/","Harmonic, Inc.")</f>
        <v>Harmonic, Inc.</v>
      </c>
      <c r="C706" t="s">
        <v>1803</v>
      </c>
      <c r="D706">
        <v>10.87</v>
      </c>
      <c r="E706">
        <v>0</v>
      </c>
      <c r="F706" t="s">
        <v>1797</v>
      </c>
      <c r="G706" t="s">
        <v>1797</v>
      </c>
      <c r="H706">
        <v>0</v>
      </c>
      <c r="I706">
        <v>1216.5158220000001</v>
      </c>
      <c r="J706">
        <v>56.532172579116128</v>
      </c>
      <c r="K706">
        <v>0</v>
      </c>
      <c r="L706">
        <v>0.92557099347113903</v>
      </c>
      <c r="M706">
        <v>18.43</v>
      </c>
      <c r="N706">
        <v>8.8000000000000007</v>
      </c>
    </row>
    <row r="707" spans="1:14" x14ac:dyDescent="0.25">
      <c r="A707" s="1" t="s">
        <v>719</v>
      </c>
      <c r="B707" t="str">
        <f>HYPERLINK("https://www.suredividend.com/sure-analysis-research-database/","Holley Inc")</f>
        <v>Holley Inc</v>
      </c>
      <c r="C707" t="s">
        <v>1797</v>
      </c>
      <c r="D707">
        <v>4.2699999999999996</v>
      </c>
      <c r="E707">
        <v>0</v>
      </c>
      <c r="F707" t="s">
        <v>1797</v>
      </c>
      <c r="G707" t="s">
        <v>1797</v>
      </c>
      <c r="H707">
        <v>0</v>
      </c>
      <c r="I707">
        <v>505.32718899999998</v>
      </c>
      <c r="J707">
        <v>15.048905240775481</v>
      </c>
      <c r="K707">
        <v>0</v>
      </c>
      <c r="L707">
        <v>1.642352311181793</v>
      </c>
      <c r="M707">
        <v>8.06</v>
      </c>
      <c r="N707">
        <v>1.88</v>
      </c>
    </row>
    <row r="708" spans="1:14" x14ac:dyDescent="0.25">
      <c r="A708" s="1" t="s">
        <v>720</v>
      </c>
      <c r="B708" t="str">
        <f>HYPERLINK("https://www.suredividend.com/sure-analysis-research-database/","Hillman Solutions Corp")</f>
        <v>Hillman Solutions Corp</v>
      </c>
      <c r="C708" t="s">
        <v>1797</v>
      </c>
      <c r="D708">
        <v>7.06</v>
      </c>
      <c r="E708">
        <v>0</v>
      </c>
      <c r="F708" t="s">
        <v>1797</v>
      </c>
      <c r="G708" t="s">
        <v>1797</v>
      </c>
      <c r="H708">
        <v>0</v>
      </c>
      <c r="I708">
        <v>1375.2484919999999</v>
      </c>
      <c r="J708" t="s">
        <v>1797</v>
      </c>
      <c r="K708">
        <v>0</v>
      </c>
      <c r="L708">
        <v>1.39522685596449</v>
      </c>
      <c r="M708">
        <v>10.28</v>
      </c>
      <c r="N708">
        <v>6.46</v>
      </c>
    </row>
    <row r="709" spans="1:14" x14ac:dyDescent="0.25">
      <c r="A709" s="1" t="s">
        <v>721</v>
      </c>
      <c r="B709" t="str">
        <f>HYPERLINK("https://www.suredividend.com/sure-analysis-research-database/","Hamilton Lane Inc")</f>
        <v>Hamilton Lane Inc</v>
      </c>
      <c r="C709" t="s">
        <v>1800</v>
      </c>
      <c r="D709">
        <v>91.94</v>
      </c>
      <c r="E709">
        <v>1.8124132567943999E-2</v>
      </c>
      <c r="F709">
        <v>0.1125</v>
      </c>
      <c r="G709">
        <v>0.15931169051681421</v>
      </c>
      <c r="H709">
        <v>1.666332748296862</v>
      </c>
      <c r="I709">
        <v>3547.8319310000002</v>
      </c>
      <c r="J709">
        <v>32.234848817757268</v>
      </c>
      <c r="K709">
        <v>0.81284524307164008</v>
      </c>
      <c r="L709">
        <v>1.3044612607739481</v>
      </c>
      <c r="M709">
        <v>93.42</v>
      </c>
      <c r="N709">
        <v>60.77</v>
      </c>
    </row>
    <row r="710" spans="1:14" x14ac:dyDescent="0.25">
      <c r="A710" s="1" t="s">
        <v>722</v>
      </c>
      <c r="B710" t="str">
        <f>HYPERLINK("https://www.suredividend.com/sure-analysis-research-database/","Cue Health Inc")</f>
        <v>Cue Health Inc</v>
      </c>
      <c r="C710" t="s">
        <v>1797</v>
      </c>
      <c r="D710">
        <v>0.3221</v>
      </c>
      <c r="E710">
        <v>0</v>
      </c>
      <c r="F710" t="s">
        <v>1797</v>
      </c>
      <c r="G710" t="s">
        <v>1797</v>
      </c>
      <c r="H710">
        <v>0</v>
      </c>
      <c r="I710">
        <v>49.445977999999997</v>
      </c>
      <c r="J710" t="s">
        <v>1797</v>
      </c>
      <c r="K710">
        <v>0</v>
      </c>
      <c r="L710">
        <v>1.6428749090534021</v>
      </c>
      <c r="M710">
        <v>4.38</v>
      </c>
      <c r="N710">
        <v>0.27900000000000003</v>
      </c>
    </row>
    <row r="711" spans="1:14" x14ac:dyDescent="0.25">
      <c r="A711" s="1" t="s">
        <v>723</v>
      </c>
      <c r="B711" t="str">
        <f>HYPERLINK("https://www.suredividend.com/sure-analysis-research-database/","HilleVax Inc")</f>
        <v>HilleVax Inc</v>
      </c>
      <c r="C711" t="s">
        <v>1797</v>
      </c>
      <c r="D711">
        <v>12.75</v>
      </c>
      <c r="E711">
        <v>0</v>
      </c>
      <c r="F711" t="s">
        <v>1797</v>
      </c>
      <c r="G711" t="s">
        <v>1797</v>
      </c>
      <c r="H711">
        <v>0</v>
      </c>
      <c r="I711">
        <v>617.31587000000002</v>
      </c>
      <c r="J711">
        <v>0</v>
      </c>
      <c r="K711" t="s">
        <v>1797</v>
      </c>
      <c r="L711">
        <v>1.012769991093561</v>
      </c>
      <c r="M711">
        <v>22.68</v>
      </c>
      <c r="N711">
        <v>9.94</v>
      </c>
    </row>
    <row r="712" spans="1:14" x14ac:dyDescent="0.25">
      <c r="A712" s="1" t="s">
        <v>724</v>
      </c>
      <c r="B712" t="str">
        <f>HYPERLINK("https://www.suredividend.com/sure-analysis-research-database/","Helix Energy Solutions Group Inc")</f>
        <v>Helix Energy Solutions Group Inc</v>
      </c>
      <c r="C712" t="s">
        <v>1807</v>
      </c>
      <c r="D712">
        <v>10.19</v>
      </c>
      <c r="E712">
        <v>0</v>
      </c>
      <c r="F712" t="s">
        <v>1797</v>
      </c>
      <c r="G712" t="s">
        <v>1797</v>
      </c>
      <c r="H712">
        <v>0</v>
      </c>
      <c r="I712">
        <v>1535.7474239999999</v>
      </c>
      <c r="J712">
        <v>76.159058939251182</v>
      </c>
      <c r="K712">
        <v>0</v>
      </c>
      <c r="L712">
        <v>0.80953068151474206</v>
      </c>
      <c r="M712">
        <v>11.88</v>
      </c>
      <c r="N712">
        <v>5.76</v>
      </c>
    </row>
    <row r="713" spans="1:14" x14ac:dyDescent="0.25">
      <c r="A713" s="1" t="s">
        <v>725</v>
      </c>
      <c r="B713" t="str">
        <f>HYPERLINK("https://www.suredividend.com/sure-analysis-HMN/","Horace Mann Educators Corp.")</f>
        <v>Horace Mann Educators Corp.</v>
      </c>
      <c r="C713" t="s">
        <v>1800</v>
      </c>
      <c r="D713">
        <v>33</v>
      </c>
      <c r="E713">
        <v>0.04</v>
      </c>
      <c r="F713">
        <v>3.125E-2</v>
      </c>
      <c r="G713">
        <v>2.9754778570413091E-2</v>
      </c>
      <c r="H713">
        <v>1.2889593824257699</v>
      </c>
      <c r="I713">
        <v>1347.795801</v>
      </c>
      <c r="J713" t="s">
        <v>1797</v>
      </c>
      <c r="K713" t="s">
        <v>1797</v>
      </c>
      <c r="L713">
        <v>0.48419815264531801</v>
      </c>
      <c r="M713">
        <v>37.71</v>
      </c>
      <c r="N713">
        <v>27.49</v>
      </c>
    </row>
    <row r="714" spans="1:14" x14ac:dyDescent="0.25">
      <c r="A714" s="1" t="s">
        <v>726</v>
      </c>
      <c r="B714" t="str">
        <f>HYPERLINK("https://www.suredividend.com/sure-analysis-research-database/","Home Point Capital Inc")</f>
        <v>Home Point Capital Inc</v>
      </c>
      <c r="C714" t="s">
        <v>1797</v>
      </c>
      <c r="D714">
        <v>2.3199999999999998</v>
      </c>
      <c r="E714">
        <v>0</v>
      </c>
      <c r="F714" t="s">
        <v>1797</v>
      </c>
      <c r="G714" t="s">
        <v>1797</v>
      </c>
      <c r="H714">
        <v>0</v>
      </c>
      <c r="I714">
        <v>0</v>
      </c>
      <c r="J714">
        <v>0</v>
      </c>
      <c r="K714" t="s">
        <v>1797</v>
      </c>
    </row>
    <row r="715" spans="1:14" x14ac:dyDescent="0.25">
      <c r="A715" s="1" t="s">
        <v>727</v>
      </c>
      <c r="B715" t="str">
        <f>HYPERLINK("https://www.suredividend.com/sure-analysis-research-database/","HomeStreet Inc")</f>
        <v>HomeStreet Inc</v>
      </c>
      <c r="C715" t="s">
        <v>1800</v>
      </c>
      <c r="D715">
        <v>6.35</v>
      </c>
      <c r="E715">
        <v>0.13536033080185</v>
      </c>
      <c r="F715" t="s">
        <v>1797</v>
      </c>
      <c r="G715" t="s">
        <v>1797</v>
      </c>
      <c r="H715">
        <v>0.85953810059175206</v>
      </c>
      <c r="I715">
        <v>119.342091</v>
      </c>
      <c r="J715">
        <v>48.04431984702093</v>
      </c>
      <c r="K715">
        <v>6.4968866257879974</v>
      </c>
      <c r="L715">
        <v>1.640519596978719</v>
      </c>
      <c r="M715">
        <v>28.31</v>
      </c>
      <c r="N715">
        <v>4.2</v>
      </c>
    </row>
    <row r="716" spans="1:14" x14ac:dyDescent="0.25">
      <c r="A716" s="1" t="s">
        <v>728</v>
      </c>
      <c r="B716" t="str">
        <f>HYPERLINK("https://www.suredividend.com/sure-analysis-HNI/","HNI Corp.")</f>
        <v>HNI Corp.</v>
      </c>
      <c r="C716" t="s">
        <v>1798</v>
      </c>
      <c r="D716">
        <v>38.549999999999997</v>
      </c>
      <c r="E716">
        <v>3.3203631647211407E-2</v>
      </c>
      <c r="F716">
        <v>0</v>
      </c>
      <c r="G716">
        <v>1.6402190778280978E-2</v>
      </c>
      <c r="H716">
        <v>1.2597690386169189</v>
      </c>
      <c r="I716">
        <v>1795.637489</v>
      </c>
      <c r="J716">
        <v>41.834897933460702</v>
      </c>
      <c r="K716">
        <v>1.278434177610025</v>
      </c>
      <c r="L716">
        <v>0.92596769231742504</v>
      </c>
      <c r="M716">
        <v>38.68</v>
      </c>
      <c r="N716">
        <v>24.07</v>
      </c>
    </row>
    <row r="717" spans="1:14" x14ac:dyDescent="0.25">
      <c r="A717" s="1" t="s">
        <v>729</v>
      </c>
      <c r="B717" t="str">
        <f>HYPERLINK("https://www.suredividend.com/sure-analysis-research-database/","Honest Company Inc (The )")</f>
        <v>Honest Company Inc (The )</v>
      </c>
      <c r="C717" t="s">
        <v>1797</v>
      </c>
      <c r="D717">
        <v>1.24</v>
      </c>
      <c r="E717">
        <v>0</v>
      </c>
      <c r="F717" t="s">
        <v>1797</v>
      </c>
      <c r="G717" t="s">
        <v>1797</v>
      </c>
      <c r="H717">
        <v>0</v>
      </c>
      <c r="I717">
        <v>115.85507699999999</v>
      </c>
      <c r="J717" t="s">
        <v>1797</v>
      </c>
      <c r="K717">
        <v>0</v>
      </c>
      <c r="L717">
        <v>1.1609753049577549</v>
      </c>
      <c r="M717">
        <v>3.75</v>
      </c>
      <c r="N717">
        <v>1.06</v>
      </c>
    </row>
    <row r="718" spans="1:14" x14ac:dyDescent="0.25">
      <c r="A718" s="1" t="s">
        <v>730</v>
      </c>
      <c r="B718" t="str">
        <f>HYPERLINK("https://www.suredividend.com/sure-analysis-HOMB/","Home Bancshares Inc")</f>
        <v>Home Bancshares Inc</v>
      </c>
      <c r="C718" t="s">
        <v>1800</v>
      </c>
      <c r="D718">
        <v>21.7</v>
      </c>
      <c r="E718">
        <v>3.3179723502304137E-2</v>
      </c>
      <c r="F718">
        <v>9.0909090909090828E-2</v>
      </c>
      <c r="G718">
        <v>8.4471771197698553E-2</v>
      </c>
      <c r="H718">
        <v>0.69679503338380511</v>
      </c>
      <c r="I718">
        <v>4396.0164889999996</v>
      </c>
      <c r="J718">
        <v>10.161263192141</v>
      </c>
      <c r="K718">
        <v>0.32867690253953069</v>
      </c>
      <c r="L718">
        <v>1.0345916703310729</v>
      </c>
      <c r="M718">
        <v>25.46</v>
      </c>
      <c r="N718">
        <v>19.45</v>
      </c>
    </row>
    <row r="719" spans="1:14" x14ac:dyDescent="0.25">
      <c r="A719" s="1" t="s">
        <v>731</v>
      </c>
      <c r="B719" t="str">
        <f>HYPERLINK("https://www.suredividend.com/sure-analysis-research-database/","HarborOne Bancorp Inc.")</f>
        <v>HarborOne Bancorp Inc.</v>
      </c>
      <c r="C719" t="s">
        <v>1800</v>
      </c>
      <c r="D719">
        <v>10.47</v>
      </c>
      <c r="E719">
        <v>2.7748247149590999E-2</v>
      </c>
      <c r="F719" t="s">
        <v>1797</v>
      </c>
      <c r="G719" t="s">
        <v>1797</v>
      </c>
      <c r="H719">
        <v>0.29052414765622298</v>
      </c>
      <c r="I719">
        <v>487.33115500000002</v>
      </c>
      <c r="J719">
        <v>12.787152125633019</v>
      </c>
      <c r="K719">
        <v>0.34430451251033778</v>
      </c>
      <c r="L719">
        <v>0.92025829924148705</v>
      </c>
      <c r="M719">
        <v>14.41</v>
      </c>
      <c r="N719">
        <v>7.33</v>
      </c>
    </row>
    <row r="720" spans="1:14" x14ac:dyDescent="0.25">
      <c r="A720" s="1" t="s">
        <v>732</v>
      </c>
      <c r="B720" t="str">
        <f>HYPERLINK("https://www.suredividend.com/sure-analysis-research-database/","Hope Bancorp Inc")</f>
        <v>Hope Bancorp Inc</v>
      </c>
      <c r="C720" t="s">
        <v>1800</v>
      </c>
      <c r="D720">
        <v>9.6</v>
      </c>
      <c r="E720">
        <v>5.6773205581214008E-2</v>
      </c>
      <c r="F720" t="s">
        <v>1797</v>
      </c>
      <c r="G720" t="s">
        <v>1797</v>
      </c>
      <c r="H720">
        <v>0.545022773579662</v>
      </c>
      <c r="I720">
        <v>1152.174931</v>
      </c>
      <c r="J720">
        <v>6.3100371928979042</v>
      </c>
      <c r="K720">
        <v>0.35856761419714611</v>
      </c>
      <c r="L720">
        <v>1.2113103105041141</v>
      </c>
      <c r="M720">
        <v>12.97</v>
      </c>
      <c r="N720">
        <v>7.21</v>
      </c>
    </row>
    <row r="721" spans="1:14" x14ac:dyDescent="0.25">
      <c r="A721" s="1" t="s">
        <v>733</v>
      </c>
      <c r="B721" t="str">
        <f>HYPERLINK("https://www.suredividend.com/sure-analysis-research-database/","Anywhere Real Estate Inc")</f>
        <v>Anywhere Real Estate Inc</v>
      </c>
      <c r="C721" t="s">
        <v>1797</v>
      </c>
      <c r="D721">
        <v>5.21</v>
      </c>
      <c r="E721">
        <v>0</v>
      </c>
      <c r="F721" t="s">
        <v>1797</v>
      </c>
      <c r="G721" t="s">
        <v>1797</v>
      </c>
      <c r="H721">
        <v>0</v>
      </c>
      <c r="I721">
        <v>575.62649099999999</v>
      </c>
      <c r="J721" t="s">
        <v>1797</v>
      </c>
      <c r="K721">
        <v>0</v>
      </c>
      <c r="L721">
        <v>2.3797021526381288</v>
      </c>
      <c r="M721">
        <v>9.85</v>
      </c>
      <c r="N721">
        <v>4.09</v>
      </c>
    </row>
    <row r="722" spans="1:14" x14ac:dyDescent="0.25">
      <c r="A722" s="1" t="s">
        <v>734</v>
      </c>
      <c r="B722" t="str">
        <f>HYPERLINK("https://www.suredividend.com/sure-analysis-research-database/","Hovnanian Enterprises, Inc.")</f>
        <v>Hovnanian Enterprises, Inc.</v>
      </c>
      <c r="C722" t="s">
        <v>1801</v>
      </c>
      <c r="D722">
        <v>84.49</v>
      </c>
      <c r="E722">
        <v>0</v>
      </c>
      <c r="F722" t="s">
        <v>1797</v>
      </c>
      <c r="G722" t="s">
        <v>1797</v>
      </c>
      <c r="H722">
        <v>0</v>
      </c>
      <c r="I722">
        <v>451.65548899999999</v>
      </c>
      <c r="J722">
        <v>3.2063002826820002</v>
      </c>
      <c r="K722">
        <v>0</v>
      </c>
      <c r="L722">
        <v>2.2610950889409192</v>
      </c>
      <c r="M722">
        <v>127.99</v>
      </c>
      <c r="N722">
        <v>35.840000000000003</v>
      </c>
    </row>
    <row r="723" spans="1:14" x14ac:dyDescent="0.25">
      <c r="A723" s="1" t="s">
        <v>735</v>
      </c>
      <c r="B723" t="str">
        <f>HYPERLINK("https://www.suredividend.com/sure-analysis-HP/","Helmerich &amp; Payne, Inc.")</f>
        <v>Helmerich &amp; Payne, Inc.</v>
      </c>
      <c r="C723" t="s">
        <v>1807</v>
      </c>
      <c r="D723">
        <v>41.36</v>
      </c>
      <c r="E723">
        <v>2.4177949709864609E-2</v>
      </c>
      <c r="F723">
        <v>6.3829787234042534E-2</v>
      </c>
      <c r="G723">
        <v>-0.18841066387034591</v>
      </c>
      <c r="H723">
        <v>1.9207773089944149</v>
      </c>
      <c r="I723">
        <v>4112.2811149999998</v>
      </c>
      <c r="J723">
        <v>10.3215244174711</v>
      </c>
      <c r="K723">
        <v>0.5054677128932672</v>
      </c>
      <c r="L723">
        <v>1.0829370305630981</v>
      </c>
      <c r="M723">
        <v>53.39</v>
      </c>
      <c r="N723">
        <v>29.98</v>
      </c>
    </row>
    <row r="724" spans="1:14" x14ac:dyDescent="0.25">
      <c r="A724" s="1" t="s">
        <v>736</v>
      </c>
      <c r="B724" t="str">
        <f>HYPERLINK("https://www.suredividend.com/sure-analysis-research-database/","HighPeak Energy Inc")</f>
        <v>HighPeak Energy Inc</v>
      </c>
      <c r="C724" t="s">
        <v>1797</v>
      </c>
      <c r="D724">
        <v>17.5</v>
      </c>
      <c r="E724">
        <v>5.6884358510880008E-3</v>
      </c>
      <c r="F724" t="s">
        <v>1797</v>
      </c>
      <c r="G724" t="s">
        <v>1797</v>
      </c>
      <c r="H724">
        <v>9.9547627394051014E-2</v>
      </c>
      <c r="I724">
        <v>2243.8661529999999</v>
      </c>
      <c r="J724">
        <v>9.4739057387258434</v>
      </c>
      <c r="K724">
        <v>4.9526182783109961E-2</v>
      </c>
      <c r="L724">
        <v>1.3282472501657969</v>
      </c>
      <c r="M724">
        <v>29.86</v>
      </c>
      <c r="N724">
        <v>10.37</v>
      </c>
    </row>
    <row r="725" spans="1:14" x14ac:dyDescent="0.25">
      <c r="A725" s="1" t="s">
        <v>737</v>
      </c>
      <c r="B725" t="str">
        <f>HYPERLINK("https://www.suredividend.com/sure-analysis-research-database/","Healthequity Inc")</f>
        <v>Healthequity Inc</v>
      </c>
      <c r="C725" t="s">
        <v>1802</v>
      </c>
      <c r="D725">
        <v>64.14</v>
      </c>
      <c r="E725">
        <v>0</v>
      </c>
      <c r="F725" t="s">
        <v>1797</v>
      </c>
      <c r="G725" t="s">
        <v>1797</v>
      </c>
      <c r="H725">
        <v>0</v>
      </c>
      <c r="I725">
        <v>5490.384</v>
      </c>
      <c r="J725">
        <v>428.10011695906428</v>
      </c>
      <c r="K725">
        <v>0</v>
      </c>
      <c r="L725">
        <v>0.224992887696252</v>
      </c>
      <c r="M725">
        <v>78.02</v>
      </c>
      <c r="N725">
        <v>48.86</v>
      </c>
    </row>
    <row r="726" spans="1:14" x14ac:dyDescent="0.25">
      <c r="A726" s="1" t="s">
        <v>738</v>
      </c>
      <c r="B726" t="str">
        <f>HYPERLINK("https://www.suredividend.com/sure-analysis-research-database/","Herc Holdings Inc")</f>
        <v>Herc Holdings Inc</v>
      </c>
      <c r="C726" t="s">
        <v>1798</v>
      </c>
      <c r="D726">
        <v>124</v>
      </c>
      <c r="E726">
        <v>1.9785654283957999E-2</v>
      </c>
      <c r="F726" t="s">
        <v>1797</v>
      </c>
      <c r="G726" t="s">
        <v>1797</v>
      </c>
      <c r="H726">
        <v>2.4534211312108578</v>
      </c>
      <c r="I726">
        <v>3505.196164</v>
      </c>
      <c r="J726">
        <v>9.9072814132278122</v>
      </c>
      <c r="K726">
        <v>0.20176160618510339</v>
      </c>
      <c r="L726">
        <v>1.6586328470267491</v>
      </c>
      <c r="M726">
        <v>159.97</v>
      </c>
      <c r="N726">
        <v>92.92</v>
      </c>
    </row>
    <row r="727" spans="1:14" x14ac:dyDescent="0.25">
      <c r="A727" s="1" t="s">
        <v>739</v>
      </c>
      <c r="B727" t="str">
        <f>HYPERLINK("https://www.suredividend.com/sure-analysis-research-database/","Harmony Biosciences Holdings Inc")</f>
        <v>Harmony Biosciences Holdings Inc</v>
      </c>
      <c r="C727" t="s">
        <v>1797</v>
      </c>
      <c r="D727">
        <v>25.92</v>
      </c>
      <c r="E727">
        <v>0</v>
      </c>
      <c r="F727" t="s">
        <v>1797</v>
      </c>
      <c r="G727" t="s">
        <v>1797</v>
      </c>
      <c r="H727">
        <v>0</v>
      </c>
      <c r="I727">
        <v>1518.184788</v>
      </c>
      <c r="J727">
        <v>10.07054352081191</v>
      </c>
      <c r="K727">
        <v>0</v>
      </c>
      <c r="L727">
        <v>0.95867792936034812</v>
      </c>
      <c r="M727">
        <v>62.09</v>
      </c>
      <c r="N727">
        <v>18.61</v>
      </c>
    </row>
    <row r="728" spans="1:14" x14ac:dyDescent="0.25">
      <c r="A728" s="1" t="s">
        <v>740</v>
      </c>
      <c r="B728" t="str">
        <f>HYPERLINK("https://www.suredividend.com/sure-analysis-research-database/","HireRight Holdings Corp")</f>
        <v>HireRight Holdings Corp</v>
      </c>
      <c r="C728" t="s">
        <v>1797</v>
      </c>
      <c r="D728">
        <v>9.6300000000000008</v>
      </c>
      <c r="E728">
        <v>0</v>
      </c>
      <c r="F728" t="s">
        <v>1797</v>
      </c>
      <c r="G728" t="s">
        <v>1797</v>
      </c>
      <c r="H728">
        <v>0</v>
      </c>
      <c r="I728">
        <v>671.16435200000001</v>
      </c>
      <c r="J728">
        <v>6.5057369483836576</v>
      </c>
      <c r="K728">
        <v>0</v>
      </c>
      <c r="L728">
        <v>1.2618272139741471</v>
      </c>
      <c r="M728">
        <v>13.42</v>
      </c>
      <c r="N728">
        <v>6.88</v>
      </c>
    </row>
    <row r="729" spans="1:14" x14ac:dyDescent="0.25">
      <c r="A729" s="1" t="s">
        <v>741</v>
      </c>
      <c r="B729" t="str">
        <f>HYPERLINK("https://www.suredividend.com/sure-analysis-research-database/","Heron Therapeutics Inc")</f>
        <v>Heron Therapeutics Inc</v>
      </c>
      <c r="C729" t="s">
        <v>1802</v>
      </c>
      <c r="D729">
        <v>0.75050000000000006</v>
      </c>
      <c r="E729">
        <v>0</v>
      </c>
      <c r="F729" t="s">
        <v>1797</v>
      </c>
      <c r="G729" t="s">
        <v>1797</v>
      </c>
      <c r="H729">
        <v>0</v>
      </c>
      <c r="I729">
        <v>105.639837</v>
      </c>
      <c r="J729">
        <v>0</v>
      </c>
      <c r="K729" t="s">
        <v>1797</v>
      </c>
      <c r="L729">
        <v>1.6723115287972039</v>
      </c>
      <c r="M729">
        <v>3.53</v>
      </c>
      <c r="N729">
        <v>0.58179999999999998</v>
      </c>
    </row>
    <row r="730" spans="1:14" x14ac:dyDescent="0.25">
      <c r="A730" s="1" t="s">
        <v>742</v>
      </c>
      <c r="B730" t="str">
        <f>HYPERLINK("https://www.suredividend.com/sure-analysis-research-database/","Heidrick &amp; Struggles International, Inc.")</f>
        <v>Heidrick &amp; Struggles International, Inc.</v>
      </c>
      <c r="C730" t="s">
        <v>1798</v>
      </c>
      <c r="D730">
        <v>25.09</v>
      </c>
      <c r="E730">
        <v>1.7737805585935001E-2</v>
      </c>
      <c r="F730">
        <v>0</v>
      </c>
      <c r="G730">
        <v>2.9033661071187881E-2</v>
      </c>
      <c r="H730">
        <v>0.44504154215111102</v>
      </c>
      <c r="I730">
        <v>504.866399</v>
      </c>
      <c r="J730">
        <v>9.0804942434216436</v>
      </c>
      <c r="K730">
        <v>0.16606027692205641</v>
      </c>
      <c r="L730">
        <v>1.0273768267222201</v>
      </c>
      <c r="M730">
        <v>34.21</v>
      </c>
      <c r="N730">
        <v>22.52</v>
      </c>
    </row>
    <row r="731" spans="1:14" x14ac:dyDescent="0.25">
      <c r="A731" s="1" t="s">
        <v>743</v>
      </c>
      <c r="B731" t="str">
        <f>HYPERLINK("https://www.suredividend.com/sure-analysis-research-database/","Healthstream Inc")</f>
        <v>Healthstream Inc</v>
      </c>
      <c r="C731" t="s">
        <v>1802</v>
      </c>
      <c r="D731">
        <v>25.6</v>
      </c>
      <c r="E731">
        <v>2.9232020237260001E-3</v>
      </c>
      <c r="F731" t="s">
        <v>1797</v>
      </c>
      <c r="G731" t="s">
        <v>1797</v>
      </c>
      <c r="H731">
        <v>7.4833971807403005E-2</v>
      </c>
      <c r="I731">
        <v>775.304576</v>
      </c>
      <c r="J731">
        <v>59.310325581395361</v>
      </c>
      <c r="K731">
        <v>0.17591436720122941</v>
      </c>
      <c r="L731">
        <v>0.51782995039819701</v>
      </c>
      <c r="M731">
        <v>27.57</v>
      </c>
      <c r="N731">
        <v>20.420000000000002</v>
      </c>
    </row>
    <row r="732" spans="1:14" x14ac:dyDescent="0.25">
      <c r="A732" s="1" t="s">
        <v>744</v>
      </c>
      <c r="B732" t="str">
        <f>HYPERLINK("https://www.suredividend.com/sure-analysis-research-database/","Hersha Hospitality Trust")</f>
        <v>Hersha Hospitality Trust</v>
      </c>
      <c r="C732" t="s">
        <v>1799</v>
      </c>
      <c r="D732">
        <v>9.93</v>
      </c>
      <c r="E732">
        <v>2.4874183586712999E-2</v>
      </c>
      <c r="F732" t="s">
        <v>1797</v>
      </c>
      <c r="G732" t="s">
        <v>1797</v>
      </c>
      <c r="H732">
        <v>0.247000643016062</v>
      </c>
      <c r="I732">
        <v>398.24181599999997</v>
      </c>
      <c r="J732">
        <v>3.0972057759700111</v>
      </c>
      <c r="K732">
        <v>7.9677626779374844E-2</v>
      </c>
      <c r="L732">
        <v>1.158450917808062</v>
      </c>
      <c r="M732">
        <v>10.039999999999999</v>
      </c>
      <c r="N732">
        <v>5.56</v>
      </c>
    </row>
    <row r="733" spans="1:14" x14ac:dyDescent="0.25">
      <c r="A733" s="1" t="s">
        <v>745</v>
      </c>
      <c r="B733" t="str">
        <f>HYPERLINK("https://www.suredividend.com/sure-analysis-research-database/","HomeTrust Bancshares Inc")</f>
        <v>HomeTrust Bancshares Inc</v>
      </c>
      <c r="C733" t="s">
        <v>1800</v>
      </c>
      <c r="D733">
        <v>22</v>
      </c>
      <c r="E733">
        <v>1.8059524513945002E-2</v>
      </c>
      <c r="F733">
        <v>0.1111111111111112</v>
      </c>
      <c r="G733">
        <v>0.10756634324829011</v>
      </c>
      <c r="H733">
        <v>0.39730953930681001</v>
      </c>
      <c r="I733">
        <v>382.34475400000002</v>
      </c>
      <c r="J733">
        <v>0</v>
      </c>
      <c r="K733" t="s">
        <v>1797</v>
      </c>
      <c r="L733">
        <v>0.78315584426525808</v>
      </c>
      <c r="M733">
        <v>30.5</v>
      </c>
      <c r="N733">
        <v>17.850000000000001</v>
      </c>
    </row>
    <row r="734" spans="1:14" x14ac:dyDescent="0.25">
      <c r="A734" s="1" t="s">
        <v>746</v>
      </c>
      <c r="B734" t="str">
        <f>HYPERLINK("https://www.suredividend.com/sure-analysis-research-database/","Heritage Commerce Corp.")</f>
        <v>Heritage Commerce Corp.</v>
      </c>
      <c r="C734" t="s">
        <v>1800</v>
      </c>
      <c r="D734">
        <v>8.7799999999999994</v>
      </c>
      <c r="E734">
        <v>5.7943721719522001E-2</v>
      </c>
      <c r="F734">
        <v>0</v>
      </c>
      <c r="G734">
        <v>3.3975226531950183E-2</v>
      </c>
      <c r="H734">
        <v>0.50874587669740601</v>
      </c>
      <c r="I734">
        <v>536.38034100000004</v>
      </c>
      <c r="J734">
        <v>7.2300148393271142</v>
      </c>
      <c r="K734">
        <v>0.42045113776645132</v>
      </c>
      <c r="L734">
        <v>1.148208553875494</v>
      </c>
      <c r="M734">
        <v>14.25</v>
      </c>
      <c r="N734">
        <v>6.48</v>
      </c>
    </row>
    <row r="735" spans="1:14" x14ac:dyDescent="0.25">
      <c r="A735" s="1" t="s">
        <v>747</v>
      </c>
      <c r="B735" t="str">
        <f>HYPERLINK("https://www.suredividend.com/sure-analysis-research-database/","Hilltop Holdings Inc")</f>
        <v>Hilltop Holdings Inc</v>
      </c>
      <c r="C735" t="s">
        <v>1800</v>
      </c>
      <c r="D735">
        <v>29.87</v>
      </c>
      <c r="E735">
        <v>2.0908042879080001E-2</v>
      </c>
      <c r="F735">
        <v>6.6666666666666652E-2</v>
      </c>
      <c r="G735">
        <v>0.1486983549970351</v>
      </c>
      <c r="H735">
        <v>0.62452324079813804</v>
      </c>
      <c r="I735">
        <v>1946.6225529999999</v>
      </c>
      <c r="J735">
        <v>18.27282718898724</v>
      </c>
      <c r="K735">
        <v>0.3808068541452061</v>
      </c>
      <c r="L735">
        <v>1.1743292337765381</v>
      </c>
      <c r="M735">
        <v>34.51</v>
      </c>
      <c r="N735">
        <v>26.78</v>
      </c>
    </row>
    <row r="736" spans="1:14" x14ac:dyDescent="0.25">
      <c r="A736" s="1" t="s">
        <v>748</v>
      </c>
      <c r="B736" t="str">
        <f>HYPERLINK("https://www.suredividend.com/sure-analysis-research-database/","Heartland Express, Inc.")</f>
        <v>Heartland Express, Inc.</v>
      </c>
      <c r="C736" t="s">
        <v>1798</v>
      </c>
      <c r="D736">
        <v>12.36</v>
      </c>
      <c r="E736">
        <v>6.4496201032960008E-3</v>
      </c>
      <c r="F736">
        <v>0</v>
      </c>
      <c r="G736">
        <v>0</v>
      </c>
      <c r="H736">
        <v>7.9717304476739012E-2</v>
      </c>
      <c r="I736">
        <v>976.77934400000004</v>
      </c>
      <c r="J736">
        <v>16.202424174766939</v>
      </c>
      <c r="K736">
        <v>0.10449246883829991</v>
      </c>
      <c r="L736">
        <v>0.95148957213026808</v>
      </c>
      <c r="M736">
        <v>18.05</v>
      </c>
      <c r="N736">
        <v>11.44</v>
      </c>
    </row>
    <row r="737" spans="1:14" x14ac:dyDescent="0.25">
      <c r="A737" s="1" t="s">
        <v>749</v>
      </c>
      <c r="B737" t="str">
        <f>HYPERLINK("https://www.suredividend.com/sure-analysis-research-database/","Heartland Financial USA, Inc.")</f>
        <v>Heartland Financial USA, Inc.</v>
      </c>
      <c r="C737" t="s">
        <v>1800</v>
      </c>
      <c r="D737">
        <v>29.7</v>
      </c>
      <c r="E737">
        <v>3.8864001024684E-2</v>
      </c>
      <c r="F737">
        <v>7.1428571428571397E-2</v>
      </c>
      <c r="G737">
        <v>0.43096908110525561</v>
      </c>
      <c r="H737">
        <v>1.1542608304331179</v>
      </c>
      <c r="I737">
        <v>1266.715187</v>
      </c>
      <c r="J737">
        <v>5.9931642084594996</v>
      </c>
      <c r="K737">
        <v>0.23318400614810469</v>
      </c>
      <c r="L737">
        <v>1.000756521878341</v>
      </c>
      <c r="M737">
        <v>49.51</v>
      </c>
      <c r="N737">
        <v>25.62</v>
      </c>
    </row>
    <row r="738" spans="1:14" x14ac:dyDescent="0.25">
      <c r="A738" s="1" t="s">
        <v>750</v>
      </c>
      <c r="B738" t="str">
        <f>HYPERLINK("https://www.suredividend.com/sure-analysis-research-database/","Hub Group, Inc.")</f>
        <v>Hub Group, Inc.</v>
      </c>
      <c r="C738" t="s">
        <v>1798</v>
      </c>
      <c r="D738">
        <v>71.150000000000006</v>
      </c>
      <c r="E738">
        <v>0</v>
      </c>
      <c r="F738" t="s">
        <v>1797</v>
      </c>
      <c r="G738" t="s">
        <v>1797</v>
      </c>
      <c r="H738">
        <v>0</v>
      </c>
      <c r="I738">
        <v>2235.2020809999999</v>
      </c>
      <c r="J738">
        <v>8.1314375567512123</v>
      </c>
      <c r="K738">
        <v>0</v>
      </c>
      <c r="L738">
        <v>1.0173567860704349</v>
      </c>
      <c r="M738">
        <v>104.67</v>
      </c>
      <c r="N738">
        <v>63.45</v>
      </c>
    </row>
    <row r="739" spans="1:14" x14ac:dyDescent="0.25">
      <c r="A739" s="1" t="s">
        <v>751</v>
      </c>
      <c r="B739" t="str">
        <f>HYPERLINK("https://www.suredividend.com/sure-analysis-research-database/","Humacyte Inc")</f>
        <v>Humacyte Inc</v>
      </c>
      <c r="C739" t="s">
        <v>1797</v>
      </c>
      <c r="D739">
        <v>2.2200000000000002</v>
      </c>
      <c r="E739">
        <v>0</v>
      </c>
      <c r="F739" t="s">
        <v>1797</v>
      </c>
      <c r="G739" t="s">
        <v>1797</v>
      </c>
      <c r="H739">
        <v>0</v>
      </c>
      <c r="I739">
        <v>229.624606</v>
      </c>
      <c r="J739" t="s">
        <v>1797</v>
      </c>
      <c r="K739">
        <v>0</v>
      </c>
      <c r="L739">
        <v>1.2210982602518421</v>
      </c>
      <c r="M739">
        <v>5.6</v>
      </c>
      <c r="N739">
        <v>1.96</v>
      </c>
    </row>
    <row r="740" spans="1:14" x14ac:dyDescent="0.25">
      <c r="A740" s="1" t="s">
        <v>752</v>
      </c>
      <c r="B740" t="str">
        <f>HYPERLINK("https://www.suredividend.com/sure-analysis-research-database/","Huron Consulting Group Inc")</f>
        <v>Huron Consulting Group Inc</v>
      </c>
      <c r="C740" t="s">
        <v>1798</v>
      </c>
      <c r="D740">
        <v>101.4</v>
      </c>
      <c r="E740">
        <v>0</v>
      </c>
      <c r="F740" t="s">
        <v>1797</v>
      </c>
      <c r="G740" t="s">
        <v>1797</v>
      </c>
      <c r="H740">
        <v>0</v>
      </c>
      <c r="I740">
        <v>1929.0531699999999</v>
      </c>
      <c r="J740">
        <v>25.140466958595621</v>
      </c>
      <c r="K740">
        <v>0</v>
      </c>
      <c r="L740">
        <v>0.50828830456996998</v>
      </c>
      <c r="M740">
        <v>113.31</v>
      </c>
      <c r="N740">
        <v>66.510000000000005</v>
      </c>
    </row>
    <row r="741" spans="1:14" x14ac:dyDescent="0.25">
      <c r="A741" s="1" t="s">
        <v>753</v>
      </c>
      <c r="B741" t="str">
        <f>HYPERLINK("https://www.suredividend.com/sure-analysis-research-database/","Haverty Furniture Cos., Inc.")</f>
        <v>Haverty Furniture Cos., Inc.</v>
      </c>
      <c r="C741" t="s">
        <v>1801</v>
      </c>
      <c r="D741">
        <v>29.35</v>
      </c>
      <c r="E741">
        <v>3.9165501699282013E-2</v>
      </c>
      <c r="F741">
        <v>7.1428571428571397E-2</v>
      </c>
      <c r="G741">
        <v>8.4471771197698553E-2</v>
      </c>
      <c r="H741">
        <v>1.149507474873954</v>
      </c>
      <c r="I741">
        <v>476.58052600000002</v>
      </c>
      <c r="J741">
        <v>6.5777887161332167</v>
      </c>
      <c r="K741">
        <v>0.26608969325785969</v>
      </c>
      <c r="L741">
        <v>0.9539019592001331</v>
      </c>
      <c r="M741">
        <v>38.159999999999997</v>
      </c>
      <c r="N741">
        <v>24.81</v>
      </c>
    </row>
    <row r="742" spans="1:14" x14ac:dyDescent="0.25">
      <c r="A742" s="1" t="s">
        <v>754</v>
      </c>
      <c r="B742" t="str">
        <f>HYPERLINK("https://www.suredividend.com/sure-analysis-research-database/","Hancock Whitney Corp.")</f>
        <v>Hancock Whitney Corp.</v>
      </c>
      <c r="C742" t="s">
        <v>1800</v>
      </c>
      <c r="D742">
        <v>38.549999999999997</v>
      </c>
      <c r="E742">
        <v>2.9753456322383999E-2</v>
      </c>
      <c r="F742">
        <v>0.1111111111111112</v>
      </c>
      <c r="G742">
        <v>2.1295687600135119E-2</v>
      </c>
      <c r="H742">
        <v>1.1469957412279139</v>
      </c>
      <c r="I742">
        <v>3320.1380250000002</v>
      </c>
      <c r="J742">
        <v>6.4219676806635242</v>
      </c>
      <c r="K742">
        <v>0.19116595687131899</v>
      </c>
      <c r="L742">
        <v>1.370649073954767</v>
      </c>
      <c r="M742">
        <v>54.68</v>
      </c>
      <c r="N742">
        <v>30.09</v>
      </c>
    </row>
    <row r="743" spans="1:14" x14ac:dyDescent="0.25">
      <c r="A743" s="1" t="s">
        <v>755</v>
      </c>
      <c r="B743" t="str">
        <f>HYPERLINK("https://www.suredividend.com/sure-analysis-HWKN/","Hawkins Inc")</f>
        <v>Hawkins Inc</v>
      </c>
      <c r="C743" t="s">
        <v>1808</v>
      </c>
      <c r="D743">
        <v>60.56</v>
      </c>
      <c r="E743">
        <v>1.0568031704095111E-2</v>
      </c>
      <c r="F743">
        <v>0.14285714285714279</v>
      </c>
      <c r="G743">
        <v>-6.5912645097731537E-2</v>
      </c>
      <c r="H743">
        <v>0.596428176524882</v>
      </c>
      <c r="I743">
        <v>1268.3534999999999</v>
      </c>
      <c r="J743">
        <v>18.384066268552878</v>
      </c>
      <c r="K743">
        <v>0.18183785869661029</v>
      </c>
      <c r="L743">
        <v>0.82182590499883701</v>
      </c>
      <c r="M743">
        <v>63.21</v>
      </c>
      <c r="N743">
        <v>36.15</v>
      </c>
    </row>
    <row r="744" spans="1:14" x14ac:dyDescent="0.25">
      <c r="A744" s="1" t="s">
        <v>756</v>
      </c>
      <c r="B744" t="str">
        <f>HYPERLINK("https://www.suredividend.com/sure-analysis-research-database/","Hyster-Yale Materials Handling Inc")</f>
        <v>Hyster-Yale Materials Handling Inc</v>
      </c>
      <c r="C744" t="s">
        <v>1798</v>
      </c>
      <c r="D744">
        <v>43.69</v>
      </c>
      <c r="E744">
        <v>2.9311264042902001E-2</v>
      </c>
      <c r="F744">
        <v>7.7519379844961378E-3</v>
      </c>
      <c r="G744">
        <v>9.4953746828438934E-3</v>
      </c>
      <c r="H744">
        <v>1.2806091260343959</v>
      </c>
      <c r="I744">
        <v>599.23915099999999</v>
      </c>
      <c r="J744">
        <v>0</v>
      </c>
      <c r="K744" t="s">
        <v>1797</v>
      </c>
      <c r="L744">
        <v>1.2161964462798589</v>
      </c>
      <c r="M744">
        <v>59.22</v>
      </c>
      <c r="N744">
        <v>23.99</v>
      </c>
    </row>
    <row r="745" spans="1:14" x14ac:dyDescent="0.25">
      <c r="A745" s="1" t="s">
        <v>757</v>
      </c>
      <c r="B745" t="str">
        <f>HYPERLINK("https://www.suredividend.com/sure-analysis-research-database/","Hydrofarm Holdings Group Inc")</f>
        <v>Hydrofarm Holdings Group Inc</v>
      </c>
      <c r="C745" t="s">
        <v>1797</v>
      </c>
      <c r="D745">
        <v>1.07</v>
      </c>
      <c r="E745">
        <v>0</v>
      </c>
      <c r="F745" t="s">
        <v>1797</v>
      </c>
      <c r="G745" t="s">
        <v>1797</v>
      </c>
      <c r="H745">
        <v>0</v>
      </c>
      <c r="I745">
        <v>48.734529000000002</v>
      </c>
      <c r="J745" t="s">
        <v>1797</v>
      </c>
      <c r="K745">
        <v>0</v>
      </c>
      <c r="L745">
        <v>2.5376922235734631</v>
      </c>
      <c r="M745">
        <v>3.25</v>
      </c>
      <c r="N745">
        <v>0.67149999999999999</v>
      </c>
    </row>
    <row r="746" spans="1:14" x14ac:dyDescent="0.25">
      <c r="A746" s="1" t="s">
        <v>758</v>
      </c>
      <c r="B746" t="str">
        <f>HYPERLINK("https://www.suredividend.com/sure-analysis-research-database/","Hyliion Holdings Corporation")</f>
        <v>Hyliion Holdings Corporation</v>
      </c>
      <c r="C746" t="s">
        <v>1797</v>
      </c>
      <c r="D746">
        <v>0.66900000000000004</v>
      </c>
      <c r="E746">
        <v>0</v>
      </c>
      <c r="F746" t="s">
        <v>1797</v>
      </c>
      <c r="G746" t="s">
        <v>1797</v>
      </c>
      <c r="H746">
        <v>0</v>
      </c>
      <c r="I746">
        <v>121.23643199999999</v>
      </c>
      <c r="J746" t="s">
        <v>1797</v>
      </c>
      <c r="K746">
        <v>0</v>
      </c>
      <c r="L746">
        <v>2.4478752749921222</v>
      </c>
      <c r="M746">
        <v>3.88</v>
      </c>
      <c r="N746">
        <v>0.5181</v>
      </c>
    </row>
    <row r="747" spans="1:14" x14ac:dyDescent="0.25">
      <c r="A747" s="1" t="s">
        <v>759</v>
      </c>
      <c r="B747" t="str">
        <f>HYPERLINK("https://www.suredividend.com/sure-analysis-research-database/","Hycroft Mining Holding Corporation")</f>
        <v>Hycroft Mining Holding Corporation</v>
      </c>
      <c r="C747" t="s">
        <v>1797</v>
      </c>
      <c r="D747">
        <v>0.25340000000000001</v>
      </c>
      <c r="E747">
        <v>0</v>
      </c>
      <c r="F747" t="s">
        <v>1797</v>
      </c>
      <c r="G747" t="s">
        <v>1797</v>
      </c>
      <c r="H747">
        <v>0</v>
      </c>
      <c r="I747">
        <v>51.220461</v>
      </c>
      <c r="J747" t="s">
        <v>1797</v>
      </c>
      <c r="K747">
        <v>0</v>
      </c>
      <c r="L747">
        <v>1.4768283519510119</v>
      </c>
      <c r="M747">
        <v>0.87970000000000004</v>
      </c>
      <c r="N747">
        <v>0.21049999999999999</v>
      </c>
    </row>
    <row r="748" spans="1:14" x14ac:dyDescent="0.25">
      <c r="A748" s="1" t="s">
        <v>760</v>
      </c>
      <c r="B748" t="str">
        <f>HYPERLINK("https://www.suredividend.com/sure-analysis-research-database/","Hyzon Motors Inc")</f>
        <v>Hyzon Motors Inc</v>
      </c>
      <c r="C748" t="s">
        <v>1797</v>
      </c>
      <c r="D748">
        <v>0.93070000000000008</v>
      </c>
      <c r="E748">
        <v>0</v>
      </c>
      <c r="F748" t="s">
        <v>1797</v>
      </c>
      <c r="G748" t="s">
        <v>1797</v>
      </c>
      <c r="H748">
        <v>0</v>
      </c>
      <c r="I748">
        <v>227.884692</v>
      </c>
      <c r="J748" t="s">
        <v>1797</v>
      </c>
      <c r="K748">
        <v>0</v>
      </c>
      <c r="L748">
        <v>2.403953829675753</v>
      </c>
      <c r="M748">
        <v>2.35</v>
      </c>
      <c r="N748">
        <v>0.45</v>
      </c>
    </row>
    <row r="749" spans="1:14" x14ac:dyDescent="0.25">
      <c r="A749" s="1" t="s">
        <v>761</v>
      </c>
      <c r="B749" t="str">
        <f>HYPERLINK("https://www.suredividend.com/sure-analysis-research-database/","Marinemax, Inc.")</f>
        <v>Marinemax, Inc.</v>
      </c>
      <c r="C749" t="s">
        <v>1801</v>
      </c>
      <c r="D749">
        <v>30.16</v>
      </c>
      <c r="E749">
        <v>0</v>
      </c>
      <c r="F749" t="s">
        <v>1797</v>
      </c>
      <c r="G749" t="s">
        <v>1797</v>
      </c>
      <c r="H749">
        <v>0</v>
      </c>
      <c r="I749">
        <v>660.82065</v>
      </c>
      <c r="J749">
        <v>4.987288019260232</v>
      </c>
      <c r="K749">
        <v>0</v>
      </c>
      <c r="L749">
        <v>1.14981558401578</v>
      </c>
      <c r="M749">
        <v>42.88</v>
      </c>
      <c r="N749">
        <v>25.6</v>
      </c>
    </row>
    <row r="750" spans="1:14" x14ac:dyDescent="0.25">
      <c r="A750" s="1" t="s">
        <v>762</v>
      </c>
      <c r="B750" t="str">
        <f>HYPERLINK("https://www.suredividend.com/sure-analysis-research-database/","Integral Ad Science Holding Corp")</f>
        <v>Integral Ad Science Holding Corp</v>
      </c>
      <c r="C750" t="s">
        <v>1797</v>
      </c>
      <c r="D750">
        <v>13.72</v>
      </c>
      <c r="E750">
        <v>0</v>
      </c>
      <c r="F750" t="s">
        <v>1797</v>
      </c>
      <c r="G750" t="s">
        <v>1797</v>
      </c>
      <c r="H750">
        <v>0</v>
      </c>
      <c r="I750">
        <v>2149.2402229999998</v>
      </c>
      <c r="J750">
        <v>251.0794652616822</v>
      </c>
      <c r="K750">
        <v>0</v>
      </c>
      <c r="L750">
        <v>1.687263522328565</v>
      </c>
      <c r="M750">
        <v>20.88</v>
      </c>
      <c r="N750">
        <v>6.63</v>
      </c>
    </row>
    <row r="751" spans="1:14" x14ac:dyDescent="0.25">
      <c r="A751" s="1" t="s">
        <v>763</v>
      </c>
      <c r="B751" t="str">
        <f>HYPERLINK("https://www.suredividend.com/sure-analysis-research-database/","Independent Bank Corporation (Ionia, MI)")</f>
        <v>Independent Bank Corporation (Ionia, MI)</v>
      </c>
      <c r="C751" t="s">
        <v>1800</v>
      </c>
      <c r="D751">
        <v>21.05</v>
      </c>
      <c r="E751">
        <v>4.2193110826967001E-2</v>
      </c>
      <c r="F751" t="s">
        <v>1797</v>
      </c>
      <c r="G751" t="s">
        <v>1797</v>
      </c>
      <c r="H751">
        <v>0.8881649829076701</v>
      </c>
      <c r="I751">
        <v>440.87576799999999</v>
      </c>
      <c r="J751">
        <v>0</v>
      </c>
      <c r="K751" t="s">
        <v>1797</v>
      </c>
      <c r="L751">
        <v>0.97756521848885103</v>
      </c>
      <c r="M751">
        <v>22.96</v>
      </c>
      <c r="N751">
        <v>14.24</v>
      </c>
    </row>
    <row r="752" spans="1:14" x14ac:dyDescent="0.25">
      <c r="A752" s="1" t="s">
        <v>764</v>
      </c>
      <c r="B752" t="str">
        <f>HYPERLINK("https://www.suredividend.com/sure-analysis-research-database/","IBEX Ltd")</f>
        <v>IBEX Ltd</v>
      </c>
      <c r="C752" t="s">
        <v>1797</v>
      </c>
      <c r="D752">
        <v>17.3</v>
      </c>
      <c r="E752">
        <v>0</v>
      </c>
      <c r="F752" t="s">
        <v>1797</v>
      </c>
      <c r="G752" t="s">
        <v>1797</v>
      </c>
      <c r="H752">
        <v>0</v>
      </c>
      <c r="I752">
        <v>314.32783499999999</v>
      </c>
      <c r="J752">
        <v>0</v>
      </c>
      <c r="K752" t="s">
        <v>1797</v>
      </c>
      <c r="L752">
        <v>0.62832058439402605</v>
      </c>
      <c r="M752">
        <v>31.4</v>
      </c>
      <c r="N752">
        <v>11.45</v>
      </c>
    </row>
    <row r="753" spans="1:14" x14ac:dyDescent="0.25">
      <c r="A753" s="1" t="s">
        <v>765</v>
      </c>
      <c r="B753" t="str">
        <f>HYPERLINK("https://www.suredividend.com/sure-analysis-IBOC/","International Bancshares Corp.")</f>
        <v>International Bancshares Corp.</v>
      </c>
      <c r="C753" t="s">
        <v>1800</v>
      </c>
      <c r="D753">
        <v>47.55</v>
      </c>
      <c r="E753">
        <v>2.6498422712933751E-2</v>
      </c>
      <c r="F753" t="s">
        <v>1797</v>
      </c>
      <c r="G753" t="s">
        <v>1797</v>
      </c>
      <c r="H753">
        <v>1.243205455782304</v>
      </c>
      <c r="I753">
        <v>2950.4258610000002</v>
      </c>
      <c r="J753">
        <v>7.1820767585028378</v>
      </c>
      <c r="K753">
        <v>0.18836446299731879</v>
      </c>
      <c r="L753">
        <v>0.88910444041715808</v>
      </c>
      <c r="M753">
        <v>51.57</v>
      </c>
      <c r="N753">
        <v>38.049999999999997</v>
      </c>
    </row>
    <row r="754" spans="1:14" x14ac:dyDescent="0.25">
      <c r="A754" s="1" t="s">
        <v>766</v>
      </c>
      <c r="B754" t="str">
        <f>HYPERLINK("https://www.suredividend.com/sure-analysis-research-database/","Installed Building Products Inc")</f>
        <v>Installed Building Products Inc</v>
      </c>
      <c r="C754" t="s">
        <v>1798</v>
      </c>
      <c r="D754">
        <v>125.1</v>
      </c>
      <c r="E754">
        <v>1.7547234688563999E-2</v>
      </c>
      <c r="F754" t="s">
        <v>1797</v>
      </c>
      <c r="G754" t="s">
        <v>1797</v>
      </c>
      <c r="H754">
        <v>2.1951590595394701</v>
      </c>
      <c r="I754">
        <v>3554.162057</v>
      </c>
      <c r="J754">
        <v>14.773736274644291</v>
      </c>
      <c r="K754">
        <v>0.25916872013453007</v>
      </c>
      <c r="L754">
        <v>1.482242238827864</v>
      </c>
      <c r="M754">
        <v>157.78</v>
      </c>
      <c r="N754">
        <v>75.39</v>
      </c>
    </row>
    <row r="755" spans="1:14" x14ac:dyDescent="0.25">
      <c r="A755" s="1" t="s">
        <v>767</v>
      </c>
      <c r="B755" t="str">
        <f>HYPERLINK("https://www.suredividend.com/sure-analysis-research-database/","ImmunityBio Inc")</f>
        <v>ImmunityBio Inc</v>
      </c>
      <c r="C755" t="s">
        <v>1797</v>
      </c>
      <c r="D755">
        <v>3.75</v>
      </c>
      <c r="E755">
        <v>0</v>
      </c>
      <c r="F755" t="s">
        <v>1797</v>
      </c>
      <c r="G755" t="s">
        <v>1797</v>
      </c>
      <c r="H755">
        <v>0</v>
      </c>
      <c r="I755">
        <v>2503.4619189999999</v>
      </c>
      <c r="J755" t="s">
        <v>1797</v>
      </c>
      <c r="K755">
        <v>0</v>
      </c>
      <c r="L755">
        <v>2.9336832495981748</v>
      </c>
      <c r="M755">
        <v>7.1</v>
      </c>
      <c r="N755">
        <v>1.21</v>
      </c>
    </row>
    <row r="756" spans="1:14" x14ac:dyDescent="0.25">
      <c r="A756" s="1" t="s">
        <v>768</v>
      </c>
      <c r="B756" t="str">
        <f>HYPERLINK("https://www.suredividend.com/sure-analysis-research-database/","Independent Bank Group Inc")</f>
        <v>Independent Bank Group Inc</v>
      </c>
      <c r="C756" t="s">
        <v>1800</v>
      </c>
      <c r="D756">
        <v>38.369999999999997</v>
      </c>
      <c r="E756">
        <v>3.8430588244881013E-2</v>
      </c>
      <c r="F756">
        <v>0</v>
      </c>
      <c r="G756">
        <v>8.7348394571074905E-2</v>
      </c>
      <c r="H756">
        <v>1.4745816709560959</v>
      </c>
      <c r="I756">
        <v>1584.0355400000001</v>
      </c>
      <c r="J756">
        <v>23.025111050933191</v>
      </c>
      <c r="K756">
        <v>0.88298303650065646</v>
      </c>
      <c r="L756">
        <v>1.2717573301794269</v>
      </c>
      <c r="M756">
        <v>63.1</v>
      </c>
      <c r="N756">
        <v>27.71</v>
      </c>
    </row>
    <row r="757" spans="1:14" x14ac:dyDescent="0.25">
      <c r="A757" s="1" t="s">
        <v>769</v>
      </c>
      <c r="B757" t="str">
        <f>HYPERLINK("https://www.suredividend.com/sure-analysis-research-database/","ICF International, Inc")</f>
        <v>ICF International, Inc</v>
      </c>
      <c r="C757" t="s">
        <v>1798</v>
      </c>
      <c r="D757">
        <v>125.48</v>
      </c>
      <c r="E757">
        <v>4.4492838888770007E-3</v>
      </c>
      <c r="F757">
        <v>0</v>
      </c>
      <c r="G757">
        <v>0</v>
      </c>
      <c r="H757">
        <v>0.55829614237628999</v>
      </c>
      <c r="I757">
        <v>2359.0239999999999</v>
      </c>
      <c r="J757">
        <v>36.464339815129691</v>
      </c>
      <c r="K757">
        <v>0.16420474775773239</v>
      </c>
      <c r="L757">
        <v>0.72268511198171403</v>
      </c>
      <c r="M757">
        <v>136.53</v>
      </c>
      <c r="N757">
        <v>93.99</v>
      </c>
    </row>
    <row r="758" spans="1:14" x14ac:dyDescent="0.25">
      <c r="A758" s="1" t="s">
        <v>770</v>
      </c>
      <c r="B758" t="str">
        <f>HYPERLINK("https://www.suredividend.com/sure-analysis-research-database/","Ichor Holdings Ltd")</f>
        <v>Ichor Holdings Ltd</v>
      </c>
      <c r="C758" t="s">
        <v>1803</v>
      </c>
      <c r="D758">
        <v>26.14</v>
      </c>
      <c r="E758">
        <v>0</v>
      </c>
      <c r="F758" t="s">
        <v>1797</v>
      </c>
      <c r="G758" t="s">
        <v>1797</v>
      </c>
      <c r="H758">
        <v>0</v>
      </c>
      <c r="I758">
        <v>765.90200000000004</v>
      </c>
      <c r="J758">
        <v>33.939026011432617</v>
      </c>
      <c r="K758">
        <v>0</v>
      </c>
      <c r="L758">
        <v>1.8706626967229909</v>
      </c>
      <c r="M758">
        <v>39.729999999999997</v>
      </c>
      <c r="N758">
        <v>23.7</v>
      </c>
    </row>
    <row r="759" spans="1:14" x14ac:dyDescent="0.25">
      <c r="A759" s="1" t="s">
        <v>771</v>
      </c>
      <c r="B759" t="str">
        <f>HYPERLINK("https://www.suredividend.com/sure-analysis-research-database/","Intercept Pharmaceuticals Inc")</f>
        <v>Intercept Pharmaceuticals Inc</v>
      </c>
      <c r="C759" t="s">
        <v>1802</v>
      </c>
      <c r="D759">
        <v>18.98</v>
      </c>
      <c r="E759">
        <v>0</v>
      </c>
      <c r="F759" t="s">
        <v>1797</v>
      </c>
      <c r="G759" t="s">
        <v>1797</v>
      </c>
      <c r="H759">
        <v>0</v>
      </c>
      <c r="I759">
        <v>793.036158</v>
      </c>
      <c r="J759">
        <v>3.80114248822083</v>
      </c>
      <c r="K759">
        <v>0</v>
      </c>
      <c r="M759">
        <v>21.86</v>
      </c>
      <c r="N759">
        <v>8.82</v>
      </c>
    </row>
    <row r="760" spans="1:14" x14ac:dyDescent="0.25">
      <c r="A760" s="1" t="s">
        <v>772</v>
      </c>
      <c r="B760" t="str">
        <f>HYPERLINK("https://www.suredividend.com/sure-analysis-research-database/","Icosavax Inc")</f>
        <v>Icosavax Inc</v>
      </c>
      <c r="C760" t="s">
        <v>1797</v>
      </c>
      <c r="D760">
        <v>7.09</v>
      </c>
      <c r="E760">
        <v>0</v>
      </c>
      <c r="F760" t="s">
        <v>1797</v>
      </c>
      <c r="G760" t="s">
        <v>1797</v>
      </c>
      <c r="H760">
        <v>0</v>
      </c>
      <c r="I760">
        <v>354.83005400000002</v>
      </c>
      <c r="J760">
        <v>0</v>
      </c>
      <c r="K760" t="s">
        <v>1797</v>
      </c>
      <c r="L760">
        <v>0.49651731769271101</v>
      </c>
      <c r="M760">
        <v>16.45</v>
      </c>
      <c r="N760">
        <v>2.2799999999999998</v>
      </c>
    </row>
    <row r="761" spans="1:14" x14ac:dyDescent="0.25">
      <c r="A761" s="1" t="s">
        <v>773</v>
      </c>
      <c r="B761" t="str">
        <f>HYPERLINK("https://www.suredividend.com/sure-analysis-research-database/","Interdigital Inc")</f>
        <v>Interdigital Inc</v>
      </c>
      <c r="C761" t="s">
        <v>1806</v>
      </c>
      <c r="D761">
        <v>85.33</v>
      </c>
      <c r="E761">
        <v>1.6792522492135999E-2</v>
      </c>
      <c r="F761">
        <v>0.14285714285714279</v>
      </c>
      <c r="G761">
        <v>2.7066087089351761E-2</v>
      </c>
      <c r="H761">
        <v>1.432905944254008</v>
      </c>
      <c r="I761">
        <v>2253.3175019999999</v>
      </c>
      <c r="J761">
        <v>10.865068887656649</v>
      </c>
      <c r="K761">
        <v>0.19846342718199561</v>
      </c>
      <c r="L761">
        <v>0.91374185029386112</v>
      </c>
      <c r="M761">
        <v>97.72</v>
      </c>
      <c r="N761">
        <v>45.79</v>
      </c>
    </row>
    <row r="762" spans="1:14" x14ac:dyDescent="0.25">
      <c r="A762" s="1" t="s">
        <v>774</v>
      </c>
      <c r="B762" t="str">
        <f>HYPERLINK("https://www.suredividend.com/sure-analysis-research-database/","IDT Corp.")</f>
        <v>IDT Corp.</v>
      </c>
      <c r="C762" t="s">
        <v>1806</v>
      </c>
      <c r="D762">
        <v>28.93</v>
      </c>
      <c r="E762">
        <v>0</v>
      </c>
      <c r="F762" t="s">
        <v>1797</v>
      </c>
      <c r="G762" t="s">
        <v>1797</v>
      </c>
      <c r="H762">
        <v>0</v>
      </c>
      <c r="I762">
        <v>682.37896899999998</v>
      </c>
      <c r="J762">
        <v>16.852192258223852</v>
      </c>
      <c r="K762">
        <v>0</v>
      </c>
      <c r="L762">
        <v>0.40432797100280399</v>
      </c>
      <c r="M762">
        <v>35.18</v>
      </c>
      <c r="N762">
        <v>21.64</v>
      </c>
    </row>
    <row r="763" spans="1:14" x14ac:dyDescent="0.25">
      <c r="A763" s="1" t="s">
        <v>775</v>
      </c>
      <c r="B763" t="str">
        <f>HYPERLINK("https://www.suredividend.com/sure-analysis-research-database/","Ideaya Biosciences Inc")</f>
        <v>Ideaya Biosciences Inc</v>
      </c>
      <c r="C763" t="s">
        <v>1802</v>
      </c>
      <c r="D763">
        <v>28.96</v>
      </c>
      <c r="E763">
        <v>0</v>
      </c>
      <c r="F763" t="s">
        <v>1797</v>
      </c>
      <c r="G763" t="s">
        <v>1797</v>
      </c>
      <c r="H763">
        <v>0</v>
      </c>
      <c r="I763">
        <v>1666.9154169999999</v>
      </c>
      <c r="J763" t="s">
        <v>1797</v>
      </c>
      <c r="K763">
        <v>0</v>
      </c>
      <c r="L763">
        <v>0.68805566873401003</v>
      </c>
      <c r="M763">
        <v>30.33</v>
      </c>
      <c r="N763">
        <v>13.29</v>
      </c>
    </row>
    <row r="764" spans="1:14" x14ac:dyDescent="0.25">
      <c r="A764" s="1" t="s">
        <v>776</v>
      </c>
      <c r="B764" t="str">
        <f>HYPERLINK("https://www.suredividend.com/sure-analysis-research-database/","Ivanhoe Electric Inc")</f>
        <v>Ivanhoe Electric Inc</v>
      </c>
      <c r="C764" t="s">
        <v>1797</v>
      </c>
      <c r="D764">
        <v>10.89</v>
      </c>
      <c r="E764">
        <v>0</v>
      </c>
      <c r="F764" t="s">
        <v>1797</v>
      </c>
      <c r="G764" t="s">
        <v>1797</v>
      </c>
      <c r="H764">
        <v>0</v>
      </c>
      <c r="I764">
        <v>1011.5721</v>
      </c>
      <c r="J764">
        <v>0</v>
      </c>
      <c r="K764" t="s">
        <v>1797</v>
      </c>
      <c r="L764">
        <v>1.167395783102491</v>
      </c>
      <c r="M764">
        <v>16.75</v>
      </c>
      <c r="N764">
        <v>9.56</v>
      </c>
    </row>
    <row r="765" spans="1:14" x14ac:dyDescent="0.25">
      <c r="A765" s="1" t="s">
        <v>777</v>
      </c>
      <c r="B765" t="str">
        <f>HYPERLINK("https://www.suredividend.com/sure-analysis-research-database/","IES Holdings Inc")</f>
        <v>IES Holdings Inc</v>
      </c>
      <c r="C765" t="s">
        <v>1798</v>
      </c>
      <c r="D765">
        <v>61.86</v>
      </c>
      <c r="E765">
        <v>0</v>
      </c>
      <c r="F765" t="s">
        <v>1797</v>
      </c>
      <c r="G765" t="s">
        <v>1797</v>
      </c>
      <c r="H765">
        <v>0</v>
      </c>
      <c r="I765">
        <v>1249.0510770000001</v>
      </c>
      <c r="J765">
        <v>16.93513764409192</v>
      </c>
      <c r="K765">
        <v>0</v>
      </c>
      <c r="L765">
        <v>0.75746196013357503</v>
      </c>
      <c r="M765">
        <v>76.8</v>
      </c>
      <c r="N765">
        <v>27.68</v>
      </c>
    </row>
    <row r="766" spans="1:14" x14ac:dyDescent="0.25">
      <c r="A766" s="1" t="s">
        <v>778</v>
      </c>
      <c r="B766" t="str">
        <f>HYPERLINK("https://www.suredividend.com/sure-analysis-research-database/","IGM Biosciences Inc")</f>
        <v>IGM Biosciences Inc</v>
      </c>
      <c r="C766" t="s">
        <v>1802</v>
      </c>
      <c r="D766">
        <v>4.9400000000000004</v>
      </c>
      <c r="E766">
        <v>0</v>
      </c>
      <c r="F766" t="s">
        <v>1797</v>
      </c>
      <c r="G766" t="s">
        <v>1797</v>
      </c>
      <c r="H766">
        <v>0</v>
      </c>
      <c r="I766">
        <v>162.35466600000001</v>
      </c>
      <c r="J766" t="s">
        <v>1797</v>
      </c>
      <c r="K766">
        <v>0</v>
      </c>
      <c r="L766">
        <v>2.1728258502000162</v>
      </c>
      <c r="M766">
        <v>28.2</v>
      </c>
      <c r="N766">
        <v>3.81</v>
      </c>
    </row>
    <row r="767" spans="1:14" x14ac:dyDescent="0.25">
      <c r="A767" s="1" t="s">
        <v>779</v>
      </c>
      <c r="B767" t="str">
        <f>HYPERLINK("https://www.suredividend.com/sure-analysis-research-database/","International Game Technology PLC")</f>
        <v>International Game Technology PLC</v>
      </c>
      <c r="C767" t="s">
        <v>1801</v>
      </c>
      <c r="D767">
        <v>28.2</v>
      </c>
      <c r="E767">
        <v>2.8064467083384E-2</v>
      </c>
      <c r="F767" t="s">
        <v>1797</v>
      </c>
      <c r="G767" t="s">
        <v>1797</v>
      </c>
      <c r="H767">
        <v>0.79141797175142903</v>
      </c>
      <c r="I767">
        <v>5614.0252339999997</v>
      </c>
      <c r="J767">
        <v>56.140252338000003</v>
      </c>
      <c r="K767">
        <v>1.6027095418214441</v>
      </c>
      <c r="L767">
        <v>1.398530548530784</v>
      </c>
      <c r="M767">
        <v>33.78</v>
      </c>
      <c r="N767">
        <v>19.12</v>
      </c>
    </row>
    <row r="768" spans="1:14" x14ac:dyDescent="0.25">
      <c r="A768" s="1" t="s">
        <v>780</v>
      </c>
      <c r="B768" t="str">
        <f>HYPERLINK("https://www.suredividend.com/sure-analysis-research-database/","iHeartMedia Inc")</f>
        <v>iHeartMedia Inc</v>
      </c>
      <c r="C768" t="s">
        <v>1806</v>
      </c>
      <c r="D768">
        <v>2.5</v>
      </c>
      <c r="E768">
        <v>0</v>
      </c>
      <c r="F768" t="s">
        <v>1797</v>
      </c>
      <c r="G768" t="s">
        <v>1797</v>
      </c>
      <c r="H768">
        <v>0</v>
      </c>
      <c r="I768">
        <v>307.92300299999999</v>
      </c>
      <c r="J768">
        <v>0</v>
      </c>
      <c r="K768" t="s">
        <v>1797</v>
      </c>
      <c r="L768">
        <v>2.1509431576410778</v>
      </c>
      <c r="M768">
        <v>9.0299999999999994</v>
      </c>
      <c r="N768">
        <v>2.02</v>
      </c>
    </row>
    <row r="769" spans="1:14" x14ac:dyDescent="0.25">
      <c r="A769" s="1" t="s">
        <v>781</v>
      </c>
      <c r="B769" t="str">
        <f>HYPERLINK("https://www.suredividend.com/sure-analysis-research-database/","Information Services Group Inc.")</f>
        <v>Information Services Group Inc.</v>
      </c>
      <c r="C769" t="s">
        <v>1803</v>
      </c>
      <c r="D769">
        <v>4.3099999999999996</v>
      </c>
      <c r="E769">
        <v>3.8699262611641E-2</v>
      </c>
      <c r="F769" t="s">
        <v>1797</v>
      </c>
      <c r="G769" t="s">
        <v>1797</v>
      </c>
      <c r="H769">
        <v>0.166793821856173</v>
      </c>
      <c r="I769">
        <v>209.28367</v>
      </c>
      <c r="J769">
        <v>0</v>
      </c>
      <c r="K769" t="s">
        <v>1797</v>
      </c>
      <c r="L769">
        <v>1.1790559111375489</v>
      </c>
      <c r="M769">
        <v>5.77</v>
      </c>
      <c r="N769">
        <v>3.97</v>
      </c>
    </row>
    <row r="770" spans="1:14" x14ac:dyDescent="0.25">
      <c r="A770" s="1" t="s">
        <v>782</v>
      </c>
      <c r="B770" t="str">
        <f>HYPERLINK("https://www.suredividend.com/sure-analysis-research-database/","Insteel Industries, Inc.")</f>
        <v>Insteel Industries, Inc.</v>
      </c>
      <c r="C770" t="s">
        <v>1798</v>
      </c>
      <c r="D770">
        <v>29.77</v>
      </c>
      <c r="E770">
        <v>4.0250782996210004E-3</v>
      </c>
      <c r="F770">
        <v>0</v>
      </c>
      <c r="G770">
        <v>0</v>
      </c>
      <c r="H770">
        <v>0.119826580979718</v>
      </c>
      <c r="I770">
        <v>579.15302299999996</v>
      </c>
      <c r="J770">
        <v>17.866821610365569</v>
      </c>
      <c r="K770">
        <v>7.2184687337179518E-2</v>
      </c>
      <c r="L770">
        <v>1.2145139433154779</v>
      </c>
      <c r="M770">
        <v>35.770000000000003</v>
      </c>
      <c r="N770">
        <v>23.3</v>
      </c>
    </row>
    <row r="771" spans="1:14" x14ac:dyDescent="0.25">
      <c r="A771" s="1" t="s">
        <v>783</v>
      </c>
      <c r="B771" t="str">
        <f>HYPERLINK("https://www.suredividend.com/sure-analysis-research-database/","i3 Verticals Inc")</f>
        <v>i3 Verticals Inc</v>
      </c>
      <c r="C771" t="s">
        <v>1803</v>
      </c>
      <c r="D771">
        <v>20.440000000000001</v>
      </c>
      <c r="E771">
        <v>0</v>
      </c>
      <c r="F771" t="s">
        <v>1797</v>
      </c>
      <c r="G771" t="s">
        <v>1797</v>
      </c>
      <c r="H771">
        <v>0</v>
      </c>
      <c r="I771">
        <v>475.16324300000002</v>
      </c>
      <c r="J771" t="s">
        <v>1797</v>
      </c>
      <c r="K771">
        <v>0</v>
      </c>
      <c r="L771">
        <v>1.3559249891030321</v>
      </c>
      <c r="M771">
        <v>30.84</v>
      </c>
      <c r="N771">
        <v>17.87</v>
      </c>
    </row>
    <row r="772" spans="1:14" x14ac:dyDescent="0.25">
      <c r="A772" s="1" t="s">
        <v>784</v>
      </c>
      <c r="B772" t="str">
        <f>HYPERLINK("https://www.suredividend.com/sure-analysis-IIPR/","Innovative Industrial Properties Inc")</f>
        <v>Innovative Industrial Properties Inc</v>
      </c>
      <c r="C772" t="s">
        <v>1799</v>
      </c>
      <c r="D772">
        <v>80.59</v>
      </c>
      <c r="E772">
        <v>8.9341109318774037E-2</v>
      </c>
      <c r="F772">
        <v>0</v>
      </c>
      <c r="G772">
        <v>0.38752524057744631</v>
      </c>
      <c r="H772">
        <v>6.9494359993995882</v>
      </c>
      <c r="I772">
        <v>2259.7421490000002</v>
      </c>
      <c r="J772">
        <v>13.840098909079771</v>
      </c>
      <c r="K772">
        <v>1.2002480137132281</v>
      </c>
      <c r="L772">
        <v>1.4668169338154231</v>
      </c>
      <c r="M772">
        <v>114.61</v>
      </c>
      <c r="N772">
        <v>60.4</v>
      </c>
    </row>
    <row r="773" spans="1:14" x14ac:dyDescent="0.25">
      <c r="A773" s="1" t="s">
        <v>785</v>
      </c>
      <c r="B773" t="str">
        <f>HYPERLINK("https://www.suredividend.com/sure-analysis-ILPT/","Industrial Logistics Properties Trust")</f>
        <v>Industrial Logistics Properties Trust</v>
      </c>
      <c r="C773" t="s">
        <v>1799</v>
      </c>
      <c r="D773">
        <v>3.07</v>
      </c>
      <c r="E773">
        <v>1.3029315960912049E-2</v>
      </c>
      <c r="F773">
        <v>0</v>
      </c>
      <c r="G773">
        <v>-0.50306771631207348</v>
      </c>
      <c r="H773">
        <v>3.9669791957800002E-2</v>
      </c>
      <c r="I773">
        <v>202.14053699999999</v>
      </c>
      <c r="J773" t="s">
        <v>1797</v>
      </c>
      <c r="K773" t="s">
        <v>1797</v>
      </c>
      <c r="L773">
        <v>2.0440822681118891</v>
      </c>
      <c r="M773">
        <v>4.88</v>
      </c>
      <c r="N773">
        <v>1.63</v>
      </c>
    </row>
    <row r="774" spans="1:14" x14ac:dyDescent="0.25">
      <c r="A774" s="1" t="s">
        <v>786</v>
      </c>
      <c r="B774" t="str">
        <f>HYPERLINK("https://www.suredividend.com/sure-analysis-research-database/","Imax Corp")</f>
        <v>Imax Corp</v>
      </c>
      <c r="C774" t="s">
        <v>1806</v>
      </c>
      <c r="D774">
        <v>18.63</v>
      </c>
      <c r="E774">
        <v>0</v>
      </c>
      <c r="F774" t="s">
        <v>1797</v>
      </c>
      <c r="G774" t="s">
        <v>1797</v>
      </c>
      <c r="H774">
        <v>0</v>
      </c>
      <c r="I774">
        <v>1017.33018</v>
      </c>
      <c r="J774">
        <v>40.039758337925058</v>
      </c>
      <c r="K774">
        <v>0</v>
      </c>
      <c r="L774">
        <v>0.99257779512533106</v>
      </c>
      <c r="M774">
        <v>21.82</v>
      </c>
      <c r="N774">
        <v>12.89</v>
      </c>
    </row>
    <row r="775" spans="1:14" x14ac:dyDescent="0.25">
      <c r="A775" s="1" t="s">
        <v>787</v>
      </c>
      <c r="B775" t="str">
        <f>HYPERLINK("https://www.suredividend.com/sure-analysis-research-database/","Immunogen, Inc.")</f>
        <v>Immunogen, Inc.</v>
      </c>
      <c r="C775" t="s">
        <v>1802</v>
      </c>
      <c r="D775">
        <v>16.29</v>
      </c>
      <c r="E775">
        <v>0</v>
      </c>
      <c r="F775" t="s">
        <v>1797</v>
      </c>
      <c r="G775" t="s">
        <v>1797</v>
      </c>
      <c r="H775">
        <v>0</v>
      </c>
      <c r="I775">
        <v>4055.2884100000001</v>
      </c>
      <c r="J775" t="s">
        <v>1797</v>
      </c>
      <c r="K775">
        <v>0</v>
      </c>
      <c r="L775">
        <v>0.63799275002850808</v>
      </c>
      <c r="M775">
        <v>20.69</v>
      </c>
      <c r="N775">
        <v>3.61</v>
      </c>
    </row>
    <row r="776" spans="1:14" x14ac:dyDescent="0.25">
      <c r="A776" s="1" t="s">
        <v>788</v>
      </c>
      <c r="B776" t="str">
        <f>HYPERLINK("https://www.suredividend.com/sure-analysis-research-database/","Ingles Markets, Inc.")</f>
        <v>Ingles Markets, Inc.</v>
      </c>
      <c r="C776" t="s">
        <v>1804</v>
      </c>
      <c r="D776">
        <v>82.6</v>
      </c>
      <c r="E776">
        <v>7.9424596464230009E-3</v>
      </c>
      <c r="F776">
        <v>0</v>
      </c>
      <c r="G776">
        <v>0</v>
      </c>
      <c r="H776">
        <v>0.65604716679458108</v>
      </c>
      <c r="I776">
        <v>1197.2849349999999</v>
      </c>
      <c r="J776">
        <v>5.2435113041330714</v>
      </c>
      <c r="K776">
        <v>5.4579631180913572E-2</v>
      </c>
      <c r="L776">
        <v>0.38972878656738202</v>
      </c>
      <c r="M776">
        <v>101.61</v>
      </c>
      <c r="N776">
        <v>73.069999999999993</v>
      </c>
    </row>
    <row r="777" spans="1:14" x14ac:dyDescent="0.25">
      <c r="A777" s="1" t="s">
        <v>789</v>
      </c>
      <c r="B777" t="str">
        <f>HYPERLINK("https://www.suredividend.com/sure-analysis-research-database/","Immunovant Inc")</f>
        <v>Immunovant Inc</v>
      </c>
      <c r="C777" t="s">
        <v>1802</v>
      </c>
      <c r="D777">
        <v>33.99</v>
      </c>
      <c r="E777">
        <v>0</v>
      </c>
      <c r="F777" t="s">
        <v>1797</v>
      </c>
      <c r="G777" t="s">
        <v>1797</v>
      </c>
      <c r="H777">
        <v>0</v>
      </c>
      <c r="I777">
        <v>4441.5299610000002</v>
      </c>
      <c r="J777">
        <v>0</v>
      </c>
      <c r="K777" t="s">
        <v>1797</v>
      </c>
      <c r="L777">
        <v>0.242034237618408</v>
      </c>
      <c r="M777">
        <v>44.19</v>
      </c>
      <c r="N777">
        <v>11.54</v>
      </c>
    </row>
    <row r="778" spans="1:14" x14ac:dyDescent="0.25">
      <c r="A778" s="1" t="s">
        <v>790</v>
      </c>
      <c r="B778" t="str">
        <f>HYPERLINK("https://www.suredividend.com/sure-analysis-research-database/","International Money Express Inc.")</f>
        <v>International Money Express Inc.</v>
      </c>
      <c r="C778" t="s">
        <v>1803</v>
      </c>
      <c r="D778">
        <v>16.75</v>
      </c>
      <c r="E778">
        <v>0</v>
      </c>
      <c r="F778" t="s">
        <v>1797</v>
      </c>
      <c r="G778" t="s">
        <v>1797</v>
      </c>
      <c r="H778">
        <v>0</v>
      </c>
      <c r="I778">
        <v>593.25640799999996</v>
      </c>
      <c r="J778">
        <v>10.430515107161071</v>
      </c>
      <c r="K778">
        <v>0</v>
      </c>
      <c r="L778">
        <v>0.70996613880632209</v>
      </c>
      <c r="M778">
        <v>28.24</v>
      </c>
      <c r="N778">
        <v>15.76</v>
      </c>
    </row>
    <row r="779" spans="1:14" x14ac:dyDescent="0.25">
      <c r="A779" s="1" t="s">
        <v>791</v>
      </c>
      <c r="B779" t="str">
        <f>HYPERLINK("https://www.suredividend.com/sure-analysis-research-database/","First Internet Bancorp")</f>
        <v>First Internet Bancorp</v>
      </c>
      <c r="C779" t="s">
        <v>1800</v>
      </c>
      <c r="D779">
        <v>17.649999999999999</v>
      </c>
      <c r="E779">
        <v>1.3458545996991001E-2</v>
      </c>
      <c r="F779">
        <v>0</v>
      </c>
      <c r="G779">
        <v>0</v>
      </c>
      <c r="H779">
        <v>0.23754333684689399</v>
      </c>
      <c r="I779">
        <v>153.862234</v>
      </c>
      <c r="J779">
        <v>0</v>
      </c>
      <c r="K779" t="s">
        <v>1797</v>
      </c>
      <c r="L779">
        <v>1.523198623271365</v>
      </c>
      <c r="M779">
        <v>27.65</v>
      </c>
      <c r="N779">
        <v>9.5299999999999994</v>
      </c>
    </row>
    <row r="780" spans="1:14" x14ac:dyDescent="0.25">
      <c r="A780" s="1" t="s">
        <v>792</v>
      </c>
      <c r="B780" t="str">
        <f>HYPERLINK("https://www.suredividend.com/sure-analysis-research-database/","Inhibrx Inc")</f>
        <v>Inhibrx Inc</v>
      </c>
      <c r="C780" t="s">
        <v>1797</v>
      </c>
      <c r="D780">
        <v>18.22</v>
      </c>
      <c r="E780">
        <v>0</v>
      </c>
      <c r="F780" t="s">
        <v>1797</v>
      </c>
      <c r="G780" t="s">
        <v>1797</v>
      </c>
      <c r="H780">
        <v>0</v>
      </c>
      <c r="I780">
        <v>795.63374799999997</v>
      </c>
      <c r="J780" t="s">
        <v>1797</v>
      </c>
      <c r="K780">
        <v>0</v>
      </c>
      <c r="L780">
        <v>1.568844146798962</v>
      </c>
      <c r="M780">
        <v>34.72</v>
      </c>
      <c r="N780">
        <v>14.31</v>
      </c>
    </row>
    <row r="781" spans="1:14" x14ac:dyDescent="0.25">
      <c r="A781" s="1" t="s">
        <v>793</v>
      </c>
      <c r="B781" t="str">
        <f>HYPERLINK("https://www.suredividend.com/sure-analysis-research-database/","Independent Bank Corp.")</f>
        <v>Independent Bank Corp.</v>
      </c>
      <c r="C781" t="s">
        <v>1800</v>
      </c>
      <c r="D781">
        <v>53.97</v>
      </c>
      <c r="E781">
        <v>3.9524560387736003E-2</v>
      </c>
      <c r="F781">
        <v>7.8431372549019773E-2</v>
      </c>
      <c r="G781">
        <v>7.6752325943092448E-2</v>
      </c>
      <c r="H781">
        <v>2.1331405241261119</v>
      </c>
      <c r="I781">
        <v>2381.9886710000001</v>
      </c>
      <c r="J781">
        <v>9.1005213965278795</v>
      </c>
      <c r="K781">
        <v>0.36463940583352339</v>
      </c>
      <c r="L781">
        <v>0.9445315581916901</v>
      </c>
      <c r="M781">
        <v>86.17</v>
      </c>
      <c r="N781">
        <v>41.31</v>
      </c>
    </row>
    <row r="782" spans="1:14" x14ac:dyDescent="0.25">
      <c r="A782" s="1" t="s">
        <v>794</v>
      </c>
      <c r="B782" t="str">
        <f>HYPERLINK("https://www.suredividend.com/sure-analysis-research-database/","Indie Semiconductor Inc")</f>
        <v>Indie Semiconductor Inc</v>
      </c>
      <c r="C782" t="s">
        <v>1797</v>
      </c>
      <c r="D782">
        <v>5.23</v>
      </c>
      <c r="E782">
        <v>0</v>
      </c>
      <c r="F782" t="s">
        <v>1797</v>
      </c>
      <c r="G782" t="s">
        <v>1797</v>
      </c>
      <c r="H782">
        <v>0</v>
      </c>
      <c r="I782">
        <v>766.34327099999996</v>
      </c>
      <c r="J782" t="s">
        <v>1797</v>
      </c>
      <c r="K782">
        <v>0</v>
      </c>
      <c r="L782">
        <v>1.7845584256046709</v>
      </c>
      <c r="M782">
        <v>11.12</v>
      </c>
      <c r="N782">
        <v>4.67</v>
      </c>
    </row>
    <row r="783" spans="1:14" x14ac:dyDescent="0.25">
      <c r="A783" s="1" t="s">
        <v>795</v>
      </c>
      <c r="B783" t="str">
        <f>HYPERLINK("https://www.suredividend.com/sure-analysis-research-database/","INDUS Realty Trust Inc")</f>
        <v>INDUS Realty Trust Inc</v>
      </c>
      <c r="C783" t="s">
        <v>1797</v>
      </c>
      <c r="D783">
        <v>66.989999999999995</v>
      </c>
      <c r="E783">
        <v>0</v>
      </c>
      <c r="F783" t="s">
        <v>1797</v>
      </c>
      <c r="G783" t="s">
        <v>1797</v>
      </c>
      <c r="H783">
        <v>0.7000000178813931</v>
      </c>
      <c r="I783">
        <v>0</v>
      </c>
      <c r="J783">
        <v>0</v>
      </c>
      <c r="K783">
        <v>112.90322869054729</v>
      </c>
    </row>
    <row r="784" spans="1:14" x14ac:dyDescent="0.25">
      <c r="A784" s="1" t="s">
        <v>796</v>
      </c>
      <c r="B784" t="str">
        <f>HYPERLINK("https://www.suredividend.com/sure-analysis-research-database/","Infinera Corp.")</f>
        <v>Infinera Corp.</v>
      </c>
      <c r="C784" t="s">
        <v>1803</v>
      </c>
      <c r="D784">
        <v>3.16</v>
      </c>
      <c r="E784">
        <v>0</v>
      </c>
      <c r="F784" t="s">
        <v>1797</v>
      </c>
      <c r="G784" t="s">
        <v>1797</v>
      </c>
      <c r="H784">
        <v>0</v>
      </c>
      <c r="I784">
        <v>717.07911300000001</v>
      </c>
      <c r="J784" t="s">
        <v>1797</v>
      </c>
      <c r="K784">
        <v>0</v>
      </c>
      <c r="L784">
        <v>1.4715308314142279</v>
      </c>
      <c r="M784">
        <v>7.8</v>
      </c>
      <c r="N784">
        <v>2.82</v>
      </c>
    </row>
    <row r="785" spans="1:14" x14ac:dyDescent="0.25">
      <c r="A785" s="1" t="s">
        <v>797</v>
      </c>
      <c r="B785" t="str">
        <f>HYPERLINK("https://www.suredividend.com/sure-analysis-research-database/","Inogen Inc")</f>
        <v>Inogen Inc</v>
      </c>
      <c r="C785" t="s">
        <v>1802</v>
      </c>
      <c r="D785">
        <v>5.33</v>
      </c>
      <c r="E785">
        <v>0</v>
      </c>
      <c r="F785" t="s">
        <v>1797</v>
      </c>
      <c r="G785" t="s">
        <v>1797</v>
      </c>
      <c r="H785">
        <v>0</v>
      </c>
      <c r="I785">
        <v>123.626541</v>
      </c>
      <c r="J785" t="s">
        <v>1797</v>
      </c>
      <c r="K785">
        <v>0</v>
      </c>
      <c r="L785">
        <v>1.5344265848861891</v>
      </c>
      <c r="M785">
        <v>26.11</v>
      </c>
      <c r="N785">
        <v>4.13</v>
      </c>
    </row>
    <row r="786" spans="1:14" x14ac:dyDescent="0.25">
      <c r="A786" s="1" t="s">
        <v>798</v>
      </c>
      <c r="B786" t="str">
        <f>HYPERLINK("https://www.suredividend.com/sure-analysis-research-database/","Summit Hotel Properties Inc")</f>
        <v>Summit Hotel Properties Inc</v>
      </c>
      <c r="C786" t="s">
        <v>1799</v>
      </c>
      <c r="D786">
        <v>6.38</v>
      </c>
      <c r="E786">
        <v>3.0977930087079001E-2</v>
      </c>
      <c r="F786" t="s">
        <v>1797</v>
      </c>
      <c r="G786" t="s">
        <v>1797</v>
      </c>
      <c r="H786">
        <v>0.19763919395556401</v>
      </c>
      <c r="I786">
        <v>686.352125</v>
      </c>
      <c r="J786" t="s">
        <v>1797</v>
      </c>
      <c r="K786" t="s">
        <v>1797</v>
      </c>
      <c r="L786">
        <v>1.4620994020254441</v>
      </c>
      <c r="M786">
        <v>8.59</v>
      </c>
      <c r="N786">
        <v>5.31</v>
      </c>
    </row>
    <row r="787" spans="1:14" x14ac:dyDescent="0.25">
      <c r="A787" s="1" t="s">
        <v>799</v>
      </c>
      <c r="B787" t="str">
        <f>HYPERLINK("https://www.suredividend.com/sure-analysis-research-database/","InnovAge Holding Corp")</f>
        <v>InnovAge Holding Corp</v>
      </c>
      <c r="C787" t="s">
        <v>1797</v>
      </c>
      <c r="D787">
        <v>5.56</v>
      </c>
      <c r="E787">
        <v>0</v>
      </c>
      <c r="F787" t="s">
        <v>1797</v>
      </c>
      <c r="G787" t="s">
        <v>1797</v>
      </c>
      <c r="H787">
        <v>0</v>
      </c>
      <c r="I787">
        <v>755.51971000000003</v>
      </c>
      <c r="J787" t="s">
        <v>1797</v>
      </c>
      <c r="K787">
        <v>0</v>
      </c>
      <c r="L787">
        <v>1.275799990694908</v>
      </c>
      <c r="M787">
        <v>8.15</v>
      </c>
      <c r="N787">
        <v>5.04</v>
      </c>
    </row>
    <row r="788" spans="1:14" x14ac:dyDescent="0.25">
      <c r="A788" s="1" t="s">
        <v>800</v>
      </c>
      <c r="B788" t="str">
        <f>HYPERLINK("https://www.suredividend.com/sure-analysis-research-database/","Inovio Pharmaceuticals Inc")</f>
        <v>Inovio Pharmaceuticals Inc</v>
      </c>
      <c r="C788" t="s">
        <v>1802</v>
      </c>
      <c r="D788">
        <v>0.39500000000000002</v>
      </c>
      <c r="E788">
        <v>0</v>
      </c>
      <c r="F788" t="s">
        <v>1797</v>
      </c>
      <c r="G788" t="s">
        <v>1797</v>
      </c>
      <c r="H788">
        <v>0</v>
      </c>
      <c r="I788">
        <v>105.889573</v>
      </c>
      <c r="J788" t="s">
        <v>1797</v>
      </c>
      <c r="K788">
        <v>0</v>
      </c>
      <c r="L788">
        <v>1.7634222418427581</v>
      </c>
      <c r="M788">
        <v>2.61</v>
      </c>
      <c r="N788">
        <v>0.34499999999999997</v>
      </c>
    </row>
    <row r="789" spans="1:14" x14ac:dyDescent="0.25">
      <c r="A789" s="1" t="s">
        <v>801</v>
      </c>
      <c r="B789" t="str">
        <f>HYPERLINK("https://www.suredividend.com/sure-analysis-research-database/","Inspired Entertainment Inc")</f>
        <v>Inspired Entertainment Inc</v>
      </c>
      <c r="C789" t="s">
        <v>1806</v>
      </c>
      <c r="D789">
        <v>10.46</v>
      </c>
      <c r="E789">
        <v>0</v>
      </c>
      <c r="F789" t="s">
        <v>1797</v>
      </c>
      <c r="G789" t="s">
        <v>1797</v>
      </c>
      <c r="H789">
        <v>0</v>
      </c>
      <c r="I789">
        <v>275.48068999999998</v>
      </c>
      <c r="J789">
        <v>0</v>
      </c>
      <c r="K789" t="s">
        <v>1797</v>
      </c>
      <c r="L789">
        <v>0.97501760555613104</v>
      </c>
      <c r="M789">
        <v>16.440000000000001</v>
      </c>
      <c r="N789">
        <v>9.58</v>
      </c>
    </row>
    <row r="790" spans="1:14" x14ac:dyDescent="0.25">
      <c r="A790" s="1" t="s">
        <v>802</v>
      </c>
      <c r="B790" t="str">
        <f>HYPERLINK("https://www.suredividend.com/sure-analysis-research-database/","Inseego Corp")</f>
        <v>Inseego Corp</v>
      </c>
      <c r="C790" t="s">
        <v>1803</v>
      </c>
      <c r="D790">
        <v>0.36599999999999999</v>
      </c>
      <c r="E790">
        <v>0</v>
      </c>
      <c r="F790" t="s">
        <v>1797</v>
      </c>
      <c r="G790" t="s">
        <v>1797</v>
      </c>
      <c r="H790">
        <v>0</v>
      </c>
      <c r="I790">
        <v>42.775525000000002</v>
      </c>
      <c r="J790" t="s">
        <v>1797</v>
      </c>
      <c r="K790">
        <v>0</v>
      </c>
      <c r="L790">
        <v>2.0207792433411211</v>
      </c>
      <c r="M790">
        <v>1.65</v>
      </c>
      <c r="N790">
        <v>0.3</v>
      </c>
    </row>
    <row r="791" spans="1:14" x14ac:dyDescent="0.25">
      <c r="A791" s="1" t="s">
        <v>803</v>
      </c>
      <c r="B791" t="str">
        <f>HYPERLINK("https://www.suredividend.com/sure-analysis-research-database/","Insmed Inc")</f>
        <v>Insmed Inc</v>
      </c>
      <c r="C791" t="s">
        <v>1802</v>
      </c>
      <c r="D791">
        <v>24.85</v>
      </c>
      <c r="E791">
        <v>0</v>
      </c>
      <c r="F791" t="s">
        <v>1797</v>
      </c>
      <c r="G791" t="s">
        <v>1797</v>
      </c>
      <c r="H791">
        <v>0</v>
      </c>
      <c r="I791">
        <v>3555.0923149999999</v>
      </c>
      <c r="J791" t="s">
        <v>1797</v>
      </c>
      <c r="K791">
        <v>0</v>
      </c>
      <c r="L791">
        <v>0.80540970631207309</v>
      </c>
      <c r="M791">
        <v>27.59</v>
      </c>
      <c r="N791">
        <v>16.04</v>
      </c>
    </row>
    <row r="792" spans="1:14" x14ac:dyDescent="0.25">
      <c r="A792" s="1" t="s">
        <v>804</v>
      </c>
      <c r="B792" t="str">
        <f>HYPERLINK("https://www.suredividend.com/sure-analysis-research-database/","Inspire Medical Systems Inc")</f>
        <v>Inspire Medical Systems Inc</v>
      </c>
      <c r="C792" t="s">
        <v>1802</v>
      </c>
      <c r="D792">
        <v>169.7</v>
      </c>
      <c r="E792">
        <v>0</v>
      </c>
      <c r="F792" t="s">
        <v>1797</v>
      </c>
      <c r="G792" t="s">
        <v>1797</v>
      </c>
      <c r="H792">
        <v>0</v>
      </c>
      <c r="I792">
        <v>4978.2735510000002</v>
      </c>
      <c r="J792" t="s">
        <v>1797</v>
      </c>
      <c r="K792">
        <v>0</v>
      </c>
      <c r="L792">
        <v>1.281822224031159</v>
      </c>
      <c r="M792">
        <v>330</v>
      </c>
      <c r="N792">
        <v>143.81</v>
      </c>
    </row>
    <row r="793" spans="1:14" x14ac:dyDescent="0.25">
      <c r="A793" s="1" t="s">
        <v>805</v>
      </c>
      <c r="B793" t="str">
        <f>HYPERLINK("https://www.suredividend.com/sure-analysis-research-database/","Instructure Holdings Inc")</f>
        <v>Instructure Holdings Inc</v>
      </c>
      <c r="C793" t="s">
        <v>1797</v>
      </c>
      <c r="D793">
        <v>24.52</v>
      </c>
      <c r="E793">
        <v>0</v>
      </c>
      <c r="F793" t="s">
        <v>1797</v>
      </c>
      <c r="G793" t="s">
        <v>1797</v>
      </c>
      <c r="H793">
        <v>0</v>
      </c>
      <c r="I793">
        <v>3547.9497449999999</v>
      </c>
      <c r="J793" t="s">
        <v>1797</v>
      </c>
      <c r="K793">
        <v>0</v>
      </c>
      <c r="L793">
        <v>0.6594791509640141</v>
      </c>
      <c r="M793">
        <v>31.47</v>
      </c>
      <c r="N793">
        <v>21.49</v>
      </c>
    </row>
    <row r="794" spans="1:14" x14ac:dyDescent="0.25">
      <c r="A794" s="1" t="s">
        <v>806</v>
      </c>
      <c r="B794" t="str">
        <f>HYPERLINK("https://www.suredividend.com/sure-analysis-research-database/","International Seaways Inc")</f>
        <v>International Seaways Inc</v>
      </c>
      <c r="C794" t="s">
        <v>1798</v>
      </c>
      <c r="D794">
        <v>49.5</v>
      </c>
      <c r="E794">
        <v>0.10387997112328901</v>
      </c>
      <c r="F794">
        <v>-0.93617021276595747</v>
      </c>
      <c r="G794">
        <v>0.1486983549970351</v>
      </c>
      <c r="H794">
        <v>5.1420585706028454</v>
      </c>
      <c r="I794">
        <v>2420.0549999999998</v>
      </c>
      <c r="J794">
        <v>3.6764927056700252</v>
      </c>
      <c r="K794">
        <v>0.38866655862455368</v>
      </c>
      <c r="L794">
        <v>0.36151699295373202</v>
      </c>
      <c r="M794">
        <v>52.79</v>
      </c>
      <c r="N794">
        <v>32.75</v>
      </c>
    </row>
    <row r="795" spans="1:14" x14ac:dyDescent="0.25">
      <c r="A795" s="1" t="s">
        <v>807</v>
      </c>
      <c r="B795" t="str">
        <f>HYPERLINK("https://www.suredividend.com/sure-analysis-research-database/","Intapp Inc")</f>
        <v>Intapp Inc</v>
      </c>
      <c r="C795" t="s">
        <v>1797</v>
      </c>
      <c r="D795">
        <v>35.19</v>
      </c>
      <c r="E795">
        <v>0</v>
      </c>
      <c r="F795" t="s">
        <v>1797</v>
      </c>
      <c r="G795" t="s">
        <v>1797</v>
      </c>
      <c r="H795">
        <v>0</v>
      </c>
      <c r="I795">
        <v>2436.57879</v>
      </c>
      <c r="J795" t="s">
        <v>1797</v>
      </c>
      <c r="K795">
        <v>0</v>
      </c>
      <c r="L795">
        <v>0.88396622499853406</v>
      </c>
      <c r="M795">
        <v>50.46</v>
      </c>
      <c r="N795">
        <v>20.190000000000001</v>
      </c>
    </row>
    <row r="796" spans="1:14" x14ac:dyDescent="0.25">
      <c r="A796" s="1" t="s">
        <v>808</v>
      </c>
      <c r="B796" t="str">
        <f>HYPERLINK("https://www.suredividend.com/sure-analysis-research-database/","Innoviva Inc")</f>
        <v>Innoviva Inc</v>
      </c>
      <c r="C796" t="s">
        <v>1802</v>
      </c>
      <c r="D796">
        <v>13.63</v>
      </c>
      <c r="E796">
        <v>0</v>
      </c>
      <c r="F796" t="s">
        <v>1797</v>
      </c>
      <c r="G796" t="s">
        <v>1797</v>
      </c>
      <c r="H796">
        <v>0</v>
      </c>
      <c r="I796">
        <v>873.50138000000004</v>
      </c>
      <c r="J796">
        <v>17.513109855243901</v>
      </c>
      <c r="K796">
        <v>0</v>
      </c>
      <c r="M796">
        <v>13.9</v>
      </c>
      <c r="N796">
        <v>10.64</v>
      </c>
    </row>
    <row r="797" spans="1:14" x14ac:dyDescent="0.25">
      <c r="A797" s="1" t="s">
        <v>809</v>
      </c>
      <c r="B797" t="str">
        <f>HYPERLINK("https://www.suredividend.com/sure-analysis-research-database/","Identiv Inc")</f>
        <v>Identiv Inc</v>
      </c>
      <c r="C797" t="s">
        <v>1803</v>
      </c>
      <c r="D797">
        <v>6.13</v>
      </c>
      <c r="E797">
        <v>0</v>
      </c>
      <c r="F797" t="s">
        <v>1797</v>
      </c>
      <c r="G797" t="s">
        <v>1797</v>
      </c>
      <c r="H797">
        <v>0</v>
      </c>
      <c r="I797">
        <v>141.78577200000001</v>
      </c>
      <c r="J797" t="s">
        <v>1797</v>
      </c>
      <c r="K797">
        <v>0</v>
      </c>
      <c r="L797">
        <v>1.7096330633039969</v>
      </c>
      <c r="M797">
        <v>10.35</v>
      </c>
      <c r="N797">
        <v>5.07</v>
      </c>
    </row>
    <row r="798" spans="1:14" x14ac:dyDescent="0.25">
      <c r="A798" s="1" t="s">
        <v>810</v>
      </c>
      <c r="B798" t="str">
        <f>HYPERLINK("https://www.suredividend.com/sure-analysis-research-database/","IonQ Inc")</f>
        <v>IonQ Inc</v>
      </c>
      <c r="C798" t="s">
        <v>1797</v>
      </c>
      <c r="D798">
        <v>11.58</v>
      </c>
      <c r="E798">
        <v>0</v>
      </c>
      <c r="F798" t="s">
        <v>1797</v>
      </c>
      <c r="G798" t="s">
        <v>1797</v>
      </c>
      <c r="H798">
        <v>0</v>
      </c>
      <c r="I798">
        <v>2346.0542460000001</v>
      </c>
      <c r="J798" t="s">
        <v>1797</v>
      </c>
      <c r="K798">
        <v>0</v>
      </c>
      <c r="L798">
        <v>2.875232894012568</v>
      </c>
      <c r="M798">
        <v>21.6</v>
      </c>
      <c r="N798">
        <v>3.04</v>
      </c>
    </row>
    <row r="799" spans="1:14" x14ac:dyDescent="0.25">
      <c r="A799" s="1" t="s">
        <v>811</v>
      </c>
      <c r="B799" t="str">
        <f>HYPERLINK("https://www.suredividend.com/sure-analysis-research-database/","Innospec Inc")</f>
        <v>Innospec Inc</v>
      </c>
      <c r="C799" t="s">
        <v>1808</v>
      </c>
      <c r="D799">
        <v>100.35</v>
      </c>
      <c r="E799">
        <v>1.3262693905773001E-2</v>
      </c>
      <c r="F799" t="s">
        <v>1797</v>
      </c>
      <c r="G799" t="s">
        <v>1797</v>
      </c>
      <c r="H799">
        <v>1.3309113334443221</v>
      </c>
      <c r="I799">
        <v>2495.3016950000001</v>
      </c>
      <c r="J799">
        <v>19.756941370546311</v>
      </c>
      <c r="K799">
        <v>0.263546798701846</v>
      </c>
      <c r="L799">
        <v>0.82931605088600702</v>
      </c>
      <c r="M799">
        <v>114.38</v>
      </c>
      <c r="N799">
        <v>91.74</v>
      </c>
    </row>
    <row r="800" spans="1:14" x14ac:dyDescent="0.25">
      <c r="A800" s="1" t="s">
        <v>812</v>
      </c>
      <c r="B800" t="str">
        <f>HYPERLINK("https://www.suredividend.com/sure-analysis-research-database/","Iovance Biotherapeutics Inc")</f>
        <v>Iovance Biotherapeutics Inc</v>
      </c>
      <c r="C800" t="s">
        <v>1802</v>
      </c>
      <c r="D800">
        <v>4.21</v>
      </c>
      <c r="E800">
        <v>0</v>
      </c>
      <c r="F800" t="s">
        <v>1797</v>
      </c>
      <c r="G800" t="s">
        <v>1797</v>
      </c>
      <c r="H800">
        <v>0</v>
      </c>
      <c r="I800">
        <v>1043.139709</v>
      </c>
      <c r="J800">
        <v>0</v>
      </c>
      <c r="K800" t="s">
        <v>1797</v>
      </c>
      <c r="L800">
        <v>1.1634715515269269</v>
      </c>
      <c r="M800">
        <v>9.36</v>
      </c>
      <c r="N800">
        <v>3.21</v>
      </c>
    </row>
    <row r="801" spans="1:14" x14ac:dyDescent="0.25">
      <c r="A801" s="1" t="s">
        <v>813</v>
      </c>
      <c r="B801" t="str">
        <f>HYPERLINK("https://www.suredividend.com/sure-analysis-IPAR/","Inter Parfums, Inc.")</f>
        <v>Inter Parfums, Inc.</v>
      </c>
      <c r="C801" t="s">
        <v>1804</v>
      </c>
      <c r="D801">
        <v>129.9</v>
      </c>
      <c r="E801">
        <v>1.924557351809084E-2</v>
      </c>
      <c r="F801" t="s">
        <v>1797</v>
      </c>
      <c r="G801" t="s">
        <v>1797</v>
      </c>
      <c r="H801">
        <v>2.3459754208905079</v>
      </c>
      <c r="I801">
        <v>4153.6395329999996</v>
      </c>
      <c r="J801">
        <v>28.24778828641962</v>
      </c>
      <c r="K801">
        <v>0.51222170761801478</v>
      </c>
      <c r="L801">
        <v>0.91268999345186408</v>
      </c>
      <c r="M801">
        <v>158.19</v>
      </c>
      <c r="N801">
        <v>75.52</v>
      </c>
    </row>
    <row r="802" spans="1:14" x14ac:dyDescent="0.25">
      <c r="A802" s="1" t="s">
        <v>814</v>
      </c>
      <c r="B802" t="str">
        <f>HYPERLINK("https://www.suredividend.com/sure-analysis-research-database/","Intrepid Potash Inc")</f>
        <v>Intrepid Potash Inc</v>
      </c>
      <c r="C802" t="s">
        <v>1808</v>
      </c>
      <c r="D802">
        <v>21</v>
      </c>
      <c r="E802">
        <v>0</v>
      </c>
      <c r="F802" t="s">
        <v>1797</v>
      </c>
      <c r="G802" t="s">
        <v>1797</v>
      </c>
      <c r="H802">
        <v>0</v>
      </c>
      <c r="I802">
        <v>276.411765</v>
      </c>
      <c r="J802">
        <v>10.671856878112809</v>
      </c>
      <c r="K802">
        <v>0</v>
      </c>
      <c r="L802">
        <v>1.262003348216354</v>
      </c>
      <c r="M802">
        <v>38.630000000000003</v>
      </c>
      <c r="N802">
        <v>17.23</v>
      </c>
    </row>
    <row r="803" spans="1:14" x14ac:dyDescent="0.25">
      <c r="A803" s="1" t="s">
        <v>815</v>
      </c>
      <c r="B803" t="str">
        <f>HYPERLINK("https://www.suredividend.com/sure-analysis-research-database/","Century Therapeutics Inc")</f>
        <v>Century Therapeutics Inc</v>
      </c>
      <c r="C803" t="s">
        <v>1797</v>
      </c>
      <c r="D803">
        <v>1.76</v>
      </c>
      <c r="E803">
        <v>0</v>
      </c>
      <c r="F803" t="s">
        <v>1797</v>
      </c>
      <c r="G803" t="s">
        <v>1797</v>
      </c>
      <c r="H803">
        <v>0</v>
      </c>
      <c r="I803">
        <v>105.186875</v>
      </c>
      <c r="J803" t="s">
        <v>1797</v>
      </c>
      <c r="K803">
        <v>0</v>
      </c>
      <c r="L803">
        <v>1.233321960169723</v>
      </c>
      <c r="M803">
        <v>11.95</v>
      </c>
      <c r="N803">
        <v>1.28</v>
      </c>
    </row>
    <row r="804" spans="1:14" x14ac:dyDescent="0.25">
      <c r="A804" s="1" t="s">
        <v>816</v>
      </c>
      <c r="B804" t="str">
        <f>HYPERLINK("https://www.suredividend.com/sure-analysis-research-database/","Irobot Corp")</f>
        <v>Irobot Corp</v>
      </c>
      <c r="C804" t="s">
        <v>1803</v>
      </c>
      <c r="D804">
        <v>32.369999999999997</v>
      </c>
      <c r="E804">
        <v>0</v>
      </c>
      <c r="F804" t="s">
        <v>1797</v>
      </c>
      <c r="G804" t="s">
        <v>1797</v>
      </c>
      <c r="H804">
        <v>0</v>
      </c>
      <c r="I804">
        <v>896.52641500000004</v>
      </c>
      <c r="J804" t="s">
        <v>1797</v>
      </c>
      <c r="K804">
        <v>0</v>
      </c>
      <c r="L804">
        <v>0.202285884149564</v>
      </c>
      <c r="M804">
        <v>55.93</v>
      </c>
      <c r="N804">
        <v>31.37</v>
      </c>
    </row>
    <row r="805" spans="1:14" x14ac:dyDescent="0.25">
      <c r="A805" s="1" t="s">
        <v>817</v>
      </c>
      <c r="B805" t="str">
        <f>HYPERLINK("https://www.suredividend.com/sure-analysis-research-database/","Iridium Communications Inc")</f>
        <v>Iridium Communications Inc</v>
      </c>
      <c r="C805" t="s">
        <v>1806</v>
      </c>
      <c r="D805">
        <v>38.24</v>
      </c>
      <c r="E805">
        <v>1.0154891788932001E-2</v>
      </c>
      <c r="F805" t="s">
        <v>1797</v>
      </c>
      <c r="G805" t="s">
        <v>1797</v>
      </c>
      <c r="H805">
        <v>0.38832306200877698</v>
      </c>
      <c r="I805">
        <v>4736.0456439999998</v>
      </c>
      <c r="J805" t="s">
        <v>1797</v>
      </c>
      <c r="K805" t="s">
        <v>1797</v>
      </c>
      <c r="L805">
        <v>0.78091575051151008</v>
      </c>
      <c r="M805">
        <v>67.83</v>
      </c>
      <c r="N805">
        <v>35.78</v>
      </c>
    </row>
    <row r="806" spans="1:14" x14ac:dyDescent="0.25">
      <c r="A806" s="1" t="s">
        <v>818</v>
      </c>
      <c r="B806" t="str">
        <f>HYPERLINK("https://www.suredividend.com/sure-analysis-research-database/","Iradimed Corp")</f>
        <v>Iradimed Corp</v>
      </c>
      <c r="C806" t="s">
        <v>1802</v>
      </c>
      <c r="D806">
        <v>45.06</v>
      </c>
      <c r="E806">
        <v>2.3302262590240999E-2</v>
      </c>
      <c r="F806" t="s">
        <v>1797</v>
      </c>
      <c r="G806" t="s">
        <v>1797</v>
      </c>
      <c r="H806">
        <v>1.049999952316284</v>
      </c>
      <c r="I806">
        <v>567.87644499999999</v>
      </c>
      <c r="J806">
        <v>38.666223818020043</v>
      </c>
      <c r="K806">
        <v>0.90517237268645179</v>
      </c>
      <c r="L806">
        <v>0.79654967428556311</v>
      </c>
      <c r="M806">
        <v>51.04</v>
      </c>
      <c r="N806">
        <v>26.59</v>
      </c>
    </row>
    <row r="807" spans="1:14" x14ac:dyDescent="0.25">
      <c r="A807" s="1" t="s">
        <v>819</v>
      </c>
      <c r="B807" t="str">
        <f>HYPERLINK("https://www.suredividend.com/sure-analysis-research-database/","IronNet Inc")</f>
        <v>IronNet Inc</v>
      </c>
      <c r="C807" t="s">
        <v>1797</v>
      </c>
      <c r="D807">
        <v>0.127</v>
      </c>
      <c r="E807">
        <v>0</v>
      </c>
      <c r="F807" t="s">
        <v>1797</v>
      </c>
      <c r="G807" t="s">
        <v>1797</v>
      </c>
      <c r="H807">
        <v>0</v>
      </c>
      <c r="I807">
        <v>0</v>
      </c>
      <c r="J807">
        <v>0</v>
      </c>
      <c r="K807">
        <v>0</v>
      </c>
    </row>
    <row r="808" spans="1:14" x14ac:dyDescent="0.25">
      <c r="A808" s="1" t="s">
        <v>820</v>
      </c>
      <c r="B808" t="str">
        <f>HYPERLINK("https://www.suredividend.com/sure-analysis-IRT/","Independence Realty Trust Inc")</f>
        <v>Independence Realty Trust Inc</v>
      </c>
      <c r="C808" t="s">
        <v>1799</v>
      </c>
      <c r="D808">
        <v>13.64</v>
      </c>
      <c r="E808">
        <v>4.6920821114369501E-2</v>
      </c>
      <c r="F808">
        <v>0.14285714285714279</v>
      </c>
      <c r="G808">
        <v>-2.328131613882611E-2</v>
      </c>
      <c r="H808">
        <v>0.591322504621139</v>
      </c>
      <c r="I808">
        <v>3065.0529110000002</v>
      </c>
      <c r="J808">
        <v>53.850326985487897</v>
      </c>
      <c r="K808">
        <v>2.3418713054302529</v>
      </c>
      <c r="L808">
        <v>1.2092106133209759</v>
      </c>
      <c r="M808">
        <v>19.11</v>
      </c>
      <c r="N808">
        <v>11.61</v>
      </c>
    </row>
    <row r="809" spans="1:14" x14ac:dyDescent="0.25">
      <c r="A809" s="1" t="s">
        <v>821</v>
      </c>
      <c r="B809" t="str">
        <f>HYPERLINK("https://www.suredividend.com/sure-analysis-research-database/","iRhythm Technologies Inc")</f>
        <v>iRhythm Technologies Inc</v>
      </c>
      <c r="C809" t="s">
        <v>1802</v>
      </c>
      <c r="D809">
        <v>83.28</v>
      </c>
      <c r="E809">
        <v>0</v>
      </c>
      <c r="F809" t="s">
        <v>1797</v>
      </c>
      <c r="G809" t="s">
        <v>1797</v>
      </c>
      <c r="H809">
        <v>0</v>
      </c>
      <c r="I809">
        <v>2546.495782</v>
      </c>
      <c r="J809" t="s">
        <v>1797</v>
      </c>
      <c r="K809">
        <v>0</v>
      </c>
      <c r="L809">
        <v>1.074574757833574</v>
      </c>
      <c r="M809">
        <v>140.22999999999999</v>
      </c>
      <c r="N809">
        <v>72.42</v>
      </c>
    </row>
    <row r="810" spans="1:14" x14ac:dyDescent="0.25">
      <c r="A810" s="1" t="s">
        <v>822</v>
      </c>
      <c r="B810" t="str">
        <f>HYPERLINK("https://www.suredividend.com/sure-analysis-research-database/","Ironwood Pharmaceuticals Inc")</f>
        <v>Ironwood Pharmaceuticals Inc</v>
      </c>
      <c r="C810" t="s">
        <v>1802</v>
      </c>
      <c r="D810">
        <v>9.5</v>
      </c>
      <c r="E810">
        <v>0</v>
      </c>
      <c r="F810" t="s">
        <v>1797</v>
      </c>
      <c r="G810" t="s">
        <v>1797</v>
      </c>
      <c r="H810">
        <v>0</v>
      </c>
      <c r="I810">
        <v>1482.2772669999999</v>
      </c>
      <c r="J810" t="s">
        <v>1797</v>
      </c>
      <c r="K810">
        <v>0</v>
      </c>
      <c r="L810">
        <v>0.62444723088590903</v>
      </c>
      <c r="M810">
        <v>12.66</v>
      </c>
      <c r="N810">
        <v>8.07</v>
      </c>
    </row>
    <row r="811" spans="1:14" x14ac:dyDescent="0.25">
      <c r="A811" s="1" t="s">
        <v>823</v>
      </c>
      <c r="B811" t="str">
        <f>HYPERLINK("https://www.suredividend.com/sure-analysis-research-database/","IVERIC bio Inc")</f>
        <v>IVERIC bio Inc</v>
      </c>
      <c r="C811" t="s">
        <v>1802</v>
      </c>
      <c r="D811">
        <v>39.950000000000003</v>
      </c>
      <c r="E811">
        <v>0</v>
      </c>
      <c r="F811" t="s">
        <v>1797</v>
      </c>
      <c r="G811" t="s">
        <v>1797</v>
      </c>
      <c r="H811">
        <v>0</v>
      </c>
      <c r="I811">
        <v>0</v>
      </c>
      <c r="J811">
        <v>0</v>
      </c>
      <c r="K811" t="s">
        <v>1797</v>
      </c>
    </row>
    <row r="812" spans="1:14" x14ac:dyDescent="0.25">
      <c r="A812" s="1" t="s">
        <v>824</v>
      </c>
      <c r="B812" t="str">
        <f>HYPERLINK("https://www.suredividend.com/sure-analysis-research-database/","Inspirato Incorporated")</f>
        <v>Inspirato Incorporated</v>
      </c>
      <c r="C812" t="s">
        <v>1797</v>
      </c>
      <c r="D812">
        <v>4.74</v>
      </c>
      <c r="E812">
        <v>0</v>
      </c>
      <c r="F812" t="s">
        <v>1797</v>
      </c>
      <c r="G812" t="s">
        <v>1797</v>
      </c>
      <c r="H812">
        <v>0</v>
      </c>
      <c r="I812">
        <v>325.67753599999998</v>
      </c>
      <c r="J812" t="s">
        <v>1797</v>
      </c>
      <c r="K812">
        <v>0</v>
      </c>
      <c r="L812">
        <v>1.306103792988776</v>
      </c>
      <c r="M812">
        <v>47.7</v>
      </c>
      <c r="N812">
        <v>3.15</v>
      </c>
    </row>
    <row r="813" spans="1:14" x14ac:dyDescent="0.25">
      <c r="A813" s="1" t="s">
        <v>825</v>
      </c>
      <c r="B813" t="str">
        <f>HYPERLINK("https://www.suredividend.com/sure-analysis-research-database/","Intra-Cellular Therapies Inc")</f>
        <v>Intra-Cellular Therapies Inc</v>
      </c>
      <c r="C813" t="s">
        <v>1802</v>
      </c>
      <c r="D813">
        <v>54.99</v>
      </c>
      <c r="E813">
        <v>0</v>
      </c>
      <c r="F813" t="s">
        <v>1797</v>
      </c>
      <c r="G813" t="s">
        <v>1797</v>
      </c>
      <c r="H813">
        <v>0</v>
      </c>
      <c r="I813">
        <v>5274.9487989999998</v>
      </c>
      <c r="J813">
        <v>0</v>
      </c>
      <c r="K813" t="s">
        <v>1797</v>
      </c>
      <c r="L813">
        <v>0.71080304276040007</v>
      </c>
      <c r="M813">
        <v>67.05</v>
      </c>
      <c r="N813">
        <v>42.01</v>
      </c>
    </row>
    <row r="814" spans="1:14" x14ac:dyDescent="0.25">
      <c r="A814" s="1" t="s">
        <v>826</v>
      </c>
      <c r="B814" t="str">
        <f>HYPERLINK("https://www.suredividend.com/sure-analysis-research-database/","Integer Holdings Corp")</f>
        <v>Integer Holdings Corp</v>
      </c>
      <c r="C814" t="s">
        <v>1802</v>
      </c>
      <c r="D814">
        <v>86.51</v>
      </c>
      <c r="E814">
        <v>0</v>
      </c>
      <c r="F814" t="s">
        <v>1797</v>
      </c>
      <c r="G814" t="s">
        <v>1797</v>
      </c>
      <c r="H814">
        <v>0</v>
      </c>
      <c r="I814">
        <v>2883.0882320000001</v>
      </c>
      <c r="J814">
        <v>34.984689139303477</v>
      </c>
      <c r="K814">
        <v>0</v>
      </c>
      <c r="L814">
        <v>0.82964696540011307</v>
      </c>
      <c r="M814">
        <v>96.17</v>
      </c>
      <c r="N814">
        <v>61.85</v>
      </c>
    </row>
    <row r="815" spans="1:14" x14ac:dyDescent="0.25">
      <c r="A815" s="1" t="s">
        <v>827</v>
      </c>
      <c r="B815" t="str">
        <f>HYPERLINK("https://www.suredividend.com/sure-analysis-research-database/","Investors Title Co.")</f>
        <v>Investors Title Co.</v>
      </c>
      <c r="C815" t="s">
        <v>1800</v>
      </c>
      <c r="D815">
        <v>149.94999999999999</v>
      </c>
      <c r="E815">
        <v>1.2161410870939001E-2</v>
      </c>
      <c r="F815">
        <v>-0.84666666666666668</v>
      </c>
      <c r="G815">
        <v>2.834672210021361E-2</v>
      </c>
      <c r="H815">
        <v>1.823603560097429</v>
      </c>
      <c r="I815">
        <v>283.498919</v>
      </c>
      <c r="J815">
        <v>0</v>
      </c>
      <c r="K815" t="s">
        <v>1797</v>
      </c>
      <c r="M815">
        <v>165.11</v>
      </c>
      <c r="N815">
        <v>127.71</v>
      </c>
    </row>
    <row r="816" spans="1:14" x14ac:dyDescent="0.25">
      <c r="A816" s="1" t="s">
        <v>828</v>
      </c>
      <c r="B816" t="str">
        <f>HYPERLINK("https://www.suredividend.com/sure-analysis-research-database/","ITeos Therapeutics Inc")</f>
        <v>ITeos Therapeutics Inc</v>
      </c>
      <c r="C816" t="s">
        <v>1797</v>
      </c>
      <c r="D816">
        <v>10.34</v>
      </c>
      <c r="E816">
        <v>0</v>
      </c>
      <c r="F816" t="s">
        <v>1797</v>
      </c>
      <c r="G816" t="s">
        <v>1797</v>
      </c>
      <c r="H816">
        <v>0</v>
      </c>
      <c r="I816">
        <v>369.98504200000002</v>
      </c>
      <c r="J816" t="s">
        <v>1797</v>
      </c>
      <c r="K816">
        <v>0</v>
      </c>
      <c r="L816">
        <v>0.97881612198927404</v>
      </c>
      <c r="M816">
        <v>23</v>
      </c>
      <c r="N816">
        <v>8.1999999999999993</v>
      </c>
    </row>
    <row r="817" spans="1:14" x14ac:dyDescent="0.25">
      <c r="A817" s="1" t="s">
        <v>829</v>
      </c>
      <c r="B817" t="str">
        <f>HYPERLINK("https://www.suredividend.com/sure-analysis-research-database/","Itron Inc.")</f>
        <v>Itron Inc.</v>
      </c>
      <c r="C817" t="s">
        <v>1803</v>
      </c>
      <c r="D817">
        <v>64.28</v>
      </c>
      <c r="E817">
        <v>0</v>
      </c>
      <c r="F817" t="s">
        <v>1797</v>
      </c>
      <c r="G817" t="s">
        <v>1797</v>
      </c>
      <c r="H817">
        <v>0</v>
      </c>
      <c r="I817">
        <v>2922.1834560000002</v>
      </c>
      <c r="J817">
        <v>39.09327824907357</v>
      </c>
      <c r="K817">
        <v>0</v>
      </c>
      <c r="L817">
        <v>1.2512601609423111</v>
      </c>
      <c r="M817">
        <v>79.989999999999995</v>
      </c>
      <c r="N817">
        <v>46.82</v>
      </c>
    </row>
    <row r="818" spans="1:14" x14ac:dyDescent="0.25">
      <c r="A818" s="1" t="s">
        <v>830</v>
      </c>
      <c r="B818" t="str">
        <f>HYPERLINK("https://www.suredividend.com/sure-analysis-research-database/","Invesco Mortgage Capital Inc")</f>
        <v>Invesco Mortgage Capital Inc</v>
      </c>
      <c r="C818" t="s">
        <v>1799</v>
      </c>
      <c r="D818">
        <v>7.91</v>
      </c>
      <c r="E818">
        <v>0.21880133944517599</v>
      </c>
      <c r="F818">
        <v>-0.38461538461538458</v>
      </c>
      <c r="G818">
        <v>-2.328131613882611E-2</v>
      </c>
      <c r="H818">
        <v>1.7307185950113479</v>
      </c>
      <c r="I818">
        <v>352.62671599999999</v>
      </c>
      <c r="J818" t="s">
        <v>1797</v>
      </c>
      <c r="K818" t="s">
        <v>1797</v>
      </c>
      <c r="L818">
        <v>1.3200408693359149</v>
      </c>
      <c r="M818">
        <v>13.85</v>
      </c>
      <c r="N818">
        <v>6.34</v>
      </c>
    </row>
    <row r="819" spans="1:14" x14ac:dyDescent="0.25">
      <c r="A819" s="1" t="s">
        <v>831</v>
      </c>
      <c r="B819" t="str">
        <f>HYPERLINK("https://www.suredividend.com/sure-analysis-research-database/","InvenTrust Properties Corp")</f>
        <v>InvenTrust Properties Corp</v>
      </c>
      <c r="C819" t="s">
        <v>1797</v>
      </c>
      <c r="D819">
        <v>25.51</v>
      </c>
      <c r="E819">
        <v>3.2934498220102013E-2</v>
      </c>
      <c r="F819" t="s">
        <v>1797</v>
      </c>
      <c r="G819" t="s">
        <v>1797</v>
      </c>
      <c r="H819">
        <v>0.84015904959481602</v>
      </c>
      <c r="I819">
        <v>1722.7243559999999</v>
      </c>
      <c r="J819">
        <v>0</v>
      </c>
      <c r="K819" t="s">
        <v>1797</v>
      </c>
      <c r="L819">
        <v>0.93958759262858305</v>
      </c>
      <c r="M819">
        <v>26.23</v>
      </c>
      <c r="N819">
        <v>20.34</v>
      </c>
    </row>
    <row r="820" spans="1:14" x14ac:dyDescent="0.25">
      <c r="A820" s="1" t="s">
        <v>832</v>
      </c>
      <c r="B820" t="str">
        <f>HYPERLINK("https://www.suredividend.com/sure-analysis-research-database/","Invivyd Inc")</f>
        <v>Invivyd Inc</v>
      </c>
      <c r="C820" t="s">
        <v>1797</v>
      </c>
      <c r="D820">
        <v>1.52</v>
      </c>
      <c r="E820">
        <v>0</v>
      </c>
      <c r="F820" t="s">
        <v>1797</v>
      </c>
      <c r="G820" t="s">
        <v>1797</v>
      </c>
      <c r="H820">
        <v>0</v>
      </c>
      <c r="I820">
        <v>166.82854800000001</v>
      </c>
      <c r="J820">
        <v>0</v>
      </c>
      <c r="K820" t="s">
        <v>1797</v>
      </c>
      <c r="L820">
        <v>0.9421082993305091</v>
      </c>
      <c r="M820">
        <v>3.79</v>
      </c>
      <c r="N820">
        <v>0.98020000000000007</v>
      </c>
    </row>
    <row r="821" spans="1:14" x14ac:dyDescent="0.25">
      <c r="A821" s="1" t="s">
        <v>833</v>
      </c>
      <c r="B821" t="str">
        <f>HYPERLINK("https://www.suredividend.com/sure-analysis-JACK/","Jack In The Box, Inc.")</f>
        <v>Jack In The Box, Inc.</v>
      </c>
      <c r="C821" t="s">
        <v>1801</v>
      </c>
      <c r="D821">
        <v>66.75</v>
      </c>
      <c r="E821">
        <v>2.6367041198501869E-2</v>
      </c>
      <c r="F821" t="s">
        <v>1797</v>
      </c>
      <c r="G821" t="s">
        <v>1797</v>
      </c>
      <c r="H821">
        <v>1.7349819056395219</v>
      </c>
      <c r="I821">
        <v>1342.2065970000001</v>
      </c>
      <c r="J821">
        <v>8.6713134630169204</v>
      </c>
      <c r="K821">
        <v>0.23445701427561111</v>
      </c>
      <c r="L821">
        <v>0.71622939745882508</v>
      </c>
      <c r="M821">
        <v>98.5</v>
      </c>
      <c r="N821">
        <v>60.43</v>
      </c>
    </row>
    <row r="822" spans="1:14" x14ac:dyDescent="0.25">
      <c r="A822" s="1" t="s">
        <v>834</v>
      </c>
      <c r="B822" t="str">
        <f>HYPERLINK("https://www.suredividend.com/sure-analysis-research-database/","Janux Therapeutics Inc")</f>
        <v>Janux Therapeutics Inc</v>
      </c>
      <c r="C822" t="s">
        <v>1797</v>
      </c>
      <c r="D822">
        <v>6.77</v>
      </c>
      <c r="E822">
        <v>0</v>
      </c>
      <c r="F822" t="s">
        <v>1797</v>
      </c>
      <c r="G822" t="s">
        <v>1797</v>
      </c>
      <c r="H822">
        <v>0</v>
      </c>
      <c r="I822">
        <v>312.09699999999998</v>
      </c>
      <c r="J822" t="s">
        <v>1797</v>
      </c>
      <c r="K822">
        <v>0</v>
      </c>
      <c r="L822">
        <v>1.7514766317484549</v>
      </c>
      <c r="M822">
        <v>23.64</v>
      </c>
      <c r="N822">
        <v>5.74</v>
      </c>
    </row>
    <row r="823" spans="1:14" x14ac:dyDescent="0.25">
      <c r="A823" s="1" t="s">
        <v>835</v>
      </c>
      <c r="B823" t="str">
        <f>HYPERLINK("https://www.suredividend.com/sure-analysis-research-database/","Janus International Group Inc")</f>
        <v>Janus International Group Inc</v>
      </c>
      <c r="C823" t="s">
        <v>1797</v>
      </c>
      <c r="D823">
        <v>10.07</v>
      </c>
      <c r="E823">
        <v>0</v>
      </c>
      <c r="F823" t="s">
        <v>1797</v>
      </c>
      <c r="G823" t="s">
        <v>1797</v>
      </c>
      <c r="H823">
        <v>0</v>
      </c>
      <c r="I823">
        <v>1477.5006100000001</v>
      </c>
      <c r="J823">
        <v>11.535673597176791</v>
      </c>
      <c r="K823">
        <v>0</v>
      </c>
      <c r="L823">
        <v>1.4722575299555629</v>
      </c>
      <c r="M823">
        <v>12.45</v>
      </c>
      <c r="N823">
        <v>8.19</v>
      </c>
    </row>
    <row r="824" spans="1:14" x14ac:dyDescent="0.25">
      <c r="A824" s="1" t="s">
        <v>836</v>
      </c>
      <c r="B824" t="str">
        <f>HYPERLINK("https://www.suredividend.com/sure-analysis-research-database/","Sanfilippo (John B.) &amp; Son, Inc")</f>
        <v>Sanfilippo (John B.) &amp; Son, Inc</v>
      </c>
      <c r="C824" t="s">
        <v>1804</v>
      </c>
      <c r="D824">
        <v>93.38</v>
      </c>
      <c r="E824">
        <v>8.5671451265890014E-3</v>
      </c>
      <c r="F824" t="s">
        <v>1797</v>
      </c>
      <c r="G824" t="s">
        <v>1797</v>
      </c>
      <c r="H824">
        <v>0.80000001192092907</v>
      </c>
      <c r="I824">
        <v>837.90163500000006</v>
      </c>
      <c r="J824">
        <v>12.91065693035439</v>
      </c>
      <c r="K824">
        <v>0.1436265730558221</v>
      </c>
      <c r="L824">
        <v>0.33484155931520199</v>
      </c>
      <c r="M824">
        <v>124.82</v>
      </c>
      <c r="N824">
        <v>73.09</v>
      </c>
    </row>
    <row r="825" spans="1:14" x14ac:dyDescent="0.25">
      <c r="A825" s="1" t="s">
        <v>837</v>
      </c>
      <c r="B825" t="str">
        <f>HYPERLINK("https://www.suredividend.com/sure-analysis-research-database/","John Bean Technologies Corp")</f>
        <v>John Bean Technologies Corp</v>
      </c>
      <c r="C825" t="s">
        <v>1798</v>
      </c>
      <c r="D825">
        <v>107.8</v>
      </c>
      <c r="E825">
        <v>3.7054087949030001E-3</v>
      </c>
      <c r="F825">
        <v>0</v>
      </c>
      <c r="G825">
        <v>0</v>
      </c>
      <c r="H825">
        <v>0.39944306809054297</v>
      </c>
      <c r="I825">
        <v>3432.2168190000002</v>
      </c>
      <c r="J825">
        <v>6.1104091486558652</v>
      </c>
      <c r="K825">
        <v>2.2554662229844331E-2</v>
      </c>
      <c r="L825">
        <v>1.384110584047433</v>
      </c>
      <c r="M825">
        <v>125.76</v>
      </c>
      <c r="N825">
        <v>85.92</v>
      </c>
    </row>
    <row r="826" spans="1:14" x14ac:dyDescent="0.25">
      <c r="A826" s="1" t="s">
        <v>838</v>
      </c>
      <c r="B826" t="str">
        <f>HYPERLINK("https://www.suredividend.com/sure-analysis-research-database/","JELD-WEN Holding Inc.")</f>
        <v>JELD-WEN Holding Inc.</v>
      </c>
      <c r="C826" t="s">
        <v>1798</v>
      </c>
      <c r="D826">
        <v>12.66</v>
      </c>
      <c r="E826">
        <v>0</v>
      </c>
      <c r="F826" t="s">
        <v>1797</v>
      </c>
      <c r="G826" t="s">
        <v>1797</v>
      </c>
      <c r="H826">
        <v>0</v>
      </c>
      <c r="I826">
        <v>1078.4803710000001</v>
      </c>
      <c r="J826">
        <v>20.029722367951859</v>
      </c>
      <c r="K826">
        <v>0</v>
      </c>
      <c r="L826">
        <v>1.878571267527134</v>
      </c>
      <c r="M826">
        <v>18.52</v>
      </c>
      <c r="N826">
        <v>8.98</v>
      </c>
    </row>
    <row r="827" spans="1:14" x14ac:dyDescent="0.25">
      <c r="A827" s="1" t="s">
        <v>839</v>
      </c>
      <c r="B827" t="str">
        <f>HYPERLINK("https://www.suredividend.com/sure-analysis-JJSF/","J&amp;J Snack Foods Corp.")</f>
        <v>J&amp;J Snack Foods Corp.</v>
      </c>
      <c r="C827" t="s">
        <v>1804</v>
      </c>
      <c r="D827">
        <v>159.54</v>
      </c>
      <c r="E827">
        <v>1.7550457565500811E-2</v>
      </c>
      <c r="F827">
        <v>4.9999999999999822E-2</v>
      </c>
      <c r="G827">
        <v>8.0098758658889491E-2</v>
      </c>
      <c r="H827">
        <v>2.801227839933178</v>
      </c>
      <c r="I827">
        <v>3077.4945320000002</v>
      </c>
      <c r="J827">
        <v>46.773987878410217</v>
      </c>
      <c r="K827">
        <v>0.82147443986310198</v>
      </c>
      <c r="L827">
        <v>0.40878360294545601</v>
      </c>
      <c r="M827">
        <v>176.2</v>
      </c>
      <c r="N827">
        <v>130.29</v>
      </c>
    </row>
    <row r="828" spans="1:14" x14ac:dyDescent="0.25">
      <c r="A828" s="1" t="s">
        <v>840</v>
      </c>
      <c r="B828" t="str">
        <f>HYPERLINK("https://www.suredividend.com/sure-analysis-research-database/","John Marshall Bancorp Inc")</f>
        <v>John Marshall Bancorp Inc</v>
      </c>
      <c r="C828" t="s">
        <v>1800</v>
      </c>
      <c r="D828">
        <v>18.48</v>
      </c>
      <c r="E828">
        <v>1.1904761840254E-2</v>
      </c>
      <c r="F828" t="s">
        <v>1797</v>
      </c>
      <c r="G828" t="s">
        <v>1797</v>
      </c>
      <c r="H828">
        <v>0.21999999880790699</v>
      </c>
      <c r="I828">
        <v>261.05103000000003</v>
      </c>
      <c r="J828">
        <v>0</v>
      </c>
      <c r="K828" t="s">
        <v>1797</v>
      </c>
      <c r="L828">
        <v>0.9609648488198631</v>
      </c>
      <c r="M828">
        <v>28.9</v>
      </c>
      <c r="N828">
        <v>14.38</v>
      </c>
    </row>
    <row r="829" spans="1:14" x14ac:dyDescent="0.25">
      <c r="A829" s="1" t="s">
        <v>841</v>
      </c>
      <c r="B829" t="str">
        <f>HYPERLINK("https://www.suredividend.com/sure-analysis-research-database/","JOANN Inc")</f>
        <v>JOANN Inc</v>
      </c>
      <c r="C829" t="s">
        <v>1797</v>
      </c>
      <c r="D829">
        <v>0.52</v>
      </c>
      <c r="E829">
        <v>0</v>
      </c>
      <c r="F829" t="s">
        <v>1797</v>
      </c>
      <c r="G829" t="s">
        <v>1797</v>
      </c>
      <c r="H829">
        <v>0</v>
      </c>
      <c r="I829">
        <v>21.791</v>
      </c>
      <c r="J829" t="s">
        <v>1797</v>
      </c>
      <c r="K829">
        <v>0</v>
      </c>
      <c r="L829">
        <v>1.116464788688456</v>
      </c>
      <c r="M829">
        <v>6.11</v>
      </c>
      <c r="N829">
        <v>0.51500000000000001</v>
      </c>
    </row>
    <row r="830" spans="1:14" x14ac:dyDescent="0.25">
      <c r="A830" s="1" t="s">
        <v>842</v>
      </c>
      <c r="B830" t="str">
        <f>HYPERLINK("https://www.suredividend.com/sure-analysis-research-database/","Joby Aviation Inc")</f>
        <v>Joby Aviation Inc</v>
      </c>
      <c r="C830" t="s">
        <v>1797</v>
      </c>
      <c r="D830">
        <v>6.24</v>
      </c>
      <c r="E830">
        <v>0</v>
      </c>
      <c r="F830" t="s">
        <v>1797</v>
      </c>
      <c r="G830" t="s">
        <v>1797</v>
      </c>
      <c r="H830">
        <v>0</v>
      </c>
      <c r="I830">
        <v>4329.3057600000002</v>
      </c>
      <c r="J830">
        <v>0</v>
      </c>
      <c r="K830" t="s">
        <v>1797</v>
      </c>
      <c r="L830">
        <v>2.2524923091417128</v>
      </c>
      <c r="M830">
        <v>11.98</v>
      </c>
      <c r="N830">
        <v>3.15</v>
      </c>
    </row>
    <row r="831" spans="1:14" x14ac:dyDescent="0.25">
      <c r="A831" s="1" t="s">
        <v>843</v>
      </c>
      <c r="B831" t="str">
        <f>HYPERLINK("https://www.suredividend.com/sure-analysis-research-database/","St. Joe Co.")</f>
        <v>St. Joe Co.</v>
      </c>
      <c r="C831" t="s">
        <v>1799</v>
      </c>
      <c r="D831">
        <v>49.6</v>
      </c>
      <c r="E831">
        <v>8.4420314797050006E-3</v>
      </c>
      <c r="F831" t="s">
        <v>1797</v>
      </c>
      <c r="G831" t="s">
        <v>1797</v>
      </c>
      <c r="H831">
        <v>0.41872476139338699</v>
      </c>
      <c r="I831">
        <v>2895.2531840000001</v>
      </c>
      <c r="J831">
        <v>31.247673455291132</v>
      </c>
      <c r="K831">
        <v>0.26334890653672138</v>
      </c>
      <c r="L831">
        <v>1.068983089086073</v>
      </c>
      <c r="M831">
        <v>65.86</v>
      </c>
      <c r="N831">
        <v>34.01</v>
      </c>
    </row>
    <row r="832" spans="1:14" x14ac:dyDescent="0.25">
      <c r="A832" s="1" t="s">
        <v>844</v>
      </c>
      <c r="B832" t="str">
        <f>HYPERLINK("https://www.suredividend.com/sure-analysis-research-database/","Johnson Outdoors Inc")</f>
        <v>Johnson Outdoors Inc</v>
      </c>
      <c r="C832" t="s">
        <v>1801</v>
      </c>
      <c r="D832">
        <v>50.29</v>
      </c>
      <c r="E832">
        <v>2.4667859328311E-2</v>
      </c>
      <c r="F832">
        <v>6.4516129032258229E-2</v>
      </c>
      <c r="G832">
        <v>0.18707232699504719</v>
      </c>
      <c r="H832">
        <v>1.2405466456207741</v>
      </c>
      <c r="I832">
        <v>454.78006399999998</v>
      </c>
      <c r="J832">
        <v>10.10173398023101</v>
      </c>
      <c r="K832">
        <v>0.27940239766233649</v>
      </c>
      <c r="L832">
        <v>0.92503060980750207</v>
      </c>
      <c r="M832">
        <v>69.89</v>
      </c>
      <c r="N832">
        <v>47</v>
      </c>
    </row>
    <row r="833" spans="1:14" x14ac:dyDescent="0.25">
      <c r="A833" s="1" t="s">
        <v>845</v>
      </c>
      <c r="B833" t="str">
        <f>HYPERLINK("https://www.suredividend.com/sure-analysis-research-database/","James River Group Holdings Ltd")</f>
        <v>James River Group Holdings Ltd</v>
      </c>
      <c r="C833" t="s">
        <v>1800</v>
      </c>
      <c r="D833">
        <v>14.41</v>
      </c>
      <c r="E833">
        <v>1.376441154909E-2</v>
      </c>
      <c r="F833">
        <v>0</v>
      </c>
      <c r="G833">
        <v>-0.30117288122842079</v>
      </c>
      <c r="H833">
        <v>0.19834517042239999</v>
      </c>
      <c r="I833">
        <v>542.10058300000003</v>
      </c>
      <c r="J833">
        <v>15.098191981339649</v>
      </c>
      <c r="K833">
        <v>0.21627431078661</v>
      </c>
      <c r="L833">
        <v>0.83230558097657203</v>
      </c>
      <c r="M833">
        <v>24.57</v>
      </c>
      <c r="N833">
        <v>13.52</v>
      </c>
    </row>
    <row r="834" spans="1:14" x14ac:dyDescent="0.25">
      <c r="A834" s="1" t="s">
        <v>846</v>
      </c>
      <c r="B834" t="str">
        <f>HYPERLINK("https://www.suredividend.com/sure-analysis-JXN/","Jackson Financial Inc")</f>
        <v>Jackson Financial Inc</v>
      </c>
      <c r="C834" t="s">
        <v>1797</v>
      </c>
      <c r="D834">
        <v>40.770000000000003</v>
      </c>
      <c r="E834">
        <v>6.082904096149129E-2</v>
      </c>
      <c r="F834" t="s">
        <v>1797</v>
      </c>
      <c r="G834" t="s">
        <v>1797</v>
      </c>
      <c r="H834">
        <v>2.349300599294974</v>
      </c>
      <c r="I834">
        <v>3339.5045799999998</v>
      </c>
      <c r="J834">
        <v>7.0157659240966392</v>
      </c>
      <c r="K834">
        <v>0.42329740527837367</v>
      </c>
      <c r="L834">
        <v>1.7265865731402139</v>
      </c>
      <c r="M834">
        <v>47.05</v>
      </c>
      <c r="N834">
        <v>25.72</v>
      </c>
    </row>
    <row r="835" spans="1:14" x14ac:dyDescent="0.25">
      <c r="A835" s="1" t="s">
        <v>847</v>
      </c>
      <c r="B835" t="str">
        <f>HYPERLINK("https://www.suredividend.com/sure-analysis-research-database/","Joint Corp")</f>
        <v>Joint Corp</v>
      </c>
      <c r="C835" t="s">
        <v>1802</v>
      </c>
      <c r="D835">
        <v>7.9</v>
      </c>
      <c r="E835">
        <v>0</v>
      </c>
      <c r="F835" t="s">
        <v>1797</v>
      </c>
      <c r="G835" t="s">
        <v>1797</v>
      </c>
      <c r="H835">
        <v>0</v>
      </c>
      <c r="I835">
        <v>116.560969</v>
      </c>
      <c r="J835">
        <v>36.901960732790371</v>
      </c>
      <c r="K835">
        <v>0</v>
      </c>
      <c r="L835">
        <v>1.082175821825472</v>
      </c>
      <c r="M835">
        <v>20</v>
      </c>
      <c r="N835">
        <v>7.45</v>
      </c>
    </row>
    <row r="836" spans="1:14" x14ac:dyDescent="0.25">
      <c r="A836" s="1" t="s">
        <v>848</v>
      </c>
      <c r="B836" t="str">
        <f>HYPERLINK("https://www.suredividend.com/sure-analysis-research-database/","Kadant, Inc.")</f>
        <v>Kadant, Inc.</v>
      </c>
      <c r="C836" t="s">
        <v>1798</v>
      </c>
      <c r="D836">
        <v>244.39</v>
      </c>
      <c r="E836">
        <v>4.6147205843839996E-3</v>
      </c>
      <c r="F836">
        <v>0.1153846153846152</v>
      </c>
      <c r="G836">
        <v>5.6805496536407318E-2</v>
      </c>
      <c r="H836">
        <v>1.127791563617752</v>
      </c>
      <c r="I836">
        <v>2860.804412</v>
      </c>
      <c r="J836">
        <v>25.686234902087531</v>
      </c>
      <c r="K836">
        <v>0.1185900697810465</v>
      </c>
      <c r="L836">
        <v>1.087654967495064</v>
      </c>
      <c r="M836">
        <v>245.2</v>
      </c>
      <c r="N836">
        <v>170.07</v>
      </c>
    </row>
    <row r="837" spans="1:14" x14ac:dyDescent="0.25">
      <c r="A837" s="1" t="s">
        <v>849</v>
      </c>
      <c r="B837" t="str">
        <f>HYPERLINK("https://www.suredividend.com/sure-analysis-KALU/","Kaiser Aluminum Corp")</f>
        <v>Kaiser Aluminum Corp</v>
      </c>
      <c r="C837" t="s">
        <v>1808</v>
      </c>
      <c r="D837">
        <v>58.86</v>
      </c>
      <c r="E837">
        <v>5.2327556914712879E-2</v>
      </c>
      <c r="F837">
        <v>0</v>
      </c>
      <c r="G837">
        <v>5.1157745950071609E-2</v>
      </c>
      <c r="H837">
        <v>2.9922895787871981</v>
      </c>
      <c r="I837">
        <v>942.61194</v>
      </c>
      <c r="J837">
        <v>71.409995427272733</v>
      </c>
      <c r="K837">
        <v>3.6265780860346601</v>
      </c>
      <c r="L837">
        <v>1.7797661737145041</v>
      </c>
      <c r="M837">
        <v>91.22</v>
      </c>
      <c r="N837">
        <v>53.67</v>
      </c>
    </row>
    <row r="838" spans="1:14" x14ac:dyDescent="0.25">
      <c r="A838" s="1" t="s">
        <v>850</v>
      </c>
      <c r="B838" t="str">
        <f>HYPERLINK("https://www.suredividend.com/sure-analysis-research-database/","KalVista Pharmaceuticals Inc")</f>
        <v>KalVista Pharmaceuticals Inc</v>
      </c>
      <c r="C838" t="s">
        <v>1802</v>
      </c>
      <c r="D838">
        <v>8.67</v>
      </c>
      <c r="E838">
        <v>0</v>
      </c>
      <c r="F838" t="s">
        <v>1797</v>
      </c>
      <c r="G838" t="s">
        <v>1797</v>
      </c>
      <c r="H838">
        <v>0</v>
      </c>
      <c r="I838">
        <v>298.24799999999999</v>
      </c>
      <c r="J838" t="s">
        <v>1797</v>
      </c>
      <c r="K838">
        <v>0</v>
      </c>
      <c r="L838">
        <v>1.1076343414905969</v>
      </c>
      <c r="M838">
        <v>11.45</v>
      </c>
      <c r="N838">
        <v>4.95</v>
      </c>
    </row>
    <row r="839" spans="1:14" x14ac:dyDescent="0.25">
      <c r="A839" s="1" t="s">
        <v>851</v>
      </c>
      <c r="B839" t="str">
        <f>HYPERLINK("https://www.suredividend.com/sure-analysis-research-database/","Kaman Corp.")</f>
        <v>Kaman Corp.</v>
      </c>
      <c r="C839" t="s">
        <v>1798</v>
      </c>
      <c r="D839">
        <v>19.760000000000002</v>
      </c>
      <c r="E839">
        <v>3.9921616522493E-2</v>
      </c>
      <c r="F839">
        <v>0</v>
      </c>
      <c r="G839">
        <v>0</v>
      </c>
      <c r="H839">
        <v>0.78885114248447807</v>
      </c>
      <c r="I839">
        <v>558.34624699999995</v>
      </c>
      <c r="J839" t="s">
        <v>1797</v>
      </c>
      <c r="K839" t="s">
        <v>1797</v>
      </c>
      <c r="L839">
        <v>1.2365719864071809</v>
      </c>
      <c r="M839">
        <v>25.78</v>
      </c>
      <c r="N839">
        <v>18.059999999999999</v>
      </c>
    </row>
    <row r="840" spans="1:14" x14ac:dyDescent="0.25">
      <c r="A840" s="1" t="s">
        <v>852</v>
      </c>
      <c r="B840" t="str">
        <f>HYPERLINK("https://www.suredividend.com/sure-analysis-research-database/","Openlane Inc.")</f>
        <v>Openlane Inc.</v>
      </c>
      <c r="C840" t="s">
        <v>1801</v>
      </c>
      <c r="D840">
        <v>14.72</v>
      </c>
      <c r="E840">
        <v>0</v>
      </c>
      <c r="F840" t="s">
        <v>1797</v>
      </c>
      <c r="G840" t="s">
        <v>1797</v>
      </c>
      <c r="H840">
        <v>0</v>
      </c>
      <c r="I840">
        <v>1611.1759219999999</v>
      </c>
      <c r="J840">
        <v>27.731082993459559</v>
      </c>
      <c r="K840">
        <v>0</v>
      </c>
      <c r="L840">
        <v>1.1921920478322869</v>
      </c>
      <c r="M840">
        <v>16.489999999999998</v>
      </c>
      <c r="N840">
        <v>12.09</v>
      </c>
    </row>
    <row r="841" spans="1:14" x14ac:dyDescent="0.25">
      <c r="A841" s="1" t="s">
        <v>853</v>
      </c>
      <c r="B841" t="str">
        <f>HYPERLINK("https://www.suredividend.com/sure-analysis-research-database/","KB Home")</f>
        <v>KB Home</v>
      </c>
      <c r="C841" t="s">
        <v>1801</v>
      </c>
      <c r="D841">
        <v>51.18</v>
      </c>
      <c r="E841">
        <v>1.2636904701401001E-2</v>
      </c>
      <c r="F841">
        <v>0.33333333333333348</v>
      </c>
      <c r="G841">
        <v>0.51571656651039821</v>
      </c>
      <c r="H841">
        <v>0.64675678261774805</v>
      </c>
      <c r="I841">
        <v>4059.5296840000001</v>
      </c>
      <c r="J841">
        <v>6.2281543413270581</v>
      </c>
      <c r="K841">
        <v>8.4433000341742559E-2</v>
      </c>
      <c r="L841">
        <v>1.2781168317175911</v>
      </c>
      <c r="M841">
        <v>55.17</v>
      </c>
      <c r="N841">
        <v>27.13</v>
      </c>
    </row>
    <row r="842" spans="1:14" x14ac:dyDescent="0.25">
      <c r="A842" s="1" t="s">
        <v>854</v>
      </c>
      <c r="B842" t="str">
        <f>HYPERLINK("https://www.suredividend.com/sure-analysis-research-database/","Chinook Therapeutics Inc")</f>
        <v>Chinook Therapeutics Inc</v>
      </c>
      <c r="C842" t="s">
        <v>1797</v>
      </c>
      <c r="D842">
        <v>40.39</v>
      </c>
      <c r="E842">
        <v>0</v>
      </c>
      <c r="F842" t="s">
        <v>1797</v>
      </c>
      <c r="G842" t="s">
        <v>1797</v>
      </c>
      <c r="H842">
        <v>0</v>
      </c>
      <c r="I842">
        <v>0</v>
      </c>
      <c r="J842">
        <v>0</v>
      </c>
      <c r="K842" t="s">
        <v>1797</v>
      </c>
    </row>
    <row r="843" spans="1:14" x14ac:dyDescent="0.25">
      <c r="A843" s="1" t="s">
        <v>855</v>
      </c>
      <c r="B843" t="str">
        <f>HYPERLINK("https://www.suredividend.com/sure-analysis-research-database/","Kimball Electronics Inc")</f>
        <v>Kimball Electronics Inc</v>
      </c>
      <c r="C843" t="s">
        <v>1798</v>
      </c>
      <c r="D843">
        <v>27.21</v>
      </c>
      <c r="E843">
        <v>0</v>
      </c>
      <c r="F843" t="s">
        <v>1797</v>
      </c>
      <c r="G843" t="s">
        <v>1797</v>
      </c>
      <c r="H843">
        <v>0</v>
      </c>
      <c r="I843">
        <v>676.03647699999999</v>
      </c>
      <c r="J843">
        <v>0</v>
      </c>
      <c r="K843" t="s">
        <v>1797</v>
      </c>
      <c r="L843">
        <v>1.2374280001233899</v>
      </c>
      <c r="M843">
        <v>31.43</v>
      </c>
      <c r="N843">
        <v>19.52</v>
      </c>
    </row>
    <row r="844" spans="1:14" x14ac:dyDescent="0.25">
      <c r="A844" s="1" t="s">
        <v>856</v>
      </c>
      <c r="B844" t="str">
        <f>HYPERLINK("https://www.suredividend.com/sure-analysis-research-database/","Kelly Services, Inc.")</f>
        <v>Kelly Services, Inc.</v>
      </c>
      <c r="C844" t="s">
        <v>1798</v>
      </c>
      <c r="D844">
        <v>18.829999999999998</v>
      </c>
      <c r="E844">
        <v>1.5751453095914001E-2</v>
      </c>
      <c r="F844" t="s">
        <v>1797</v>
      </c>
      <c r="G844" t="s">
        <v>1797</v>
      </c>
      <c r="H844">
        <v>0.29659986179606301</v>
      </c>
      <c r="I844">
        <v>666.71509300000002</v>
      </c>
      <c r="J844">
        <v>740.79454773333327</v>
      </c>
      <c r="K844">
        <v>12.30704820730552</v>
      </c>
      <c r="L844">
        <v>1.1193793658641029</v>
      </c>
      <c r="M844">
        <v>19.27</v>
      </c>
      <c r="N844">
        <v>14.76</v>
      </c>
    </row>
    <row r="845" spans="1:14" x14ac:dyDescent="0.25">
      <c r="A845" s="1" t="s">
        <v>857</v>
      </c>
      <c r="B845" t="str">
        <f>HYPERLINK("https://www.suredividend.com/sure-analysis-research-database/","Kforce Inc.")</f>
        <v>Kforce Inc.</v>
      </c>
      <c r="C845" t="s">
        <v>1798</v>
      </c>
      <c r="D845">
        <v>61.53</v>
      </c>
      <c r="E845">
        <v>2.2065061412555001E-2</v>
      </c>
      <c r="F845">
        <v>0.19999999999999971</v>
      </c>
      <c r="G845">
        <v>0.1486983549970351</v>
      </c>
      <c r="H845">
        <v>1.3576632287145121</v>
      </c>
      <c r="I845">
        <v>1215.77127</v>
      </c>
      <c r="J845">
        <v>23.188023688276019</v>
      </c>
      <c r="K845">
        <v>0.51039971004304963</v>
      </c>
      <c r="L845">
        <v>0.85358877624852403</v>
      </c>
      <c r="M845">
        <v>65.89</v>
      </c>
      <c r="N845">
        <v>47.87</v>
      </c>
    </row>
    <row r="846" spans="1:14" x14ac:dyDescent="0.25">
      <c r="A846" s="1" t="s">
        <v>858</v>
      </c>
      <c r="B846" t="str">
        <f>HYPERLINK("https://www.suredividend.com/sure-analysis-research-database/","Korn Ferry")</f>
        <v>Korn Ferry</v>
      </c>
      <c r="C846" t="s">
        <v>1798</v>
      </c>
      <c r="D846">
        <v>47.82</v>
      </c>
      <c r="E846">
        <v>1.3732207120370999E-2</v>
      </c>
      <c r="F846">
        <v>0.2</v>
      </c>
      <c r="G846">
        <v>0.1247461131420948</v>
      </c>
      <c r="H846">
        <v>0.65667414449614903</v>
      </c>
      <c r="I846">
        <v>2520.3353590000002</v>
      </c>
      <c r="J846">
        <v>14.410727466393739</v>
      </c>
      <c r="K846">
        <v>0.19370918716700561</v>
      </c>
      <c r="L846">
        <v>1.020620596225573</v>
      </c>
      <c r="M846">
        <v>59.29</v>
      </c>
      <c r="N846">
        <v>44.36</v>
      </c>
    </row>
    <row r="847" spans="1:14" x14ac:dyDescent="0.25">
      <c r="A847" s="1" t="s">
        <v>859</v>
      </c>
      <c r="B847" t="str">
        <f>HYPERLINK("https://www.suredividend.com/sure-analysis-research-database/","OrthoPediatrics corp")</f>
        <v>OrthoPediatrics corp</v>
      </c>
      <c r="C847" t="s">
        <v>1802</v>
      </c>
      <c r="D847">
        <v>26.87</v>
      </c>
      <c r="E847">
        <v>0</v>
      </c>
      <c r="F847" t="s">
        <v>1797</v>
      </c>
      <c r="G847" t="s">
        <v>1797</v>
      </c>
      <c r="H847">
        <v>0</v>
      </c>
      <c r="I847">
        <v>627.45738500000004</v>
      </c>
      <c r="J847">
        <v>628.08546998998997</v>
      </c>
      <c r="K847">
        <v>0</v>
      </c>
      <c r="L847">
        <v>1.4627627564678221</v>
      </c>
      <c r="M847">
        <v>53.5</v>
      </c>
      <c r="N847">
        <v>23.1</v>
      </c>
    </row>
    <row r="848" spans="1:14" x14ac:dyDescent="0.25">
      <c r="A848" s="1" t="s">
        <v>860</v>
      </c>
      <c r="B848" t="str">
        <f>HYPERLINK("https://www.suredividend.com/sure-analysis-KLIC/","Kulicke &amp; Soffa Industries, Inc.")</f>
        <v>Kulicke &amp; Soffa Industries, Inc.</v>
      </c>
      <c r="C848" t="s">
        <v>1803</v>
      </c>
      <c r="D848">
        <v>45.18</v>
      </c>
      <c r="E848">
        <v>1.6821602478973002E-2</v>
      </c>
      <c r="F848">
        <v>0.1176470588235294</v>
      </c>
      <c r="G848">
        <v>9.6262279352954172E-2</v>
      </c>
      <c r="H848">
        <v>0.75451638637480001</v>
      </c>
      <c r="I848">
        <v>2551.4635579999999</v>
      </c>
      <c r="J848">
        <v>25.852004239931102</v>
      </c>
      <c r="K848">
        <v>0.44383316845576459</v>
      </c>
      <c r="L848">
        <v>1.459412570174889</v>
      </c>
      <c r="M848">
        <v>59.96</v>
      </c>
      <c r="N848">
        <v>40.200000000000003</v>
      </c>
    </row>
    <row r="849" spans="1:14" x14ac:dyDescent="0.25">
      <c r="A849" s="1" t="s">
        <v>861</v>
      </c>
      <c r="B849" t="str">
        <f>HYPERLINK("https://www.suredividend.com/sure-analysis-research-database/","Kaleyra Inc")</f>
        <v>Kaleyra Inc</v>
      </c>
      <c r="C849" t="s">
        <v>1806</v>
      </c>
      <c r="D849">
        <v>7.24</v>
      </c>
      <c r="E849">
        <v>0</v>
      </c>
      <c r="F849" t="s">
        <v>1797</v>
      </c>
      <c r="G849" t="s">
        <v>1797</v>
      </c>
      <c r="H849">
        <v>0</v>
      </c>
      <c r="I849">
        <v>96.479660999999993</v>
      </c>
      <c r="J849">
        <v>0</v>
      </c>
      <c r="K849" t="s">
        <v>1797</v>
      </c>
      <c r="M849">
        <v>7.25</v>
      </c>
      <c r="N849">
        <v>1.57</v>
      </c>
    </row>
    <row r="850" spans="1:14" x14ac:dyDescent="0.25">
      <c r="A850" s="1" t="s">
        <v>862</v>
      </c>
      <c r="B850" t="str">
        <f>HYPERLINK("https://www.suredividend.com/sure-analysis-research-database/","Kennametal Inc.")</f>
        <v>Kennametal Inc.</v>
      </c>
      <c r="C850" t="s">
        <v>1798</v>
      </c>
      <c r="D850">
        <v>24.01</v>
      </c>
      <c r="E850">
        <v>3.2956954230565001E-2</v>
      </c>
      <c r="F850">
        <v>0</v>
      </c>
      <c r="G850">
        <v>0</v>
      </c>
      <c r="H850">
        <v>0.79129647107587109</v>
      </c>
      <c r="I850">
        <v>1913.8663919999999</v>
      </c>
      <c r="J850">
        <v>16.156361206831061</v>
      </c>
      <c r="K850">
        <v>0.54198388429854183</v>
      </c>
      <c r="L850">
        <v>1.2688393201091139</v>
      </c>
      <c r="M850">
        <v>30.38</v>
      </c>
      <c r="N850">
        <v>22.08</v>
      </c>
    </row>
    <row r="851" spans="1:14" x14ac:dyDescent="0.25">
      <c r="A851" s="1" t="s">
        <v>863</v>
      </c>
      <c r="B851" t="str">
        <f>HYPERLINK("https://www.suredividend.com/sure-analysis-research-database/","Knowles Corp")</f>
        <v>Knowles Corp</v>
      </c>
      <c r="C851" t="s">
        <v>1803</v>
      </c>
      <c r="D851">
        <v>16.04</v>
      </c>
      <c r="E851">
        <v>0</v>
      </c>
      <c r="F851" t="s">
        <v>1797</v>
      </c>
      <c r="G851" t="s">
        <v>1797</v>
      </c>
      <c r="H851">
        <v>0</v>
      </c>
      <c r="I851">
        <v>1461.9516209999999</v>
      </c>
      <c r="J851" t="s">
        <v>1797</v>
      </c>
      <c r="K851">
        <v>0</v>
      </c>
      <c r="L851">
        <v>1.044194811265208</v>
      </c>
      <c r="M851">
        <v>20.25</v>
      </c>
      <c r="N851">
        <v>12.78</v>
      </c>
    </row>
    <row r="852" spans="1:14" x14ac:dyDescent="0.25">
      <c r="A852" s="1" t="s">
        <v>864</v>
      </c>
      <c r="B852" t="str">
        <f>HYPERLINK("https://www.suredividend.com/sure-analysis-research-database/","Kiniksa Pharmaceuticals Ltd")</f>
        <v>Kiniksa Pharmaceuticals Ltd</v>
      </c>
      <c r="C852" t="s">
        <v>1802</v>
      </c>
      <c r="D852">
        <v>16.2</v>
      </c>
      <c r="E852">
        <v>0</v>
      </c>
      <c r="F852" t="s">
        <v>1797</v>
      </c>
      <c r="G852" t="s">
        <v>1797</v>
      </c>
      <c r="H852">
        <v>0</v>
      </c>
      <c r="I852">
        <v>570.85971500000005</v>
      </c>
      <c r="J852" t="s">
        <v>1797</v>
      </c>
      <c r="K852">
        <v>0</v>
      </c>
      <c r="L852">
        <v>0.61859822996397407</v>
      </c>
      <c r="M852">
        <v>20.65</v>
      </c>
      <c r="N852">
        <v>10.29</v>
      </c>
    </row>
    <row r="853" spans="1:14" x14ac:dyDescent="0.25">
      <c r="A853" s="1" t="s">
        <v>865</v>
      </c>
      <c r="B853" t="str">
        <f>HYPERLINK("https://www.suredividend.com/sure-analysis-research-database/","Kinsale Capital Group Inc")</f>
        <v>Kinsale Capital Group Inc</v>
      </c>
      <c r="C853" t="s">
        <v>1800</v>
      </c>
      <c r="D853">
        <v>339.53</v>
      </c>
      <c r="E853">
        <v>1.6189135796970001E-3</v>
      </c>
      <c r="F853">
        <v>7.6923076923077094E-2</v>
      </c>
      <c r="G853">
        <v>0.1486983549970351</v>
      </c>
      <c r="H853">
        <v>0.54966972771474709</v>
      </c>
      <c r="I853">
        <v>7868.0875900000001</v>
      </c>
      <c r="J853">
        <v>28.931579084922131</v>
      </c>
      <c r="K853">
        <v>4.7060764359139307E-2</v>
      </c>
      <c r="L853">
        <v>0.77766266596371403</v>
      </c>
      <c r="M853">
        <v>457.73</v>
      </c>
      <c r="N853">
        <v>250.58</v>
      </c>
    </row>
    <row r="854" spans="1:14" x14ac:dyDescent="0.25">
      <c r="A854" s="1" t="s">
        <v>866</v>
      </c>
      <c r="B854" t="str">
        <f>HYPERLINK("https://www.suredividend.com/sure-analysis-research-database/","Kinnate Biopharma Inc")</f>
        <v>Kinnate Biopharma Inc</v>
      </c>
      <c r="C854" t="s">
        <v>1797</v>
      </c>
      <c r="D854">
        <v>1.25</v>
      </c>
      <c r="E854">
        <v>0</v>
      </c>
      <c r="F854" t="s">
        <v>1797</v>
      </c>
      <c r="G854" t="s">
        <v>1797</v>
      </c>
      <c r="H854">
        <v>0</v>
      </c>
      <c r="I854">
        <v>58.868589</v>
      </c>
      <c r="J854">
        <v>0</v>
      </c>
      <c r="K854" t="s">
        <v>1797</v>
      </c>
      <c r="L854">
        <v>1.905302043020743</v>
      </c>
      <c r="M854">
        <v>10.56</v>
      </c>
      <c r="N854">
        <v>1.04</v>
      </c>
    </row>
    <row r="855" spans="1:14" x14ac:dyDescent="0.25">
      <c r="A855" s="1" t="s">
        <v>867</v>
      </c>
      <c r="B855" t="str">
        <f>HYPERLINK("https://www.suredividend.com/sure-analysis-research-database/","Kinetik Holdings Inc")</f>
        <v>Kinetik Holdings Inc</v>
      </c>
      <c r="C855" t="s">
        <v>1797</v>
      </c>
      <c r="D855">
        <v>36.67</v>
      </c>
      <c r="E855">
        <v>5.9984078636347013E-2</v>
      </c>
      <c r="F855" t="s">
        <v>1797</v>
      </c>
      <c r="G855" t="s">
        <v>1797</v>
      </c>
      <c r="H855">
        <v>2.1996161635948779</v>
      </c>
      <c r="I855">
        <v>1905.8672180000001</v>
      </c>
      <c r="J855">
        <v>26.160090293463639</v>
      </c>
      <c r="K855">
        <v>1.410010361278768</v>
      </c>
      <c r="L855">
        <v>0.92187533722769111</v>
      </c>
      <c r="M855">
        <v>37.17</v>
      </c>
      <c r="N855">
        <v>25.76</v>
      </c>
    </row>
    <row r="856" spans="1:14" x14ac:dyDescent="0.25">
      <c r="A856" s="1" t="s">
        <v>868</v>
      </c>
      <c r="B856" t="str">
        <f>HYPERLINK("https://www.suredividend.com/sure-analysis-research-database/","Kodiak Sciences Inc")</f>
        <v>Kodiak Sciences Inc</v>
      </c>
      <c r="C856" t="s">
        <v>1802</v>
      </c>
      <c r="D856">
        <v>2.36</v>
      </c>
      <c r="E856">
        <v>0</v>
      </c>
      <c r="F856" t="s">
        <v>1797</v>
      </c>
      <c r="G856" t="s">
        <v>1797</v>
      </c>
      <c r="H856">
        <v>0</v>
      </c>
      <c r="I856">
        <v>123.78946500000001</v>
      </c>
      <c r="J856">
        <v>0</v>
      </c>
      <c r="K856" t="s">
        <v>1797</v>
      </c>
      <c r="L856">
        <v>1.8961779661812399</v>
      </c>
      <c r="M856">
        <v>9.8000000000000007</v>
      </c>
      <c r="N856">
        <v>1.37</v>
      </c>
    </row>
    <row r="857" spans="1:14" x14ac:dyDescent="0.25">
      <c r="A857" s="1" t="s">
        <v>869</v>
      </c>
      <c r="B857" t="str">
        <f>HYPERLINK("https://www.suredividend.com/sure-analysis-research-database/","Eastman Kodak Co.")</f>
        <v>Eastman Kodak Co.</v>
      </c>
      <c r="C857" t="s">
        <v>1798</v>
      </c>
      <c r="D857">
        <v>3.89</v>
      </c>
      <c r="E857">
        <v>0</v>
      </c>
      <c r="F857" t="s">
        <v>1797</v>
      </c>
      <c r="G857" t="s">
        <v>1797</v>
      </c>
      <c r="H857">
        <v>0</v>
      </c>
      <c r="I857">
        <v>309.15213699999998</v>
      </c>
      <c r="J857">
        <v>0</v>
      </c>
      <c r="K857" t="s">
        <v>1797</v>
      </c>
      <c r="L857">
        <v>1.50065392868867</v>
      </c>
      <c r="M857">
        <v>6.34</v>
      </c>
      <c r="N857">
        <v>2.78</v>
      </c>
    </row>
    <row r="858" spans="1:14" x14ac:dyDescent="0.25">
      <c r="A858" s="1" t="s">
        <v>870</v>
      </c>
      <c r="B858" t="str">
        <f>HYPERLINK("https://www.suredividend.com/sure-analysis-research-database/","Koppers Holdings Inc")</f>
        <v>Koppers Holdings Inc</v>
      </c>
      <c r="C858" t="s">
        <v>1808</v>
      </c>
      <c r="D858">
        <v>37.909999999999997</v>
      </c>
      <c r="E858">
        <v>6.0520060590020007E-3</v>
      </c>
      <c r="F858" t="s">
        <v>1797</v>
      </c>
      <c r="G858" t="s">
        <v>1797</v>
      </c>
      <c r="H858">
        <v>0.22943154969680099</v>
      </c>
      <c r="I858">
        <v>791.26676999999995</v>
      </c>
      <c r="J858">
        <v>9.5448343792521104</v>
      </c>
      <c r="K858">
        <v>5.8828602486359238E-2</v>
      </c>
      <c r="L858">
        <v>1.09909796409088</v>
      </c>
      <c r="M858">
        <v>41.91</v>
      </c>
      <c r="N858">
        <v>26.51</v>
      </c>
    </row>
    <row r="859" spans="1:14" x14ac:dyDescent="0.25">
      <c r="A859" s="1" t="s">
        <v>871</v>
      </c>
      <c r="B859" t="str">
        <f>HYPERLINK("https://www.suredividend.com/sure-analysis-research-database/","Kore Group Holdings Inc")</f>
        <v>Kore Group Holdings Inc</v>
      </c>
      <c r="C859" t="s">
        <v>1797</v>
      </c>
      <c r="D859">
        <v>0.47</v>
      </c>
      <c r="E859">
        <v>0</v>
      </c>
      <c r="F859" t="s">
        <v>1797</v>
      </c>
      <c r="G859" t="s">
        <v>1797</v>
      </c>
      <c r="H859">
        <v>0</v>
      </c>
      <c r="I859">
        <v>40.679720000000003</v>
      </c>
      <c r="J859">
        <v>0</v>
      </c>
      <c r="K859" t="s">
        <v>1797</v>
      </c>
      <c r="L859">
        <v>1.189993548899436</v>
      </c>
      <c r="M859">
        <v>3.23</v>
      </c>
      <c r="N859">
        <v>0.12</v>
      </c>
    </row>
    <row r="860" spans="1:14" x14ac:dyDescent="0.25">
      <c r="A860" s="1" t="s">
        <v>872</v>
      </c>
      <c r="B860" t="str">
        <f>HYPERLINK("https://www.suredividend.com/sure-analysis-research-database/","Kosmos Energy Ltd")</f>
        <v>Kosmos Energy Ltd</v>
      </c>
      <c r="C860" t="s">
        <v>1807</v>
      </c>
      <c r="D860">
        <v>7.56</v>
      </c>
      <c r="E860">
        <v>0</v>
      </c>
      <c r="F860" t="s">
        <v>1797</v>
      </c>
      <c r="G860" t="s">
        <v>1797</v>
      </c>
      <c r="H860">
        <v>0</v>
      </c>
      <c r="I860">
        <v>3478.4270409999999</v>
      </c>
      <c r="J860">
        <v>16.206469870848711</v>
      </c>
      <c r="K860">
        <v>0</v>
      </c>
      <c r="L860">
        <v>1.25589553924913</v>
      </c>
      <c r="M860">
        <v>8.5500000000000007</v>
      </c>
      <c r="N860">
        <v>5.28</v>
      </c>
    </row>
    <row r="861" spans="1:14" x14ac:dyDescent="0.25">
      <c r="A861" s="1" t="s">
        <v>873</v>
      </c>
      <c r="B861" t="str">
        <f>HYPERLINK("https://www.suredividend.com/sure-analysis-research-database/","Karyopharm Therapeutics Inc")</f>
        <v>Karyopharm Therapeutics Inc</v>
      </c>
      <c r="C861" t="s">
        <v>1802</v>
      </c>
      <c r="D861">
        <v>0.89</v>
      </c>
      <c r="E861">
        <v>0</v>
      </c>
      <c r="F861" t="s">
        <v>1797</v>
      </c>
      <c r="G861" t="s">
        <v>1797</v>
      </c>
      <c r="H861">
        <v>0</v>
      </c>
      <c r="I861">
        <v>101.775541</v>
      </c>
      <c r="J861">
        <v>0</v>
      </c>
      <c r="K861" t="s">
        <v>1797</v>
      </c>
      <c r="L861">
        <v>1.3681206402750969</v>
      </c>
      <c r="M861">
        <v>5.97</v>
      </c>
      <c r="N861">
        <v>0.748</v>
      </c>
    </row>
    <row r="862" spans="1:14" x14ac:dyDescent="0.25">
      <c r="A862" s="1" t="s">
        <v>874</v>
      </c>
      <c r="B862" t="str">
        <f>HYPERLINK("https://www.suredividend.com/sure-analysis-KREF/","KKR Real Estate Finance Trust Inc")</f>
        <v>KKR Real Estate Finance Trust Inc</v>
      </c>
      <c r="C862" t="s">
        <v>1799</v>
      </c>
      <c r="D862">
        <v>11.66</v>
      </c>
      <c r="E862">
        <v>0.14751286449399659</v>
      </c>
      <c r="F862">
        <v>0</v>
      </c>
      <c r="G862">
        <v>0</v>
      </c>
      <c r="H862">
        <v>1.630292762114032</v>
      </c>
      <c r="I862">
        <v>808.19960800000001</v>
      </c>
      <c r="J862" t="s">
        <v>1797</v>
      </c>
      <c r="K862" t="s">
        <v>1797</v>
      </c>
      <c r="L862">
        <v>1.2134701050052259</v>
      </c>
      <c r="M862">
        <v>15.3</v>
      </c>
      <c r="N862">
        <v>9.0500000000000007</v>
      </c>
    </row>
    <row r="863" spans="1:14" x14ac:dyDescent="0.25">
      <c r="A863" s="1" t="s">
        <v>875</v>
      </c>
      <c r="B863" t="str">
        <f>HYPERLINK("https://www.suredividend.com/sure-analysis-KRG/","Kite Realty Group Trust")</f>
        <v>Kite Realty Group Trust</v>
      </c>
      <c r="C863" t="s">
        <v>1799</v>
      </c>
      <c r="D863">
        <v>22.18</v>
      </c>
      <c r="E863">
        <v>4.5085662759242563E-2</v>
      </c>
      <c r="F863">
        <v>9.0909090909090828E-2</v>
      </c>
      <c r="G863">
        <v>-5.4430397400526583E-2</v>
      </c>
      <c r="H863">
        <v>0.9439133099951631</v>
      </c>
      <c r="I863">
        <v>4865.6950029999998</v>
      </c>
      <c r="J863">
        <v>126.7339099085771</v>
      </c>
      <c r="K863">
        <v>5.3999617276611156</v>
      </c>
      <c r="L863">
        <v>1.0090166914524841</v>
      </c>
      <c r="M863">
        <v>23.98</v>
      </c>
      <c r="N863">
        <v>18.14</v>
      </c>
    </row>
    <row r="864" spans="1:14" x14ac:dyDescent="0.25">
      <c r="A864" s="1" t="s">
        <v>876</v>
      </c>
      <c r="B864" t="str">
        <f>HYPERLINK("https://www.suredividend.com/sure-analysis-research-database/","Kearny Financial Corp.")</f>
        <v>Kearny Financial Corp.</v>
      </c>
      <c r="C864" t="s">
        <v>1800</v>
      </c>
      <c r="D864">
        <v>7.7</v>
      </c>
      <c r="E864">
        <v>5.5587210869018001E-2</v>
      </c>
      <c r="F864">
        <v>0</v>
      </c>
      <c r="G864">
        <v>0.17080491296489231</v>
      </c>
      <c r="H864">
        <v>0.42802152369144097</v>
      </c>
      <c r="I864">
        <v>501.62142</v>
      </c>
      <c r="J864">
        <v>12.29132881576046</v>
      </c>
      <c r="K864">
        <v>0.67961499474665132</v>
      </c>
      <c r="L864">
        <v>1.0462136548173231</v>
      </c>
      <c r="M864">
        <v>10.01</v>
      </c>
      <c r="N864">
        <v>6.45</v>
      </c>
    </row>
    <row r="865" spans="1:14" x14ac:dyDescent="0.25">
      <c r="A865" s="1" t="s">
        <v>877</v>
      </c>
      <c r="B865" t="str">
        <f>HYPERLINK("https://www.suredividend.com/sure-analysis-KRO/","Kronos Worldwide, Inc.")</f>
        <v>Kronos Worldwide, Inc.</v>
      </c>
      <c r="C865" t="s">
        <v>1808</v>
      </c>
      <c r="D865">
        <v>7.88</v>
      </c>
      <c r="E865">
        <v>9.6446700507614211E-2</v>
      </c>
      <c r="F865">
        <v>0</v>
      </c>
      <c r="G865">
        <v>2.2494394759551509E-2</v>
      </c>
      <c r="H865">
        <v>0.73608589417483605</v>
      </c>
      <c r="I865">
        <v>906.41288599999996</v>
      </c>
      <c r="J865" t="s">
        <v>1797</v>
      </c>
      <c r="K865" t="s">
        <v>1797</v>
      </c>
      <c r="L865">
        <v>1.2007844459183039</v>
      </c>
      <c r="M865">
        <v>11.29</v>
      </c>
      <c r="N865">
        <v>6.16</v>
      </c>
    </row>
    <row r="866" spans="1:14" x14ac:dyDescent="0.25">
      <c r="A866" s="1" t="s">
        <v>878</v>
      </c>
      <c r="B866" t="str">
        <f>HYPERLINK("https://www.suredividend.com/sure-analysis-research-database/","Kronos Bio Inc")</f>
        <v>Kronos Bio Inc</v>
      </c>
      <c r="C866" t="s">
        <v>1797</v>
      </c>
      <c r="D866">
        <v>0.92</v>
      </c>
      <c r="E866">
        <v>0</v>
      </c>
      <c r="F866" t="s">
        <v>1797</v>
      </c>
      <c r="G866" t="s">
        <v>1797</v>
      </c>
      <c r="H866">
        <v>0</v>
      </c>
      <c r="I866">
        <v>53.651198000000001</v>
      </c>
      <c r="J866">
        <v>0</v>
      </c>
      <c r="K866" t="s">
        <v>1797</v>
      </c>
      <c r="L866">
        <v>2.1277219219543042</v>
      </c>
      <c r="M866">
        <v>2.84</v>
      </c>
      <c r="N866">
        <v>0.7611</v>
      </c>
    </row>
    <row r="867" spans="1:14" x14ac:dyDescent="0.25">
      <c r="A867" s="1" t="s">
        <v>879</v>
      </c>
      <c r="B867" t="str">
        <f>HYPERLINK("https://www.suredividend.com/sure-analysis-research-database/","Keros Therapeutics Inc")</f>
        <v>Keros Therapeutics Inc</v>
      </c>
      <c r="C867" t="s">
        <v>1802</v>
      </c>
      <c r="D867">
        <v>31.94</v>
      </c>
      <c r="E867">
        <v>0</v>
      </c>
      <c r="F867" t="s">
        <v>1797</v>
      </c>
      <c r="G867" t="s">
        <v>1797</v>
      </c>
      <c r="H867">
        <v>0</v>
      </c>
      <c r="I867">
        <v>947.44235200000003</v>
      </c>
      <c r="J867">
        <v>0</v>
      </c>
      <c r="K867" t="s">
        <v>1797</v>
      </c>
      <c r="L867">
        <v>1.2059977206005359</v>
      </c>
      <c r="M867">
        <v>59.96</v>
      </c>
      <c r="N867">
        <v>27.02</v>
      </c>
    </row>
    <row r="868" spans="1:14" x14ac:dyDescent="0.25">
      <c r="A868" s="1" t="s">
        <v>880</v>
      </c>
      <c r="B868" t="str">
        <f>HYPERLINK("https://www.suredividend.com/sure-analysis-research-database/","Karat Packaging Inc")</f>
        <v>Karat Packaging Inc</v>
      </c>
      <c r="C868" t="s">
        <v>1797</v>
      </c>
      <c r="D868">
        <v>22.05</v>
      </c>
      <c r="E868">
        <v>4.5351474598690003E-3</v>
      </c>
      <c r="F868" t="s">
        <v>1797</v>
      </c>
      <c r="G868" t="s">
        <v>1797</v>
      </c>
      <c r="H868">
        <v>0.10000000149011599</v>
      </c>
      <c r="I868">
        <v>438.53125999999997</v>
      </c>
      <c r="J868">
        <v>0</v>
      </c>
      <c r="K868" t="s">
        <v>1797</v>
      </c>
      <c r="L868">
        <v>0.97423145801860311</v>
      </c>
      <c r="M868">
        <v>26.69</v>
      </c>
      <c r="N868">
        <v>11.69</v>
      </c>
    </row>
    <row r="869" spans="1:14" x14ac:dyDescent="0.25">
      <c r="A869" s="1" t="s">
        <v>881</v>
      </c>
      <c r="B869" t="str">
        <f>HYPERLINK("https://www.suredividend.com/sure-analysis-research-database/","Karuna Therapeutics Inc")</f>
        <v>Karuna Therapeutics Inc</v>
      </c>
      <c r="C869" t="s">
        <v>1802</v>
      </c>
      <c r="D869">
        <v>185.42</v>
      </c>
      <c r="E869">
        <v>0</v>
      </c>
      <c r="F869" t="s">
        <v>1797</v>
      </c>
      <c r="G869" t="s">
        <v>1797</v>
      </c>
      <c r="H869">
        <v>0</v>
      </c>
      <c r="I869">
        <v>6984.3718200000003</v>
      </c>
      <c r="J869" t="s">
        <v>1797</v>
      </c>
      <c r="K869">
        <v>0</v>
      </c>
      <c r="L869">
        <v>1.0304922645801899</v>
      </c>
      <c r="M869">
        <v>245</v>
      </c>
      <c r="N869">
        <v>158.38</v>
      </c>
    </row>
    <row r="870" spans="1:14" x14ac:dyDescent="0.25">
      <c r="A870" s="1" t="s">
        <v>882</v>
      </c>
      <c r="B870" t="str">
        <f>HYPERLINK("https://www.suredividend.com/sure-analysis-research-database/","Kura Sushi USA Inc")</f>
        <v>Kura Sushi USA Inc</v>
      </c>
      <c r="C870" t="s">
        <v>1801</v>
      </c>
      <c r="D870">
        <v>66.180000000000007</v>
      </c>
      <c r="E870">
        <v>0</v>
      </c>
      <c r="F870" t="s">
        <v>1797</v>
      </c>
      <c r="G870" t="s">
        <v>1797</v>
      </c>
      <c r="H870">
        <v>0</v>
      </c>
      <c r="I870">
        <v>668.87146499999994</v>
      </c>
      <c r="J870" t="s">
        <v>1797</v>
      </c>
      <c r="K870">
        <v>0</v>
      </c>
      <c r="L870">
        <v>1.2963762693037699</v>
      </c>
      <c r="M870">
        <v>110</v>
      </c>
      <c r="N870">
        <v>37.97</v>
      </c>
    </row>
    <row r="871" spans="1:14" x14ac:dyDescent="0.25">
      <c r="A871" s="1" t="s">
        <v>883</v>
      </c>
      <c r="B871" t="str">
        <f>HYPERLINK("https://www.suredividend.com/sure-analysis-research-database/","Krystal Biotech Inc")</f>
        <v>Krystal Biotech Inc</v>
      </c>
      <c r="C871" t="s">
        <v>1802</v>
      </c>
      <c r="D871">
        <v>122.15</v>
      </c>
      <c r="E871">
        <v>0</v>
      </c>
      <c r="F871" t="s">
        <v>1797</v>
      </c>
      <c r="G871" t="s">
        <v>1797</v>
      </c>
      <c r="H871">
        <v>0</v>
      </c>
      <c r="I871">
        <v>3419.4887210000002</v>
      </c>
      <c r="J871">
        <v>0</v>
      </c>
      <c r="K871" t="s">
        <v>1797</v>
      </c>
      <c r="L871">
        <v>0.63871985034957302</v>
      </c>
      <c r="M871">
        <v>132.68</v>
      </c>
      <c r="N871">
        <v>69.81</v>
      </c>
    </row>
    <row r="872" spans="1:14" x14ac:dyDescent="0.25">
      <c r="A872" s="1" t="s">
        <v>884</v>
      </c>
      <c r="B872" t="str">
        <f>HYPERLINK("https://www.suredividend.com/sure-analysis-KTB/","Kontoor Brands Inc")</f>
        <v>Kontoor Brands Inc</v>
      </c>
      <c r="C872" t="s">
        <v>1801</v>
      </c>
      <c r="D872">
        <v>48.32</v>
      </c>
      <c r="E872">
        <v>3.9735099337748353E-2</v>
      </c>
      <c r="F872" t="s">
        <v>1797</v>
      </c>
      <c r="G872" t="s">
        <v>1797</v>
      </c>
      <c r="H872">
        <v>1.88917391678654</v>
      </c>
      <c r="I872">
        <v>2711.927432</v>
      </c>
      <c r="J872">
        <v>13.20443778517869</v>
      </c>
      <c r="K872">
        <v>0.52187124773108839</v>
      </c>
      <c r="L872">
        <v>1.097438919105604</v>
      </c>
      <c r="M872">
        <v>52.16</v>
      </c>
      <c r="N872">
        <v>33.85</v>
      </c>
    </row>
    <row r="873" spans="1:14" x14ac:dyDescent="0.25">
      <c r="A873" s="1" t="s">
        <v>885</v>
      </c>
      <c r="B873" t="str">
        <f>HYPERLINK("https://www.suredividend.com/sure-analysis-research-database/","Kratos Defense &amp; Security Solutions Inc")</f>
        <v>Kratos Defense &amp; Security Solutions Inc</v>
      </c>
      <c r="C873" t="s">
        <v>1798</v>
      </c>
      <c r="D873">
        <v>17.25</v>
      </c>
      <c r="E873">
        <v>0</v>
      </c>
      <c r="F873" t="s">
        <v>1797</v>
      </c>
      <c r="G873" t="s">
        <v>1797</v>
      </c>
      <c r="H873">
        <v>0</v>
      </c>
      <c r="I873">
        <v>2209.0209589999999</v>
      </c>
      <c r="J873" t="s">
        <v>1797</v>
      </c>
      <c r="K873">
        <v>0</v>
      </c>
      <c r="L873">
        <v>1.047047919606525</v>
      </c>
      <c r="M873">
        <v>18.04</v>
      </c>
      <c r="N873">
        <v>8.9</v>
      </c>
    </row>
    <row r="874" spans="1:14" x14ac:dyDescent="0.25">
      <c r="A874" s="1" t="s">
        <v>886</v>
      </c>
      <c r="B874" t="str">
        <f>HYPERLINK("https://www.suredividend.com/sure-analysis-research-database/","Kura Oncology Inc")</f>
        <v>Kura Oncology Inc</v>
      </c>
      <c r="C874" t="s">
        <v>1802</v>
      </c>
      <c r="D874">
        <v>9.01</v>
      </c>
      <c r="E874">
        <v>0</v>
      </c>
      <c r="F874" t="s">
        <v>1797</v>
      </c>
      <c r="G874" t="s">
        <v>1797</v>
      </c>
      <c r="H874">
        <v>0</v>
      </c>
      <c r="I874">
        <v>668.86954100000003</v>
      </c>
      <c r="J874">
        <v>0</v>
      </c>
      <c r="K874" t="s">
        <v>1797</v>
      </c>
      <c r="L874">
        <v>0.86872635445886703</v>
      </c>
      <c r="M874">
        <v>16.37</v>
      </c>
      <c r="N874">
        <v>7.41</v>
      </c>
    </row>
    <row r="875" spans="1:14" x14ac:dyDescent="0.25">
      <c r="A875" s="1" t="s">
        <v>887</v>
      </c>
      <c r="B875" t="str">
        <f>HYPERLINK("https://www.suredividend.com/sure-analysis-research-database/","Kennedy-Wilson Holdings Inc")</f>
        <v>Kennedy-Wilson Holdings Inc</v>
      </c>
      <c r="C875" t="s">
        <v>1799</v>
      </c>
      <c r="D875">
        <v>12.65</v>
      </c>
      <c r="E875">
        <v>7.4147996302122002E-2</v>
      </c>
      <c r="F875">
        <v>0</v>
      </c>
      <c r="G875">
        <v>2.7066087089351761E-2</v>
      </c>
      <c r="H875">
        <v>0.93797215322184713</v>
      </c>
      <c r="I875">
        <v>1763.2940880000001</v>
      </c>
      <c r="J875" t="s">
        <v>1797</v>
      </c>
      <c r="K875" t="s">
        <v>1797</v>
      </c>
      <c r="L875">
        <v>1.213257847032069</v>
      </c>
      <c r="M875">
        <v>18.05</v>
      </c>
      <c r="N875">
        <v>11.91</v>
      </c>
    </row>
    <row r="876" spans="1:14" x14ac:dyDescent="0.25">
      <c r="A876" s="1" t="s">
        <v>888</v>
      </c>
      <c r="B876" t="str">
        <f>HYPERLINK("https://www.suredividend.com/sure-analysis-KWR/","Quaker Houghton")</f>
        <v>Quaker Houghton</v>
      </c>
      <c r="C876" t="s">
        <v>1808</v>
      </c>
      <c r="D876">
        <v>161.33000000000001</v>
      </c>
      <c r="E876">
        <v>1.1281224818694599E-2</v>
      </c>
      <c r="F876">
        <v>4.5977011494252817E-2</v>
      </c>
      <c r="G876">
        <v>4.2226075304704118E-2</v>
      </c>
      <c r="H876">
        <v>1.7530382227610739</v>
      </c>
      <c r="I876">
        <v>2903.617663</v>
      </c>
      <c r="J876">
        <v>176.26526210526319</v>
      </c>
      <c r="K876">
        <v>1.905269234606102</v>
      </c>
      <c r="L876">
        <v>1.492588051496927</v>
      </c>
      <c r="M876">
        <v>214.81</v>
      </c>
      <c r="N876">
        <v>138.66999999999999</v>
      </c>
    </row>
    <row r="877" spans="1:14" x14ac:dyDescent="0.25">
      <c r="A877" s="1" t="s">
        <v>889</v>
      </c>
      <c r="B877" t="str">
        <f>HYPERLINK("https://www.suredividend.com/sure-analysis-research-database/","Kymera Therapeutics Inc")</f>
        <v>Kymera Therapeutics Inc</v>
      </c>
      <c r="C877" t="s">
        <v>1797</v>
      </c>
      <c r="D877">
        <v>14.27</v>
      </c>
      <c r="E877">
        <v>0</v>
      </c>
      <c r="F877" t="s">
        <v>1797</v>
      </c>
      <c r="G877" t="s">
        <v>1797</v>
      </c>
      <c r="H877">
        <v>0</v>
      </c>
      <c r="I877">
        <v>790.73357799999997</v>
      </c>
      <c r="J877" t="s">
        <v>1797</v>
      </c>
      <c r="K877">
        <v>0</v>
      </c>
      <c r="L877">
        <v>1.519869027752653</v>
      </c>
      <c r="M877">
        <v>39.85</v>
      </c>
      <c r="N877">
        <v>9.6</v>
      </c>
    </row>
    <row r="878" spans="1:14" x14ac:dyDescent="0.25">
      <c r="A878" s="1" t="s">
        <v>890</v>
      </c>
      <c r="B878" t="str">
        <f>HYPERLINK("https://www.suredividend.com/sure-analysis-research-database/","Kezar Life Sciences Inc")</f>
        <v>Kezar Life Sciences Inc</v>
      </c>
      <c r="C878" t="s">
        <v>1802</v>
      </c>
      <c r="D878">
        <v>0.84450000000000003</v>
      </c>
      <c r="E878">
        <v>0</v>
      </c>
      <c r="F878" t="s">
        <v>1797</v>
      </c>
      <c r="G878" t="s">
        <v>1797</v>
      </c>
      <c r="H878">
        <v>0</v>
      </c>
      <c r="I878">
        <v>61.389206999999999</v>
      </c>
      <c r="J878">
        <v>0</v>
      </c>
      <c r="K878" t="s">
        <v>1797</v>
      </c>
      <c r="L878">
        <v>1.5986783509531399</v>
      </c>
      <c r="M878">
        <v>8.25</v>
      </c>
      <c r="N878">
        <v>0.70010000000000006</v>
      </c>
    </row>
    <row r="879" spans="1:14" x14ac:dyDescent="0.25">
      <c r="A879" s="1" t="s">
        <v>891</v>
      </c>
      <c r="B879" t="str">
        <f>HYPERLINK("https://www.suredividend.com/sure-analysis-LADR/","Ladder Capital Corp")</f>
        <v>Ladder Capital Corp</v>
      </c>
      <c r="C879" t="s">
        <v>1799</v>
      </c>
      <c r="D879">
        <v>10.64</v>
      </c>
      <c r="E879">
        <v>8.646616541353383E-2</v>
      </c>
      <c r="F879">
        <v>0</v>
      </c>
      <c r="G879">
        <v>-7.5195820517296119E-2</v>
      </c>
      <c r="H879">
        <v>1.104313127298183</v>
      </c>
      <c r="I879">
        <v>1350.340371</v>
      </c>
      <c r="J879">
        <v>9.5468197375639843</v>
      </c>
      <c r="K879">
        <v>0.97726825424617969</v>
      </c>
      <c r="L879">
        <v>1.0831449945919851</v>
      </c>
      <c r="M879">
        <v>11.5</v>
      </c>
      <c r="N879">
        <v>8.18</v>
      </c>
    </row>
    <row r="880" spans="1:14" x14ac:dyDescent="0.25">
      <c r="A880" s="1" t="s">
        <v>892</v>
      </c>
      <c r="B880" t="str">
        <f>HYPERLINK("https://www.suredividend.com/sure-analysis-LANC/","Lancaster Colony Corp.")</f>
        <v>Lancaster Colony Corp.</v>
      </c>
      <c r="C880" t="s">
        <v>1804</v>
      </c>
      <c r="D880">
        <v>171</v>
      </c>
      <c r="E880">
        <v>1.9883040935672509E-2</v>
      </c>
      <c r="F880">
        <v>6.25E-2</v>
      </c>
      <c r="G880">
        <v>5.5118198683204563E-2</v>
      </c>
      <c r="H880">
        <v>3.3556915237184191</v>
      </c>
      <c r="I880">
        <v>4705.6472549999999</v>
      </c>
      <c r="J880">
        <v>40.092419314986792</v>
      </c>
      <c r="K880">
        <v>0.78587623506286164</v>
      </c>
      <c r="L880">
        <v>0.27679207687236101</v>
      </c>
      <c r="M880">
        <v>216.52</v>
      </c>
      <c r="N880">
        <v>157.36000000000001</v>
      </c>
    </row>
    <row r="881" spans="1:14" x14ac:dyDescent="0.25">
      <c r="A881" s="1" t="s">
        <v>893</v>
      </c>
      <c r="B881" t="str">
        <f>HYPERLINK("https://www.suredividend.com/sure-analysis-LAND/","Gladstone Land Corp")</f>
        <v>Gladstone Land Corp</v>
      </c>
      <c r="C881" t="s">
        <v>1799</v>
      </c>
      <c r="D881">
        <v>14.96</v>
      </c>
      <c r="E881">
        <v>3.6764705882352942E-2</v>
      </c>
      <c r="F881">
        <v>8.6956521739132153E-3</v>
      </c>
      <c r="G881">
        <v>4.8100165161333308E-3</v>
      </c>
      <c r="H881">
        <v>0.53906017817116902</v>
      </c>
      <c r="I881">
        <v>536.14309200000002</v>
      </c>
      <c r="J881">
        <v>0</v>
      </c>
      <c r="K881" t="s">
        <v>1797</v>
      </c>
      <c r="L881">
        <v>1.0729462272024199</v>
      </c>
      <c r="M881">
        <v>21.16</v>
      </c>
      <c r="N881">
        <v>13.35</v>
      </c>
    </row>
    <row r="882" spans="1:14" x14ac:dyDescent="0.25">
      <c r="A882" s="1" t="s">
        <v>894</v>
      </c>
      <c r="B882" t="str">
        <f>HYPERLINK("https://www.suredividend.com/sure-analysis-research-database/","nLIGHT Inc")</f>
        <v>nLIGHT Inc</v>
      </c>
      <c r="C882" t="s">
        <v>1803</v>
      </c>
      <c r="D882">
        <v>9.15</v>
      </c>
      <c r="E882">
        <v>0</v>
      </c>
      <c r="F882" t="s">
        <v>1797</v>
      </c>
      <c r="G882" t="s">
        <v>1797</v>
      </c>
      <c r="H882">
        <v>0</v>
      </c>
      <c r="I882">
        <v>425.57078200000001</v>
      </c>
      <c r="J882" t="s">
        <v>1797</v>
      </c>
      <c r="K882">
        <v>0</v>
      </c>
      <c r="L882">
        <v>1.668975714182992</v>
      </c>
      <c r="M882">
        <v>15.91</v>
      </c>
      <c r="N882">
        <v>8.1300000000000008</v>
      </c>
    </row>
    <row r="883" spans="1:14" x14ac:dyDescent="0.25">
      <c r="A883" s="1" t="s">
        <v>895</v>
      </c>
      <c r="B883" t="str">
        <f>HYPERLINK("https://www.suredividend.com/sure-analysis-research-database/","Laureate Education Inc")</f>
        <v>Laureate Education Inc</v>
      </c>
      <c r="C883" t="s">
        <v>1804</v>
      </c>
      <c r="D883">
        <v>13.64</v>
      </c>
      <c r="E883">
        <v>0</v>
      </c>
      <c r="F883" t="s">
        <v>1797</v>
      </c>
      <c r="G883" t="s">
        <v>1797</v>
      </c>
      <c r="H883">
        <v>0</v>
      </c>
      <c r="I883">
        <v>2144.4862560000001</v>
      </c>
      <c r="J883">
        <v>20.429126395610261</v>
      </c>
      <c r="K883">
        <v>0</v>
      </c>
      <c r="L883">
        <v>0.52817931559664799</v>
      </c>
      <c r="M883">
        <v>14.81</v>
      </c>
      <c r="N883">
        <v>9.24</v>
      </c>
    </row>
    <row r="884" spans="1:14" x14ac:dyDescent="0.25">
      <c r="A884" s="1" t="s">
        <v>896</v>
      </c>
      <c r="B884" t="str">
        <f>HYPERLINK("https://www.suredividend.com/sure-analysis-research-database/","CS Disco Inc")</f>
        <v>CS Disco Inc</v>
      </c>
      <c r="C884" t="s">
        <v>1797</v>
      </c>
      <c r="D884">
        <v>6.02</v>
      </c>
      <c r="E884">
        <v>0</v>
      </c>
      <c r="F884" t="s">
        <v>1797</v>
      </c>
      <c r="G884" t="s">
        <v>1797</v>
      </c>
      <c r="H884">
        <v>0</v>
      </c>
      <c r="I884">
        <v>362.03205400000002</v>
      </c>
      <c r="J884" t="s">
        <v>1797</v>
      </c>
      <c r="K884">
        <v>0</v>
      </c>
      <c r="L884">
        <v>2.3650413595177509</v>
      </c>
      <c r="M884">
        <v>11.45</v>
      </c>
      <c r="N884">
        <v>5.27</v>
      </c>
    </row>
    <row r="885" spans="1:14" x14ac:dyDescent="0.25">
      <c r="A885" s="1" t="s">
        <v>897</v>
      </c>
      <c r="B885" t="str">
        <f>HYPERLINK("https://www.suredividend.com/sure-analysis-research-database/","Luminar Technologies Inc")</f>
        <v>Luminar Technologies Inc</v>
      </c>
      <c r="C885" t="s">
        <v>1797</v>
      </c>
      <c r="D885">
        <v>3.69</v>
      </c>
      <c r="E885">
        <v>0</v>
      </c>
      <c r="F885" t="s">
        <v>1797</v>
      </c>
      <c r="G885" t="s">
        <v>1797</v>
      </c>
      <c r="H885">
        <v>0</v>
      </c>
      <c r="I885">
        <v>1082.2443800000001</v>
      </c>
      <c r="J885" t="s">
        <v>1797</v>
      </c>
      <c r="K885">
        <v>0</v>
      </c>
      <c r="L885">
        <v>2.548890214599548</v>
      </c>
      <c r="M885">
        <v>10.55</v>
      </c>
      <c r="N885">
        <v>3.03</v>
      </c>
    </row>
    <row r="886" spans="1:14" x14ac:dyDescent="0.25">
      <c r="A886" s="1" t="s">
        <v>898</v>
      </c>
      <c r="B886" t="str">
        <f>HYPERLINK("https://www.suredividend.com/sure-analysis-research-database/","Lakeland Bancorp, Inc.")</f>
        <v>Lakeland Bancorp, Inc.</v>
      </c>
      <c r="C886" t="s">
        <v>1800</v>
      </c>
      <c r="D886">
        <v>12.73</v>
      </c>
      <c r="E886">
        <v>4.4070919218576997E-2</v>
      </c>
      <c r="F886" t="s">
        <v>1797</v>
      </c>
      <c r="G886" t="s">
        <v>1797</v>
      </c>
      <c r="H886">
        <v>0.56102280165249108</v>
      </c>
      <c r="I886">
        <v>827.82530599999996</v>
      </c>
      <c r="J886">
        <v>7.9905146268858411</v>
      </c>
      <c r="K886">
        <v>0.35284452934118937</v>
      </c>
      <c r="L886">
        <v>1.119273851972364</v>
      </c>
      <c r="M886">
        <v>18.72</v>
      </c>
      <c r="N886">
        <v>10.4</v>
      </c>
    </row>
    <row r="887" spans="1:14" x14ac:dyDescent="0.25">
      <c r="A887" s="1" t="s">
        <v>899</v>
      </c>
      <c r="B887" t="str">
        <f>HYPERLINK("https://www.suredividend.com/sure-analysis-research-database/","Luther Burbank Corp")</f>
        <v>Luther Burbank Corp</v>
      </c>
      <c r="C887" t="s">
        <v>1800</v>
      </c>
      <c r="D887">
        <v>8.81</v>
      </c>
      <c r="E887">
        <v>0</v>
      </c>
      <c r="F887" t="s">
        <v>1797</v>
      </c>
      <c r="G887" t="s">
        <v>1797</v>
      </c>
      <c r="H887">
        <v>0</v>
      </c>
      <c r="I887">
        <v>449.55560500000001</v>
      </c>
      <c r="J887">
        <v>0</v>
      </c>
      <c r="K887" t="s">
        <v>1797</v>
      </c>
      <c r="L887">
        <v>1.2515446259636891</v>
      </c>
      <c r="M887">
        <v>12.66</v>
      </c>
      <c r="N887">
        <v>7.73</v>
      </c>
    </row>
    <row r="888" spans="1:14" x14ac:dyDescent="0.25">
      <c r="A888" s="1" t="s">
        <v>900</v>
      </c>
      <c r="B888" t="str">
        <f>HYPERLINK("https://www.suredividend.com/sure-analysis-research-database/","Liberty Energy Inc")</f>
        <v>Liberty Energy Inc</v>
      </c>
      <c r="C888" t="s">
        <v>1807</v>
      </c>
      <c r="D888">
        <v>20.23</v>
      </c>
      <c r="E888">
        <v>9.8563551163360005E-3</v>
      </c>
      <c r="F888" t="s">
        <v>1797</v>
      </c>
      <c r="G888" t="s">
        <v>1797</v>
      </c>
      <c r="H888">
        <v>0.199394064003485</v>
      </c>
      <c r="I888">
        <v>3410.9464549999998</v>
      </c>
      <c r="J888">
        <v>5.5300419343129006</v>
      </c>
      <c r="K888">
        <v>5.8473332552341648E-2</v>
      </c>
      <c r="L888">
        <v>1.1599618841856141</v>
      </c>
      <c r="M888">
        <v>21.25</v>
      </c>
      <c r="N888">
        <v>11.15</v>
      </c>
    </row>
    <row r="889" spans="1:14" x14ac:dyDescent="0.25">
      <c r="A889" s="1" t="s">
        <v>901</v>
      </c>
      <c r="B889" t="str">
        <f>HYPERLINK("https://www.suredividend.com/sure-analysis-research-database/","LendingClub Corp")</f>
        <v>LendingClub Corp</v>
      </c>
      <c r="C889" t="s">
        <v>1800</v>
      </c>
      <c r="D889">
        <v>5.95</v>
      </c>
      <c r="E889">
        <v>0</v>
      </c>
      <c r="F889" t="s">
        <v>1797</v>
      </c>
      <c r="G889" t="s">
        <v>1797</v>
      </c>
      <c r="H889">
        <v>0</v>
      </c>
      <c r="I889">
        <v>652.41017599999998</v>
      </c>
      <c r="J889">
        <v>12.45651886491647</v>
      </c>
      <c r="K889">
        <v>0</v>
      </c>
      <c r="L889">
        <v>1.9671027665925069</v>
      </c>
      <c r="M889">
        <v>11.78</v>
      </c>
      <c r="N889">
        <v>4.7300000000000004</v>
      </c>
    </row>
    <row r="890" spans="1:14" x14ac:dyDescent="0.25">
      <c r="A890" s="1" t="s">
        <v>902</v>
      </c>
      <c r="B890" t="str">
        <f>HYPERLINK("https://www.suredividend.com/sure-analysis-research-database/","LCI Industries")</f>
        <v>LCI Industries</v>
      </c>
      <c r="C890" t="s">
        <v>1801</v>
      </c>
      <c r="D890">
        <v>117.61</v>
      </c>
      <c r="E890">
        <v>3.5236712655039013E-2</v>
      </c>
      <c r="F890">
        <v>0</v>
      </c>
      <c r="G890">
        <v>0.1184269147201447</v>
      </c>
      <c r="H890">
        <v>4.1441897753591856</v>
      </c>
      <c r="I890">
        <v>2978.4065649999998</v>
      </c>
      <c r="J890">
        <v>35.061526641357069</v>
      </c>
      <c r="K890">
        <v>1.2407753818440681</v>
      </c>
      <c r="L890">
        <v>1.23744291313105</v>
      </c>
      <c r="M890">
        <v>135.94</v>
      </c>
      <c r="N890">
        <v>87.46</v>
      </c>
    </row>
    <row r="891" spans="1:14" x14ac:dyDescent="0.25">
      <c r="A891" s="1" t="s">
        <v>903</v>
      </c>
      <c r="B891" t="str">
        <f>HYPERLINK("https://www.suredividend.com/sure-analysis-research-database/","Lifetime Brands, Inc.")</f>
        <v>Lifetime Brands, Inc.</v>
      </c>
      <c r="C891" t="s">
        <v>1801</v>
      </c>
      <c r="D891">
        <v>5.52</v>
      </c>
      <c r="E891">
        <v>3.0132192967237001E-2</v>
      </c>
      <c r="F891">
        <v>0</v>
      </c>
      <c r="G891">
        <v>0</v>
      </c>
      <c r="H891">
        <v>0.16632970517915099</v>
      </c>
      <c r="I891">
        <v>120.41458299999999</v>
      </c>
      <c r="J891" t="s">
        <v>1797</v>
      </c>
      <c r="K891" t="s">
        <v>1797</v>
      </c>
      <c r="L891">
        <v>0.71852995447418511</v>
      </c>
      <c r="M891">
        <v>9.8000000000000007</v>
      </c>
      <c r="N891">
        <v>4.18</v>
      </c>
    </row>
    <row r="892" spans="1:14" x14ac:dyDescent="0.25">
      <c r="A892" s="1" t="s">
        <v>904</v>
      </c>
      <c r="B892" t="str">
        <f>HYPERLINK("https://www.suredividend.com/sure-analysis-research-database/","Lands` End, Inc.")</f>
        <v>Lands` End, Inc.</v>
      </c>
      <c r="C892" t="s">
        <v>1801</v>
      </c>
      <c r="D892">
        <v>6.69</v>
      </c>
      <c r="E892">
        <v>0</v>
      </c>
      <c r="F892" t="s">
        <v>1797</v>
      </c>
      <c r="G892" t="s">
        <v>1797</v>
      </c>
      <c r="H892">
        <v>0</v>
      </c>
      <c r="I892">
        <v>213.58645200000001</v>
      </c>
      <c r="J892">
        <v>0</v>
      </c>
      <c r="K892" t="s">
        <v>1797</v>
      </c>
      <c r="L892">
        <v>1.5623727146847579</v>
      </c>
      <c r="M892">
        <v>11.93</v>
      </c>
      <c r="N892">
        <v>5.98</v>
      </c>
    </row>
    <row r="893" spans="1:14" x14ac:dyDescent="0.25">
      <c r="A893" s="1" t="s">
        <v>905</v>
      </c>
      <c r="B893" t="str">
        <f>HYPERLINK("https://www.suredividend.com/sure-analysis-research-database/","Legacy Housing Corp")</f>
        <v>Legacy Housing Corp</v>
      </c>
      <c r="C893" t="s">
        <v>1801</v>
      </c>
      <c r="D893">
        <v>19.510000000000002</v>
      </c>
      <c r="E893">
        <v>0</v>
      </c>
      <c r="F893" t="s">
        <v>1797</v>
      </c>
      <c r="G893" t="s">
        <v>1797</v>
      </c>
      <c r="H893">
        <v>0</v>
      </c>
      <c r="I893">
        <v>475.88003800000001</v>
      </c>
      <c r="J893">
        <v>7.2414638438127712</v>
      </c>
      <c r="K893">
        <v>0</v>
      </c>
      <c r="L893">
        <v>0.94716266020972306</v>
      </c>
      <c r="M893">
        <v>25.3</v>
      </c>
      <c r="N893">
        <v>16.13</v>
      </c>
    </row>
    <row r="894" spans="1:14" x14ac:dyDescent="0.25">
      <c r="A894" s="1" t="s">
        <v>906</v>
      </c>
      <c r="B894" t="str">
        <f>HYPERLINK("https://www.suredividend.com/sure-analysis-research-database/","Centrus Energy Corp")</f>
        <v>Centrus Energy Corp</v>
      </c>
      <c r="C894" t="s">
        <v>1807</v>
      </c>
      <c r="D894">
        <v>54.89</v>
      </c>
      <c r="E894">
        <v>0</v>
      </c>
      <c r="F894" t="s">
        <v>1797</v>
      </c>
      <c r="G894" t="s">
        <v>1797</v>
      </c>
      <c r="H894">
        <v>0</v>
      </c>
      <c r="I894">
        <v>812.72538199999997</v>
      </c>
      <c r="J894">
        <v>24.18825541130952</v>
      </c>
      <c r="K894">
        <v>0</v>
      </c>
      <c r="L894">
        <v>1.968922450768426</v>
      </c>
      <c r="M894">
        <v>61.35</v>
      </c>
      <c r="N894">
        <v>24.88</v>
      </c>
    </row>
    <row r="895" spans="1:14" x14ac:dyDescent="0.25">
      <c r="A895" s="1" t="s">
        <v>907</v>
      </c>
      <c r="B895" t="str">
        <f>HYPERLINK("https://www.suredividend.com/sure-analysis-research-database/","Lifecore Biomedical Inc")</f>
        <v>Lifecore Biomedical Inc</v>
      </c>
      <c r="C895" t="s">
        <v>1797</v>
      </c>
      <c r="D895">
        <v>7.23</v>
      </c>
      <c r="E895">
        <v>0</v>
      </c>
      <c r="F895" t="s">
        <v>1797</v>
      </c>
      <c r="G895" t="s">
        <v>1797</v>
      </c>
      <c r="H895">
        <v>0</v>
      </c>
      <c r="I895">
        <v>219.22928200000001</v>
      </c>
      <c r="J895" t="s">
        <v>1797</v>
      </c>
      <c r="K895">
        <v>0</v>
      </c>
      <c r="M895">
        <v>11.46</v>
      </c>
      <c r="N895">
        <v>1.8</v>
      </c>
    </row>
    <row r="896" spans="1:14" x14ac:dyDescent="0.25">
      <c r="A896" s="1" t="s">
        <v>908</v>
      </c>
      <c r="B896" t="str">
        <f>HYPERLINK("https://www.suredividend.com/sure-analysis-research-database/","LifeStance Health Group Inc")</f>
        <v>LifeStance Health Group Inc</v>
      </c>
      <c r="C896" t="s">
        <v>1797</v>
      </c>
      <c r="D896">
        <v>6.11</v>
      </c>
      <c r="E896">
        <v>0</v>
      </c>
      <c r="F896" t="s">
        <v>1797</v>
      </c>
      <c r="G896" t="s">
        <v>1797</v>
      </c>
      <c r="H896">
        <v>0</v>
      </c>
      <c r="I896">
        <v>2309.6120230000001</v>
      </c>
      <c r="J896" t="s">
        <v>1797</v>
      </c>
      <c r="K896">
        <v>0</v>
      </c>
      <c r="L896">
        <v>1.729412898336298</v>
      </c>
      <c r="M896">
        <v>9.59</v>
      </c>
      <c r="N896">
        <v>4.22</v>
      </c>
    </row>
    <row r="897" spans="1:14" x14ac:dyDescent="0.25">
      <c r="A897" s="1" t="s">
        <v>909</v>
      </c>
      <c r="B897" t="str">
        <f>HYPERLINK("https://www.suredividend.com/sure-analysis-research-database/","LGI Homes Inc")</f>
        <v>LGI Homes Inc</v>
      </c>
      <c r="C897" t="s">
        <v>1801</v>
      </c>
      <c r="D897">
        <v>111.13</v>
      </c>
      <c r="E897">
        <v>0</v>
      </c>
      <c r="F897" t="s">
        <v>1797</v>
      </c>
      <c r="G897" t="s">
        <v>1797</v>
      </c>
      <c r="H897">
        <v>0</v>
      </c>
      <c r="I897">
        <v>2618.6526509999999</v>
      </c>
      <c r="J897">
        <v>14.44749963222678</v>
      </c>
      <c r="K897">
        <v>0</v>
      </c>
      <c r="L897">
        <v>1.775717465822074</v>
      </c>
      <c r="M897">
        <v>141.91</v>
      </c>
      <c r="N897">
        <v>80.3</v>
      </c>
    </row>
    <row r="898" spans="1:14" x14ac:dyDescent="0.25">
      <c r="A898" s="1" t="s">
        <v>910</v>
      </c>
      <c r="B898" t="str">
        <f>HYPERLINK("https://www.suredividend.com/sure-analysis-research-database/","Ligand Pharmaceuticals, Inc.")</f>
        <v>Ligand Pharmaceuticals, Inc.</v>
      </c>
      <c r="C898" t="s">
        <v>1802</v>
      </c>
      <c r="D898">
        <v>53.99</v>
      </c>
      <c r="E898">
        <v>0</v>
      </c>
      <c r="F898" t="s">
        <v>1797</v>
      </c>
      <c r="G898" t="s">
        <v>1797</v>
      </c>
      <c r="H898">
        <v>0</v>
      </c>
      <c r="I898">
        <v>937.01032499999997</v>
      </c>
      <c r="J898">
        <v>34.502184455040869</v>
      </c>
      <c r="K898">
        <v>0</v>
      </c>
      <c r="L898">
        <v>0.79360724871266808</v>
      </c>
      <c r="M898">
        <v>85.7</v>
      </c>
      <c r="N898">
        <v>49.24</v>
      </c>
    </row>
    <row r="899" spans="1:14" x14ac:dyDescent="0.25">
      <c r="A899" s="1" t="s">
        <v>911</v>
      </c>
      <c r="B899" t="str">
        <f>HYPERLINK("https://www.suredividend.com/sure-analysis-research-database/","Li-Cycle Holdings Corp")</f>
        <v>Li-Cycle Holdings Corp</v>
      </c>
      <c r="C899" t="s">
        <v>1797</v>
      </c>
      <c r="D899">
        <v>1.74</v>
      </c>
      <c r="E899">
        <v>0</v>
      </c>
      <c r="F899" t="s">
        <v>1797</v>
      </c>
      <c r="G899" t="s">
        <v>1797</v>
      </c>
      <c r="H899">
        <v>0</v>
      </c>
      <c r="I899">
        <v>309.90707800000001</v>
      </c>
      <c r="J899">
        <v>0</v>
      </c>
      <c r="K899" t="s">
        <v>1797</v>
      </c>
      <c r="L899">
        <v>2.0865716131027718</v>
      </c>
      <c r="M899">
        <v>6.58</v>
      </c>
      <c r="N899">
        <v>1.05</v>
      </c>
    </row>
    <row r="900" spans="1:14" x14ac:dyDescent="0.25">
      <c r="A900" s="1" t="s">
        <v>912</v>
      </c>
      <c r="B900" t="str">
        <f>HYPERLINK("https://www.suredividend.com/sure-analysis-research-database/","AEye Inc")</f>
        <v>AEye Inc</v>
      </c>
      <c r="C900" t="s">
        <v>1797</v>
      </c>
      <c r="D900">
        <v>0.2006</v>
      </c>
      <c r="E900">
        <v>0</v>
      </c>
      <c r="F900" t="s">
        <v>1797</v>
      </c>
      <c r="G900" t="s">
        <v>1797</v>
      </c>
      <c r="H900">
        <v>0</v>
      </c>
      <c r="I900">
        <v>37.484921999999997</v>
      </c>
      <c r="J900" t="s">
        <v>1797</v>
      </c>
      <c r="K900">
        <v>0</v>
      </c>
      <c r="L900">
        <v>1.587122329424032</v>
      </c>
      <c r="M900">
        <v>1.3</v>
      </c>
      <c r="N900">
        <v>0.159</v>
      </c>
    </row>
    <row r="901" spans="1:14" x14ac:dyDescent="0.25">
      <c r="A901" s="1" t="s">
        <v>913</v>
      </c>
      <c r="B901" t="str">
        <f>HYPERLINK("https://www.suredividend.com/sure-analysis-research-database/","Liberty Latin America Ltd")</f>
        <v>Liberty Latin America Ltd</v>
      </c>
      <c r="C901" t="s">
        <v>1806</v>
      </c>
      <c r="D901">
        <v>6.86</v>
      </c>
      <c r="E901">
        <v>0</v>
      </c>
      <c r="F901" t="s">
        <v>1797</v>
      </c>
      <c r="G901" t="s">
        <v>1797</v>
      </c>
      <c r="H901">
        <v>0</v>
      </c>
      <c r="I901">
        <v>1415.136442</v>
      </c>
      <c r="J901">
        <v>0</v>
      </c>
      <c r="K901" t="s">
        <v>1797</v>
      </c>
      <c r="L901">
        <v>1.1854626212111541</v>
      </c>
      <c r="M901">
        <v>10.01</v>
      </c>
      <c r="N901">
        <v>6.57</v>
      </c>
    </row>
    <row r="902" spans="1:14" x14ac:dyDescent="0.25">
      <c r="A902" s="1" t="s">
        <v>914</v>
      </c>
      <c r="B902" t="str">
        <f>HYPERLINK("https://www.suredividend.com/sure-analysis-research-database/","Liberty Latin America Ltd")</f>
        <v>Liberty Latin America Ltd</v>
      </c>
      <c r="C902" t="s">
        <v>1806</v>
      </c>
      <c r="D902">
        <v>6.89</v>
      </c>
      <c r="E902">
        <v>0</v>
      </c>
      <c r="F902" t="s">
        <v>1797</v>
      </c>
      <c r="G902" t="s">
        <v>1797</v>
      </c>
      <c r="H902">
        <v>0</v>
      </c>
      <c r="I902">
        <v>1415.136442</v>
      </c>
      <c r="J902">
        <v>0</v>
      </c>
      <c r="K902" t="s">
        <v>1797</v>
      </c>
      <c r="L902">
        <v>1.220109254139365</v>
      </c>
      <c r="M902">
        <v>9.98</v>
      </c>
      <c r="N902">
        <v>6.62</v>
      </c>
    </row>
    <row r="903" spans="1:14" x14ac:dyDescent="0.25">
      <c r="A903" s="1" t="s">
        <v>915</v>
      </c>
      <c r="B903" t="str">
        <f>HYPERLINK("https://www.suredividend.com/sure-analysis-research-database/","Lindblad Expeditions Holdings Inc")</f>
        <v>Lindblad Expeditions Holdings Inc</v>
      </c>
      <c r="C903" t="s">
        <v>1801</v>
      </c>
      <c r="D903">
        <v>6.65</v>
      </c>
      <c r="E903">
        <v>0</v>
      </c>
      <c r="F903" t="s">
        <v>1797</v>
      </c>
      <c r="G903" t="s">
        <v>1797</v>
      </c>
      <c r="H903">
        <v>0</v>
      </c>
      <c r="I903">
        <v>354.638329</v>
      </c>
      <c r="J903">
        <v>0</v>
      </c>
      <c r="K903" t="s">
        <v>1797</v>
      </c>
      <c r="L903">
        <v>1.6275122725746229</v>
      </c>
      <c r="M903">
        <v>12.46</v>
      </c>
      <c r="N903">
        <v>5.47</v>
      </c>
    </row>
    <row r="904" spans="1:14" x14ac:dyDescent="0.25">
      <c r="A904" s="1" t="s">
        <v>916</v>
      </c>
      <c r="B904" t="str">
        <f>HYPERLINK("https://www.suredividend.com/sure-analysis-research-database/","LivaNova PLC")</f>
        <v>LivaNova PLC</v>
      </c>
      <c r="C904" t="s">
        <v>1802</v>
      </c>
      <c r="D904">
        <v>49.96</v>
      </c>
      <c r="E904">
        <v>0</v>
      </c>
      <c r="F904" t="s">
        <v>1797</v>
      </c>
      <c r="G904" t="s">
        <v>1797</v>
      </c>
      <c r="H904">
        <v>0</v>
      </c>
      <c r="I904">
        <v>2691.3864669999998</v>
      </c>
      <c r="J904">
        <v>938.41927020920502</v>
      </c>
      <c r="K904">
        <v>0</v>
      </c>
      <c r="L904">
        <v>0.75945279270413901</v>
      </c>
      <c r="M904">
        <v>59.86</v>
      </c>
      <c r="N904">
        <v>40.26</v>
      </c>
    </row>
    <row r="905" spans="1:14" x14ac:dyDescent="0.25">
      <c r="A905" s="1" t="s">
        <v>917</v>
      </c>
      <c r="B905" t="str">
        <f>HYPERLINK("https://www.suredividend.com/sure-analysis-research-database/","Lakeland Financial Corp.")</f>
        <v>Lakeland Financial Corp.</v>
      </c>
      <c r="C905" t="s">
        <v>1800</v>
      </c>
      <c r="D905">
        <v>53.29</v>
      </c>
      <c r="E905">
        <v>3.3626082292245001E-2</v>
      </c>
      <c r="F905">
        <v>0.14999999999999991</v>
      </c>
      <c r="G905">
        <v>8.9249364912943774E-2</v>
      </c>
      <c r="H905">
        <v>1.7919339253537649</v>
      </c>
      <c r="I905">
        <v>1355.256572</v>
      </c>
      <c r="J905">
        <v>15.038688962915289</v>
      </c>
      <c r="K905">
        <v>0.51198112152964714</v>
      </c>
      <c r="L905">
        <v>0.76541778841188202</v>
      </c>
      <c r="M905">
        <v>77.48</v>
      </c>
      <c r="N905">
        <v>41.54</v>
      </c>
    </row>
    <row r="906" spans="1:14" x14ac:dyDescent="0.25">
      <c r="A906" s="1" t="s">
        <v>918</v>
      </c>
      <c r="B906" t="str">
        <f>HYPERLINK("https://www.suredividend.com/sure-analysis-research-database/","LL Flooring Holdings Inc")</f>
        <v>LL Flooring Holdings Inc</v>
      </c>
      <c r="C906" t="s">
        <v>1801</v>
      </c>
      <c r="D906">
        <v>3.43</v>
      </c>
      <c r="E906">
        <v>0</v>
      </c>
      <c r="F906" t="s">
        <v>1797</v>
      </c>
      <c r="G906" t="s">
        <v>1797</v>
      </c>
      <c r="H906">
        <v>0</v>
      </c>
      <c r="I906">
        <v>105.385519</v>
      </c>
      <c r="J906" t="s">
        <v>1797</v>
      </c>
      <c r="K906">
        <v>0</v>
      </c>
      <c r="L906">
        <v>0.95520736322609412</v>
      </c>
      <c r="M906">
        <v>8.5500000000000007</v>
      </c>
      <c r="N906">
        <v>2.6</v>
      </c>
    </row>
    <row r="907" spans="1:14" x14ac:dyDescent="0.25">
      <c r="A907" s="1" t="s">
        <v>919</v>
      </c>
      <c r="B907" t="str">
        <f>HYPERLINK("https://www.suredividend.com/sure-analysis-research-database/","Terran Orbital Corp")</f>
        <v>Terran Orbital Corp</v>
      </c>
      <c r="C907" t="s">
        <v>1797</v>
      </c>
      <c r="D907">
        <v>0.95100000000000007</v>
      </c>
      <c r="E907">
        <v>0</v>
      </c>
      <c r="F907" t="s">
        <v>1797</v>
      </c>
      <c r="G907" t="s">
        <v>1797</v>
      </c>
      <c r="H907">
        <v>0</v>
      </c>
      <c r="I907">
        <v>163.93133800000001</v>
      </c>
      <c r="J907" t="s">
        <v>1797</v>
      </c>
      <c r="K907">
        <v>0</v>
      </c>
      <c r="L907">
        <v>1.443202470241685</v>
      </c>
      <c r="M907">
        <v>3.45</v>
      </c>
      <c r="N907">
        <v>0.62</v>
      </c>
    </row>
    <row r="908" spans="1:14" x14ac:dyDescent="0.25">
      <c r="A908" s="1" t="s">
        <v>920</v>
      </c>
      <c r="B908" t="str">
        <f>HYPERLINK("https://www.suredividend.com/sure-analysis-research-database/","Lemaitre Vascular Inc")</f>
        <v>Lemaitre Vascular Inc</v>
      </c>
      <c r="C908" t="s">
        <v>1802</v>
      </c>
      <c r="D908">
        <v>48.49</v>
      </c>
      <c r="E908">
        <v>1.1188013221195999E-2</v>
      </c>
      <c r="F908">
        <v>0.12000000000000011</v>
      </c>
      <c r="G908">
        <v>0.1486983549970351</v>
      </c>
      <c r="H908">
        <v>0.54250676109582607</v>
      </c>
      <c r="I908">
        <v>1079.539804</v>
      </c>
      <c r="J908">
        <v>42.8032117707466</v>
      </c>
      <c r="K908">
        <v>0.48009447884586381</v>
      </c>
      <c r="L908">
        <v>0.717708389004586</v>
      </c>
      <c r="M908">
        <v>68.5</v>
      </c>
      <c r="N908">
        <v>42.82</v>
      </c>
    </row>
    <row r="909" spans="1:14" x14ac:dyDescent="0.25">
      <c r="A909" s="1" t="s">
        <v>921</v>
      </c>
      <c r="B909" t="str">
        <f>HYPERLINK("https://www.suredividend.com/sure-analysis-research-database/","Lemonade Inc")</f>
        <v>Lemonade Inc</v>
      </c>
      <c r="C909" t="s">
        <v>1797</v>
      </c>
      <c r="D909">
        <v>17.32</v>
      </c>
      <c r="E909">
        <v>0</v>
      </c>
      <c r="F909" t="s">
        <v>1797</v>
      </c>
      <c r="G909" t="s">
        <v>1797</v>
      </c>
      <c r="H909">
        <v>0</v>
      </c>
      <c r="I909">
        <v>1206.9730199999999</v>
      </c>
      <c r="J909" t="s">
        <v>1797</v>
      </c>
      <c r="K909">
        <v>0</v>
      </c>
      <c r="L909">
        <v>2.6294009226094111</v>
      </c>
      <c r="M909">
        <v>24.81</v>
      </c>
      <c r="N909">
        <v>10.27</v>
      </c>
    </row>
    <row r="910" spans="1:14" x14ac:dyDescent="0.25">
      <c r="A910" s="1" t="s">
        <v>922</v>
      </c>
      <c r="B910" t="str">
        <f>HYPERLINK("https://www.suredividend.com/sure-analysis-LNN/","Lindsay Corporation")</f>
        <v>Lindsay Corporation</v>
      </c>
      <c r="C910" t="s">
        <v>1798</v>
      </c>
      <c r="D910">
        <v>128.16999999999999</v>
      </c>
      <c r="E910">
        <v>1.0922992900054621E-2</v>
      </c>
      <c r="F910" t="s">
        <v>1797</v>
      </c>
      <c r="G910" t="s">
        <v>1797</v>
      </c>
      <c r="H910">
        <v>1.364478229591803</v>
      </c>
      <c r="I910">
        <v>1411.1910479999999</v>
      </c>
      <c r="J910">
        <v>19.497244341452632</v>
      </c>
      <c r="K910">
        <v>0.20863581492229399</v>
      </c>
      <c r="L910">
        <v>0.88492171040930212</v>
      </c>
      <c r="M910">
        <v>181.65</v>
      </c>
      <c r="N910">
        <v>106.46</v>
      </c>
    </row>
    <row r="911" spans="1:14" x14ac:dyDescent="0.25">
      <c r="A911" s="1" t="s">
        <v>923</v>
      </c>
      <c r="B911" t="str">
        <f>HYPERLINK("https://www.suredividend.com/sure-analysis-research-database/","Lantheus Holdings Inc")</f>
        <v>Lantheus Holdings Inc</v>
      </c>
      <c r="C911" t="s">
        <v>1802</v>
      </c>
      <c r="D911">
        <v>64.319999999999993</v>
      </c>
      <c r="E911">
        <v>0</v>
      </c>
      <c r="F911" t="s">
        <v>1797</v>
      </c>
      <c r="G911" t="s">
        <v>1797</v>
      </c>
      <c r="H911">
        <v>0</v>
      </c>
      <c r="I911">
        <v>4401.4624309999999</v>
      </c>
      <c r="J911">
        <v>42.282723937903469</v>
      </c>
      <c r="K911">
        <v>0</v>
      </c>
      <c r="L911">
        <v>0.83616796341879607</v>
      </c>
      <c r="M911">
        <v>100.85</v>
      </c>
      <c r="N911">
        <v>47.46</v>
      </c>
    </row>
    <row r="912" spans="1:14" x14ac:dyDescent="0.25">
      <c r="A912" s="1" t="s">
        <v>924</v>
      </c>
      <c r="B912" t="str">
        <f>HYPERLINK("https://www.suredividend.com/sure-analysis-research-database/","Light &amp; Wonder Inc")</f>
        <v>Light &amp; Wonder Inc</v>
      </c>
      <c r="C912" t="s">
        <v>1797</v>
      </c>
      <c r="D912">
        <v>78.42</v>
      </c>
      <c r="E912">
        <v>0</v>
      </c>
      <c r="F912" t="s">
        <v>1797</v>
      </c>
      <c r="G912" t="s">
        <v>1797</v>
      </c>
      <c r="H912">
        <v>0</v>
      </c>
      <c r="I912">
        <v>7164.2055099999998</v>
      </c>
      <c r="J912">
        <v>18.90291691329816</v>
      </c>
      <c r="K912">
        <v>0</v>
      </c>
      <c r="L912">
        <v>1.249691034917757</v>
      </c>
      <c r="M912">
        <v>79.069999999999993</v>
      </c>
      <c r="N912">
        <v>53.11</v>
      </c>
    </row>
    <row r="913" spans="1:14" x14ac:dyDescent="0.25">
      <c r="A913" s="1" t="s">
        <v>925</v>
      </c>
      <c r="B913" t="str">
        <f>HYPERLINK("https://www.suredividend.com/sure-analysis-research-database/","Live Oak Bancshares Inc")</f>
        <v>Live Oak Bancshares Inc</v>
      </c>
      <c r="C913" t="s">
        <v>1800</v>
      </c>
      <c r="D913">
        <v>31.83</v>
      </c>
      <c r="E913">
        <v>9.3958452188200011E-4</v>
      </c>
      <c r="F913">
        <v>0</v>
      </c>
      <c r="G913">
        <v>0</v>
      </c>
      <c r="H913">
        <v>2.9906975331526999E-2</v>
      </c>
      <c r="I913">
        <v>1412.0795419999999</v>
      </c>
      <c r="J913">
        <v>22.556460527618921</v>
      </c>
      <c r="K913">
        <v>2.1362125236804998E-2</v>
      </c>
      <c r="L913">
        <v>1.778540399528846</v>
      </c>
      <c r="M913">
        <v>38.33</v>
      </c>
      <c r="N913">
        <v>17.27</v>
      </c>
    </row>
    <row r="914" spans="1:14" x14ac:dyDescent="0.25">
      <c r="A914" s="1" t="s">
        <v>926</v>
      </c>
      <c r="B914" t="str">
        <f>HYPERLINK("https://www.suredividend.com/sure-analysis-research-database/","Local Bounti Corp")</f>
        <v>Local Bounti Corp</v>
      </c>
      <c r="C914" t="s">
        <v>1797</v>
      </c>
      <c r="D914">
        <v>2.62</v>
      </c>
      <c r="E914">
        <v>0</v>
      </c>
      <c r="F914" t="s">
        <v>1797</v>
      </c>
      <c r="G914" t="s">
        <v>1797</v>
      </c>
      <c r="H914">
        <v>0</v>
      </c>
      <c r="I914">
        <v>21.557100999999999</v>
      </c>
      <c r="J914">
        <v>0</v>
      </c>
      <c r="K914" t="s">
        <v>1797</v>
      </c>
      <c r="M914">
        <v>41.08</v>
      </c>
      <c r="N914">
        <v>1.17</v>
      </c>
    </row>
    <row r="915" spans="1:14" x14ac:dyDescent="0.25">
      <c r="A915" s="1" t="s">
        <v>927</v>
      </c>
      <c r="B915" t="str">
        <f>HYPERLINK("https://www.suredividend.com/sure-analysis-research-database/","El Pollo Loco Holdings Inc")</f>
        <v>El Pollo Loco Holdings Inc</v>
      </c>
      <c r="C915" t="s">
        <v>1801</v>
      </c>
      <c r="D915">
        <v>8.7799999999999994</v>
      </c>
      <c r="E915">
        <v>0</v>
      </c>
      <c r="F915" t="s">
        <v>1797</v>
      </c>
      <c r="G915" t="s">
        <v>1797</v>
      </c>
      <c r="H915">
        <v>0</v>
      </c>
      <c r="I915">
        <v>311.37737099999998</v>
      </c>
      <c r="J915">
        <v>13.23939668098134</v>
      </c>
      <c r="K915">
        <v>0</v>
      </c>
      <c r="L915">
        <v>0.86120828218145407</v>
      </c>
      <c r="M915">
        <v>13</v>
      </c>
      <c r="N915">
        <v>8.11</v>
      </c>
    </row>
    <row r="916" spans="1:14" x14ac:dyDescent="0.25">
      <c r="A916" s="1" t="s">
        <v>928</v>
      </c>
      <c r="B916" t="str">
        <f>HYPERLINK("https://www.suredividend.com/sure-analysis-research-database/","Lovesac Company")</f>
        <v>Lovesac Company</v>
      </c>
      <c r="C916" t="s">
        <v>1801</v>
      </c>
      <c r="D916">
        <v>17.559999999999999</v>
      </c>
      <c r="E916">
        <v>0</v>
      </c>
      <c r="F916" t="s">
        <v>1797</v>
      </c>
      <c r="G916" t="s">
        <v>1797</v>
      </c>
      <c r="H916">
        <v>0</v>
      </c>
      <c r="I916">
        <v>267.210309</v>
      </c>
      <c r="J916">
        <v>10.08797603745092</v>
      </c>
      <c r="K916">
        <v>0</v>
      </c>
      <c r="L916">
        <v>1.8398309300962921</v>
      </c>
      <c r="M916">
        <v>30.94</v>
      </c>
      <c r="N916">
        <v>14.18</v>
      </c>
    </row>
    <row r="917" spans="1:14" x14ac:dyDescent="0.25">
      <c r="A917" s="1" t="s">
        <v>929</v>
      </c>
      <c r="B917" t="str">
        <f>HYPERLINK("https://www.suredividend.com/sure-analysis-research-database/","Dorian LPG Ltd")</f>
        <v>Dorian LPG Ltd</v>
      </c>
      <c r="C917" t="s">
        <v>1807</v>
      </c>
      <c r="D917">
        <v>38.07</v>
      </c>
      <c r="E917">
        <v>0</v>
      </c>
      <c r="F917" t="s">
        <v>1797</v>
      </c>
      <c r="G917" t="s">
        <v>1797</v>
      </c>
      <c r="H917">
        <v>0</v>
      </c>
      <c r="I917">
        <v>1537.7341759999999</v>
      </c>
      <c r="J917">
        <v>6.0180922042422234</v>
      </c>
      <c r="K917">
        <v>0</v>
      </c>
      <c r="L917">
        <v>1.112473882086302</v>
      </c>
      <c r="M917">
        <v>39.15</v>
      </c>
      <c r="N917">
        <v>13.49</v>
      </c>
    </row>
    <row r="918" spans="1:14" x14ac:dyDescent="0.25">
      <c r="A918" s="1" t="s">
        <v>930</v>
      </c>
      <c r="B918" t="str">
        <f>HYPERLINK("https://www.suredividend.com/sure-analysis-research-database/","Open Lending Corp")</f>
        <v>Open Lending Corp</v>
      </c>
      <c r="C918" t="s">
        <v>1797</v>
      </c>
      <c r="D918">
        <v>6.35</v>
      </c>
      <c r="E918">
        <v>0</v>
      </c>
      <c r="F918" t="s">
        <v>1797</v>
      </c>
      <c r="G918" t="s">
        <v>1797</v>
      </c>
      <c r="H918">
        <v>0</v>
      </c>
      <c r="I918">
        <v>766.43200200000001</v>
      </c>
      <c r="J918">
        <v>17.32088864268119</v>
      </c>
      <c r="K918">
        <v>0</v>
      </c>
      <c r="L918">
        <v>2.0001200680658502</v>
      </c>
      <c r="M918">
        <v>11.99</v>
      </c>
      <c r="N918">
        <v>5.35</v>
      </c>
    </row>
    <row r="919" spans="1:14" x14ac:dyDescent="0.25">
      <c r="A919" s="1" t="s">
        <v>931</v>
      </c>
      <c r="B919" t="str">
        <f>HYPERLINK("https://www.suredividend.com/sure-analysis-research-database/","Liveperson Inc")</f>
        <v>Liveperson Inc</v>
      </c>
      <c r="C919" t="s">
        <v>1803</v>
      </c>
      <c r="D919">
        <v>2.99</v>
      </c>
      <c r="E919">
        <v>0</v>
      </c>
      <c r="F919" t="s">
        <v>1797</v>
      </c>
      <c r="G919" t="s">
        <v>1797</v>
      </c>
      <c r="H919">
        <v>0</v>
      </c>
      <c r="I919">
        <v>233.25080600000001</v>
      </c>
      <c r="J919" t="s">
        <v>1797</v>
      </c>
      <c r="K919">
        <v>0</v>
      </c>
      <c r="L919">
        <v>2.4885295975580251</v>
      </c>
      <c r="M919">
        <v>18.170000000000002</v>
      </c>
      <c r="N919">
        <v>2.33</v>
      </c>
    </row>
    <row r="920" spans="1:14" x14ac:dyDescent="0.25">
      <c r="A920" s="1" t="s">
        <v>932</v>
      </c>
      <c r="B920" t="str">
        <f>HYPERLINK("https://www.suredividend.com/sure-analysis-research-database/","Liquidia Corp")</f>
        <v>Liquidia Corp</v>
      </c>
      <c r="C920" t="s">
        <v>1802</v>
      </c>
      <c r="D920">
        <v>6.65</v>
      </c>
      <c r="E920">
        <v>0</v>
      </c>
      <c r="F920" t="s">
        <v>1797</v>
      </c>
      <c r="G920" t="s">
        <v>1797</v>
      </c>
      <c r="H920">
        <v>0</v>
      </c>
      <c r="I920">
        <v>430.52828799999997</v>
      </c>
      <c r="J920" t="s">
        <v>1797</v>
      </c>
      <c r="K920">
        <v>0</v>
      </c>
      <c r="L920">
        <v>0.60483836359188103</v>
      </c>
      <c r="M920">
        <v>9.9499999999999993</v>
      </c>
      <c r="N920">
        <v>4.4800000000000004</v>
      </c>
    </row>
    <row r="921" spans="1:14" x14ac:dyDescent="0.25">
      <c r="A921" s="1" t="s">
        <v>933</v>
      </c>
      <c r="B921" t="str">
        <f>HYPERLINK("https://www.suredividend.com/sure-analysis-research-database/","Liquidity Services Inc")</f>
        <v>Liquidity Services Inc</v>
      </c>
      <c r="C921" t="s">
        <v>1801</v>
      </c>
      <c r="D921">
        <v>19.39</v>
      </c>
      <c r="E921">
        <v>0</v>
      </c>
      <c r="F921" t="s">
        <v>1797</v>
      </c>
      <c r="G921" t="s">
        <v>1797</v>
      </c>
      <c r="H921">
        <v>0</v>
      </c>
      <c r="I921">
        <v>595.10136</v>
      </c>
      <c r="J921">
        <v>25.825689351212951</v>
      </c>
      <c r="K921">
        <v>0</v>
      </c>
      <c r="L921">
        <v>1.0745375541308479</v>
      </c>
      <c r="M921">
        <v>20.83</v>
      </c>
      <c r="N921">
        <v>11.97</v>
      </c>
    </row>
    <row r="922" spans="1:14" x14ac:dyDescent="0.25">
      <c r="A922" s="1" t="s">
        <v>934</v>
      </c>
      <c r="B922" t="str">
        <f>HYPERLINK("https://www.suredividend.com/sure-analysis-research-database/","Stride Inc")</f>
        <v>Stride Inc</v>
      </c>
      <c r="C922" t="s">
        <v>1804</v>
      </c>
      <c r="D922">
        <v>55.87</v>
      </c>
      <c r="E922">
        <v>0</v>
      </c>
      <c r="F922" t="s">
        <v>1797</v>
      </c>
      <c r="G922" t="s">
        <v>1797</v>
      </c>
      <c r="H922">
        <v>0</v>
      </c>
      <c r="I922">
        <v>2402.41</v>
      </c>
      <c r="J922">
        <v>15.557937273745759</v>
      </c>
      <c r="K922">
        <v>0</v>
      </c>
      <c r="L922">
        <v>0.21153608877521801</v>
      </c>
      <c r="M922">
        <v>56.55</v>
      </c>
      <c r="N922">
        <v>30.66</v>
      </c>
    </row>
    <row r="923" spans="1:14" x14ac:dyDescent="0.25">
      <c r="A923" s="1" t="s">
        <v>935</v>
      </c>
      <c r="B923" t="str">
        <f>HYPERLINK("https://www.suredividend.com/sure-analysis-research-database/","Landsea Homes Corporation")</f>
        <v>Landsea Homes Corporation</v>
      </c>
      <c r="C923" t="s">
        <v>1797</v>
      </c>
      <c r="D923">
        <v>8.3000000000000007</v>
      </c>
      <c r="E923">
        <v>0</v>
      </c>
      <c r="F923" t="s">
        <v>1797</v>
      </c>
      <c r="G923" t="s">
        <v>1797</v>
      </c>
      <c r="H923">
        <v>0</v>
      </c>
      <c r="I923">
        <v>320.32450599999999</v>
      </c>
      <c r="J923">
        <v>0</v>
      </c>
      <c r="K923" t="s">
        <v>1797</v>
      </c>
      <c r="L923">
        <v>0.97114838519829005</v>
      </c>
      <c r="M923">
        <v>12.45</v>
      </c>
      <c r="N923">
        <v>4.92</v>
      </c>
    </row>
    <row r="924" spans="1:14" x14ac:dyDescent="0.25">
      <c r="A924" s="1" t="s">
        <v>936</v>
      </c>
      <c r="B924" t="str">
        <f>HYPERLINK("https://www.suredividend.com/sure-analysis-LTC/","LTC Properties, Inc.")</f>
        <v>LTC Properties, Inc.</v>
      </c>
      <c r="C924" t="s">
        <v>1799</v>
      </c>
      <c r="D924">
        <v>32.26</v>
      </c>
      <c r="E924">
        <v>7.0675759454432732E-2</v>
      </c>
      <c r="F924">
        <v>0</v>
      </c>
      <c r="G924">
        <v>0</v>
      </c>
      <c r="H924">
        <v>2.2095561051177879</v>
      </c>
      <c r="I924">
        <v>1335.9412159999999</v>
      </c>
      <c r="J924">
        <v>16.92092937708988</v>
      </c>
      <c r="K924">
        <v>1.150810471415515</v>
      </c>
      <c r="L924">
        <v>0.61749531643700506</v>
      </c>
      <c r="M924">
        <v>37.92</v>
      </c>
      <c r="N924">
        <v>29.99</v>
      </c>
    </row>
    <row r="925" spans="1:14" x14ac:dyDescent="0.25">
      <c r="A925" s="1" t="s">
        <v>937</v>
      </c>
      <c r="B925" t="str">
        <f>HYPERLINK("https://www.suredividend.com/sure-analysis-research-database/","Latch Inc")</f>
        <v>Latch Inc</v>
      </c>
      <c r="C925" t="s">
        <v>1797</v>
      </c>
      <c r="D925">
        <v>0.85</v>
      </c>
      <c r="E925">
        <v>0</v>
      </c>
      <c r="F925" t="s">
        <v>1797</v>
      </c>
      <c r="G925" t="s">
        <v>1797</v>
      </c>
      <c r="H925">
        <v>0</v>
      </c>
      <c r="I925">
        <v>0</v>
      </c>
      <c r="J925">
        <v>0</v>
      </c>
      <c r="K925">
        <v>0</v>
      </c>
    </row>
    <row r="926" spans="1:14" x14ac:dyDescent="0.25">
      <c r="A926" s="1" t="s">
        <v>938</v>
      </c>
      <c r="B926" t="str">
        <f>HYPERLINK("https://www.suredividend.com/sure-analysis-research-database/","Life Time Group Holdings Inc")</f>
        <v>Life Time Group Holdings Inc</v>
      </c>
      <c r="C926" t="s">
        <v>1797</v>
      </c>
      <c r="D926">
        <v>12.82</v>
      </c>
      <c r="E926">
        <v>0</v>
      </c>
      <c r="F926" t="s">
        <v>1797</v>
      </c>
      <c r="G926" t="s">
        <v>1797</v>
      </c>
      <c r="H926">
        <v>0</v>
      </c>
      <c r="I926">
        <v>2517.9621109999998</v>
      </c>
      <c r="J926">
        <v>0</v>
      </c>
      <c r="K926" t="s">
        <v>1797</v>
      </c>
      <c r="L926">
        <v>1.634003193333269</v>
      </c>
      <c r="M926">
        <v>22.41</v>
      </c>
      <c r="N926">
        <v>9.16</v>
      </c>
    </row>
    <row r="927" spans="1:14" x14ac:dyDescent="0.25">
      <c r="A927" s="1" t="s">
        <v>939</v>
      </c>
      <c r="B927" t="str">
        <f>HYPERLINK("https://www.suredividend.com/sure-analysis-research-database/","Livent Corp")</f>
        <v>Livent Corp</v>
      </c>
      <c r="C927" t="s">
        <v>1808</v>
      </c>
      <c r="D927">
        <v>14.97</v>
      </c>
      <c r="E927">
        <v>0</v>
      </c>
      <c r="F927" t="s">
        <v>1797</v>
      </c>
      <c r="G927" t="s">
        <v>1797</v>
      </c>
      <c r="H927">
        <v>0</v>
      </c>
      <c r="I927">
        <v>2690.3393729999998</v>
      </c>
      <c r="J927">
        <v>7.3647395930194364</v>
      </c>
      <c r="K927">
        <v>0</v>
      </c>
      <c r="L927">
        <v>1.69568623186853</v>
      </c>
      <c r="M927">
        <v>35.81</v>
      </c>
      <c r="N927">
        <v>13.37</v>
      </c>
    </row>
    <row r="928" spans="1:14" x14ac:dyDescent="0.25">
      <c r="A928" s="1" t="s">
        <v>940</v>
      </c>
      <c r="B928" t="str">
        <f>HYPERLINK("https://www.suredividend.com/sure-analysis-research-database/","Pulmonx Corp")</f>
        <v>Pulmonx Corp</v>
      </c>
      <c r="C928" t="s">
        <v>1797</v>
      </c>
      <c r="D928">
        <v>9.92</v>
      </c>
      <c r="E928">
        <v>0</v>
      </c>
      <c r="F928" t="s">
        <v>1797</v>
      </c>
      <c r="G928" t="s">
        <v>1797</v>
      </c>
      <c r="H928">
        <v>0</v>
      </c>
      <c r="I928">
        <v>377.23500200000001</v>
      </c>
      <c r="J928" t="s">
        <v>1797</v>
      </c>
      <c r="K928">
        <v>0</v>
      </c>
      <c r="L928">
        <v>1.9210654323540219</v>
      </c>
      <c r="M928">
        <v>14.28</v>
      </c>
      <c r="N928">
        <v>4.55</v>
      </c>
    </row>
    <row r="929" spans="1:14" x14ac:dyDescent="0.25">
      <c r="A929" s="1" t="s">
        <v>941</v>
      </c>
      <c r="B929" t="str">
        <f>HYPERLINK("https://www.suredividend.com/sure-analysis-research-database/","Lulus Fashion Lounge Holdings Inc")</f>
        <v>Lulus Fashion Lounge Holdings Inc</v>
      </c>
      <c r="C929" t="s">
        <v>1797</v>
      </c>
      <c r="D929">
        <v>2.14</v>
      </c>
      <c r="E929">
        <v>0</v>
      </c>
      <c r="F929" t="s">
        <v>1797</v>
      </c>
      <c r="G929" t="s">
        <v>1797</v>
      </c>
      <c r="H929">
        <v>0</v>
      </c>
      <c r="I929">
        <v>85.940622000000005</v>
      </c>
      <c r="J929">
        <v>0</v>
      </c>
      <c r="K929" t="s">
        <v>1797</v>
      </c>
      <c r="L929">
        <v>1.115887621724496</v>
      </c>
      <c r="M929">
        <v>6.37</v>
      </c>
      <c r="N929">
        <v>1.9</v>
      </c>
    </row>
    <row r="930" spans="1:14" x14ac:dyDescent="0.25">
      <c r="A930" s="1" t="s">
        <v>942</v>
      </c>
      <c r="B930" t="str">
        <f>HYPERLINK("https://www.suredividend.com/sure-analysis-research-database/","LiveVox Holdings Inc")</f>
        <v>LiveVox Holdings Inc</v>
      </c>
      <c r="C930" t="s">
        <v>1797</v>
      </c>
      <c r="D930">
        <v>3.62</v>
      </c>
      <c r="E930">
        <v>0</v>
      </c>
      <c r="F930" t="s">
        <v>1797</v>
      </c>
      <c r="G930" t="s">
        <v>1797</v>
      </c>
      <c r="H930">
        <v>0</v>
      </c>
      <c r="I930">
        <v>341.01494000000002</v>
      </c>
      <c r="J930" t="s">
        <v>1797</v>
      </c>
      <c r="K930">
        <v>0</v>
      </c>
      <c r="L930">
        <v>0.42729212751296503</v>
      </c>
      <c r="M930">
        <v>3.65</v>
      </c>
      <c r="N930">
        <v>1.7</v>
      </c>
    </row>
    <row r="931" spans="1:14" x14ac:dyDescent="0.25">
      <c r="A931" s="1" t="s">
        <v>943</v>
      </c>
      <c r="B931" t="str">
        <f>HYPERLINK("https://www.suredividend.com/sure-analysis-research-database/","Lightwave Logic Inc")</f>
        <v>Lightwave Logic Inc</v>
      </c>
      <c r="C931" t="s">
        <v>1808</v>
      </c>
      <c r="D931">
        <v>4.84</v>
      </c>
      <c r="E931">
        <v>0</v>
      </c>
      <c r="F931" t="s">
        <v>1797</v>
      </c>
      <c r="G931" t="s">
        <v>1797</v>
      </c>
      <c r="H931">
        <v>0</v>
      </c>
      <c r="I931">
        <v>563.67433300000005</v>
      </c>
      <c r="J931">
        <v>0</v>
      </c>
      <c r="K931" t="s">
        <v>1797</v>
      </c>
      <c r="L931">
        <v>2.6452157207777591</v>
      </c>
      <c r="M931">
        <v>9.64</v>
      </c>
      <c r="N931">
        <v>3.88</v>
      </c>
    </row>
    <row r="932" spans="1:14" x14ac:dyDescent="0.25">
      <c r="A932" s="1" t="s">
        <v>944</v>
      </c>
      <c r="B932" t="str">
        <f>HYPERLINK("https://www.suredividend.com/sure-analysis-research-database/","Luxfer Holdings PLC")</f>
        <v>Luxfer Holdings PLC</v>
      </c>
      <c r="C932" t="s">
        <v>1798</v>
      </c>
      <c r="D932">
        <v>8.6199999999999992</v>
      </c>
      <c r="E932">
        <v>5.9414298800050003E-2</v>
      </c>
      <c r="F932">
        <v>0</v>
      </c>
      <c r="G932">
        <v>7.8749885178921453E-3</v>
      </c>
      <c r="H932">
        <v>0.51215125565643405</v>
      </c>
      <c r="I932">
        <v>231.62772699999999</v>
      </c>
      <c r="J932">
        <v>0</v>
      </c>
      <c r="K932" t="s">
        <v>1797</v>
      </c>
      <c r="L932">
        <v>0.92113928709920112</v>
      </c>
      <c r="M932">
        <v>17.32</v>
      </c>
      <c r="N932">
        <v>8.1</v>
      </c>
    </row>
    <row r="933" spans="1:14" x14ac:dyDescent="0.25">
      <c r="A933" s="1" t="s">
        <v>945</v>
      </c>
      <c r="B933" t="str">
        <f>HYPERLINK("https://www.suredividend.com/sure-analysis-LXP/","LXP Industrial Trust")</f>
        <v>LXP Industrial Trust</v>
      </c>
      <c r="C933" t="s">
        <v>1799</v>
      </c>
      <c r="D933">
        <v>8.44</v>
      </c>
      <c r="E933">
        <v>6.1611374407582943E-2</v>
      </c>
      <c r="F933">
        <v>4.1666666666666741E-2</v>
      </c>
      <c r="G933">
        <v>-6.7728664654730708E-2</v>
      </c>
      <c r="H933">
        <v>0.49012078580194801</v>
      </c>
      <c r="I933">
        <v>2469.8358130000001</v>
      </c>
      <c r="J933">
        <v>51.72106072916884</v>
      </c>
      <c r="K933">
        <v>3.0480148370767912</v>
      </c>
      <c r="L933">
        <v>1.0484218473393481</v>
      </c>
      <c r="M933">
        <v>11.46</v>
      </c>
      <c r="N933">
        <v>7.75</v>
      </c>
    </row>
    <row r="934" spans="1:14" x14ac:dyDescent="0.25">
      <c r="A934" s="1" t="s">
        <v>946</v>
      </c>
      <c r="B934" t="str">
        <f>HYPERLINK("https://www.suredividend.com/sure-analysis-research-database/","Lexicon Pharmaceuticals Inc")</f>
        <v>Lexicon Pharmaceuticals Inc</v>
      </c>
      <c r="C934" t="s">
        <v>1802</v>
      </c>
      <c r="D934">
        <v>1.48</v>
      </c>
      <c r="E934">
        <v>0</v>
      </c>
      <c r="F934" t="s">
        <v>1797</v>
      </c>
      <c r="G934" t="s">
        <v>1797</v>
      </c>
      <c r="H934">
        <v>0</v>
      </c>
      <c r="I934">
        <v>362.48854899999998</v>
      </c>
      <c r="J934" t="s">
        <v>1797</v>
      </c>
      <c r="K934">
        <v>0</v>
      </c>
      <c r="L934">
        <v>1.798754762202398</v>
      </c>
      <c r="M934">
        <v>3.79</v>
      </c>
      <c r="N934">
        <v>0.95960000000000001</v>
      </c>
    </row>
    <row r="935" spans="1:14" x14ac:dyDescent="0.25">
      <c r="A935" s="1" t="s">
        <v>947</v>
      </c>
      <c r="B935" t="str">
        <f>HYPERLINK("https://www.suredividend.com/sure-analysis-research-database/","LSB Industries, Inc.")</f>
        <v>LSB Industries, Inc.</v>
      </c>
      <c r="C935" t="s">
        <v>1808</v>
      </c>
      <c r="D935">
        <v>9.1300000000000008</v>
      </c>
      <c r="E935">
        <v>0</v>
      </c>
      <c r="F935" t="s">
        <v>1797</v>
      </c>
      <c r="G935" t="s">
        <v>1797</v>
      </c>
      <c r="H935">
        <v>0</v>
      </c>
      <c r="I935">
        <v>678.76378799999998</v>
      </c>
      <c r="J935">
        <v>6.846517931006658</v>
      </c>
      <c r="K935">
        <v>0</v>
      </c>
      <c r="L935">
        <v>1.0276591590806301</v>
      </c>
      <c r="M935">
        <v>15.56</v>
      </c>
      <c r="N935">
        <v>8.15</v>
      </c>
    </row>
    <row r="936" spans="1:14" x14ac:dyDescent="0.25">
      <c r="A936" s="1" t="s">
        <v>948</v>
      </c>
      <c r="B936" t="str">
        <f>HYPERLINK("https://www.suredividend.com/sure-analysis-research-database/","Lyell Immunopharma Inc")</f>
        <v>Lyell Immunopharma Inc</v>
      </c>
      <c r="C936" t="s">
        <v>1797</v>
      </c>
      <c r="D936">
        <v>2.14</v>
      </c>
      <c r="E936">
        <v>0</v>
      </c>
      <c r="F936" t="s">
        <v>1797</v>
      </c>
      <c r="G936" t="s">
        <v>1797</v>
      </c>
      <c r="H936">
        <v>0</v>
      </c>
      <c r="I936">
        <v>537.19777399999998</v>
      </c>
      <c r="J936" t="s">
        <v>1797</v>
      </c>
      <c r="K936">
        <v>0</v>
      </c>
      <c r="L936">
        <v>1.9771418704032599</v>
      </c>
      <c r="M936">
        <v>5.97</v>
      </c>
      <c r="N936">
        <v>1.32</v>
      </c>
    </row>
    <row r="937" spans="1:14" x14ac:dyDescent="0.25">
      <c r="A937" s="1" t="s">
        <v>949</v>
      </c>
      <c r="B937" t="str">
        <f>HYPERLINK("https://www.suredividend.com/sure-analysis-research-database/","LegalZoom.com Inc.")</f>
        <v>LegalZoom.com Inc.</v>
      </c>
      <c r="C937" t="s">
        <v>1797</v>
      </c>
      <c r="D937">
        <v>10.56</v>
      </c>
      <c r="E937">
        <v>0</v>
      </c>
      <c r="F937" t="s">
        <v>1797</v>
      </c>
      <c r="G937" t="s">
        <v>1797</v>
      </c>
      <c r="H937">
        <v>0</v>
      </c>
      <c r="I937">
        <v>2025.299739</v>
      </c>
      <c r="J937" t="s">
        <v>1797</v>
      </c>
      <c r="K937">
        <v>0</v>
      </c>
      <c r="L937">
        <v>1.858794651427105</v>
      </c>
      <c r="M937">
        <v>15.68</v>
      </c>
      <c r="N937">
        <v>6.89</v>
      </c>
    </row>
    <row r="938" spans="1:14" x14ac:dyDescent="0.25">
      <c r="A938" s="1" t="s">
        <v>950</v>
      </c>
      <c r="B938" t="str">
        <f>HYPERLINK("https://www.suredividend.com/sure-analysis-research-database/","La-Z-Boy Inc.")</f>
        <v>La-Z-Boy Inc.</v>
      </c>
      <c r="C938" t="s">
        <v>1801</v>
      </c>
      <c r="D938">
        <v>30.84</v>
      </c>
      <c r="E938">
        <v>2.3328177595381E-2</v>
      </c>
      <c r="F938" t="s">
        <v>1797</v>
      </c>
      <c r="G938" t="s">
        <v>1797</v>
      </c>
      <c r="H938">
        <v>0.71944099704157405</v>
      </c>
      <c r="I938">
        <v>1327.7094629999999</v>
      </c>
      <c r="J938">
        <v>9.5070671494754926</v>
      </c>
      <c r="K938">
        <v>0.22273715078686501</v>
      </c>
      <c r="L938">
        <v>1.130372100966454</v>
      </c>
      <c r="M938">
        <v>33.729999999999997</v>
      </c>
      <c r="N938">
        <v>22.24</v>
      </c>
    </row>
    <row r="939" spans="1:14" x14ac:dyDescent="0.25">
      <c r="A939" s="1" t="s">
        <v>951</v>
      </c>
      <c r="B939" t="str">
        <f>HYPERLINK("https://www.suredividend.com/sure-analysis-MAC/","Macerich Co.")</f>
        <v>Macerich Co.</v>
      </c>
      <c r="C939" t="s">
        <v>1799</v>
      </c>
      <c r="D939">
        <v>11.22</v>
      </c>
      <c r="E939">
        <v>6.0606060606060608E-2</v>
      </c>
      <c r="F939">
        <v>0.1333333333333335</v>
      </c>
      <c r="G939">
        <v>-0.25684820418238441</v>
      </c>
      <c r="H939">
        <v>0.66471421854676105</v>
      </c>
      <c r="I939">
        <v>2415.1714790000001</v>
      </c>
      <c r="J939" t="s">
        <v>1797</v>
      </c>
      <c r="K939" t="s">
        <v>1797</v>
      </c>
      <c r="L939">
        <v>1.5210498802033969</v>
      </c>
      <c r="M939">
        <v>13.87</v>
      </c>
      <c r="N939">
        <v>8.49</v>
      </c>
    </row>
    <row r="940" spans="1:14" x14ac:dyDescent="0.25">
      <c r="A940" s="1" t="s">
        <v>952</v>
      </c>
      <c r="B940" t="str">
        <f>HYPERLINK("https://www.suredividend.com/sure-analysis-research-database/","WM Technology Inc")</f>
        <v>WM Technology Inc</v>
      </c>
      <c r="C940" t="s">
        <v>1797</v>
      </c>
      <c r="D940">
        <v>1.18</v>
      </c>
      <c r="E940">
        <v>0</v>
      </c>
      <c r="F940" t="s">
        <v>1797</v>
      </c>
      <c r="G940" t="s">
        <v>1797</v>
      </c>
      <c r="H940">
        <v>0</v>
      </c>
      <c r="I940">
        <v>110.23045999999999</v>
      </c>
      <c r="J940" t="s">
        <v>1797</v>
      </c>
      <c r="K940">
        <v>0</v>
      </c>
      <c r="L940">
        <v>2.401361448179737</v>
      </c>
      <c r="M940">
        <v>2.02</v>
      </c>
      <c r="N940">
        <v>0.59599999999999997</v>
      </c>
    </row>
    <row r="941" spans="1:14" x14ac:dyDescent="0.25">
      <c r="A941" s="1" t="s">
        <v>953</v>
      </c>
      <c r="B941" t="str">
        <f>HYPERLINK("https://www.suredividend.com/sure-analysis-research-database/","Marathon Digital Holdings Inc")</f>
        <v>Marathon Digital Holdings Inc</v>
      </c>
      <c r="C941" t="s">
        <v>1800</v>
      </c>
      <c r="D941">
        <v>9.41</v>
      </c>
      <c r="E941">
        <v>0</v>
      </c>
      <c r="F941" t="s">
        <v>1797</v>
      </c>
      <c r="G941" t="s">
        <v>1797</v>
      </c>
      <c r="H941">
        <v>0</v>
      </c>
      <c r="I941">
        <v>2040.9747420000001</v>
      </c>
      <c r="J941">
        <v>0</v>
      </c>
      <c r="K941" t="s">
        <v>1797</v>
      </c>
      <c r="L941">
        <v>2.9732914178058989</v>
      </c>
      <c r="M941">
        <v>19.88</v>
      </c>
      <c r="N941">
        <v>3.11</v>
      </c>
    </row>
    <row r="942" spans="1:14" x14ac:dyDescent="0.25">
      <c r="A942" s="1" t="s">
        <v>954</v>
      </c>
      <c r="B942" t="str">
        <f>HYPERLINK("https://www.suredividend.com/sure-analysis-research-database/","908 Devices Inc")</f>
        <v>908 Devices Inc</v>
      </c>
      <c r="C942" t="s">
        <v>1797</v>
      </c>
      <c r="D942">
        <v>6.58</v>
      </c>
      <c r="E942">
        <v>0</v>
      </c>
      <c r="F942" t="s">
        <v>1797</v>
      </c>
      <c r="G942" t="s">
        <v>1797</v>
      </c>
      <c r="H942">
        <v>0</v>
      </c>
      <c r="I942">
        <v>212.75893099999999</v>
      </c>
      <c r="J942" t="s">
        <v>1797</v>
      </c>
      <c r="K942">
        <v>0</v>
      </c>
      <c r="L942">
        <v>2.2510949767683588</v>
      </c>
      <c r="M942">
        <v>16.54</v>
      </c>
      <c r="N942">
        <v>4.97</v>
      </c>
    </row>
    <row r="943" spans="1:14" x14ac:dyDescent="0.25">
      <c r="A943" s="1" t="s">
        <v>955</v>
      </c>
      <c r="B943" t="str">
        <f>HYPERLINK("https://www.suredividend.com/sure-analysis-research-database/","Mativ Holdings Inc")</f>
        <v>Mativ Holdings Inc</v>
      </c>
      <c r="C943" t="s">
        <v>1797</v>
      </c>
      <c r="D943">
        <v>14</v>
      </c>
      <c r="E943">
        <v>9.0546855099006007E-2</v>
      </c>
      <c r="F943" t="s">
        <v>1797</v>
      </c>
      <c r="G943" t="s">
        <v>1797</v>
      </c>
      <c r="H943">
        <v>1.267655971386088</v>
      </c>
      <c r="I943">
        <v>765.90603599999997</v>
      </c>
      <c r="J943" t="s">
        <v>1797</v>
      </c>
      <c r="K943" t="s">
        <v>1797</v>
      </c>
      <c r="L943">
        <v>0.59948834754450109</v>
      </c>
      <c r="M943">
        <v>27.69</v>
      </c>
      <c r="N943">
        <v>12.67</v>
      </c>
    </row>
    <row r="944" spans="1:14" x14ac:dyDescent="0.25">
      <c r="A944" s="1" t="s">
        <v>956</v>
      </c>
      <c r="B944" t="str">
        <f>HYPERLINK("https://www.suredividend.com/sure-analysis-MATW/","Matthews International Corp.")</f>
        <v>Matthews International Corp.</v>
      </c>
      <c r="C944" t="s">
        <v>1798</v>
      </c>
      <c r="D944">
        <v>36.229999999999997</v>
      </c>
      <c r="E944">
        <v>2.5393320452663539E-2</v>
      </c>
      <c r="F944">
        <v>4.5454545454545407E-2</v>
      </c>
      <c r="G944">
        <v>2.834672210021361E-2</v>
      </c>
      <c r="H944">
        <v>0.90602130113999402</v>
      </c>
      <c r="I944">
        <v>1103.843394</v>
      </c>
      <c r="J944" t="s">
        <v>1797</v>
      </c>
      <c r="K944" t="s">
        <v>1797</v>
      </c>
      <c r="L944">
        <v>0.70310906066615009</v>
      </c>
      <c r="M944">
        <v>48.36</v>
      </c>
      <c r="N944">
        <v>25.34</v>
      </c>
    </row>
    <row r="945" spans="1:14" x14ac:dyDescent="0.25">
      <c r="A945" s="1" t="s">
        <v>957</v>
      </c>
      <c r="B945" t="str">
        <f>HYPERLINK("https://www.suredividend.com/sure-analysis-research-database/","Matson Inc")</f>
        <v>Matson Inc</v>
      </c>
      <c r="C945" t="s">
        <v>1798</v>
      </c>
      <c r="D945">
        <v>88.65</v>
      </c>
      <c r="E945">
        <v>1.4016149545742001E-2</v>
      </c>
      <c r="F945">
        <v>3.2258064516128997E-2</v>
      </c>
      <c r="G945">
        <v>8.7892885777757002E-2</v>
      </c>
      <c r="H945">
        <v>1.2425316572301131</v>
      </c>
      <c r="I945">
        <v>3096.977112</v>
      </c>
      <c r="J945">
        <v>9.9039882059481936</v>
      </c>
      <c r="K945">
        <v>0.1436452782924986</v>
      </c>
      <c r="L945">
        <v>1.307371816108537</v>
      </c>
      <c r="M945">
        <v>97.49</v>
      </c>
      <c r="N945">
        <v>56.05</v>
      </c>
    </row>
    <row r="946" spans="1:14" x14ac:dyDescent="0.25">
      <c r="A946" s="1" t="s">
        <v>958</v>
      </c>
      <c r="B946" t="str">
        <f>HYPERLINK("https://www.suredividend.com/sure-analysis-research-database/","MediaAlpha Inc")</f>
        <v>MediaAlpha Inc</v>
      </c>
      <c r="C946" t="s">
        <v>1797</v>
      </c>
      <c r="D946">
        <v>9.77</v>
      </c>
      <c r="E946">
        <v>0</v>
      </c>
      <c r="F946" t="s">
        <v>1797</v>
      </c>
      <c r="G946" t="s">
        <v>1797</v>
      </c>
      <c r="H946">
        <v>0</v>
      </c>
      <c r="I946">
        <v>451.65053</v>
      </c>
      <c r="J946" t="s">
        <v>1797</v>
      </c>
      <c r="K946">
        <v>0</v>
      </c>
      <c r="L946">
        <v>1.3130992398248731</v>
      </c>
      <c r="M946">
        <v>17.010000000000002</v>
      </c>
      <c r="N946">
        <v>5.08</v>
      </c>
    </row>
    <row r="947" spans="1:14" x14ac:dyDescent="0.25">
      <c r="A947" s="1" t="s">
        <v>959</v>
      </c>
      <c r="B947" t="str">
        <f>HYPERLINK("https://www.suredividend.com/sure-analysis-research-database/","MBIA Inc.")</f>
        <v>MBIA Inc.</v>
      </c>
      <c r="C947" t="s">
        <v>1800</v>
      </c>
      <c r="D947">
        <v>6.61</v>
      </c>
      <c r="E947">
        <v>0</v>
      </c>
      <c r="F947" t="s">
        <v>1797</v>
      </c>
      <c r="G947" t="s">
        <v>1797</v>
      </c>
      <c r="H947">
        <v>0</v>
      </c>
      <c r="I947">
        <v>343.28997299999997</v>
      </c>
      <c r="J947" t="s">
        <v>1797</v>
      </c>
      <c r="K947">
        <v>0</v>
      </c>
      <c r="L947">
        <v>0.8669266812296661</v>
      </c>
      <c r="M947">
        <v>14</v>
      </c>
      <c r="N947">
        <v>6.07</v>
      </c>
    </row>
    <row r="948" spans="1:14" x14ac:dyDescent="0.25">
      <c r="A948" s="1" t="s">
        <v>960</v>
      </c>
      <c r="B948" t="str">
        <f>HYPERLINK("https://www.suredividend.com/sure-analysis-research-database/","Merchants Bancorp")</f>
        <v>Merchants Bancorp</v>
      </c>
      <c r="C948" t="s">
        <v>1800</v>
      </c>
      <c r="D948">
        <v>31.2</v>
      </c>
      <c r="E948">
        <v>9.8583213149600005E-3</v>
      </c>
      <c r="F948">
        <v>0.14285714285714279</v>
      </c>
      <c r="G948">
        <v>5.9223841048812183E-2</v>
      </c>
      <c r="H948">
        <v>0.30757962502677499</v>
      </c>
      <c r="I948">
        <v>1349.0037600000001</v>
      </c>
      <c r="J948">
        <v>6.611467163301314</v>
      </c>
      <c r="K948">
        <v>6.5303529729676235E-2</v>
      </c>
      <c r="L948">
        <v>0.99375351593728511</v>
      </c>
      <c r="M948">
        <v>33.39</v>
      </c>
      <c r="N948">
        <v>21.25</v>
      </c>
    </row>
    <row r="949" spans="1:14" x14ac:dyDescent="0.25">
      <c r="A949" s="1" t="s">
        <v>961</v>
      </c>
      <c r="B949" t="str">
        <f>HYPERLINK("https://www.suredividend.com/sure-analysis-research-database/","Malibu Boats Inc")</f>
        <v>Malibu Boats Inc</v>
      </c>
      <c r="C949" t="s">
        <v>1801</v>
      </c>
      <c r="D949">
        <v>46.65</v>
      </c>
      <c r="E949">
        <v>0</v>
      </c>
      <c r="F949" t="s">
        <v>1797</v>
      </c>
      <c r="G949" t="s">
        <v>1797</v>
      </c>
      <c r="H949">
        <v>0</v>
      </c>
      <c r="I949">
        <v>951.53418499999998</v>
      </c>
      <c r="J949">
        <v>10.585657699496039</v>
      </c>
      <c r="K949">
        <v>0</v>
      </c>
      <c r="L949">
        <v>1.1869097761742891</v>
      </c>
      <c r="M949">
        <v>65.45</v>
      </c>
      <c r="N949">
        <v>42.91</v>
      </c>
    </row>
    <row r="950" spans="1:14" x14ac:dyDescent="0.25">
      <c r="A950" s="1" t="s">
        <v>962</v>
      </c>
      <c r="B950" t="str">
        <f>HYPERLINK("https://www.suredividend.com/sure-analysis-research-database/","Mercantile Bank Corp.")</f>
        <v>Mercantile Bank Corp.</v>
      </c>
      <c r="C950" t="s">
        <v>1800</v>
      </c>
      <c r="D950">
        <v>34.69</v>
      </c>
      <c r="E950">
        <v>3.6939229149409003E-2</v>
      </c>
      <c r="F950">
        <v>6.25E-2</v>
      </c>
      <c r="G950">
        <v>6.342724238285391E-2</v>
      </c>
      <c r="H950">
        <v>1.2814218591930051</v>
      </c>
      <c r="I950">
        <v>555.67191300000002</v>
      </c>
      <c r="J950">
        <v>7.0191614102191622</v>
      </c>
      <c r="K950">
        <v>0.25783135999859258</v>
      </c>
      <c r="L950">
        <v>0.95127989776066613</v>
      </c>
      <c r="M950">
        <v>35.99</v>
      </c>
      <c r="N950">
        <v>22.82</v>
      </c>
    </row>
    <row r="951" spans="1:14" x14ac:dyDescent="0.25">
      <c r="A951" s="1" t="s">
        <v>963</v>
      </c>
      <c r="B951" t="str">
        <f>HYPERLINK("https://www.suredividend.com/sure-analysis-research-database/","Moelis &amp; Co")</f>
        <v>Moelis &amp; Co</v>
      </c>
      <c r="C951" t="s">
        <v>1800</v>
      </c>
      <c r="D951">
        <v>43.36</v>
      </c>
      <c r="E951">
        <v>5.4020170220936997E-2</v>
      </c>
      <c r="F951">
        <v>0</v>
      </c>
      <c r="G951">
        <v>3.3037804113932312E-2</v>
      </c>
      <c r="H951">
        <v>2.3423145807798318</v>
      </c>
      <c r="I951">
        <v>2886.6263100000001</v>
      </c>
      <c r="J951">
        <v>77.267226360448618</v>
      </c>
      <c r="K951">
        <v>4.4111385702068402</v>
      </c>
      <c r="L951">
        <v>1.387713809721477</v>
      </c>
      <c r="M951">
        <v>51.85</v>
      </c>
      <c r="N951">
        <v>33.450000000000003</v>
      </c>
    </row>
    <row r="952" spans="1:14" x14ac:dyDescent="0.25">
      <c r="A952" s="1" t="s">
        <v>964</v>
      </c>
      <c r="B952" t="str">
        <f>HYPERLINK("https://www.suredividend.com/sure-analysis-research-database/","Metropolitan Bank Holding Corp")</f>
        <v>Metropolitan Bank Holding Corp</v>
      </c>
      <c r="C952" t="s">
        <v>1800</v>
      </c>
      <c r="D952">
        <v>37.340000000000003</v>
      </c>
      <c r="E952">
        <v>0</v>
      </c>
      <c r="F952" t="s">
        <v>1797</v>
      </c>
      <c r="G952" t="s">
        <v>1797</v>
      </c>
      <c r="H952">
        <v>0</v>
      </c>
      <c r="I952">
        <v>413.08230099999997</v>
      </c>
      <c r="J952">
        <v>7.140328784830257</v>
      </c>
      <c r="K952">
        <v>0</v>
      </c>
      <c r="L952">
        <v>2.0693519230313471</v>
      </c>
      <c r="M952">
        <v>71.989999999999995</v>
      </c>
      <c r="N952">
        <v>13.98</v>
      </c>
    </row>
    <row r="953" spans="1:14" x14ac:dyDescent="0.25">
      <c r="A953" s="1" t="s">
        <v>965</v>
      </c>
      <c r="B953" t="str">
        <f>HYPERLINK("https://www.suredividend.com/sure-analysis-research-database/","Macatawa Bank Corp.")</f>
        <v>Macatawa Bank Corp.</v>
      </c>
      <c r="C953" t="s">
        <v>1800</v>
      </c>
      <c r="D953">
        <v>9.68</v>
      </c>
      <c r="E953">
        <v>3.2429777127052001E-2</v>
      </c>
      <c r="F953">
        <v>0</v>
      </c>
      <c r="G953">
        <v>2.7066087089351761E-2</v>
      </c>
      <c r="H953">
        <v>0.31392024258986301</v>
      </c>
      <c r="I953">
        <v>331.94159400000001</v>
      </c>
      <c r="J953">
        <v>7.2402031574585024</v>
      </c>
      <c r="K953">
        <v>0.23426883775362911</v>
      </c>
      <c r="L953">
        <v>0.60132335546049209</v>
      </c>
      <c r="M953">
        <v>11.37</v>
      </c>
      <c r="N953">
        <v>6.78</v>
      </c>
    </row>
    <row r="954" spans="1:14" x14ac:dyDescent="0.25">
      <c r="A954" s="1" t="s">
        <v>966</v>
      </c>
      <c r="B954" t="str">
        <f>HYPERLINK("https://www.suredividend.com/sure-analysis-research-database/","MetroCity Bankshares Inc")</f>
        <v>MetroCity Bankshares Inc</v>
      </c>
      <c r="C954" t="s">
        <v>1800</v>
      </c>
      <c r="D954">
        <v>21.32</v>
      </c>
      <c r="E954">
        <v>3.2847865059093012E-2</v>
      </c>
      <c r="F954">
        <v>0.2</v>
      </c>
      <c r="G954">
        <v>-2.0851637639023202E-2</v>
      </c>
      <c r="H954">
        <v>0.70031648305986605</v>
      </c>
      <c r="I954">
        <v>538.966317</v>
      </c>
      <c r="J954">
        <v>0</v>
      </c>
      <c r="K954" t="s">
        <v>1797</v>
      </c>
      <c r="L954">
        <v>1.151714709071771</v>
      </c>
      <c r="M954">
        <v>22.76</v>
      </c>
      <c r="N954">
        <v>12.64</v>
      </c>
    </row>
    <row r="955" spans="1:14" x14ac:dyDescent="0.25">
      <c r="A955" s="1" t="s">
        <v>967</v>
      </c>
      <c r="B955" t="str">
        <f>HYPERLINK("https://www.suredividend.com/sure-analysis-research-database/","MasterCraft Boat Holdings Inc")</f>
        <v>MasterCraft Boat Holdings Inc</v>
      </c>
      <c r="C955" t="s">
        <v>1801</v>
      </c>
      <c r="D955">
        <v>22.22</v>
      </c>
      <c r="E955">
        <v>0</v>
      </c>
      <c r="F955" t="s">
        <v>1797</v>
      </c>
      <c r="G955" t="s">
        <v>1797</v>
      </c>
      <c r="H955">
        <v>0</v>
      </c>
      <c r="I955">
        <v>382.24435</v>
      </c>
      <c r="J955">
        <v>5.5448358576671444</v>
      </c>
      <c r="K955">
        <v>0</v>
      </c>
      <c r="L955">
        <v>1.092587896195772</v>
      </c>
      <c r="M955">
        <v>35.29</v>
      </c>
      <c r="N955">
        <v>19.25</v>
      </c>
    </row>
    <row r="956" spans="1:14" x14ac:dyDescent="0.25">
      <c r="A956" s="1" t="s">
        <v>968</v>
      </c>
      <c r="B956" t="str">
        <f>HYPERLINK("https://www.suredividend.com/sure-analysis-research-database/","Seres Therapeutics Inc")</f>
        <v>Seres Therapeutics Inc</v>
      </c>
      <c r="C956" t="s">
        <v>1802</v>
      </c>
      <c r="D956">
        <v>1.3</v>
      </c>
      <c r="E956">
        <v>0</v>
      </c>
      <c r="F956" t="s">
        <v>1797</v>
      </c>
      <c r="G956" t="s">
        <v>1797</v>
      </c>
      <c r="H956">
        <v>0</v>
      </c>
      <c r="I956">
        <v>166.665998</v>
      </c>
      <c r="J956" t="s">
        <v>1797</v>
      </c>
      <c r="K956">
        <v>0</v>
      </c>
      <c r="L956">
        <v>0.86399384338072205</v>
      </c>
      <c r="M956">
        <v>8.32</v>
      </c>
      <c r="N956">
        <v>0.91</v>
      </c>
    </row>
    <row r="957" spans="1:14" x14ac:dyDescent="0.25">
      <c r="A957" s="1" t="s">
        <v>969</v>
      </c>
      <c r="B957" t="str">
        <f>HYPERLINK("https://www.suredividend.com/sure-analysis-research-database/","Monarch Casino &amp; Resort, Inc.")</f>
        <v>Monarch Casino &amp; Resort, Inc.</v>
      </c>
      <c r="C957" t="s">
        <v>1801</v>
      </c>
      <c r="D957">
        <v>62.59</v>
      </c>
      <c r="E957">
        <v>9.5438420830600001E-3</v>
      </c>
      <c r="F957" t="s">
        <v>1797</v>
      </c>
      <c r="G957" t="s">
        <v>1797</v>
      </c>
      <c r="H957">
        <v>0.59734907597877407</v>
      </c>
      <c r="I957">
        <v>1198.2316599999999</v>
      </c>
      <c r="J957">
        <v>13.31235387583464</v>
      </c>
      <c r="K957">
        <v>0.1301414108886218</v>
      </c>
      <c r="L957">
        <v>0.81051465241314202</v>
      </c>
      <c r="M957">
        <v>78.78</v>
      </c>
      <c r="N957">
        <v>56.25</v>
      </c>
    </row>
    <row r="958" spans="1:14" x14ac:dyDescent="0.25">
      <c r="A958" s="1" t="s">
        <v>970</v>
      </c>
      <c r="B958" t="str">
        <f>HYPERLINK("https://www.suredividend.com/sure-analysis-research-database/","Marcus Corp.")</f>
        <v>Marcus Corp.</v>
      </c>
      <c r="C958" t="s">
        <v>1806</v>
      </c>
      <c r="D958">
        <v>15.57</v>
      </c>
      <c r="E958">
        <v>1.4055483461751001E-2</v>
      </c>
      <c r="F958" t="s">
        <v>1797</v>
      </c>
      <c r="G958" t="s">
        <v>1797</v>
      </c>
      <c r="H958">
        <v>0.21884387749947501</v>
      </c>
      <c r="I958">
        <v>383.20796799999999</v>
      </c>
      <c r="J958">
        <v>55.416915123644259</v>
      </c>
      <c r="K958">
        <v>1.0020324061331269</v>
      </c>
      <c r="L958">
        <v>0.53871998268533805</v>
      </c>
      <c r="M958">
        <v>17.91</v>
      </c>
      <c r="N958">
        <v>13.47</v>
      </c>
    </row>
    <row r="959" spans="1:14" x14ac:dyDescent="0.25">
      <c r="A959" s="1" t="s">
        <v>971</v>
      </c>
      <c r="B959" t="str">
        <f>HYPERLINK("https://www.suredividend.com/sure-analysis-MCY/","Mercury General Corp.")</f>
        <v>Mercury General Corp.</v>
      </c>
      <c r="C959" t="s">
        <v>1800</v>
      </c>
      <c r="D959">
        <v>36.44</v>
      </c>
      <c r="E959">
        <v>3.4851811196487378E-2</v>
      </c>
      <c r="F959">
        <v>0</v>
      </c>
      <c r="G959">
        <v>-0.12737831757699991</v>
      </c>
      <c r="H959">
        <v>1.249635561096117</v>
      </c>
      <c r="I959">
        <v>2017.723868</v>
      </c>
      <c r="J959" t="s">
        <v>1797</v>
      </c>
      <c r="K959" t="s">
        <v>1797</v>
      </c>
      <c r="L959">
        <v>0.72935309769768908</v>
      </c>
      <c r="M959">
        <v>38.21</v>
      </c>
      <c r="N959">
        <v>25.59</v>
      </c>
    </row>
    <row r="960" spans="1:14" x14ac:dyDescent="0.25">
      <c r="A960" s="1" t="s">
        <v>972</v>
      </c>
      <c r="B960" t="str">
        <f>HYPERLINK("https://www.suredividend.com/sure-analysis-research-database/","Pediatrix Medical Group Inc")</f>
        <v>Pediatrix Medical Group Inc</v>
      </c>
      <c r="C960" t="s">
        <v>1802</v>
      </c>
      <c r="D960">
        <v>9.9</v>
      </c>
      <c r="E960">
        <v>0</v>
      </c>
      <c r="F960" t="s">
        <v>1797</v>
      </c>
      <c r="G960" t="s">
        <v>1797</v>
      </c>
      <c r="H960">
        <v>0</v>
      </c>
      <c r="I960">
        <v>831.02423599999997</v>
      </c>
      <c r="J960">
        <v>8.8843489897154093</v>
      </c>
      <c r="K960">
        <v>0</v>
      </c>
      <c r="L960">
        <v>0.89908257550151605</v>
      </c>
      <c r="M960">
        <v>17.3</v>
      </c>
      <c r="N960">
        <v>9.15</v>
      </c>
    </row>
    <row r="961" spans="1:14" x14ac:dyDescent="0.25">
      <c r="A961" s="1" t="s">
        <v>973</v>
      </c>
      <c r="B961" t="str">
        <f>HYPERLINK("https://www.suredividend.com/sure-analysis-MDC/","M.D.C. Holdings, Inc.")</f>
        <v>M.D.C. Holdings, Inc.</v>
      </c>
      <c r="C961" t="s">
        <v>1801</v>
      </c>
      <c r="D961">
        <v>42.99</v>
      </c>
      <c r="E961">
        <v>5.1174691788788092E-2</v>
      </c>
      <c r="F961" t="s">
        <v>1797</v>
      </c>
      <c r="G961" t="s">
        <v>1797</v>
      </c>
      <c r="H961">
        <v>2.0158520249393508</v>
      </c>
      <c r="I961">
        <v>3209.6969819999999</v>
      </c>
      <c r="J961">
        <v>8.9334685509715026</v>
      </c>
      <c r="K961">
        <v>0.41822656119073659</v>
      </c>
      <c r="L961">
        <v>1.2592158391537061</v>
      </c>
      <c r="M961">
        <v>51.71</v>
      </c>
      <c r="N961">
        <v>27.7</v>
      </c>
    </row>
    <row r="962" spans="1:14" x14ac:dyDescent="0.25">
      <c r="A962" s="1" t="s">
        <v>974</v>
      </c>
      <c r="B962" t="str">
        <f>HYPERLINK("https://www.suredividend.com/sure-analysis-research-database/","Madrigal Pharmaceuticals Inc")</f>
        <v>Madrigal Pharmaceuticals Inc</v>
      </c>
      <c r="C962" t="s">
        <v>1802</v>
      </c>
      <c r="D962">
        <v>146.88999999999999</v>
      </c>
      <c r="E962">
        <v>0</v>
      </c>
      <c r="F962" t="s">
        <v>1797</v>
      </c>
      <c r="G962" t="s">
        <v>1797</v>
      </c>
      <c r="H962">
        <v>0</v>
      </c>
      <c r="I962">
        <v>2713.239415</v>
      </c>
      <c r="J962">
        <v>0</v>
      </c>
      <c r="K962" t="s">
        <v>1797</v>
      </c>
      <c r="L962">
        <v>-0.22555215375134599</v>
      </c>
      <c r="M962">
        <v>322.67</v>
      </c>
      <c r="N962">
        <v>57.21</v>
      </c>
    </row>
    <row r="963" spans="1:14" x14ac:dyDescent="0.25">
      <c r="A963" s="1" t="s">
        <v>975</v>
      </c>
      <c r="B963" t="str">
        <f>HYPERLINK("https://www.suredividend.com/sure-analysis-research-database/","Veradigm Inc")</f>
        <v>Veradigm Inc</v>
      </c>
      <c r="C963" t="s">
        <v>1802</v>
      </c>
      <c r="D963">
        <v>13.54</v>
      </c>
      <c r="E963">
        <v>0</v>
      </c>
      <c r="F963" t="s">
        <v>1797</v>
      </c>
      <c r="G963" t="s">
        <v>1797</v>
      </c>
      <c r="H963">
        <v>0</v>
      </c>
      <c r="I963">
        <v>1479.377367</v>
      </c>
      <c r="J963">
        <v>24.39847885740674</v>
      </c>
      <c r="K963">
        <v>0</v>
      </c>
      <c r="L963">
        <v>0.8798110268797571</v>
      </c>
      <c r="M963">
        <v>19.77</v>
      </c>
      <c r="N963">
        <v>11.3</v>
      </c>
    </row>
    <row r="964" spans="1:14" x14ac:dyDescent="0.25">
      <c r="A964" s="1" t="s">
        <v>976</v>
      </c>
      <c r="B964" t="str">
        <f>HYPERLINK("https://www.suredividend.com/sure-analysis-research-database/","Mimedx Group Inc")</f>
        <v>Mimedx Group Inc</v>
      </c>
      <c r="C964" t="s">
        <v>1802</v>
      </c>
      <c r="D964">
        <v>6.82</v>
      </c>
      <c r="E964">
        <v>0</v>
      </c>
      <c r="F964" t="s">
        <v>1797</v>
      </c>
      <c r="G964" t="s">
        <v>1797</v>
      </c>
      <c r="H964">
        <v>0</v>
      </c>
      <c r="I964">
        <v>793.68829600000004</v>
      </c>
      <c r="J964" t="s">
        <v>1797</v>
      </c>
      <c r="K964">
        <v>0</v>
      </c>
      <c r="L964">
        <v>1.219258253570316</v>
      </c>
      <c r="M964">
        <v>8.6</v>
      </c>
      <c r="N964">
        <v>2.4300000000000002</v>
      </c>
    </row>
    <row r="965" spans="1:14" x14ac:dyDescent="0.25">
      <c r="A965" s="1" t="s">
        <v>977</v>
      </c>
      <c r="B965" t="str">
        <f>HYPERLINK("https://www.suredividend.com/sure-analysis-research-database/","23andMe Holding Co")</f>
        <v>23andMe Holding Co</v>
      </c>
      <c r="C965" t="s">
        <v>1797</v>
      </c>
      <c r="D965">
        <v>0.93180000000000007</v>
      </c>
      <c r="E965">
        <v>0</v>
      </c>
      <c r="F965" t="s">
        <v>1797</v>
      </c>
      <c r="G965" t="s">
        <v>1797</v>
      </c>
      <c r="H965">
        <v>0</v>
      </c>
      <c r="I965">
        <v>284.10581999999999</v>
      </c>
      <c r="J965" t="s">
        <v>1797</v>
      </c>
      <c r="K965">
        <v>0</v>
      </c>
      <c r="L965">
        <v>2.2826667760079689</v>
      </c>
      <c r="M965">
        <v>3.5</v>
      </c>
      <c r="N965">
        <v>0.61009999999999998</v>
      </c>
    </row>
    <row r="966" spans="1:14" x14ac:dyDescent="0.25">
      <c r="A966" s="1" t="s">
        <v>978</v>
      </c>
      <c r="B966" t="str">
        <f>HYPERLINK("https://www.suredividend.com/sure-analysis-MED/","Medifast Inc")</f>
        <v>Medifast Inc</v>
      </c>
      <c r="C966" t="s">
        <v>1801</v>
      </c>
      <c r="D966">
        <v>69.92</v>
      </c>
      <c r="E966">
        <v>9.4393592677345525E-2</v>
      </c>
      <c r="F966">
        <v>6.0975609756095386E-3</v>
      </c>
      <c r="G966">
        <v>0.17080491296489231</v>
      </c>
      <c r="H966">
        <v>6.4026595720354749</v>
      </c>
      <c r="I966">
        <v>761.38461099999995</v>
      </c>
      <c r="J966">
        <v>5.7280556308210837</v>
      </c>
      <c r="K966">
        <v>0.52783673306145706</v>
      </c>
      <c r="L966">
        <v>1.1270087647324429</v>
      </c>
      <c r="M966">
        <v>124.2</v>
      </c>
      <c r="N966">
        <v>67.400000000000006</v>
      </c>
    </row>
    <row r="967" spans="1:14" x14ac:dyDescent="0.25">
      <c r="A967" s="1" t="s">
        <v>979</v>
      </c>
      <c r="B967" t="str">
        <f>HYPERLINK("https://www.suredividend.com/sure-analysis-research-database/","Medpace Holdings Inc")</f>
        <v>Medpace Holdings Inc</v>
      </c>
      <c r="C967" t="s">
        <v>1802</v>
      </c>
      <c r="D967">
        <v>274.20999999999998</v>
      </c>
      <c r="E967">
        <v>0</v>
      </c>
      <c r="F967" t="s">
        <v>1797</v>
      </c>
      <c r="G967" t="s">
        <v>1797</v>
      </c>
      <c r="H967">
        <v>0</v>
      </c>
      <c r="I967">
        <v>8413.7049860000006</v>
      </c>
      <c r="J967">
        <v>30.819657966578511</v>
      </c>
      <c r="K967">
        <v>0</v>
      </c>
      <c r="L967">
        <v>1.164241969138625</v>
      </c>
      <c r="M967">
        <v>282.73</v>
      </c>
      <c r="N967">
        <v>167</v>
      </c>
    </row>
    <row r="968" spans="1:14" x14ac:dyDescent="0.25">
      <c r="A968" s="1" t="s">
        <v>980</v>
      </c>
      <c r="B968" t="str">
        <f>HYPERLINK("https://www.suredividend.com/sure-analysis-research-database/","Montrose Environmental Group Inc")</f>
        <v>Montrose Environmental Group Inc</v>
      </c>
      <c r="C968" t="s">
        <v>1797</v>
      </c>
      <c r="D968">
        <v>25.39</v>
      </c>
      <c r="E968">
        <v>0</v>
      </c>
      <c r="F968" t="s">
        <v>1797</v>
      </c>
      <c r="G968" t="s">
        <v>1797</v>
      </c>
      <c r="H968">
        <v>0</v>
      </c>
      <c r="I968">
        <v>765.63148899999999</v>
      </c>
      <c r="J968" t="s">
        <v>1797</v>
      </c>
      <c r="K968">
        <v>0</v>
      </c>
      <c r="L968">
        <v>1.999204357406031</v>
      </c>
      <c r="M968">
        <v>55</v>
      </c>
      <c r="N968">
        <v>21.96</v>
      </c>
    </row>
    <row r="969" spans="1:14" x14ac:dyDescent="0.25">
      <c r="A969" s="1" t="s">
        <v>981</v>
      </c>
      <c r="B969" t="str">
        <f>HYPERLINK("https://www.suredividend.com/sure-analysis-research-database/","Methode Electronics, Inc.")</f>
        <v>Methode Electronics, Inc.</v>
      </c>
      <c r="C969" t="s">
        <v>1803</v>
      </c>
      <c r="D969">
        <v>24.1</v>
      </c>
      <c r="E969">
        <v>2.8806376385311999E-2</v>
      </c>
      <c r="F969">
        <v>0</v>
      </c>
      <c r="G969">
        <v>4.9414522844583919E-2</v>
      </c>
      <c r="H969">
        <v>0.69423367088602606</v>
      </c>
      <c r="I969">
        <v>867.82972099999995</v>
      </c>
      <c r="J969">
        <v>15.35981807433628</v>
      </c>
      <c r="K969">
        <v>0.44789269089421041</v>
      </c>
      <c r="L969">
        <v>1.0323069267814311</v>
      </c>
      <c r="M969">
        <v>50.71</v>
      </c>
      <c r="N969">
        <v>21.26</v>
      </c>
    </row>
    <row r="970" spans="1:14" x14ac:dyDescent="0.25">
      <c r="A970" s="1" t="s">
        <v>982</v>
      </c>
      <c r="B970" t="str">
        <f>HYPERLINK("https://www.suredividend.com/sure-analysis-research-database/","Ramaco Resources Inc")</f>
        <v>Ramaco Resources Inc</v>
      </c>
      <c r="C970" t="s">
        <v>1808</v>
      </c>
      <c r="D970">
        <v>12.13</v>
      </c>
      <c r="E970">
        <v>1.030502885408E-2</v>
      </c>
      <c r="F970" t="s">
        <v>1797</v>
      </c>
      <c r="G970" t="s">
        <v>1797</v>
      </c>
      <c r="H970">
        <v>0.125</v>
      </c>
      <c r="I970">
        <v>644.966317</v>
      </c>
      <c r="J970">
        <v>8.7035290529526073</v>
      </c>
      <c r="K970">
        <v>9.057971014492755E-2</v>
      </c>
      <c r="L970">
        <v>0.59635678113098001</v>
      </c>
      <c r="M970">
        <v>12.85</v>
      </c>
      <c r="N970">
        <v>7.34</v>
      </c>
    </row>
    <row r="971" spans="1:14" x14ac:dyDescent="0.25">
      <c r="A971" s="1" t="s">
        <v>983</v>
      </c>
      <c r="B971" t="str">
        <f>HYPERLINK("https://www.suredividend.com/sure-analysis-research-database/","MFA Financial Inc")</f>
        <v>MFA Financial Inc</v>
      </c>
      <c r="C971" t="s">
        <v>1799</v>
      </c>
      <c r="D971">
        <v>9.89</v>
      </c>
      <c r="E971">
        <v>0.13456673320968099</v>
      </c>
      <c r="F971" t="s">
        <v>1797</v>
      </c>
      <c r="G971" t="s">
        <v>1797</v>
      </c>
      <c r="H971">
        <v>1.330864991443748</v>
      </c>
      <c r="I971">
        <v>1007.947232</v>
      </c>
      <c r="J971" t="s">
        <v>1797</v>
      </c>
      <c r="K971" t="s">
        <v>1797</v>
      </c>
      <c r="L971">
        <v>1.3324378926382801</v>
      </c>
      <c r="M971">
        <v>11.43</v>
      </c>
      <c r="N971">
        <v>7.79</v>
      </c>
    </row>
    <row r="972" spans="1:14" x14ac:dyDescent="0.25">
      <c r="A972" s="1" t="s">
        <v>984</v>
      </c>
      <c r="B972" t="str">
        <f>HYPERLINK("https://www.suredividend.com/sure-analysis-MGEE/","MGE Energy, Inc.")</f>
        <v>MGE Energy, Inc.</v>
      </c>
      <c r="C972" t="s">
        <v>1805</v>
      </c>
      <c r="D972">
        <v>74.39</v>
      </c>
      <c r="E972">
        <v>2.2986960612985611E-2</v>
      </c>
      <c r="F972">
        <v>4.9079754601226933E-2</v>
      </c>
      <c r="G972">
        <v>4.8413171284721557E-2</v>
      </c>
      <c r="H972">
        <v>1.6245908132166169</v>
      </c>
      <c r="I972">
        <v>2690.1930940000002</v>
      </c>
      <c r="J972">
        <v>24.081505069285299</v>
      </c>
      <c r="K972">
        <v>0.52575754473029679</v>
      </c>
      <c r="L972">
        <v>0.58274871608682399</v>
      </c>
      <c r="M972">
        <v>82.31</v>
      </c>
      <c r="N972">
        <v>63.22</v>
      </c>
    </row>
    <row r="973" spans="1:14" x14ac:dyDescent="0.25">
      <c r="A973" s="1" t="s">
        <v>985</v>
      </c>
      <c r="B973" t="str">
        <f>HYPERLINK("https://www.suredividend.com/sure-analysis-research-database/","Magnite Inc")</f>
        <v>Magnite Inc</v>
      </c>
      <c r="C973" t="s">
        <v>1797</v>
      </c>
      <c r="D973">
        <v>7.4</v>
      </c>
      <c r="E973">
        <v>0</v>
      </c>
      <c r="F973" t="s">
        <v>1797</v>
      </c>
      <c r="G973" t="s">
        <v>1797</v>
      </c>
      <c r="H973">
        <v>0</v>
      </c>
      <c r="I973">
        <v>1013.494084</v>
      </c>
      <c r="J973" t="s">
        <v>1797</v>
      </c>
      <c r="K973">
        <v>0</v>
      </c>
      <c r="L973">
        <v>3.547667535219087</v>
      </c>
      <c r="M973">
        <v>15.73</v>
      </c>
      <c r="N973">
        <v>5.59</v>
      </c>
    </row>
    <row r="974" spans="1:14" x14ac:dyDescent="0.25">
      <c r="A974" s="1" t="s">
        <v>986</v>
      </c>
      <c r="B974" t="str">
        <f>HYPERLINK("https://www.suredividend.com/sure-analysis-research-database/","Macrogenics Inc")</f>
        <v>Macrogenics Inc</v>
      </c>
      <c r="C974" t="s">
        <v>1802</v>
      </c>
      <c r="D974">
        <v>5.31</v>
      </c>
      <c r="E974">
        <v>0</v>
      </c>
      <c r="F974" t="s">
        <v>1797</v>
      </c>
      <c r="G974" t="s">
        <v>1797</v>
      </c>
      <c r="H974">
        <v>0</v>
      </c>
      <c r="I974">
        <v>328.951707</v>
      </c>
      <c r="J974">
        <v>0</v>
      </c>
      <c r="K974" t="s">
        <v>1797</v>
      </c>
      <c r="L974">
        <v>1.0479363882040329</v>
      </c>
      <c r="M974">
        <v>7.9</v>
      </c>
      <c r="N974">
        <v>4.29</v>
      </c>
    </row>
    <row r="975" spans="1:14" x14ac:dyDescent="0.25">
      <c r="A975" s="1" t="s">
        <v>987</v>
      </c>
      <c r="B975" t="str">
        <f>HYPERLINK("https://www.suredividend.com/sure-analysis-research-database/","MGP Ingredients, Inc.")</f>
        <v>MGP Ingredients, Inc.</v>
      </c>
      <c r="C975" t="s">
        <v>1804</v>
      </c>
      <c r="D975">
        <v>96.14</v>
      </c>
      <c r="E975">
        <v>4.9844917070780001E-3</v>
      </c>
      <c r="F975">
        <v>0</v>
      </c>
      <c r="G975">
        <v>8.4471771197698553E-2</v>
      </c>
      <c r="H975">
        <v>0.47920903271854398</v>
      </c>
      <c r="I975">
        <v>2110.355873</v>
      </c>
      <c r="J975">
        <v>21.500676216519111</v>
      </c>
      <c r="K975">
        <v>0.1081735965504614</v>
      </c>
      <c r="L975">
        <v>0.8041741830170831</v>
      </c>
      <c r="M975">
        <v>125.31</v>
      </c>
      <c r="N975">
        <v>90.49</v>
      </c>
    </row>
    <row r="976" spans="1:14" x14ac:dyDescent="0.25">
      <c r="A976" s="1" t="s">
        <v>988</v>
      </c>
      <c r="B976" t="str">
        <f>HYPERLINK("https://www.suredividend.com/sure-analysis-MGRC/","McGrath Rentcorp")</f>
        <v>McGrath Rentcorp</v>
      </c>
      <c r="C976" t="s">
        <v>1798</v>
      </c>
      <c r="D976">
        <v>101.98</v>
      </c>
      <c r="E976">
        <v>1.8238870366738581E-2</v>
      </c>
      <c r="F976">
        <v>2.19780219780219E-2</v>
      </c>
      <c r="G976">
        <v>6.4620457378655738E-2</v>
      </c>
      <c r="H976">
        <v>1.8261246282313499</v>
      </c>
      <c r="I976">
        <v>2497.4336010000002</v>
      </c>
      <c r="J976">
        <v>13.703640140798701</v>
      </c>
      <c r="K976">
        <v>0.2457772043380014</v>
      </c>
      <c r="L976">
        <v>0.61768692722533702</v>
      </c>
      <c r="M976">
        <v>109.02</v>
      </c>
      <c r="N976">
        <v>83.58</v>
      </c>
    </row>
    <row r="977" spans="1:14" x14ac:dyDescent="0.25">
      <c r="A977" s="1" t="s">
        <v>989</v>
      </c>
      <c r="B977" t="str">
        <f>HYPERLINK("https://www.suredividend.com/sure-analysis-research-database/","MeiraGTx Holdings plc")</f>
        <v>MeiraGTx Holdings plc</v>
      </c>
      <c r="C977" t="s">
        <v>1802</v>
      </c>
      <c r="D977">
        <v>5.3</v>
      </c>
      <c r="E977">
        <v>0</v>
      </c>
      <c r="F977" t="s">
        <v>1797</v>
      </c>
      <c r="G977" t="s">
        <v>1797</v>
      </c>
      <c r="H977">
        <v>0</v>
      </c>
      <c r="I977">
        <v>315.53716400000002</v>
      </c>
      <c r="J977" t="s">
        <v>1797</v>
      </c>
      <c r="K977">
        <v>0</v>
      </c>
      <c r="L977">
        <v>0.97451120625134813</v>
      </c>
      <c r="M977">
        <v>8.77</v>
      </c>
      <c r="N977">
        <v>3.49</v>
      </c>
    </row>
    <row r="978" spans="1:14" x14ac:dyDescent="0.25">
      <c r="A978" s="1" t="s">
        <v>990</v>
      </c>
      <c r="B978" t="str">
        <f>HYPERLINK("https://www.suredividend.com/sure-analysis-research-database/","Magnolia Oil &amp; Gas Corp")</f>
        <v>Magnolia Oil &amp; Gas Corp</v>
      </c>
      <c r="C978" t="s">
        <v>1807</v>
      </c>
      <c r="D978">
        <v>22.85</v>
      </c>
      <c r="E978">
        <v>1.5018531420343E-2</v>
      </c>
      <c r="F978" t="s">
        <v>1797</v>
      </c>
      <c r="G978" t="s">
        <v>1797</v>
      </c>
      <c r="H978">
        <v>0.34317344295483898</v>
      </c>
      <c r="I978">
        <v>4293.5989509999999</v>
      </c>
      <c r="J978">
        <v>8.3632142965108471</v>
      </c>
      <c r="K978">
        <v>0.1271012751684589</v>
      </c>
      <c r="L978">
        <v>1.120218435342123</v>
      </c>
      <c r="M978">
        <v>27.13</v>
      </c>
      <c r="N978">
        <v>18.52</v>
      </c>
    </row>
    <row r="979" spans="1:14" x14ac:dyDescent="0.25">
      <c r="A979" s="1" t="s">
        <v>991</v>
      </c>
      <c r="B979" t="str">
        <f>HYPERLINK("https://www.suredividend.com/sure-analysis-research-database/","MI Homes Inc.")</f>
        <v>MI Homes Inc.</v>
      </c>
      <c r="C979" t="s">
        <v>1801</v>
      </c>
      <c r="D979">
        <v>94.8</v>
      </c>
      <c r="E979">
        <v>0</v>
      </c>
      <c r="F979" t="s">
        <v>1797</v>
      </c>
      <c r="G979" t="s">
        <v>1797</v>
      </c>
      <c r="H979">
        <v>0</v>
      </c>
      <c r="I979">
        <v>2638.2286370000002</v>
      </c>
      <c r="J979">
        <v>5.378892910181496</v>
      </c>
      <c r="K979">
        <v>0</v>
      </c>
      <c r="L979">
        <v>1.433316027405555</v>
      </c>
      <c r="M979">
        <v>101.62</v>
      </c>
      <c r="N979">
        <v>38.85</v>
      </c>
    </row>
    <row r="980" spans="1:14" x14ac:dyDescent="0.25">
      <c r="A980" s="1" t="s">
        <v>992</v>
      </c>
      <c r="B980" t="str">
        <f>HYPERLINK("https://www.suredividend.com/sure-analysis-research-database/","Mirion Technologies Inc.")</f>
        <v>Mirion Technologies Inc.</v>
      </c>
      <c r="C980" t="s">
        <v>1797</v>
      </c>
      <c r="D980">
        <v>8.19</v>
      </c>
      <c r="E980">
        <v>0</v>
      </c>
      <c r="F980" t="s">
        <v>1797</v>
      </c>
      <c r="G980" t="s">
        <v>1797</v>
      </c>
      <c r="H980">
        <v>0</v>
      </c>
      <c r="I980">
        <v>1784.9557010000001</v>
      </c>
      <c r="J980" t="s">
        <v>1797</v>
      </c>
      <c r="K980">
        <v>0</v>
      </c>
      <c r="L980">
        <v>1.2299201995357181</v>
      </c>
      <c r="M980">
        <v>9.5299999999999994</v>
      </c>
      <c r="N980">
        <v>5.59</v>
      </c>
    </row>
    <row r="981" spans="1:14" x14ac:dyDescent="0.25">
      <c r="A981" s="1" t="s">
        <v>993</v>
      </c>
      <c r="B981" t="str">
        <f>HYPERLINK("https://www.suredividend.com/sure-analysis-research-database/","Mirum Pharmaceuticals Inc")</f>
        <v>Mirum Pharmaceuticals Inc</v>
      </c>
      <c r="C981" t="s">
        <v>1802</v>
      </c>
      <c r="D981">
        <v>30</v>
      </c>
      <c r="E981">
        <v>0</v>
      </c>
      <c r="F981" t="s">
        <v>1797</v>
      </c>
      <c r="G981" t="s">
        <v>1797</v>
      </c>
      <c r="H981">
        <v>0</v>
      </c>
      <c r="I981">
        <v>1148.9392499999999</v>
      </c>
      <c r="J981" t="s">
        <v>1797</v>
      </c>
      <c r="K981">
        <v>0</v>
      </c>
      <c r="L981">
        <v>0.67748376265590204</v>
      </c>
      <c r="M981">
        <v>33.39</v>
      </c>
      <c r="N981">
        <v>17.489999999999998</v>
      </c>
    </row>
    <row r="982" spans="1:14" x14ac:dyDescent="0.25">
      <c r="A982" s="1" t="s">
        <v>994</v>
      </c>
      <c r="B982" t="str">
        <f>HYPERLINK("https://www.suredividend.com/sure-analysis-research-database/","Mitek Systems Inc")</f>
        <v>Mitek Systems Inc</v>
      </c>
      <c r="C982" t="s">
        <v>1803</v>
      </c>
      <c r="D982">
        <v>10.73</v>
      </c>
      <c r="E982">
        <v>0</v>
      </c>
      <c r="F982" t="s">
        <v>1797</v>
      </c>
      <c r="G982" t="s">
        <v>1797</v>
      </c>
      <c r="H982">
        <v>0</v>
      </c>
      <c r="I982">
        <v>489.17613999999998</v>
      </c>
      <c r="J982">
        <v>64.74866178027797</v>
      </c>
      <c r="K982">
        <v>0</v>
      </c>
      <c r="L982">
        <v>1.0911080428875599</v>
      </c>
      <c r="M982">
        <v>13.98</v>
      </c>
      <c r="N982">
        <v>8.6</v>
      </c>
    </row>
    <row r="983" spans="1:14" x14ac:dyDescent="0.25">
      <c r="A983" s="1" t="s">
        <v>995</v>
      </c>
      <c r="B983" t="str">
        <f>HYPERLINK("https://www.suredividend.com/sure-analysis-research-database/","Markforged Holding Corporation")</f>
        <v>Markforged Holding Corporation</v>
      </c>
      <c r="C983" t="s">
        <v>1797</v>
      </c>
      <c r="D983">
        <v>0.75940000000000007</v>
      </c>
      <c r="E983">
        <v>0</v>
      </c>
      <c r="F983" t="s">
        <v>1797</v>
      </c>
      <c r="G983" t="s">
        <v>1797</v>
      </c>
      <c r="H983">
        <v>0</v>
      </c>
      <c r="I983">
        <v>149.84560300000001</v>
      </c>
      <c r="J983" t="s">
        <v>1797</v>
      </c>
      <c r="K983">
        <v>0</v>
      </c>
      <c r="L983">
        <v>1.908588659293164</v>
      </c>
      <c r="M983">
        <v>2.2999999999999998</v>
      </c>
      <c r="N983">
        <v>0.62</v>
      </c>
    </row>
    <row r="984" spans="1:14" x14ac:dyDescent="0.25">
      <c r="A984" s="1" t="s">
        <v>996</v>
      </c>
      <c r="B984" t="str">
        <f>HYPERLINK("https://www.suredividend.com/sure-analysis-research-database/","Marketwise Inc")</f>
        <v>Marketwise Inc</v>
      </c>
      <c r="C984" t="s">
        <v>1797</v>
      </c>
      <c r="D984">
        <v>2.38</v>
      </c>
      <c r="E984">
        <v>8.3723133400440009E-3</v>
      </c>
      <c r="F984" t="s">
        <v>1797</v>
      </c>
      <c r="G984" t="s">
        <v>1797</v>
      </c>
      <c r="H984">
        <v>1.9926105749307001E-2</v>
      </c>
      <c r="I984">
        <v>89.204035000000005</v>
      </c>
      <c r="J984">
        <v>49.918318444320093</v>
      </c>
      <c r="K984">
        <v>0.32087126810478261</v>
      </c>
      <c r="L984">
        <v>1.2681050802805951</v>
      </c>
      <c r="M984">
        <v>2.83</v>
      </c>
      <c r="N984">
        <v>1.23</v>
      </c>
    </row>
    <row r="985" spans="1:14" x14ac:dyDescent="0.25">
      <c r="A985" s="1" t="s">
        <v>997</v>
      </c>
      <c r="B985" t="str">
        <f>HYPERLINK("https://www.suredividend.com/sure-analysis-research-database/","MoneyLion Inc")</f>
        <v>MoneyLion Inc</v>
      </c>
      <c r="C985" t="s">
        <v>1797</v>
      </c>
      <c r="D985">
        <v>23.97</v>
      </c>
      <c r="E985">
        <v>0</v>
      </c>
      <c r="F985" t="s">
        <v>1797</v>
      </c>
      <c r="G985" t="s">
        <v>1797</v>
      </c>
      <c r="H985">
        <v>0</v>
      </c>
      <c r="I985">
        <v>243.66854499999999</v>
      </c>
      <c r="J985" t="s">
        <v>1797</v>
      </c>
      <c r="K985">
        <v>0</v>
      </c>
      <c r="L985">
        <v>1.5913574476146699</v>
      </c>
      <c r="M985">
        <v>32.1</v>
      </c>
      <c r="N985">
        <v>7.5</v>
      </c>
    </row>
    <row r="986" spans="1:14" x14ac:dyDescent="0.25">
      <c r="A986" s="1" t="s">
        <v>998</v>
      </c>
      <c r="B986" t="str">
        <f>HYPERLINK("https://www.suredividend.com/sure-analysis-research-database/","Mesa Laboratories, Inc.")</f>
        <v>Mesa Laboratories, Inc.</v>
      </c>
      <c r="C986" t="s">
        <v>1803</v>
      </c>
      <c r="D986">
        <v>93.22</v>
      </c>
      <c r="E986">
        <v>6.8442899668400003E-3</v>
      </c>
      <c r="F986" t="s">
        <v>1797</v>
      </c>
      <c r="G986" t="s">
        <v>1797</v>
      </c>
      <c r="H986">
        <v>0.63802471070885203</v>
      </c>
      <c r="I986">
        <v>501.923607</v>
      </c>
      <c r="J986">
        <v>275.93381364485981</v>
      </c>
      <c r="K986">
        <v>1.889323987885259</v>
      </c>
      <c r="L986">
        <v>0.96531278774055607</v>
      </c>
      <c r="M986">
        <v>205.23</v>
      </c>
      <c r="N986">
        <v>87.21</v>
      </c>
    </row>
    <row r="987" spans="1:14" x14ac:dyDescent="0.25">
      <c r="A987" s="1" t="s">
        <v>999</v>
      </c>
      <c r="B987" t="str">
        <f>HYPERLINK("https://www.suredividend.com/sure-analysis-MLI/","Mueller Industries, Inc.")</f>
        <v>Mueller Industries, Inc.</v>
      </c>
      <c r="C987" t="s">
        <v>1798</v>
      </c>
      <c r="D987">
        <v>39.67</v>
      </c>
      <c r="E987">
        <v>1.5124779430299971E-2</v>
      </c>
      <c r="F987">
        <v>0.20000000000000021</v>
      </c>
      <c r="G987">
        <v>0.2457309396155174</v>
      </c>
      <c r="H987">
        <v>0.5717276752329471</v>
      </c>
      <c r="I987">
        <v>4503.711695</v>
      </c>
      <c r="J987">
        <v>7.234122854159807</v>
      </c>
      <c r="K987">
        <v>0.1041398315542709</v>
      </c>
      <c r="L987">
        <v>1.1502243866303741</v>
      </c>
      <c r="M987">
        <v>45.79</v>
      </c>
      <c r="N987">
        <v>28.73</v>
      </c>
    </row>
    <row r="988" spans="1:14" x14ac:dyDescent="0.25">
      <c r="A988" s="1" t="s">
        <v>1000</v>
      </c>
      <c r="B988" t="str">
        <f>HYPERLINK("https://www.suredividend.com/sure-analysis-research-database/","MillerKnoll Inc")</f>
        <v>MillerKnoll Inc</v>
      </c>
      <c r="C988" t="s">
        <v>1797</v>
      </c>
      <c r="D988">
        <v>24.9</v>
      </c>
      <c r="E988">
        <v>2.9220120872062001E-2</v>
      </c>
      <c r="F988" t="s">
        <v>1797</v>
      </c>
      <c r="G988" t="s">
        <v>1797</v>
      </c>
      <c r="H988">
        <v>0.72758100971434903</v>
      </c>
      <c r="I988">
        <v>1829.736834</v>
      </c>
      <c r="J988">
        <v>55.446570736363633</v>
      </c>
      <c r="K988">
        <v>1.6729846164965489</v>
      </c>
      <c r="L988">
        <v>1.227082343336553</v>
      </c>
      <c r="M988">
        <v>26.2</v>
      </c>
      <c r="N988">
        <v>12.78</v>
      </c>
    </row>
    <row r="989" spans="1:14" x14ac:dyDescent="0.25">
      <c r="A989" s="1" t="s">
        <v>1001</v>
      </c>
      <c r="B989" t="str">
        <f>HYPERLINK("https://www.suredividend.com/sure-analysis-research-database/","MeridianLink Inc")</f>
        <v>MeridianLink Inc</v>
      </c>
      <c r="C989" t="s">
        <v>1797</v>
      </c>
      <c r="D989">
        <v>17.66</v>
      </c>
      <c r="E989">
        <v>0</v>
      </c>
      <c r="F989" t="s">
        <v>1797</v>
      </c>
      <c r="G989" t="s">
        <v>1797</v>
      </c>
      <c r="H989">
        <v>0</v>
      </c>
      <c r="I989">
        <v>1437.6708249999999</v>
      </c>
      <c r="J989" t="s">
        <v>1797</v>
      </c>
      <c r="K989">
        <v>0</v>
      </c>
      <c r="L989">
        <v>1.1032623639651939</v>
      </c>
      <c r="M989">
        <v>22.69</v>
      </c>
      <c r="N989">
        <v>12.49</v>
      </c>
    </row>
    <row r="990" spans="1:14" x14ac:dyDescent="0.25">
      <c r="A990" s="1" t="s">
        <v>1002</v>
      </c>
      <c r="B990" t="str">
        <f>HYPERLINK("https://www.suredividend.com/sure-analysis-MLR/","Miller Industries Inc.")</f>
        <v>Miller Industries Inc.</v>
      </c>
      <c r="C990" t="s">
        <v>1801</v>
      </c>
      <c r="D990">
        <v>37.200000000000003</v>
      </c>
      <c r="E990">
        <v>1.935483870967742E-2</v>
      </c>
      <c r="F990">
        <v>0</v>
      </c>
      <c r="G990">
        <v>0</v>
      </c>
      <c r="H990">
        <v>0.714728663850414</v>
      </c>
      <c r="I990">
        <v>425.77780799999999</v>
      </c>
      <c r="J990">
        <v>0</v>
      </c>
      <c r="K990" t="s">
        <v>1797</v>
      </c>
      <c r="L990">
        <v>0.65426330936668609</v>
      </c>
      <c r="M990">
        <v>41.32</v>
      </c>
      <c r="N990">
        <v>24.81</v>
      </c>
    </row>
    <row r="991" spans="1:14" x14ac:dyDescent="0.25">
      <c r="A991" s="1" t="s">
        <v>1003</v>
      </c>
      <c r="B991" t="str">
        <f>HYPERLINK("https://www.suredividend.com/sure-analysis-research-database/","Mineralys Therapeutics Inc")</f>
        <v>Mineralys Therapeutics Inc</v>
      </c>
      <c r="C991" t="s">
        <v>1797</v>
      </c>
      <c r="D991">
        <v>8.31</v>
      </c>
      <c r="E991">
        <v>0</v>
      </c>
      <c r="F991" t="s">
        <v>1797</v>
      </c>
      <c r="G991" t="s">
        <v>1797</v>
      </c>
      <c r="H991">
        <v>0</v>
      </c>
      <c r="I991">
        <v>339.51878599999998</v>
      </c>
      <c r="J991">
        <v>0</v>
      </c>
      <c r="K991" t="s">
        <v>1797</v>
      </c>
      <c r="L991">
        <v>0.75350717982095405</v>
      </c>
      <c r="M991">
        <v>21.98</v>
      </c>
      <c r="N991">
        <v>7.44</v>
      </c>
    </row>
    <row r="992" spans="1:14" x14ac:dyDescent="0.25">
      <c r="A992" s="1" t="s">
        <v>1004</v>
      </c>
      <c r="B992" t="str">
        <f>HYPERLINK("https://www.suredividend.com/sure-analysis-research-database/","Marcus &amp; Millichap Inc")</f>
        <v>Marcus &amp; Millichap Inc</v>
      </c>
      <c r="C992" t="s">
        <v>1799</v>
      </c>
      <c r="D992">
        <v>31.75</v>
      </c>
      <c r="E992">
        <v>1.5685089925556998E-2</v>
      </c>
      <c r="F992" t="s">
        <v>1797</v>
      </c>
      <c r="G992" t="s">
        <v>1797</v>
      </c>
      <c r="H992">
        <v>0.49800160513643599</v>
      </c>
      <c r="I992">
        <v>1221.123891</v>
      </c>
      <c r="J992">
        <v>82.782448054369183</v>
      </c>
      <c r="K992">
        <v>1.330843412978183</v>
      </c>
      <c r="L992">
        <v>1.225785235770896</v>
      </c>
      <c r="M992">
        <v>38.83</v>
      </c>
      <c r="N992">
        <v>26.81</v>
      </c>
    </row>
    <row r="993" spans="1:14" x14ac:dyDescent="0.25">
      <c r="A993" s="1" t="s">
        <v>1005</v>
      </c>
      <c r="B993" t="str">
        <f>HYPERLINK("https://www.suredividend.com/sure-analysis-MMS/","Maximus Inc.")</f>
        <v>Maximus Inc.</v>
      </c>
      <c r="C993" t="s">
        <v>1798</v>
      </c>
      <c r="D993">
        <v>77.13</v>
      </c>
      <c r="E993">
        <v>1.555814858031894E-2</v>
      </c>
      <c r="F993">
        <v>0</v>
      </c>
      <c r="G993">
        <v>2.292455662603032E-2</v>
      </c>
      <c r="H993">
        <v>1.1141610039630321</v>
      </c>
      <c r="I993">
        <v>4688.2406879999999</v>
      </c>
      <c r="J993">
        <v>27.302770831154309</v>
      </c>
      <c r="K993">
        <v>0.3979146442725115</v>
      </c>
      <c r="L993">
        <v>0.83961338950593112</v>
      </c>
      <c r="M993">
        <v>89.38</v>
      </c>
      <c r="N993">
        <v>56.96</v>
      </c>
    </row>
    <row r="994" spans="1:14" x14ac:dyDescent="0.25">
      <c r="A994" s="1" t="s">
        <v>1006</v>
      </c>
      <c r="B994" t="str">
        <f>HYPERLINK("https://www.suredividend.com/sure-analysis-research-database/","Merit Medical Systems, Inc.")</f>
        <v>Merit Medical Systems, Inc.</v>
      </c>
      <c r="C994" t="s">
        <v>1802</v>
      </c>
      <c r="D994">
        <v>71.849999999999994</v>
      </c>
      <c r="E994">
        <v>0</v>
      </c>
      <c r="F994" t="s">
        <v>1797</v>
      </c>
      <c r="G994" t="s">
        <v>1797</v>
      </c>
      <c r="H994">
        <v>0</v>
      </c>
      <c r="I994">
        <v>4149.3706949999996</v>
      </c>
      <c r="J994">
        <v>41.417912167733043</v>
      </c>
      <c r="K994">
        <v>0</v>
      </c>
      <c r="L994">
        <v>0.72735505400236911</v>
      </c>
      <c r="M994">
        <v>85.62</v>
      </c>
      <c r="N994">
        <v>62.58</v>
      </c>
    </row>
    <row r="995" spans="1:14" x14ac:dyDescent="0.25">
      <c r="A995" s="1" t="s">
        <v>1007</v>
      </c>
      <c r="B995" t="str">
        <f>HYPERLINK("https://www.suredividend.com/sure-analysis-research-database/","Mannkind Corp")</f>
        <v>Mannkind Corp</v>
      </c>
      <c r="C995" t="s">
        <v>1802</v>
      </c>
      <c r="D995">
        <v>3.96</v>
      </c>
      <c r="E995">
        <v>0</v>
      </c>
      <c r="F995" t="s">
        <v>1797</v>
      </c>
      <c r="G995" t="s">
        <v>1797</v>
      </c>
      <c r="H995">
        <v>0</v>
      </c>
      <c r="I995">
        <v>1062.6865210000001</v>
      </c>
      <c r="J995" t="s">
        <v>1797</v>
      </c>
      <c r="K995">
        <v>0</v>
      </c>
      <c r="L995">
        <v>1.1811286311084761</v>
      </c>
      <c r="M995">
        <v>5.75</v>
      </c>
      <c r="N995">
        <v>3.51</v>
      </c>
    </row>
    <row r="996" spans="1:14" x14ac:dyDescent="0.25">
      <c r="A996" s="1" t="s">
        <v>1008</v>
      </c>
      <c r="B996" t="str">
        <f>HYPERLINK("https://www.suredividend.com/sure-analysis-research-database/","Monro Inc")</f>
        <v>Monro Inc</v>
      </c>
      <c r="C996" t="s">
        <v>1801</v>
      </c>
      <c r="D996">
        <v>26.84</v>
      </c>
      <c r="E996">
        <v>4.0884946622302E-2</v>
      </c>
      <c r="F996">
        <v>0</v>
      </c>
      <c r="G996">
        <v>6.9610375725068785E-2</v>
      </c>
      <c r="H996">
        <v>1.097351967342594</v>
      </c>
      <c r="I996">
        <v>844.00280299999997</v>
      </c>
      <c r="J996">
        <v>24.519996592777659</v>
      </c>
      <c r="K996">
        <v>1.0255625863014901</v>
      </c>
      <c r="L996">
        <v>0.62410475811928801</v>
      </c>
      <c r="M996">
        <v>53.75</v>
      </c>
      <c r="N996">
        <v>22.72</v>
      </c>
    </row>
    <row r="997" spans="1:14" x14ac:dyDescent="0.25">
      <c r="A997" s="1" t="s">
        <v>1009</v>
      </c>
      <c r="B997" t="str">
        <f>HYPERLINK("https://www.suredividend.com/sure-analysis-research-database/","Montauk Renewables Inc")</f>
        <v>Montauk Renewables Inc</v>
      </c>
      <c r="C997" t="s">
        <v>1797</v>
      </c>
      <c r="D997">
        <v>10.78</v>
      </c>
      <c r="E997">
        <v>0</v>
      </c>
      <c r="F997" t="s">
        <v>1797</v>
      </c>
      <c r="G997" t="s">
        <v>1797</v>
      </c>
      <c r="H997">
        <v>0</v>
      </c>
      <c r="I997">
        <v>1548.673331</v>
      </c>
      <c r="J997">
        <v>107.75628519482321</v>
      </c>
      <c r="K997">
        <v>0</v>
      </c>
      <c r="L997">
        <v>0.98864841618017407</v>
      </c>
      <c r="M997">
        <v>14.31</v>
      </c>
      <c r="N997">
        <v>5.46</v>
      </c>
    </row>
    <row r="998" spans="1:14" x14ac:dyDescent="0.25">
      <c r="A998" s="1" t="s">
        <v>1010</v>
      </c>
      <c r="B998" t="str">
        <f>HYPERLINK("https://www.suredividend.com/sure-analysis-research-database/","Momentus Inc")</f>
        <v>Momentus Inc</v>
      </c>
      <c r="C998" t="s">
        <v>1797</v>
      </c>
      <c r="D998">
        <v>3.82</v>
      </c>
      <c r="E998">
        <v>0</v>
      </c>
      <c r="F998" t="s">
        <v>1797</v>
      </c>
      <c r="G998" t="s">
        <v>1797</v>
      </c>
      <c r="H998">
        <v>0</v>
      </c>
      <c r="I998">
        <v>9.18323</v>
      </c>
      <c r="J998" t="s">
        <v>1797</v>
      </c>
      <c r="K998">
        <v>0</v>
      </c>
      <c r="L998">
        <v>2.281357067666363</v>
      </c>
      <c r="M998">
        <v>79.5</v>
      </c>
      <c r="N998">
        <v>1.03</v>
      </c>
    </row>
    <row r="999" spans="1:14" x14ac:dyDescent="0.25">
      <c r="A999" s="1" t="s">
        <v>1011</v>
      </c>
      <c r="B999" t="str">
        <f>HYPERLINK("https://www.suredividend.com/sure-analysis-research-database/","Modine Manufacturing Co.")</f>
        <v>Modine Manufacturing Co.</v>
      </c>
      <c r="C999" t="s">
        <v>1801</v>
      </c>
      <c r="D999">
        <v>42.15</v>
      </c>
      <c r="E999">
        <v>0</v>
      </c>
      <c r="F999" t="s">
        <v>1797</v>
      </c>
      <c r="G999" t="s">
        <v>1797</v>
      </c>
      <c r="H999">
        <v>0</v>
      </c>
      <c r="I999">
        <v>2205.9438540000001</v>
      </c>
      <c r="J999">
        <v>10.724082907146331</v>
      </c>
      <c r="K999">
        <v>0</v>
      </c>
      <c r="L999">
        <v>1.3903578201999169</v>
      </c>
      <c r="M999">
        <v>51.76</v>
      </c>
      <c r="N999">
        <v>18.8</v>
      </c>
    </row>
    <row r="1000" spans="1:14" x14ac:dyDescent="0.25">
      <c r="A1000" s="1" t="s">
        <v>1012</v>
      </c>
      <c r="B1000" t="str">
        <f>HYPERLINK("https://www.suredividend.com/sure-analysis-research-database/","Topgolf Callaway Brands Corp")</f>
        <v>Topgolf Callaway Brands Corp</v>
      </c>
      <c r="C1000" t="s">
        <v>1797</v>
      </c>
      <c r="D1000">
        <v>13.02</v>
      </c>
      <c r="E1000">
        <v>0</v>
      </c>
      <c r="F1000" t="s">
        <v>1797</v>
      </c>
      <c r="G1000" t="s">
        <v>1797</v>
      </c>
      <c r="H1000">
        <v>0</v>
      </c>
      <c r="I1000">
        <v>2414.8914530000002</v>
      </c>
      <c r="J1000">
        <v>22.318774978558221</v>
      </c>
      <c r="K1000">
        <v>0</v>
      </c>
      <c r="L1000">
        <v>1.156471213024399</v>
      </c>
      <c r="M1000">
        <v>25.96</v>
      </c>
      <c r="N1000">
        <v>11.59</v>
      </c>
    </row>
    <row r="1001" spans="1:14" x14ac:dyDescent="0.25">
      <c r="A1001" s="1" t="s">
        <v>1013</v>
      </c>
      <c r="B1001" t="str">
        <f>HYPERLINK("https://www.suredividend.com/sure-analysis-research-database/","Model N Inc")</f>
        <v>Model N Inc</v>
      </c>
      <c r="C1001" t="s">
        <v>1803</v>
      </c>
      <c r="D1001">
        <v>25.11</v>
      </c>
      <c r="E1001">
        <v>0</v>
      </c>
      <c r="F1001" t="s">
        <v>1797</v>
      </c>
      <c r="G1001" t="s">
        <v>1797</v>
      </c>
      <c r="H1001">
        <v>0</v>
      </c>
      <c r="I1001">
        <v>965.17818</v>
      </c>
      <c r="J1001">
        <v>0</v>
      </c>
      <c r="K1001" t="s">
        <v>1797</v>
      </c>
      <c r="L1001">
        <v>0.58639617449973902</v>
      </c>
      <c r="M1001">
        <v>43.18</v>
      </c>
      <c r="N1001">
        <v>22.67</v>
      </c>
    </row>
    <row r="1002" spans="1:14" x14ac:dyDescent="0.25">
      <c r="A1002" s="1" t="s">
        <v>1014</v>
      </c>
      <c r="B1002" t="str">
        <f>HYPERLINK("https://www.suredividend.com/sure-analysis-research-database/","ModivCare Inc")</f>
        <v>ModivCare Inc</v>
      </c>
      <c r="C1002" t="s">
        <v>1797</v>
      </c>
      <c r="D1002">
        <v>47.64</v>
      </c>
      <c r="E1002">
        <v>0</v>
      </c>
      <c r="F1002" t="s">
        <v>1797</v>
      </c>
      <c r="G1002" t="s">
        <v>1797</v>
      </c>
      <c r="H1002">
        <v>0</v>
      </c>
      <c r="I1002">
        <v>675.59498799999994</v>
      </c>
      <c r="J1002" t="s">
        <v>1797</v>
      </c>
      <c r="K1002">
        <v>0</v>
      </c>
      <c r="L1002">
        <v>0.99271036262021906</v>
      </c>
      <c r="M1002">
        <v>113.53</v>
      </c>
      <c r="N1002">
        <v>26.05</v>
      </c>
    </row>
    <row r="1003" spans="1:14" x14ac:dyDescent="0.25">
      <c r="A1003" s="1" t="s">
        <v>1015</v>
      </c>
      <c r="B1003" t="str">
        <f>HYPERLINK("https://www.suredividend.com/sure-analysis-research-database/","MidWestOne Financial Group Inc")</f>
        <v>MidWestOne Financial Group Inc</v>
      </c>
      <c r="C1003" t="s">
        <v>1800</v>
      </c>
      <c r="D1003">
        <v>21.13</v>
      </c>
      <c r="E1003">
        <v>4.4297658633896002E-2</v>
      </c>
      <c r="F1003">
        <v>2.105263157894743E-2</v>
      </c>
      <c r="G1003">
        <v>4.4564895075664079E-2</v>
      </c>
      <c r="H1003">
        <v>0.93600952693422212</v>
      </c>
      <c r="I1003">
        <v>331.426649</v>
      </c>
      <c r="J1003">
        <v>9.7104289059798994</v>
      </c>
      <c r="K1003">
        <v>0.43134079582222218</v>
      </c>
      <c r="L1003">
        <v>0.90521543929572412</v>
      </c>
      <c r="M1003">
        <v>33.450000000000003</v>
      </c>
      <c r="N1003">
        <v>16.98</v>
      </c>
    </row>
    <row r="1004" spans="1:14" x14ac:dyDescent="0.25">
      <c r="A1004" s="1" t="s">
        <v>1016</v>
      </c>
      <c r="B1004" t="str">
        <f>HYPERLINK("https://www.suredividend.com/sure-analysis-research-database/","Morphic Holding Inc")</f>
        <v>Morphic Holding Inc</v>
      </c>
      <c r="C1004" t="s">
        <v>1802</v>
      </c>
      <c r="D1004">
        <v>22.57</v>
      </c>
      <c r="E1004">
        <v>0</v>
      </c>
      <c r="F1004" t="s">
        <v>1797</v>
      </c>
      <c r="G1004" t="s">
        <v>1797</v>
      </c>
      <c r="H1004">
        <v>0</v>
      </c>
      <c r="I1004">
        <v>1081.6112760000001</v>
      </c>
      <c r="J1004" t="s">
        <v>1797</v>
      </c>
      <c r="K1004">
        <v>0</v>
      </c>
      <c r="L1004">
        <v>1.230861350745599</v>
      </c>
      <c r="M1004">
        <v>63.08</v>
      </c>
      <c r="N1004">
        <v>19.350000000000001</v>
      </c>
    </row>
    <row r="1005" spans="1:14" x14ac:dyDescent="0.25">
      <c r="A1005" s="1" t="s">
        <v>1017</v>
      </c>
      <c r="B1005" t="str">
        <f>HYPERLINK("https://www.suredividend.com/sure-analysis-research-database/","Movado Group, Inc.")</f>
        <v>Movado Group, Inc.</v>
      </c>
      <c r="C1005" t="s">
        <v>1801</v>
      </c>
      <c r="D1005">
        <v>29.24</v>
      </c>
      <c r="E1005">
        <v>4.6967349665424013E-2</v>
      </c>
      <c r="F1005" t="s">
        <v>1797</v>
      </c>
      <c r="G1005" t="s">
        <v>1797</v>
      </c>
      <c r="H1005">
        <v>1.373325304217025</v>
      </c>
      <c r="I1005">
        <v>457.98825499999998</v>
      </c>
      <c r="J1005">
        <v>6.6193795909754432</v>
      </c>
      <c r="K1005">
        <v>0.45027059154656562</v>
      </c>
      <c r="L1005">
        <v>0.92770233339748909</v>
      </c>
      <c r="M1005">
        <v>35.869999999999997</v>
      </c>
      <c r="N1005">
        <v>23.62</v>
      </c>
    </row>
    <row r="1006" spans="1:14" x14ac:dyDescent="0.25">
      <c r="A1006" s="1" t="s">
        <v>1018</v>
      </c>
      <c r="B1006" t="str">
        <f>HYPERLINK("https://www.suredividend.com/sure-analysis-research-database/","Motorcar Parts of America Inc.")</f>
        <v>Motorcar Parts of America Inc.</v>
      </c>
      <c r="C1006" t="s">
        <v>1801</v>
      </c>
      <c r="D1006">
        <v>7.67</v>
      </c>
      <c r="E1006">
        <v>0</v>
      </c>
      <c r="F1006" t="s">
        <v>1797</v>
      </c>
      <c r="G1006" t="s">
        <v>1797</v>
      </c>
      <c r="H1006">
        <v>0</v>
      </c>
      <c r="I1006">
        <v>150.29637299999999</v>
      </c>
      <c r="J1006" t="s">
        <v>1797</v>
      </c>
      <c r="K1006">
        <v>0</v>
      </c>
      <c r="L1006">
        <v>1.464594099382873</v>
      </c>
      <c r="M1006">
        <v>19.93</v>
      </c>
      <c r="N1006">
        <v>4.26</v>
      </c>
    </row>
    <row r="1007" spans="1:14" x14ac:dyDescent="0.25">
      <c r="A1007" s="1" t="s">
        <v>1019</v>
      </c>
      <c r="B1007" t="str">
        <f>HYPERLINK("https://www.suredividend.com/sure-analysis-research-database/","Mid Penn Bancorp, Inc.")</f>
        <v>Mid Penn Bancorp, Inc.</v>
      </c>
      <c r="C1007" t="s">
        <v>1800</v>
      </c>
      <c r="D1007">
        <v>20.29</v>
      </c>
      <c r="E1007">
        <v>3.8723320678911002E-2</v>
      </c>
      <c r="F1007">
        <v>0</v>
      </c>
      <c r="G1007">
        <v>2.1295687600135119E-2</v>
      </c>
      <c r="H1007">
        <v>0.78569617657510404</v>
      </c>
      <c r="I1007">
        <v>336.26974100000001</v>
      </c>
      <c r="J1007">
        <v>0</v>
      </c>
      <c r="K1007" t="s">
        <v>1797</v>
      </c>
      <c r="L1007">
        <v>0.74745464845549403</v>
      </c>
      <c r="M1007">
        <v>33.35</v>
      </c>
      <c r="N1007">
        <v>17.73</v>
      </c>
    </row>
    <row r="1008" spans="1:14" x14ac:dyDescent="0.25">
      <c r="A1008" s="1" t="s">
        <v>1020</v>
      </c>
      <c r="B1008" t="str">
        <f>HYPERLINK("https://www.suredividend.com/sure-analysis-research-database/","MultiPlan Corp")</f>
        <v>MultiPlan Corp</v>
      </c>
      <c r="C1008" t="s">
        <v>1797</v>
      </c>
      <c r="D1008">
        <v>1.65</v>
      </c>
      <c r="E1008">
        <v>0</v>
      </c>
      <c r="F1008" t="s">
        <v>1797</v>
      </c>
      <c r="G1008" t="s">
        <v>1797</v>
      </c>
      <c r="H1008">
        <v>0</v>
      </c>
      <c r="I1008">
        <v>1071.6433119999999</v>
      </c>
      <c r="J1008" t="s">
        <v>1797</v>
      </c>
      <c r="K1008">
        <v>0</v>
      </c>
      <c r="L1008">
        <v>1.595083288861433</v>
      </c>
      <c r="M1008">
        <v>2.4700000000000002</v>
      </c>
      <c r="N1008">
        <v>0.61040000000000005</v>
      </c>
    </row>
    <row r="1009" spans="1:14" x14ac:dyDescent="0.25">
      <c r="A1009" s="1" t="s">
        <v>1021</v>
      </c>
      <c r="B1009" t="str">
        <f>HYPERLINK("https://www.suredividend.com/sure-analysis-research-database/","Marine Products Corp")</f>
        <v>Marine Products Corp</v>
      </c>
      <c r="C1009" t="s">
        <v>1801</v>
      </c>
      <c r="D1009">
        <v>10.19</v>
      </c>
      <c r="E1009">
        <v>5.4202132410197001E-2</v>
      </c>
      <c r="F1009">
        <v>0.16666666666666671</v>
      </c>
      <c r="G1009">
        <v>3.1310306477545069E-2</v>
      </c>
      <c r="H1009">
        <v>0.55231972925990802</v>
      </c>
      <c r="I1009">
        <v>351.21593799999999</v>
      </c>
      <c r="J1009">
        <v>7.4710899370346731</v>
      </c>
      <c r="K1009">
        <v>0.39451409232850582</v>
      </c>
      <c r="L1009">
        <v>0.96093647211736311</v>
      </c>
      <c r="M1009">
        <v>17.809999999999999</v>
      </c>
      <c r="N1009">
        <v>9.36</v>
      </c>
    </row>
    <row r="1010" spans="1:14" x14ac:dyDescent="0.25">
      <c r="A1010" s="1" t="s">
        <v>1022</v>
      </c>
      <c r="B1010" t="str">
        <f>HYPERLINK("https://www.suredividend.com/sure-analysis-research-database/","Marqeta Inc")</f>
        <v>Marqeta Inc</v>
      </c>
      <c r="C1010" t="s">
        <v>1797</v>
      </c>
      <c r="D1010">
        <v>5.31</v>
      </c>
      <c r="E1010">
        <v>0</v>
      </c>
      <c r="F1010" t="s">
        <v>1797</v>
      </c>
      <c r="G1010" t="s">
        <v>1797</v>
      </c>
      <c r="H1010">
        <v>0</v>
      </c>
      <c r="I1010">
        <v>2527.1776799999998</v>
      </c>
      <c r="J1010" t="s">
        <v>1797</v>
      </c>
      <c r="K1010">
        <v>0</v>
      </c>
      <c r="L1010">
        <v>1.992322178152677</v>
      </c>
      <c r="M1010">
        <v>8</v>
      </c>
      <c r="N1010">
        <v>3.46</v>
      </c>
    </row>
    <row r="1011" spans="1:14" x14ac:dyDescent="0.25">
      <c r="A1011" s="1" t="s">
        <v>1023</v>
      </c>
      <c r="B1011" t="str">
        <f>HYPERLINK("https://www.suredividend.com/sure-analysis-research-database/","MRC Global Inc")</f>
        <v>MRC Global Inc</v>
      </c>
      <c r="C1011" t="s">
        <v>1807</v>
      </c>
      <c r="D1011">
        <v>11.32</v>
      </c>
      <c r="E1011">
        <v>0</v>
      </c>
      <c r="F1011" t="s">
        <v>1797</v>
      </c>
      <c r="G1011" t="s">
        <v>1797</v>
      </c>
      <c r="H1011">
        <v>0</v>
      </c>
      <c r="I1011">
        <v>951.01416500000005</v>
      </c>
      <c r="J1011">
        <v>12.038153982784809</v>
      </c>
      <c r="K1011">
        <v>0</v>
      </c>
      <c r="L1011">
        <v>1.25808923339117</v>
      </c>
      <c r="M1011">
        <v>13.9</v>
      </c>
      <c r="N1011">
        <v>8.15</v>
      </c>
    </row>
    <row r="1012" spans="1:14" x14ac:dyDescent="0.25">
      <c r="A1012" s="1" t="s">
        <v>1024</v>
      </c>
      <c r="B1012" t="str">
        <f>HYPERLINK("https://www.suredividend.com/sure-analysis-research-database/","Mersana Therapeutics Inc")</f>
        <v>Mersana Therapeutics Inc</v>
      </c>
      <c r="C1012" t="s">
        <v>1802</v>
      </c>
      <c r="D1012">
        <v>1.42</v>
      </c>
      <c r="E1012">
        <v>0</v>
      </c>
      <c r="F1012" t="s">
        <v>1797</v>
      </c>
      <c r="G1012" t="s">
        <v>1797</v>
      </c>
      <c r="H1012">
        <v>0</v>
      </c>
      <c r="I1012">
        <v>171.12035299999999</v>
      </c>
      <c r="J1012" t="s">
        <v>1797</v>
      </c>
      <c r="K1012">
        <v>0</v>
      </c>
      <c r="L1012">
        <v>1.438453597783758</v>
      </c>
      <c r="M1012">
        <v>9.6199999999999992</v>
      </c>
      <c r="N1012">
        <v>0.8014</v>
      </c>
    </row>
    <row r="1013" spans="1:14" x14ac:dyDescent="0.25">
      <c r="A1013" s="1" t="s">
        <v>1025</v>
      </c>
      <c r="B1013" t="str">
        <f>HYPERLINK("https://www.suredividend.com/sure-analysis-research-database/","Marten Transport, Ltd.")</f>
        <v>Marten Transport, Ltd.</v>
      </c>
      <c r="C1013" t="s">
        <v>1798</v>
      </c>
      <c r="D1013">
        <v>18.36</v>
      </c>
      <c r="E1013">
        <v>1.2969935831284999E-2</v>
      </c>
      <c r="F1013">
        <v>0</v>
      </c>
      <c r="G1013">
        <v>-0.37906294328558021</v>
      </c>
      <c r="H1013">
        <v>0.23812802186239601</v>
      </c>
      <c r="I1013">
        <v>1492.6949520000001</v>
      </c>
      <c r="J1013">
        <v>15.624423803383021</v>
      </c>
      <c r="K1013">
        <v>0.2035282238140137</v>
      </c>
      <c r="L1013">
        <v>0.8619384524163981</v>
      </c>
      <c r="M1013">
        <v>23.24</v>
      </c>
      <c r="N1013">
        <v>17.34</v>
      </c>
    </row>
    <row r="1014" spans="1:14" x14ac:dyDescent="0.25">
      <c r="A1014" s="1" t="s">
        <v>1026</v>
      </c>
      <c r="B1014" t="str">
        <f>HYPERLINK("https://www.suredividend.com/sure-analysis-research-database/","Midland States Bancorp Inc")</f>
        <v>Midland States Bancorp Inc</v>
      </c>
      <c r="C1014" t="s">
        <v>1800</v>
      </c>
      <c r="D1014">
        <v>23.14</v>
      </c>
      <c r="E1014">
        <v>4.9803114522919002E-2</v>
      </c>
      <c r="F1014">
        <v>3.4482758620689953E-2</v>
      </c>
      <c r="G1014">
        <v>4.3474648810011729E-2</v>
      </c>
      <c r="H1014">
        <v>1.1524440700603511</v>
      </c>
      <c r="I1014">
        <v>504.36716899999999</v>
      </c>
      <c r="J1014">
        <v>5.9754187302001034</v>
      </c>
      <c r="K1014">
        <v>0.30407495252252009</v>
      </c>
      <c r="L1014">
        <v>0.82808255528606711</v>
      </c>
      <c r="M1014">
        <v>26.77</v>
      </c>
      <c r="N1014">
        <v>17.25</v>
      </c>
    </row>
    <row r="1015" spans="1:14" x14ac:dyDescent="0.25">
      <c r="A1015" s="1" t="s">
        <v>1027</v>
      </c>
      <c r="B1015" t="str">
        <f>HYPERLINK("https://www.suredividend.com/sure-analysis-MSEX/","Middlesex Water Co.")</f>
        <v>Middlesex Water Co.</v>
      </c>
      <c r="C1015" t="s">
        <v>1805</v>
      </c>
      <c r="D1015">
        <v>68.040000000000006</v>
      </c>
      <c r="E1015">
        <v>1.8959435626102292E-2</v>
      </c>
      <c r="F1015">
        <v>7.7586206896551824E-2</v>
      </c>
      <c r="G1015">
        <v>5.4211515856875003E-2</v>
      </c>
      <c r="H1015">
        <v>1.239007510648749</v>
      </c>
      <c r="I1015">
        <v>1207.557454</v>
      </c>
      <c r="J1015">
        <v>32.539947569927243</v>
      </c>
      <c r="K1015">
        <v>0.59282656011901869</v>
      </c>
      <c r="L1015">
        <v>0.76844221872479501</v>
      </c>
      <c r="M1015">
        <v>94.33</v>
      </c>
      <c r="N1015">
        <v>61.67</v>
      </c>
    </row>
    <row r="1016" spans="1:14" x14ac:dyDescent="0.25">
      <c r="A1016" s="1" t="s">
        <v>1028</v>
      </c>
      <c r="B1016" t="str">
        <f>HYPERLINK("https://www.suredividend.com/sure-analysis-research-database/","Madison Square Garden Entertainment Corp.")</f>
        <v>Madison Square Garden Entertainment Corp.</v>
      </c>
      <c r="C1016" t="s">
        <v>1797</v>
      </c>
      <c r="D1016">
        <v>31.47</v>
      </c>
      <c r="E1016">
        <v>0</v>
      </c>
      <c r="F1016" t="s">
        <v>1797</v>
      </c>
      <c r="G1016" t="s">
        <v>1797</v>
      </c>
      <c r="H1016">
        <v>0</v>
      </c>
      <c r="I1016">
        <v>1293.515312</v>
      </c>
      <c r="J1016">
        <v>0</v>
      </c>
      <c r="K1016" t="s">
        <v>1797</v>
      </c>
      <c r="L1016">
        <v>0.53727567432294709</v>
      </c>
      <c r="M1016">
        <v>40.81</v>
      </c>
      <c r="N1016">
        <v>28.09</v>
      </c>
    </row>
    <row r="1017" spans="1:14" x14ac:dyDescent="0.25">
      <c r="A1017" s="1" t="s">
        <v>1029</v>
      </c>
      <c r="B1017" t="str">
        <f>HYPERLINK("https://www.suredividend.com/sure-analysis-research-database/","Microstrategy Inc.")</f>
        <v>Microstrategy Inc.</v>
      </c>
      <c r="C1017" t="s">
        <v>1803</v>
      </c>
      <c r="D1017">
        <v>453.95</v>
      </c>
      <c r="E1017">
        <v>0</v>
      </c>
      <c r="F1017" t="s">
        <v>1797</v>
      </c>
      <c r="G1017" t="s">
        <v>1797</v>
      </c>
      <c r="H1017">
        <v>0</v>
      </c>
      <c r="I1017">
        <v>6394.632044</v>
      </c>
      <c r="J1017">
        <v>70.795031815866977</v>
      </c>
      <c r="K1017">
        <v>0</v>
      </c>
      <c r="L1017">
        <v>2.2747300945390498</v>
      </c>
      <c r="M1017">
        <v>475.09</v>
      </c>
      <c r="N1017">
        <v>132.56</v>
      </c>
    </row>
    <row r="1018" spans="1:14" x14ac:dyDescent="0.25">
      <c r="A1018" s="1" t="s">
        <v>1030</v>
      </c>
      <c r="B1018" t="str">
        <f>HYPERLINK("https://www.suredividend.com/sure-analysis-research-database/","Matador Resources Co")</f>
        <v>Matador Resources Co</v>
      </c>
      <c r="C1018" t="s">
        <v>1807</v>
      </c>
      <c r="D1018">
        <v>62.46</v>
      </c>
      <c r="E1018">
        <v>8.7713709935600005E-3</v>
      </c>
      <c r="F1018" t="s">
        <v>1797</v>
      </c>
      <c r="G1018" t="s">
        <v>1797</v>
      </c>
      <c r="H1018">
        <v>0.5478598322578131</v>
      </c>
      <c r="I1018">
        <v>7441.9996950000004</v>
      </c>
      <c r="J1018">
        <v>8.8036933577183749</v>
      </c>
      <c r="K1018">
        <v>7.7820998900257538E-2</v>
      </c>
      <c r="L1018">
        <v>1.3271943647799249</v>
      </c>
      <c r="M1018">
        <v>73.040000000000006</v>
      </c>
      <c r="N1018">
        <v>41.79</v>
      </c>
    </row>
    <row r="1019" spans="1:14" x14ac:dyDescent="0.25">
      <c r="A1019" s="1" t="s">
        <v>1031</v>
      </c>
      <c r="B1019" t="str">
        <f>HYPERLINK("https://www.suredividend.com/sure-analysis-research-database/","Meritage Homes Corp.")</f>
        <v>Meritage Homes Corp.</v>
      </c>
      <c r="C1019" t="s">
        <v>1801</v>
      </c>
      <c r="D1019">
        <v>133.41999999999999</v>
      </c>
      <c r="E1019">
        <v>6.0585336386900007E-3</v>
      </c>
      <c r="F1019" t="s">
        <v>1797</v>
      </c>
      <c r="G1019" t="s">
        <v>1797</v>
      </c>
      <c r="H1019">
        <v>0.80832955807408602</v>
      </c>
      <c r="I1019">
        <v>4863.1464589999996</v>
      </c>
      <c r="J1019">
        <v>6.0617933524459593</v>
      </c>
      <c r="K1019">
        <v>3.7370760891081177E-2</v>
      </c>
      <c r="L1019">
        <v>1.3270363550596169</v>
      </c>
      <c r="M1019">
        <v>152.22999999999999</v>
      </c>
      <c r="N1019">
        <v>70.959999999999994</v>
      </c>
    </row>
    <row r="1020" spans="1:14" x14ac:dyDescent="0.25">
      <c r="A1020" s="1" t="s">
        <v>1032</v>
      </c>
      <c r="B1020" t="str">
        <f>HYPERLINK("https://www.suredividend.com/sure-analysis-research-database/","Materion Corp")</f>
        <v>Materion Corp</v>
      </c>
      <c r="C1020" t="s">
        <v>1808</v>
      </c>
      <c r="D1020">
        <v>111.3</v>
      </c>
      <c r="E1020">
        <v>4.5740144083940004E-3</v>
      </c>
      <c r="F1020">
        <v>4.0000000000000042E-2</v>
      </c>
      <c r="G1020">
        <v>4.3640227150435917E-2</v>
      </c>
      <c r="H1020">
        <v>0.50908780365428208</v>
      </c>
      <c r="I1020">
        <v>2297.4986749999998</v>
      </c>
      <c r="J1020">
        <v>21.88135654774376</v>
      </c>
      <c r="K1020">
        <v>0.101210298937233</v>
      </c>
      <c r="L1020">
        <v>1.074959590829577</v>
      </c>
      <c r="M1020">
        <v>123.26</v>
      </c>
      <c r="N1020">
        <v>71.22</v>
      </c>
    </row>
    <row r="1021" spans="1:14" x14ac:dyDescent="0.25">
      <c r="A1021" s="1" t="s">
        <v>1033</v>
      </c>
      <c r="B1021" t="str">
        <f>HYPERLINK("https://www.suredividend.com/sure-analysis-research-database/","MACOM Technology Solutions Holdings Inc")</f>
        <v>MACOM Technology Solutions Holdings Inc</v>
      </c>
      <c r="C1021" t="s">
        <v>1803</v>
      </c>
      <c r="D1021">
        <v>75.040000000000006</v>
      </c>
      <c r="E1021">
        <v>0</v>
      </c>
      <c r="F1021" t="s">
        <v>1797</v>
      </c>
      <c r="G1021" t="s">
        <v>1797</v>
      </c>
      <c r="H1021">
        <v>0</v>
      </c>
      <c r="I1021">
        <v>5327.84</v>
      </c>
      <c r="J1021">
        <v>17.38493717022936</v>
      </c>
      <c r="K1021">
        <v>0</v>
      </c>
      <c r="L1021">
        <v>1.3295253579932851</v>
      </c>
      <c r="M1021">
        <v>85.42</v>
      </c>
      <c r="N1021">
        <v>48.53</v>
      </c>
    </row>
    <row r="1022" spans="1:14" x14ac:dyDescent="0.25">
      <c r="A1022" s="1" t="s">
        <v>1034</v>
      </c>
      <c r="B1022" t="str">
        <f>HYPERLINK("https://www.suredividend.com/sure-analysis-research-database/","Matterport Inc")</f>
        <v>Matterport Inc</v>
      </c>
      <c r="C1022" t="s">
        <v>1797</v>
      </c>
      <c r="D1022">
        <v>2.2000000000000002</v>
      </c>
      <c r="E1022">
        <v>0</v>
      </c>
      <c r="F1022" t="s">
        <v>1797</v>
      </c>
      <c r="G1022" t="s">
        <v>1797</v>
      </c>
      <c r="H1022">
        <v>0</v>
      </c>
      <c r="I1022">
        <v>664.06434999999999</v>
      </c>
      <c r="J1022" t="s">
        <v>1797</v>
      </c>
      <c r="K1022">
        <v>0</v>
      </c>
      <c r="L1022">
        <v>2.523724246904695</v>
      </c>
      <c r="M1022">
        <v>4.07</v>
      </c>
      <c r="N1022">
        <v>1.84</v>
      </c>
    </row>
    <row r="1023" spans="1:14" x14ac:dyDescent="0.25">
      <c r="A1023" s="1" t="s">
        <v>1035</v>
      </c>
      <c r="B1023" t="str">
        <f>HYPERLINK("https://www.suredividend.com/sure-analysis-research-database/","Manitowoc Co., Inc.")</f>
        <v>Manitowoc Co., Inc.</v>
      </c>
      <c r="C1023" t="s">
        <v>1798</v>
      </c>
      <c r="D1023">
        <v>13.56</v>
      </c>
      <c r="E1023">
        <v>0</v>
      </c>
      <c r="F1023" t="s">
        <v>1797</v>
      </c>
      <c r="G1023" t="s">
        <v>1797</v>
      </c>
      <c r="H1023">
        <v>0</v>
      </c>
      <c r="I1023">
        <v>475.21624800000001</v>
      </c>
      <c r="J1023" t="s">
        <v>1797</v>
      </c>
      <c r="K1023">
        <v>0</v>
      </c>
      <c r="L1023">
        <v>1.472046209236094</v>
      </c>
      <c r="M1023">
        <v>20.2</v>
      </c>
      <c r="N1023">
        <v>8.82</v>
      </c>
    </row>
    <row r="1024" spans="1:14" x14ac:dyDescent="0.25">
      <c r="A1024" s="1" t="s">
        <v>1036</v>
      </c>
      <c r="B1024" t="str">
        <f>HYPERLINK("https://www.suredividend.com/sure-analysis-research-database/","Minerals Technologies, Inc.")</f>
        <v>Minerals Technologies, Inc.</v>
      </c>
      <c r="C1024" t="s">
        <v>1808</v>
      </c>
      <c r="D1024">
        <v>59.25</v>
      </c>
      <c r="E1024">
        <v>4.2125134018250014E-3</v>
      </c>
      <c r="F1024">
        <v>1</v>
      </c>
      <c r="G1024">
        <v>0.1486983549970351</v>
      </c>
      <c r="H1024">
        <v>0.24959141905815799</v>
      </c>
      <c r="I1024">
        <v>1928.2237050000001</v>
      </c>
      <c r="J1024">
        <v>30.03463714953271</v>
      </c>
      <c r="K1024">
        <v>0.12669615180617161</v>
      </c>
      <c r="L1024">
        <v>1.1630624424107541</v>
      </c>
      <c r="M1024">
        <v>73.25</v>
      </c>
      <c r="N1024">
        <v>48.52</v>
      </c>
    </row>
    <row r="1025" spans="1:14" x14ac:dyDescent="0.25">
      <c r="A1025" s="1" t="s">
        <v>1037</v>
      </c>
      <c r="B1025" t="str">
        <f>HYPERLINK("https://www.suredividend.com/sure-analysis-research-database/","Mullen Automotive Inc")</f>
        <v>Mullen Automotive Inc</v>
      </c>
      <c r="C1025" t="s">
        <v>1797</v>
      </c>
      <c r="D1025">
        <v>0.29620000000000002</v>
      </c>
      <c r="E1025">
        <v>0</v>
      </c>
      <c r="F1025" t="s">
        <v>1797</v>
      </c>
      <c r="G1025" t="s">
        <v>1797</v>
      </c>
      <c r="H1025">
        <v>0</v>
      </c>
      <c r="I1025">
        <v>51.097563000000001</v>
      </c>
      <c r="J1025">
        <v>0</v>
      </c>
      <c r="K1025" t="s">
        <v>1797</v>
      </c>
      <c r="L1025">
        <v>1.7913996997791419</v>
      </c>
      <c r="M1025">
        <v>107.44</v>
      </c>
      <c r="N1025">
        <v>0.221</v>
      </c>
    </row>
    <row r="1026" spans="1:14" x14ac:dyDescent="0.25">
      <c r="A1026" s="1" t="s">
        <v>1038</v>
      </c>
      <c r="B1026" t="str">
        <f>HYPERLINK("https://www.suredividend.com/sure-analysis-research-database/","Murphy Oil Corp.")</f>
        <v>Murphy Oil Corp.</v>
      </c>
      <c r="C1026" t="s">
        <v>1807</v>
      </c>
      <c r="D1026">
        <v>45.92</v>
      </c>
      <c r="E1026">
        <v>2.3144532610400999E-2</v>
      </c>
      <c r="F1026">
        <v>0.1000000000000001</v>
      </c>
      <c r="G1026">
        <v>1.9244876491456561E-2</v>
      </c>
      <c r="H1026">
        <v>1.06279693746963</v>
      </c>
      <c r="I1026">
        <v>7169.3325539999996</v>
      </c>
      <c r="J1026">
        <v>9.6275297159815754</v>
      </c>
      <c r="K1026">
        <v>0.22516884268424359</v>
      </c>
      <c r="L1026">
        <v>1.126058097381347</v>
      </c>
      <c r="M1026">
        <v>50.21</v>
      </c>
      <c r="N1026">
        <v>32.450000000000003</v>
      </c>
    </row>
    <row r="1027" spans="1:14" x14ac:dyDescent="0.25">
      <c r="A1027" s="1" t="s">
        <v>1039</v>
      </c>
      <c r="B1027" t="str">
        <f>HYPERLINK("https://www.suredividend.com/sure-analysis-research-database/","Murphy USA Inc")</f>
        <v>Murphy USA Inc</v>
      </c>
      <c r="C1027" t="s">
        <v>1801</v>
      </c>
      <c r="D1027">
        <v>378.84</v>
      </c>
      <c r="E1027">
        <v>5.0035361524610007E-3</v>
      </c>
      <c r="F1027" t="s">
        <v>1797</v>
      </c>
      <c r="G1027" t="s">
        <v>1797</v>
      </c>
      <c r="H1027">
        <v>1.8955396359985399</v>
      </c>
      <c r="I1027">
        <v>8127.2598239999998</v>
      </c>
      <c r="J1027">
        <v>15.49525228552908</v>
      </c>
      <c r="K1027">
        <v>8.0149667484082032E-2</v>
      </c>
      <c r="L1027">
        <v>0.15184391807473399</v>
      </c>
      <c r="M1027">
        <v>381.62</v>
      </c>
      <c r="N1027">
        <v>230.79</v>
      </c>
    </row>
    <row r="1028" spans="1:14" x14ac:dyDescent="0.25">
      <c r="A1028" s="1" t="s">
        <v>1040</v>
      </c>
      <c r="B1028" t="str">
        <f>HYPERLINK("https://www.suredividend.com/sure-analysis-research-database/","MVB Financial Corp.")</f>
        <v>MVB Financial Corp.</v>
      </c>
      <c r="C1028" t="s">
        <v>1800</v>
      </c>
      <c r="D1028">
        <v>20.75</v>
      </c>
      <c r="E1028">
        <v>3.2072749809780997E-2</v>
      </c>
      <c r="F1028">
        <v>0</v>
      </c>
      <c r="G1028">
        <v>0.41470384317198228</v>
      </c>
      <c r="H1028">
        <v>0.66550955855295701</v>
      </c>
      <c r="I1028">
        <v>263.93632700000001</v>
      </c>
      <c r="J1028">
        <v>0</v>
      </c>
      <c r="K1028" t="s">
        <v>1797</v>
      </c>
      <c r="L1028">
        <v>0.94090743019066303</v>
      </c>
      <c r="M1028">
        <v>26.84</v>
      </c>
      <c r="N1028">
        <v>15.73</v>
      </c>
    </row>
    <row r="1029" spans="1:14" x14ac:dyDescent="0.25">
      <c r="A1029" s="1" t="s">
        <v>1041</v>
      </c>
      <c r="B1029" t="str">
        <f>HYPERLINK("https://www.suredividend.com/sure-analysis-research-database/","Microvision Inc.")</f>
        <v>Microvision Inc.</v>
      </c>
      <c r="C1029" t="s">
        <v>1803</v>
      </c>
      <c r="D1029">
        <v>2.25</v>
      </c>
      <c r="E1029">
        <v>0</v>
      </c>
      <c r="F1029" t="s">
        <v>1797</v>
      </c>
      <c r="G1029" t="s">
        <v>1797</v>
      </c>
      <c r="H1029">
        <v>0</v>
      </c>
      <c r="I1029">
        <v>422.51236699999998</v>
      </c>
      <c r="J1029" t="s">
        <v>1797</v>
      </c>
      <c r="K1029">
        <v>0</v>
      </c>
      <c r="L1029">
        <v>2.322453331575979</v>
      </c>
      <c r="M1029">
        <v>8.1999999999999993</v>
      </c>
      <c r="N1029">
        <v>1.82</v>
      </c>
    </row>
    <row r="1030" spans="1:14" x14ac:dyDescent="0.25">
      <c r="A1030" s="1" t="s">
        <v>1042</v>
      </c>
      <c r="B1030" t="str">
        <f>HYPERLINK("https://www.suredividend.com/sure-analysis-research-database/","Microvast Holdings Inc")</f>
        <v>Microvast Holdings Inc</v>
      </c>
      <c r="C1030" t="s">
        <v>1797</v>
      </c>
      <c r="D1030">
        <v>1.42</v>
      </c>
      <c r="E1030">
        <v>0</v>
      </c>
      <c r="F1030" t="s">
        <v>1797</v>
      </c>
      <c r="G1030" t="s">
        <v>1797</v>
      </c>
      <c r="H1030">
        <v>0</v>
      </c>
      <c r="I1030">
        <v>439.36241899999999</v>
      </c>
      <c r="J1030" t="s">
        <v>1797</v>
      </c>
      <c r="K1030">
        <v>0</v>
      </c>
      <c r="L1030">
        <v>2.5813919481885401</v>
      </c>
      <c r="M1030">
        <v>2.91</v>
      </c>
      <c r="N1030">
        <v>0.88</v>
      </c>
    </row>
    <row r="1031" spans="1:14" x14ac:dyDescent="0.25">
      <c r="A1031" s="1" t="s">
        <v>1043</v>
      </c>
      <c r="B1031" t="str">
        <f>HYPERLINK("https://www.suredividend.com/sure-analysis-MWA/","Mueller Water Products Inc")</f>
        <v>Mueller Water Products Inc</v>
      </c>
      <c r="C1031" t="s">
        <v>1798</v>
      </c>
      <c r="D1031">
        <v>13.02</v>
      </c>
      <c r="E1031">
        <v>1.8433179723502301E-2</v>
      </c>
      <c r="F1031">
        <v>5.1724137931034482E-2</v>
      </c>
      <c r="G1031">
        <v>4.0571593958808272E-2</v>
      </c>
      <c r="H1031">
        <v>0.24241849447960101</v>
      </c>
      <c r="I1031">
        <v>2037.4406240000001</v>
      </c>
      <c r="J1031">
        <v>27.0217589403183</v>
      </c>
      <c r="K1031">
        <v>0.50567061843888395</v>
      </c>
      <c r="L1031">
        <v>1.048759156081392</v>
      </c>
      <c r="M1031">
        <v>16.55</v>
      </c>
      <c r="N1031">
        <v>10.41</v>
      </c>
    </row>
    <row r="1032" spans="1:14" x14ac:dyDescent="0.25">
      <c r="A1032" s="1" t="s">
        <v>1044</v>
      </c>
      <c r="B1032" t="str">
        <f>HYPERLINK("https://www.suredividend.com/sure-analysis-research-database/","MaxCyte Inc")</f>
        <v>MaxCyte Inc</v>
      </c>
      <c r="C1032" t="s">
        <v>1797</v>
      </c>
      <c r="D1032">
        <v>3.42</v>
      </c>
      <c r="E1032">
        <v>0</v>
      </c>
      <c r="F1032" t="s">
        <v>1797</v>
      </c>
      <c r="G1032" t="s">
        <v>1797</v>
      </c>
      <c r="H1032">
        <v>0</v>
      </c>
      <c r="I1032">
        <v>0</v>
      </c>
      <c r="J1032">
        <v>0</v>
      </c>
      <c r="K1032" t="s">
        <v>1797</v>
      </c>
    </row>
    <row r="1033" spans="1:14" x14ac:dyDescent="0.25">
      <c r="A1033" s="1" t="s">
        <v>1045</v>
      </c>
      <c r="B1033" t="str">
        <f>HYPERLINK("https://www.suredividend.com/sure-analysis-research-database/","MaxLinear Inc")</f>
        <v>MaxLinear Inc</v>
      </c>
      <c r="C1033" t="s">
        <v>1803</v>
      </c>
      <c r="D1033">
        <v>17.04</v>
      </c>
      <c r="E1033">
        <v>0</v>
      </c>
      <c r="F1033" t="s">
        <v>1797</v>
      </c>
      <c r="G1033" t="s">
        <v>1797</v>
      </c>
      <c r="H1033">
        <v>0</v>
      </c>
      <c r="I1033">
        <v>1389.794345</v>
      </c>
      <c r="J1033" t="s">
        <v>1797</v>
      </c>
      <c r="K1033">
        <v>0</v>
      </c>
      <c r="L1033">
        <v>1.94819254392589</v>
      </c>
      <c r="M1033">
        <v>43.66</v>
      </c>
      <c r="N1033">
        <v>13.43</v>
      </c>
    </row>
    <row r="1034" spans="1:14" x14ac:dyDescent="0.25">
      <c r="A1034" s="1" t="s">
        <v>1046</v>
      </c>
      <c r="B1034" t="str">
        <f>HYPERLINK("https://www.suredividend.com/sure-analysis-research-database/","Myers Industries Inc.")</f>
        <v>Myers Industries Inc.</v>
      </c>
      <c r="C1034" t="s">
        <v>1801</v>
      </c>
      <c r="D1034">
        <v>17.97</v>
      </c>
      <c r="E1034">
        <v>2.9726345631365999E-2</v>
      </c>
      <c r="F1034">
        <v>0</v>
      </c>
      <c r="G1034">
        <v>0</v>
      </c>
      <c r="H1034">
        <v>0.53418243099565699</v>
      </c>
      <c r="I1034">
        <v>661.46750599999996</v>
      </c>
      <c r="J1034">
        <v>13.2942259361685</v>
      </c>
      <c r="K1034">
        <v>0.39864360522063952</v>
      </c>
      <c r="L1034">
        <v>0.86437988560582601</v>
      </c>
      <c r="M1034">
        <v>25.93</v>
      </c>
      <c r="N1034">
        <v>15.65</v>
      </c>
    </row>
    <row r="1035" spans="1:14" x14ac:dyDescent="0.25">
      <c r="A1035" s="1" t="s">
        <v>1047</v>
      </c>
      <c r="B1035" t="str">
        <f>HYPERLINK("https://www.suredividend.com/sure-analysis-research-database/","First Western Financial Inc")</f>
        <v>First Western Financial Inc</v>
      </c>
      <c r="C1035" t="s">
        <v>1800</v>
      </c>
      <c r="D1035">
        <v>14.88</v>
      </c>
      <c r="E1035">
        <v>0</v>
      </c>
      <c r="F1035" t="s">
        <v>1797</v>
      </c>
      <c r="G1035" t="s">
        <v>1797</v>
      </c>
      <c r="H1035">
        <v>0</v>
      </c>
      <c r="I1035">
        <v>142.077067</v>
      </c>
      <c r="J1035">
        <v>0</v>
      </c>
      <c r="K1035" t="s">
        <v>1797</v>
      </c>
      <c r="L1035">
        <v>1.389094840458543</v>
      </c>
      <c r="M1035">
        <v>30.7</v>
      </c>
      <c r="N1035">
        <v>12.85</v>
      </c>
    </row>
    <row r="1036" spans="1:14" x14ac:dyDescent="0.25">
      <c r="A1036" s="1" t="s">
        <v>1048</v>
      </c>
      <c r="B1036" t="str">
        <f>HYPERLINK("https://www.suredividend.com/sure-analysis-research-database/","Myriad Genetics, Inc.")</f>
        <v>Myriad Genetics, Inc.</v>
      </c>
      <c r="C1036" t="s">
        <v>1802</v>
      </c>
      <c r="D1036">
        <v>17.02</v>
      </c>
      <c r="E1036">
        <v>0</v>
      </c>
      <c r="F1036" t="s">
        <v>1797</v>
      </c>
      <c r="G1036" t="s">
        <v>1797</v>
      </c>
      <c r="H1036">
        <v>0</v>
      </c>
      <c r="I1036">
        <v>1393.6559110000001</v>
      </c>
      <c r="J1036" t="s">
        <v>1797</v>
      </c>
      <c r="K1036">
        <v>0</v>
      </c>
      <c r="L1036">
        <v>1.2915141958783929</v>
      </c>
      <c r="M1036">
        <v>24.21</v>
      </c>
      <c r="N1036">
        <v>13.82</v>
      </c>
    </row>
    <row r="1037" spans="1:14" x14ac:dyDescent="0.25">
      <c r="A1037" s="1" t="s">
        <v>1049</v>
      </c>
      <c r="B1037" t="str">
        <f>HYPERLINK("https://www.suredividend.com/sure-analysis-research-database/","PLAYSTUDIOS Inc")</f>
        <v>PLAYSTUDIOS Inc</v>
      </c>
      <c r="C1037" t="s">
        <v>1797</v>
      </c>
      <c r="D1037">
        <v>2.62</v>
      </c>
      <c r="E1037">
        <v>0</v>
      </c>
      <c r="F1037" t="s">
        <v>1797</v>
      </c>
      <c r="G1037" t="s">
        <v>1797</v>
      </c>
      <c r="H1037">
        <v>0</v>
      </c>
      <c r="I1037">
        <v>305.18579299999999</v>
      </c>
      <c r="J1037" t="s">
        <v>1797</v>
      </c>
      <c r="K1037">
        <v>0</v>
      </c>
      <c r="L1037">
        <v>1.2049643289645779</v>
      </c>
      <c r="M1037">
        <v>5.01</v>
      </c>
      <c r="N1037">
        <v>2.6</v>
      </c>
    </row>
    <row r="1038" spans="1:14" x14ac:dyDescent="0.25">
      <c r="A1038" s="1" t="s">
        <v>1050</v>
      </c>
      <c r="B1038" t="str">
        <f>HYPERLINK("https://www.suredividend.com/sure-analysis-research-database/","MYR Group Inc")</f>
        <v>MYR Group Inc</v>
      </c>
      <c r="C1038" t="s">
        <v>1798</v>
      </c>
      <c r="D1038">
        <v>117.02</v>
      </c>
      <c r="E1038">
        <v>0</v>
      </c>
      <c r="F1038" t="s">
        <v>1797</v>
      </c>
      <c r="G1038" t="s">
        <v>1797</v>
      </c>
      <c r="H1038">
        <v>0</v>
      </c>
      <c r="I1038">
        <v>1955.3496689999999</v>
      </c>
      <c r="J1038">
        <v>21.36503828279848</v>
      </c>
      <c r="K1038">
        <v>0</v>
      </c>
      <c r="L1038">
        <v>1.046541231005357</v>
      </c>
      <c r="M1038">
        <v>156.63</v>
      </c>
      <c r="N1038">
        <v>84.75</v>
      </c>
    </row>
    <row r="1039" spans="1:14" x14ac:dyDescent="0.25">
      <c r="A1039" s="1" t="s">
        <v>1051</v>
      </c>
      <c r="B1039" t="str">
        <f>HYPERLINK("https://www.suredividend.com/sure-analysis-research-database/","N-able Inc")</f>
        <v>N-able Inc</v>
      </c>
      <c r="C1039" t="s">
        <v>1797</v>
      </c>
      <c r="D1039">
        <v>13.45</v>
      </c>
      <c r="E1039">
        <v>0</v>
      </c>
      <c r="F1039" t="s">
        <v>1797</v>
      </c>
      <c r="G1039" t="s">
        <v>1797</v>
      </c>
      <c r="H1039">
        <v>0</v>
      </c>
      <c r="I1039">
        <v>2454.625</v>
      </c>
      <c r="J1039">
        <v>160.1503882038233</v>
      </c>
      <c r="K1039">
        <v>0</v>
      </c>
      <c r="L1039">
        <v>1.2169359432766651</v>
      </c>
      <c r="M1039">
        <v>15.44</v>
      </c>
      <c r="N1039">
        <v>9.26</v>
      </c>
    </row>
    <row r="1040" spans="1:14" x14ac:dyDescent="0.25">
      <c r="A1040" s="1" t="s">
        <v>1052</v>
      </c>
      <c r="B1040" t="str">
        <f>HYPERLINK("https://www.suredividend.com/sure-analysis-research-database/","Duckhorn Portfolio Inc (The)")</f>
        <v>Duckhorn Portfolio Inc (The)</v>
      </c>
      <c r="C1040" t="s">
        <v>1797</v>
      </c>
      <c r="D1040">
        <v>10.8</v>
      </c>
      <c r="E1040">
        <v>0</v>
      </c>
      <c r="F1040" t="s">
        <v>1797</v>
      </c>
      <c r="G1040" t="s">
        <v>1797</v>
      </c>
      <c r="H1040">
        <v>0</v>
      </c>
      <c r="I1040">
        <v>1245.4161260000001</v>
      </c>
      <c r="J1040">
        <v>17.971891344627551</v>
      </c>
      <c r="K1040">
        <v>0</v>
      </c>
      <c r="L1040">
        <v>0.74736764258607702</v>
      </c>
      <c r="M1040">
        <v>17.920000000000002</v>
      </c>
      <c r="N1040">
        <v>9.32</v>
      </c>
    </row>
    <row r="1041" spans="1:14" x14ac:dyDescent="0.25">
      <c r="A1041" s="1" t="s">
        <v>1053</v>
      </c>
      <c r="B1041" t="str">
        <f>HYPERLINK("https://www.suredividend.com/sure-analysis-research-database/","Inari Medical Inc")</f>
        <v>Inari Medical Inc</v>
      </c>
      <c r="C1041" t="s">
        <v>1797</v>
      </c>
      <c r="D1041">
        <v>48.3</v>
      </c>
      <c r="E1041">
        <v>0</v>
      </c>
      <c r="F1041" t="s">
        <v>1797</v>
      </c>
      <c r="G1041" t="s">
        <v>1797</v>
      </c>
      <c r="H1041">
        <v>0</v>
      </c>
      <c r="I1041">
        <v>2781.6193629999998</v>
      </c>
      <c r="J1041" t="s">
        <v>1797</v>
      </c>
      <c r="K1041">
        <v>0</v>
      </c>
      <c r="L1041">
        <v>0.84588907821431003</v>
      </c>
      <c r="M1041">
        <v>83.84</v>
      </c>
      <c r="N1041">
        <v>47.81</v>
      </c>
    </row>
    <row r="1042" spans="1:14" x14ac:dyDescent="0.25">
      <c r="A1042" s="1" t="s">
        <v>1054</v>
      </c>
      <c r="B1042" t="str">
        <f>HYPERLINK("https://www.suredividend.com/sure-analysis-research-database/","Nordic American Tankers Ltd")</f>
        <v>Nordic American Tankers Ltd</v>
      </c>
      <c r="C1042" t="s">
        <v>1798</v>
      </c>
      <c r="D1042">
        <v>4.67</v>
      </c>
      <c r="E1042">
        <v>9.8189668756390014E-2</v>
      </c>
      <c r="F1042">
        <v>3.3333333333333339</v>
      </c>
      <c r="G1042">
        <v>5.387395206178347E-2</v>
      </c>
      <c r="H1042">
        <v>0.45854575309234302</v>
      </c>
      <c r="I1042">
        <v>975.07939299999998</v>
      </c>
      <c r="J1042">
        <v>8.1418775183907943</v>
      </c>
      <c r="K1042">
        <v>0.79005126308122497</v>
      </c>
      <c r="L1042">
        <v>0.64855297252112409</v>
      </c>
      <c r="M1042">
        <v>4.83</v>
      </c>
      <c r="N1042">
        <v>2.52</v>
      </c>
    </row>
    <row r="1043" spans="1:14" x14ac:dyDescent="0.25">
      <c r="A1043" s="1" t="s">
        <v>1055</v>
      </c>
      <c r="B1043" t="str">
        <f>HYPERLINK("https://www.suredividend.com/sure-analysis-research-database/","Nature`s Sunshine Products, Inc.")</f>
        <v>Nature`s Sunshine Products, Inc.</v>
      </c>
      <c r="C1043" t="s">
        <v>1804</v>
      </c>
      <c r="D1043">
        <v>17.96</v>
      </c>
      <c r="E1043">
        <v>0</v>
      </c>
      <c r="F1043" t="s">
        <v>1797</v>
      </c>
      <c r="G1043" t="s">
        <v>1797</v>
      </c>
      <c r="H1043">
        <v>0</v>
      </c>
      <c r="I1043">
        <v>343.00527</v>
      </c>
      <c r="J1043">
        <v>64.402041013894106</v>
      </c>
      <c r="K1043">
        <v>0</v>
      </c>
      <c r="L1043">
        <v>0.87479025470503902</v>
      </c>
      <c r="M1043">
        <v>19.2</v>
      </c>
      <c r="N1043">
        <v>7.93</v>
      </c>
    </row>
    <row r="1044" spans="1:14" x14ac:dyDescent="0.25">
      <c r="A1044" s="1" t="s">
        <v>1056</v>
      </c>
      <c r="B1044" t="str">
        <f>HYPERLINK("https://www.suredividend.com/sure-analysis-research-database/","Nautilus Biotechnology Inc")</f>
        <v>Nautilus Biotechnology Inc</v>
      </c>
      <c r="C1044" t="s">
        <v>1797</v>
      </c>
      <c r="D1044">
        <v>2.87</v>
      </c>
      <c r="E1044">
        <v>0</v>
      </c>
      <c r="F1044" t="s">
        <v>1797</v>
      </c>
      <c r="G1044" t="s">
        <v>1797</v>
      </c>
      <c r="H1044">
        <v>0</v>
      </c>
      <c r="I1044">
        <v>358.59437100000002</v>
      </c>
      <c r="J1044">
        <v>0</v>
      </c>
      <c r="K1044" t="s">
        <v>1797</v>
      </c>
      <c r="L1044">
        <v>1.606001036147837</v>
      </c>
      <c r="M1044">
        <v>4.6500000000000004</v>
      </c>
      <c r="N1044">
        <v>1.5</v>
      </c>
    </row>
    <row r="1045" spans="1:14" x14ac:dyDescent="0.25">
      <c r="A1045" s="1" t="s">
        <v>1057</v>
      </c>
      <c r="B1045" t="str">
        <f>HYPERLINK("https://www.suredividend.com/sure-analysis-NAVI/","Navient Corp")</f>
        <v>Navient Corp</v>
      </c>
      <c r="C1045" t="s">
        <v>1800</v>
      </c>
      <c r="D1045">
        <v>17.04</v>
      </c>
      <c r="E1045">
        <v>3.7558685446009391E-2</v>
      </c>
      <c r="F1045">
        <v>0</v>
      </c>
      <c r="G1045">
        <v>0</v>
      </c>
      <c r="H1045">
        <v>0.62761128771101304</v>
      </c>
      <c r="I1045">
        <v>2003.4113910000001</v>
      </c>
      <c r="J1045">
        <v>5.5496160405540156</v>
      </c>
      <c r="K1045">
        <v>0.2217707730427608</v>
      </c>
      <c r="L1045">
        <v>1.0685543787537319</v>
      </c>
      <c r="M1045">
        <v>19.510000000000002</v>
      </c>
      <c r="N1045">
        <v>13.99</v>
      </c>
    </row>
    <row r="1046" spans="1:14" x14ac:dyDescent="0.25">
      <c r="A1046" s="1" t="s">
        <v>1058</v>
      </c>
      <c r="B1046" t="str">
        <f>HYPERLINK("https://www.suredividend.com/sure-analysis-research-database/","National Bank Holdings Corp")</f>
        <v>National Bank Holdings Corp</v>
      </c>
      <c r="C1046" t="s">
        <v>1800</v>
      </c>
      <c r="D1046">
        <v>32.28</v>
      </c>
      <c r="E1046">
        <v>3.1230726401069001E-2</v>
      </c>
      <c r="F1046">
        <v>0.13043478260869559</v>
      </c>
      <c r="G1046">
        <v>8.8691633250776114E-2</v>
      </c>
      <c r="H1046">
        <v>1.0081278482265219</v>
      </c>
      <c r="I1046">
        <v>1217.6026979999999</v>
      </c>
      <c r="J1046">
        <v>11.57340003535886</v>
      </c>
      <c r="K1046">
        <v>0.35004439174532009</v>
      </c>
      <c r="L1046">
        <v>1.1853974704770629</v>
      </c>
      <c r="M1046">
        <v>48.63</v>
      </c>
      <c r="N1046">
        <v>26.04</v>
      </c>
    </row>
    <row r="1047" spans="1:14" x14ac:dyDescent="0.25">
      <c r="A1047" s="1" t="s">
        <v>1059</v>
      </c>
      <c r="B1047" t="str">
        <f>HYPERLINK("https://www.suredividend.com/sure-analysis-research-database/","Northeast Bank")</f>
        <v>Northeast Bank</v>
      </c>
      <c r="C1047" t="s">
        <v>1800</v>
      </c>
      <c r="D1047">
        <v>50.88</v>
      </c>
      <c r="E1047">
        <v>7.8561267329000002E-4</v>
      </c>
      <c r="F1047" t="s">
        <v>1797</v>
      </c>
      <c r="G1047" t="s">
        <v>1797</v>
      </c>
      <c r="H1047">
        <v>3.9971972817044003E-2</v>
      </c>
      <c r="I1047">
        <v>457.76736</v>
      </c>
      <c r="J1047">
        <v>0</v>
      </c>
      <c r="K1047" t="s">
        <v>1797</v>
      </c>
      <c r="L1047">
        <v>0.69553431168764601</v>
      </c>
      <c r="M1047">
        <v>51.93</v>
      </c>
      <c r="N1047">
        <v>33.119999999999997</v>
      </c>
    </row>
    <row r="1048" spans="1:14" x14ac:dyDescent="0.25">
      <c r="A1048" s="1" t="s">
        <v>1060</v>
      </c>
      <c r="B1048" t="str">
        <f>HYPERLINK("https://www.suredividend.com/sure-analysis-research-database/","Nabors Industries Ltd")</f>
        <v>Nabors Industries Ltd</v>
      </c>
      <c r="C1048" t="s">
        <v>1807</v>
      </c>
      <c r="D1048">
        <v>100.83</v>
      </c>
      <c r="E1048">
        <v>0</v>
      </c>
      <c r="F1048" t="s">
        <v>1797</v>
      </c>
      <c r="G1048" t="s">
        <v>1797</v>
      </c>
      <c r="H1048">
        <v>0</v>
      </c>
      <c r="I1048">
        <v>954.36663799999997</v>
      </c>
      <c r="J1048" t="s">
        <v>1797</v>
      </c>
      <c r="K1048">
        <v>0</v>
      </c>
      <c r="L1048">
        <v>1.4523536296267421</v>
      </c>
      <c r="M1048">
        <v>190.9</v>
      </c>
      <c r="N1048">
        <v>83.05</v>
      </c>
    </row>
    <row r="1049" spans="1:14" x14ac:dyDescent="0.25">
      <c r="A1049" s="1" t="s">
        <v>1061</v>
      </c>
      <c r="B1049" t="str">
        <f>HYPERLINK("https://www.suredividend.com/sure-analysis-research-database/","NBT Bancorp. Inc.")</f>
        <v>NBT Bancorp. Inc.</v>
      </c>
      <c r="C1049" t="s">
        <v>1800</v>
      </c>
      <c r="D1049">
        <v>35.909999999999997</v>
      </c>
      <c r="E1049">
        <v>3.3304588185320998E-2</v>
      </c>
      <c r="F1049">
        <v>6.666666666666643E-2</v>
      </c>
      <c r="G1049">
        <v>4.2402216277297899E-2</v>
      </c>
      <c r="H1049">
        <v>1.1959677617348989</v>
      </c>
      <c r="I1049">
        <v>1535.5731499999999</v>
      </c>
      <c r="J1049">
        <v>11.06129451492537</v>
      </c>
      <c r="K1049">
        <v>0.37141855954499958</v>
      </c>
      <c r="L1049">
        <v>0.82928697360995007</v>
      </c>
      <c r="M1049">
        <v>46.71</v>
      </c>
      <c r="N1049">
        <v>26.78</v>
      </c>
    </row>
    <row r="1050" spans="1:14" x14ac:dyDescent="0.25">
      <c r="A1050" s="1" t="s">
        <v>1062</v>
      </c>
      <c r="B1050" t="str">
        <f>HYPERLINK("https://www.suredividend.com/sure-analysis-NC/","Nacco Industries Inc.")</f>
        <v>Nacco Industries Inc.</v>
      </c>
      <c r="C1050" t="s">
        <v>1807</v>
      </c>
      <c r="D1050">
        <v>34.619999999999997</v>
      </c>
      <c r="E1050">
        <v>2.5129982668977469E-2</v>
      </c>
      <c r="F1050">
        <v>4.8192771084337283E-2</v>
      </c>
      <c r="G1050">
        <v>5.6805496536407318E-2</v>
      </c>
      <c r="H1050">
        <v>0.8419425619435601</v>
      </c>
      <c r="I1050">
        <v>205.63044099999999</v>
      </c>
      <c r="J1050">
        <v>11.32201523290386</v>
      </c>
      <c r="K1050">
        <v>0.34791014956345462</v>
      </c>
      <c r="L1050">
        <v>0.80653296062557311</v>
      </c>
      <c r="M1050">
        <v>53.97</v>
      </c>
      <c r="N1050">
        <v>29.17</v>
      </c>
    </row>
    <row r="1051" spans="1:14" x14ac:dyDescent="0.25">
      <c r="A1051" s="1" t="s">
        <v>1063</v>
      </c>
      <c r="B1051" t="str">
        <f>HYPERLINK("https://www.suredividend.com/sure-analysis-research-database/","Noodles &amp; Company")</f>
        <v>Noodles &amp; Company</v>
      </c>
      <c r="C1051" t="s">
        <v>1801</v>
      </c>
      <c r="D1051">
        <v>2.2200000000000002</v>
      </c>
      <c r="E1051">
        <v>0</v>
      </c>
      <c r="F1051" t="s">
        <v>1797</v>
      </c>
      <c r="G1051" t="s">
        <v>1797</v>
      </c>
      <c r="H1051">
        <v>0</v>
      </c>
      <c r="I1051">
        <v>103.072766</v>
      </c>
      <c r="J1051">
        <v>0</v>
      </c>
      <c r="K1051" t="s">
        <v>1797</v>
      </c>
      <c r="L1051">
        <v>1.2562453369766939</v>
      </c>
      <c r="M1051">
        <v>6.55</v>
      </c>
      <c r="N1051">
        <v>1.96</v>
      </c>
    </row>
    <row r="1052" spans="1:14" x14ac:dyDescent="0.25">
      <c r="A1052" s="1" t="s">
        <v>1064</v>
      </c>
      <c r="B1052" t="str">
        <f>HYPERLINK("https://www.suredividend.com/sure-analysis-research-database/","Noble Corp Plc")</f>
        <v>Noble Corp Plc</v>
      </c>
      <c r="C1052" t="s">
        <v>1807</v>
      </c>
      <c r="D1052">
        <v>50.25</v>
      </c>
      <c r="E1052">
        <v>5.9701494909630004E-3</v>
      </c>
      <c r="F1052" t="s">
        <v>1797</v>
      </c>
      <c r="G1052" t="s">
        <v>1797</v>
      </c>
      <c r="H1052">
        <v>0.30000001192092801</v>
      </c>
      <c r="I1052">
        <v>7087.9672190000001</v>
      </c>
      <c r="J1052">
        <v>0</v>
      </c>
      <c r="K1052" t="s">
        <v>1797</v>
      </c>
      <c r="L1052">
        <v>0.97325484308938903</v>
      </c>
      <c r="M1052">
        <v>55.34</v>
      </c>
      <c r="N1052">
        <v>33.22</v>
      </c>
    </row>
    <row r="1053" spans="1:14" x14ac:dyDescent="0.25">
      <c r="A1053" s="1" t="s">
        <v>1065</v>
      </c>
      <c r="B1053" t="str">
        <f>HYPERLINK("https://www.suredividend.com/sure-analysis-research-database/","Neogenomics Inc.")</f>
        <v>Neogenomics Inc.</v>
      </c>
      <c r="C1053" t="s">
        <v>1802</v>
      </c>
      <c r="D1053">
        <v>15.27</v>
      </c>
      <c r="E1053">
        <v>0</v>
      </c>
      <c r="F1053" t="s">
        <v>1797</v>
      </c>
      <c r="G1053" t="s">
        <v>1797</v>
      </c>
      <c r="H1053">
        <v>0</v>
      </c>
      <c r="I1053">
        <v>1947.7150999999999</v>
      </c>
      <c r="J1053" t="s">
        <v>1797</v>
      </c>
      <c r="K1053">
        <v>0</v>
      </c>
      <c r="L1053">
        <v>1.9423106228663389</v>
      </c>
      <c r="M1053">
        <v>20.54</v>
      </c>
      <c r="N1053">
        <v>7.01</v>
      </c>
    </row>
    <row r="1054" spans="1:14" x14ac:dyDescent="0.25">
      <c r="A1054" s="1" t="s">
        <v>1066</v>
      </c>
      <c r="B1054" t="str">
        <f>HYPERLINK("https://www.suredividend.com/sure-analysis-research-database/","Neogen Corp.")</f>
        <v>Neogen Corp.</v>
      </c>
      <c r="C1054" t="s">
        <v>1802</v>
      </c>
      <c r="D1054">
        <v>15.82</v>
      </c>
      <c r="E1054">
        <v>0</v>
      </c>
      <c r="F1054" t="s">
        <v>1797</v>
      </c>
      <c r="G1054" t="s">
        <v>1797</v>
      </c>
      <c r="H1054">
        <v>0</v>
      </c>
      <c r="I1054">
        <v>3422.0334069999999</v>
      </c>
      <c r="J1054" t="s">
        <v>1797</v>
      </c>
      <c r="K1054">
        <v>0</v>
      </c>
      <c r="L1054">
        <v>1.211333914868673</v>
      </c>
      <c r="M1054">
        <v>24.1</v>
      </c>
      <c r="N1054">
        <v>13.6</v>
      </c>
    </row>
    <row r="1055" spans="1:14" x14ac:dyDescent="0.25">
      <c r="A1055" s="1" t="s">
        <v>1067</v>
      </c>
      <c r="B1055" t="str">
        <f>HYPERLINK("https://www.suredividend.com/sure-analysis-research-database/","Eneti Inc")</f>
        <v>Eneti Inc</v>
      </c>
      <c r="C1055" t="s">
        <v>1797</v>
      </c>
      <c r="D1055">
        <v>9.91</v>
      </c>
      <c r="E1055">
        <v>4.0299727777160007E-3</v>
      </c>
      <c r="F1055">
        <v>0</v>
      </c>
      <c r="G1055">
        <v>-0.1294494367038759</v>
      </c>
      <c r="H1055">
        <v>3.9937030227173001E-2</v>
      </c>
      <c r="I1055">
        <v>382.99294900000001</v>
      </c>
      <c r="J1055" t="s">
        <v>1797</v>
      </c>
      <c r="K1055" t="s">
        <v>1797</v>
      </c>
      <c r="L1055">
        <v>0.60150277324825607</v>
      </c>
      <c r="M1055">
        <v>13.53</v>
      </c>
      <c r="N1055">
        <v>7.73</v>
      </c>
    </row>
    <row r="1056" spans="1:14" x14ac:dyDescent="0.25">
      <c r="A1056" s="1" t="s">
        <v>1068</v>
      </c>
      <c r="B1056" t="str">
        <f>HYPERLINK("https://www.suredividend.com/sure-analysis-research-database/","NexTier Oilfield Solutions Inc")</f>
        <v>NexTier Oilfield Solutions Inc</v>
      </c>
      <c r="C1056" t="s">
        <v>1807</v>
      </c>
      <c r="D1056">
        <v>10.61</v>
      </c>
      <c r="E1056">
        <v>0</v>
      </c>
      <c r="F1056" t="s">
        <v>1797</v>
      </c>
      <c r="G1056" t="s">
        <v>1797</v>
      </c>
      <c r="H1056">
        <v>0</v>
      </c>
      <c r="I1056">
        <v>2424.944837</v>
      </c>
      <c r="J1056">
        <v>3.7784909947551788</v>
      </c>
      <c r="K1056">
        <v>0</v>
      </c>
      <c r="L1056">
        <v>1.4307804897192959</v>
      </c>
      <c r="M1056">
        <v>11.99</v>
      </c>
      <c r="N1056">
        <v>6.66</v>
      </c>
    </row>
    <row r="1057" spans="1:14" x14ac:dyDescent="0.25">
      <c r="A1057" s="1" t="s">
        <v>1069</v>
      </c>
      <c r="B1057" t="str">
        <f>HYPERLINK("https://www.suredividend.com/sure-analysis-research-database/","NextDecade Corporation")</f>
        <v>NextDecade Corporation</v>
      </c>
      <c r="C1057" t="s">
        <v>1807</v>
      </c>
      <c r="D1057">
        <v>4.46</v>
      </c>
      <c r="E1057">
        <v>0</v>
      </c>
      <c r="F1057" t="s">
        <v>1797</v>
      </c>
      <c r="G1057" t="s">
        <v>1797</v>
      </c>
      <c r="H1057">
        <v>0</v>
      </c>
      <c r="I1057">
        <v>1076.7698170000001</v>
      </c>
      <c r="J1057">
        <v>0</v>
      </c>
      <c r="K1057" t="s">
        <v>1797</v>
      </c>
      <c r="L1057">
        <v>1.2252933440317859</v>
      </c>
      <c r="M1057">
        <v>8.74</v>
      </c>
      <c r="N1057">
        <v>3.93</v>
      </c>
    </row>
    <row r="1058" spans="1:14" x14ac:dyDescent="0.25">
      <c r="A1058" s="1" t="s">
        <v>1070</v>
      </c>
      <c r="B1058" t="str">
        <f>HYPERLINK("https://www.suredividend.com/sure-analysis-research-database/","Northfield Bancorp Inc")</f>
        <v>Northfield Bancorp Inc</v>
      </c>
      <c r="C1058" t="s">
        <v>1800</v>
      </c>
      <c r="D1058">
        <v>9.48</v>
      </c>
      <c r="E1058">
        <v>5.3134683746034007E-2</v>
      </c>
      <c r="F1058">
        <v>0</v>
      </c>
      <c r="G1058">
        <v>5.387395206178347E-2</v>
      </c>
      <c r="H1058">
        <v>0.50371680191240409</v>
      </c>
      <c r="I1058">
        <v>426.48408799999999</v>
      </c>
      <c r="J1058">
        <v>8.1414952664935871</v>
      </c>
      <c r="K1058">
        <v>0.43423862233827942</v>
      </c>
      <c r="L1058">
        <v>0.7156115503853121</v>
      </c>
      <c r="M1058">
        <v>15.2</v>
      </c>
      <c r="N1058">
        <v>8.39</v>
      </c>
    </row>
    <row r="1059" spans="1:14" x14ac:dyDescent="0.25">
      <c r="A1059" s="1" t="s">
        <v>1071</v>
      </c>
      <c r="B1059" t="str">
        <f>HYPERLINK("https://www.suredividend.com/sure-analysis-research-database/","Novagold Resources Inc.")</f>
        <v>Novagold Resources Inc.</v>
      </c>
      <c r="C1059" t="s">
        <v>1808</v>
      </c>
      <c r="D1059">
        <v>3.83</v>
      </c>
      <c r="E1059">
        <v>0</v>
      </c>
      <c r="F1059" t="s">
        <v>1797</v>
      </c>
      <c r="G1059" t="s">
        <v>1797</v>
      </c>
      <c r="H1059">
        <v>0</v>
      </c>
      <c r="I1059">
        <v>1279.9138009999999</v>
      </c>
      <c r="J1059">
        <v>0</v>
      </c>
      <c r="K1059" t="s">
        <v>1797</v>
      </c>
      <c r="L1059">
        <v>0.78267380864987801</v>
      </c>
      <c r="M1059">
        <v>6.98</v>
      </c>
      <c r="N1059">
        <v>3.29</v>
      </c>
    </row>
    <row r="1060" spans="1:14" x14ac:dyDescent="0.25">
      <c r="A1060" s="1" t="s">
        <v>1072</v>
      </c>
      <c r="B1060" t="str">
        <f>HYPERLINK("https://www.suredividend.com/sure-analysis-research-database/","Ngm Biopharmaceuticals Inc")</f>
        <v>Ngm Biopharmaceuticals Inc</v>
      </c>
      <c r="C1060" t="s">
        <v>1802</v>
      </c>
      <c r="D1060">
        <v>0.84</v>
      </c>
      <c r="E1060">
        <v>0</v>
      </c>
      <c r="F1060" t="s">
        <v>1797</v>
      </c>
      <c r="G1060" t="s">
        <v>1797</v>
      </c>
      <c r="H1060">
        <v>0</v>
      </c>
      <c r="I1060">
        <v>69.481026</v>
      </c>
      <c r="J1060" t="s">
        <v>1797</v>
      </c>
      <c r="K1060">
        <v>0</v>
      </c>
      <c r="L1060">
        <v>1.41245293174235</v>
      </c>
      <c r="M1060">
        <v>6.14</v>
      </c>
      <c r="N1060">
        <v>0.76</v>
      </c>
    </row>
    <row r="1061" spans="1:14" x14ac:dyDescent="0.25">
      <c r="A1061" s="1" t="s">
        <v>1073</v>
      </c>
      <c r="B1061" t="str">
        <f>HYPERLINK("https://www.suredividend.com/sure-analysis-research-database/","NeoGames SA")</f>
        <v>NeoGames SA</v>
      </c>
      <c r="C1061" t="s">
        <v>1797</v>
      </c>
      <c r="D1061">
        <v>26.67</v>
      </c>
      <c r="E1061">
        <v>0</v>
      </c>
      <c r="F1061" t="s">
        <v>1797</v>
      </c>
      <c r="G1061" t="s">
        <v>1797</v>
      </c>
      <c r="H1061">
        <v>0</v>
      </c>
      <c r="I1061">
        <v>892.97686099999999</v>
      </c>
      <c r="J1061">
        <v>0</v>
      </c>
      <c r="K1061" t="s">
        <v>1797</v>
      </c>
      <c r="L1061">
        <v>1.3292131337703099</v>
      </c>
      <c r="M1061">
        <v>27.77</v>
      </c>
      <c r="N1061">
        <v>10.85</v>
      </c>
    </row>
    <row r="1062" spans="1:14" x14ac:dyDescent="0.25">
      <c r="A1062" s="1" t="s">
        <v>1074</v>
      </c>
      <c r="B1062" t="str">
        <f>HYPERLINK("https://www.suredividend.com/sure-analysis-research-database/","Natural Grocers by Vitamin Cottage Inc")</f>
        <v>Natural Grocers by Vitamin Cottage Inc</v>
      </c>
      <c r="C1062" t="s">
        <v>1804</v>
      </c>
      <c r="D1062">
        <v>13.15</v>
      </c>
      <c r="E1062">
        <v>3.0043677478255999E-2</v>
      </c>
      <c r="F1062" t="s">
        <v>1797</v>
      </c>
      <c r="G1062" t="s">
        <v>1797</v>
      </c>
      <c r="H1062">
        <v>0.39507435883907899</v>
      </c>
      <c r="I1062">
        <v>299.00287200000002</v>
      </c>
      <c r="J1062">
        <v>15.31541628591917</v>
      </c>
      <c r="K1062">
        <v>0.46218338656888053</v>
      </c>
      <c r="L1062">
        <v>0.83653258315951107</v>
      </c>
      <c r="M1062">
        <v>13.69</v>
      </c>
      <c r="N1062">
        <v>7.8</v>
      </c>
    </row>
    <row r="1063" spans="1:14" x14ac:dyDescent="0.25">
      <c r="A1063" s="1" t="s">
        <v>1075</v>
      </c>
      <c r="B1063" t="str">
        <f>HYPERLINK("https://www.suredividend.com/sure-analysis-research-database/","Ingevity Corp")</f>
        <v>Ingevity Corp</v>
      </c>
      <c r="C1063" t="s">
        <v>1808</v>
      </c>
      <c r="D1063">
        <v>42.81</v>
      </c>
      <c r="E1063">
        <v>0</v>
      </c>
      <c r="F1063" t="s">
        <v>1797</v>
      </c>
      <c r="G1063" t="s">
        <v>1797</v>
      </c>
      <c r="H1063">
        <v>0</v>
      </c>
      <c r="I1063">
        <v>1550.7681050000001</v>
      </c>
      <c r="J1063">
        <v>12.2107724815748</v>
      </c>
      <c r="K1063">
        <v>0</v>
      </c>
      <c r="L1063">
        <v>1.222161078170769</v>
      </c>
      <c r="M1063">
        <v>90.81</v>
      </c>
      <c r="N1063">
        <v>38.1</v>
      </c>
    </row>
    <row r="1064" spans="1:14" x14ac:dyDescent="0.25">
      <c r="A1064" s="1" t="s">
        <v>1076</v>
      </c>
      <c r="B1064" t="str">
        <f>HYPERLINK("https://www.suredividend.com/sure-analysis-NHC/","National Healthcare Corp.")</f>
        <v>National Healthcare Corp.</v>
      </c>
      <c r="C1064" t="s">
        <v>1802</v>
      </c>
      <c r="D1064">
        <v>70.92</v>
      </c>
      <c r="E1064">
        <v>3.3276931754089113E-2</v>
      </c>
      <c r="F1064">
        <v>3.5087719298245501E-2</v>
      </c>
      <c r="G1064">
        <v>3.3656884345193427E-2</v>
      </c>
      <c r="H1064">
        <v>2.2771528218751591</v>
      </c>
      <c r="I1064">
        <v>1086.5329099999999</v>
      </c>
      <c r="J1064">
        <v>24.282778177673482</v>
      </c>
      <c r="K1064">
        <v>0.77984685680656141</v>
      </c>
      <c r="L1064">
        <v>0.54116287618653303</v>
      </c>
      <c r="M1064">
        <v>71.3</v>
      </c>
      <c r="N1064">
        <v>49.61</v>
      </c>
    </row>
    <row r="1065" spans="1:14" x14ac:dyDescent="0.25">
      <c r="A1065" s="1" t="s">
        <v>1077</v>
      </c>
      <c r="B1065" t="str">
        <f>HYPERLINK("https://www.suredividend.com/sure-analysis-NHI/","National Health Investors, Inc.")</f>
        <v>National Health Investors, Inc.</v>
      </c>
      <c r="C1065" t="s">
        <v>1799</v>
      </c>
      <c r="D1065">
        <v>51.44</v>
      </c>
      <c r="E1065">
        <v>6.9984447900466568E-2</v>
      </c>
      <c r="F1065">
        <v>0</v>
      </c>
      <c r="G1065">
        <v>-2.0851637639023202E-2</v>
      </c>
      <c r="H1065">
        <v>3.5065454237785998</v>
      </c>
      <c r="I1065">
        <v>2233.0022210000002</v>
      </c>
      <c r="J1065">
        <v>20.19098885147476</v>
      </c>
      <c r="K1065">
        <v>1.380529694401023</v>
      </c>
      <c r="L1065">
        <v>0.76142777513908411</v>
      </c>
      <c r="M1065">
        <v>57.06</v>
      </c>
      <c r="N1065">
        <v>45.56</v>
      </c>
    </row>
    <row r="1066" spans="1:14" x14ac:dyDescent="0.25">
      <c r="A1066" s="1" t="s">
        <v>1078</v>
      </c>
      <c r="B1066" t="str">
        <f>HYPERLINK("https://www.suredividend.com/sure-analysis-research-database/","Nicolet Bankshares Inc.")</f>
        <v>Nicolet Bankshares Inc.</v>
      </c>
      <c r="C1066" t="s">
        <v>1797</v>
      </c>
      <c r="D1066">
        <v>76.959999999999994</v>
      </c>
      <c r="E1066">
        <v>6.4861632648000002E-3</v>
      </c>
      <c r="F1066" t="s">
        <v>1797</v>
      </c>
      <c r="G1066" t="s">
        <v>1797</v>
      </c>
      <c r="H1066">
        <v>0.49917512485902998</v>
      </c>
      <c r="I1066">
        <v>1134.4261859999999</v>
      </c>
      <c r="J1066">
        <v>18.967800066880681</v>
      </c>
      <c r="K1066">
        <v>0.1232531172491432</v>
      </c>
      <c r="L1066">
        <v>1.106246347243188</v>
      </c>
      <c r="M1066">
        <v>84.92</v>
      </c>
      <c r="N1066">
        <v>51.39</v>
      </c>
    </row>
    <row r="1067" spans="1:14" x14ac:dyDescent="0.25">
      <c r="A1067" s="1" t="s">
        <v>1079</v>
      </c>
      <c r="B1067" t="str">
        <f>HYPERLINK("https://www.suredividend.com/sure-analysis-NJR/","New Jersey Resources Corporation")</f>
        <v>New Jersey Resources Corporation</v>
      </c>
      <c r="C1067" t="s">
        <v>1805</v>
      </c>
      <c r="D1067">
        <v>43.07</v>
      </c>
      <c r="E1067">
        <v>3.9006268864638961E-2</v>
      </c>
      <c r="F1067">
        <v>7.6923076923076872E-2</v>
      </c>
      <c r="G1067">
        <v>7.5040149141812229E-2</v>
      </c>
      <c r="H1067">
        <v>1.569466601755402</v>
      </c>
      <c r="I1067">
        <v>4201.9921530000001</v>
      </c>
      <c r="J1067">
        <v>14.888960296575039</v>
      </c>
      <c r="K1067">
        <v>0.54119537991565592</v>
      </c>
      <c r="L1067">
        <v>0.63154663628642904</v>
      </c>
      <c r="M1067">
        <v>54.85</v>
      </c>
      <c r="N1067">
        <v>38.92</v>
      </c>
    </row>
    <row r="1068" spans="1:14" x14ac:dyDescent="0.25">
      <c r="A1068" s="1" t="s">
        <v>1080</v>
      </c>
      <c r="B1068" t="str">
        <f>HYPERLINK("https://www.suredividend.com/sure-analysis-research-database/","Nikola Corp")</f>
        <v>Nikola Corp</v>
      </c>
      <c r="C1068" t="s">
        <v>1797</v>
      </c>
      <c r="D1068">
        <v>1.1399999999999999</v>
      </c>
      <c r="E1068">
        <v>0</v>
      </c>
      <c r="F1068" t="s">
        <v>1797</v>
      </c>
      <c r="G1068" t="s">
        <v>1797</v>
      </c>
      <c r="H1068">
        <v>0</v>
      </c>
      <c r="I1068">
        <v>888.58136400000001</v>
      </c>
      <c r="J1068" t="s">
        <v>1797</v>
      </c>
      <c r="K1068">
        <v>0</v>
      </c>
      <c r="L1068">
        <v>2.291227844274347</v>
      </c>
      <c r="M1068">
        <v>3.71</v>
      </c>
      <c r="N1068">
        <v>0.52100000000000002</v>
      </c>
    </row>
    <row r="1069" spans="1:14" x14ac:dyDescent="0.25">
      <c r="A1069" s="1" t="s">
        <v>1081</v>
      </c>
      <c r="B1069" t="str">
        <f>HYPERLINK("https://www.suredividend.com/sure-analysis-research-database/","Nektar Therapeutics")</f>
        <v>Nektar Therapeutics</v>
      </c>
      <c r="C1069" t="s">
        <v>1802</v>
      </c>
      <c r="D1069">
        <v>0.55000000000000004</v>
      </c>
      <c r="E1069">
        <v>0</v>
      </c>
      <c r="F1069" t="s">
        <v>1797</v>
      </c>
      <c r="G1069" t="s">
        <v>1797</v>
      </c>
      <c r="H1069">
        <v>0</v>
      </c>
      <c r="I1069">
        <v>104.56527</v>
      </c>
      <c r="J1069" t="s">
        <v>1797</v>
      </c>
      <c r="K1069">
        <v>0</v>
      </c>
      <c r="L1069">
        <v>2.0561418169254848</v>
      </c>
      <c r="M1069">
        <v>4.37</v>
      </c>
      <c r="N1069">
        <v>0.44</v>
      </c>
    </row>
    <row r="1070" spans="1:14" x14ac:dyDescent="0.25">
      <c r="A1070" s="1" t="s">
        <v>1082</v>
      </c>
      <c r="B1070" t="str">
        <f>HYPERLINK("https://www.suredividend.com/sure-analysis-research-database/","Nkarta Inc")</f>
        <v>Nkarta Inc</v>
      </c>
      <c r="C1070" t="s">
        <v>1797</v>
      </c>
      <c r="D1070">
        <v>2.2999999999999998</v>
      </c>
      <c r="E1070">
        <v>0</v>
      </c>
      <c r="F1070" t="s">
        <v>1797</v>
      </c>
      <c r="G1070" t="s">
        <v>1797</v>
      </c>
      <c r="H1070">
        <v>0</v>
      </c>
      <c r="I1070">
        <v>112.833938</v>
      </c>
      <c r="J1070">
        <v>0</v>
      </c>
      <c r="K1070" t="s">
        <v>1797</v>
      </c>
      <c r="L1070">
        <v>1.1256060294899839</v>
      </c>
      <c r="M1070">
        <v>12.17</v>
      </c>
      <c r="N1070">
        <v>1.28</v>
      </c>
    </row>
    <row r="1071" spans="1:14" x14ac:dyDescent="0.25">
      <c r="A1071" s="1" t="s">
        <v>1083</v>
      </c>
      <c r="B1071" t="str">
        <f>HYPERLINK("https://www.suredividend.com/sure-analysis-research-database/","NL Industries, Inc.")</f>
        <v>NL Industries, Inc.</v>
      </c>
      <c r="C1071" t="s">
        <v>1798</v>
      </c>
      <c r="D1071">
        <v>4.71</v>
      </c>
      <c r="E1071">
        <v>5.8363399481739013E-2</v>
      </c>
      <c r="F1071" t="s">
        <v>1797</v>
      </c>
      <c r="G1071" t="s">
        <v>1797</v>
      </c>
      <c r="H1071">
        <v>0.27489161155899</v>
      </c>
      <c r="I1071">
        <v>230.00570999999999</v>
      </c>
      <c r="J1071" t="s">
        <v>1797</v>
      </c>
      <c r="K1071" t="s">
        <v>1797</v>
      </c>
      <c r="L1071">
        <v>0.87091714022815003</v>
      </c>
      <c r="M1071">
        <v>7.73</v>
      </c>
      <c r="N1071">
        <v>4.51</v>
      </c>
    </row>
    <row r="1072" spans="1:14" x14ac:dyDescent="0.25">
      <c r="A1072" s="1" t="s">
        <v>1084</v>
      </c>
      <c r="B1072" t="str">
        <f>HYPERLINK("https://www.suredividend.com/sure-analysis-research-database/","NMI Holdings Inc")</f>
        <v>NMI Holdings Inc</v>
      </c>
      <c r="C1072" t="s">
        <v>1800</v>
      </c>
      <c r="D1072">
        <v>29.14</v>
      </c>
      <c r="E1072">
        <v>0</v>
      </c>
      <c r="F1072" t="s">
        <v>1797</v>
      </c>
      <c r="G1072" t="s">
        <v>1797</v>
      </c>
      <c r="H1072">
        <v>0</v>
      </c>
      <c r="I1072">
        <v>2397.661055</v>
      </c>
      <c r="J1072">
        <v>7.6937624704383634</v>
      </c>
      <c r="K1072">
        <v>0</v>
      </c>
      <c r="L1072">
        <v>0.89329564414929208</v>
      </c>
      <c r="M1072">
        <v>30.14</v>
      </c>
      <c r="N1072">
        <v>19.02</v>
      </c>
    </row>
    <row r="1073" spans="1:14" x14ac:dyDescent="0.25">
      <c r="A1073" s="1" t="s">
        <v>1085</v>
      </c>
      <c r="B1073" t="str">
        <f>HYPERLINK("https://www.suredividend.com/sure-analysis-research-database/","Newmark Group Inc")</f>
        <v>Newmark Group Inc</v>
      </c>
      <c r="C1073" t="s">
        <v>1799</v>
      </c>
      <c r="D1073">
        <v>7.52</v>
      </c>
      <c r="E1073">
        <v>1.5836543436662E-2</v>
      </c>
      <c r="F1073">
        <v>0</v>
      </c>
      <c r="G1073">
        <v>-0.1972584382397693</v>
      </c>
      <c r="H1073">
        <v>0.119090806643702</v>
      </c>
      <c r="I1073">
        <v>1145.9906149999999</v>
      </c>
      <c r="J1073">
        <v>37.606754007810189</v>
      </c>
      <c r="K1073">
        <v>0.87695733905524309</v>
      </c>
      <c r="L1073">
        <v>1.595675667825339</v>
      </c>
      <c r="M1073">
        <v>9.24</v>
      </c>
      <c r="N1073">
        <v>5.0199999999999996</v>
      </c>
    </row>
    <row r="1074" spans="1:14" x14ac:dyDescent="0.25">
      <c r="A1074" s="1" t="s">
        <v>1086</v>
      </c>
      <c r="B1074" t="str">
        <f>HYPERLINK("https://www.suredividend.com/sure-analysis-research-database/","NextNav Inc")</f>
        <v>NextNav Inc</v>
      </c>
      <c r="C1074" t="s">
        <v>1797</v>
      </c>
      <c r="D1074">
        <v>4.68</v>
      </c>
      <c r="E1074">
        <v>0</v>
      </c>
      <c r="F1074" t="s">
        <v>1797</v>
      </c>
      <c r="G1074" t="s">
        <v>1797</v>
      </c>
      <c r="H1074">
        <v>0</v>
      </c>
      <c r="I1074">
        <v>510.00914</v>
      </c>
      <c r="J1074">
        <v>0</v>
      </c>
      <c r="K1074" t="s">
        <v>1797</v>
      </c>
      <c r="L1074">
        <v>1.2691628757193161</v>
      </c>
      <c r="M1074">
        <v>6.07</v>
      </c>
      <c r="N1074">
        <v>1.59</v>
      </c>
    </row>
    <row r="1075" spans="1:14" x14ac:dyDescent="0.25">
      <c r="A1075" s="1" t="s">
        <v>1087</v>
      </c>
      <c r="B1075" t="str">
        <f>HYPERLINK("https://www.suredividend.com/sure-analysis-research-database/","Nelnet Inc")</f>
        <v>Nelnet Inc</v>
      </c>
      <c r="C1075" t="s">
        <v>1800</v>
      </c>
      <c r="D1075">
        <v>88.37</v>
      </c>
      <c r="E1075">
        <v>1.171926539654E-2</v>
      </c>
      <c r="F1075">
        <v>8.3333333333333481E-2</v>
      </c>
      <c r="G1075">
        <v>7.6316922514810814E-2</v>
      </c>
      <c r="H1075">
        <v>1.0356314830922579</v>
      </c>
      <c r="I1075">
        <v>2355.1480750000001</v>
      </c>
      <c r="J1075">
        <v>12.303113326072079</v>
      </c>
      <c r="K1075">
        <v>0.2022717740414566</v>
      </c>
      <c r="L1075">
        <v>0.58602952349521908</v>
      </c>
      <c r="M1075">
        <v>101.31</v>
      </c>
      <c r="N1075">
        <v>81.67</v>
      </c>
    </row>
    <row r="1076" spans="1:14" x14ac:dyDescent="0.25">
      <c r="A1076" s="1" t="s">
        <v>1088</v>
      </c>
      <c r="B1076" t="str">
        <f>HYPERLINK("https://www.suredividend.com/sure-analysis-research-database/","Nano X Imaging Ltd")</f>
        <v>Nano X Imaging Ltd</v>
      </c>
      <c r="C1076" t="s">
        <v>1797</v>
      </c>
      <c r="D1076">
        <v>6.09</v>
      </c>
      <c r="E1076">
        <v>0</v>
      </c>
      <c r="F1076" t="s">
        <v>1797</v>
      </c>
      <c r="G1076" t="s">
        <v>1797</v>
      </c>
      <c r="H1076">
        <v>0</v>
      </c>
      <c r="I1076">
        <v>335.86560100000003</v>
      </c>
      <c r="J1076">
        <v>0</v>
      </c>
      <c r="K1076" t="s">
        <v>1797</v>
      </c>
      <c r="L1076">
        <v>1.8277354860898789</v>
      </c>
      <c r="M1076">
        <v>22.69</v>
      </c>
      <c r="N1076">
        <v>4.8899999999999997</v>
      </c>
    </row>
    <row r="1077" spans="1:14" x14ac:dyDescent="0.25">
      <c r="A1077" s="1" t="s">
        <v>1089</v>
      </c>
      <c r="B1077" t="str">
        <f>HYPERLINK("https://www.suredividend.com/sure-analysis-research-database/","NI Holdings Inc")</f>
        <v>NI Holdings Inc</v>
      </c>
      <c r="C1077" t="s">
        <v>1800</v>
      </c>
      <c r="D1077">
        <v>12.93</v>
      </c>
      <c r="E1077">
        <v>0</v>
      </c>
      <c r="F1077" t="s">
        <v>1797</v>
      </c>
      <c r="G1077" t="s">
        <v>1797</v>
      </c>
      <c r="H1077">
        <v>0</v>
      </c>
      <c r="I1077">
        <v>269.75593900000001</v>
      </c>
      <c r="J1077">
        <v>0</v>
      </c>
      <c r="K1077" t="s">
        <v>1797</v>
      </c>
      <c r="L1077">
        <v>0.61872845257694309</v>
      </c>
      <c r="M1077">
        <v>15.28</v>
      </c>
      <c r="N1077">
        <v>12.01</v>
      </c>
    </row>
    <row r="1078" spans="1:14" x14ac:dyDescent="0.25">
      <c r="A1078" s="1" t="s">
        <v>1090</v>
      </c>
      <c r="B1078" t="str">
        <f>HYPERLINK("https://www.suredividend.com/sure-analysis-research-database/","Northern Oil and Gas Inc.")</f>
        <v>Northern Oil and Gas Inc.</v>
      </c>
      <c r="C1078" t="s">
        <v>1807</v>
      </c>
      <c r="D1078">
        <v>38.74</v>
      </c>
      <c r="E1078">
        <v>3.5360942950671E-2</v>
      </c>
      <c r="F1078" t="s">
        <v>1797</v>
      </c>
      <c r="G1078" t="s">
        <v>1797</v>
      </c>
      <c r="H1078">
        <v>1.3698829299090129</v>
      </c>
      <c r="I1078">
        <v>3603.7016450000001</v>
      </c>
      <c r="J1078">
        <v>5.3995481698151657</v>
      </c>
      <c r="K1078">
        <v>0.18739848562366801</v>
      </c>
      <c r="L1078">
        <v>1.155022052856467</v>
      </c>
      <c r="M1078">
        <v>43.22</v>
      </c>
      <c r="N1078">
        <v>24.75</v>
      </c>
    </row>
    <row r="1079" spans="1:14" x14ac:dyDescent="0.25">
      <c r="A1079" s="1" t="s">
        <v>1091</v>
      </c>
      <c r="B1079" t="str">
        <f>HYPERLINK("https://www.suredividend.com/sure-analysis-research-database/","Inotiv Inc")</f>
        <v>Inotiv Inc</v>
      </c>
      <c r="C1079" t="s">
        <v>1797</v>
      </c>
      <c r="D1079">
        <v>1.81</v>
      </c>
      <c r="E1079">
        <v>0</v>
      </c>
      <c r="F1079" t="s">
        <v>1797</v>
      </c>
      <c r="G1079" t="s">
        <v>1797</v>
      </c>
      <c r="H1079">
        <v>0</v>
      </c>
      <c r="I1079">
        <v>46.666763000000003</v>
      </c>
      <c r="J1079">
        <v>0</v>
      </c>
      <c r="K1079" t="s">
        <v>1797</v>
      </c>
      <c r="L1079">
        <v>2.028462469288943</v>
      </c>
      <c r="M1079">
        <v>18.3</v>
      </c>
      <c r="N1079">
        <v>1.76</v>
      </c>
    </row>
    <row r="1080" spans="1:14" x14ac:dyDescent="0.25">
      <c r="A1080" s="1" t="s">
        <v>1092</v>
      </c>
      <c r="B1080" t="str">
        <f>HYPERLINK("https://www.suredividend.com/sure-analysis-research-database/","Sunnova Energy International Inc")</f>
        <v>Sunnova Energy International Inc</v>
      </c>
      <c r="C1080" t="s">
        <v>1803</v>
      </c>
      <c r="D1080">
        <v>10.51</v>
      </c>
      <c r="E1080">
        <v>0</v>
      </c>
      <c r="F1080" t="s">
        <v>1797</v>
      </c>
      <c r="G1080" t="s">
        <v>1797</v>
      </c>
      <c r="H1080">
        <v>0</v>
      </c>
      <c r="I1080">
        <v>1286.5959330000001</v>
      </c>
      <c r="J1080" t="s">
        <v>1797</v>
      </c>
      <c r="K1080">
        <v>0</v>
      </c>
      <c r="L1080">
        <v>2.7548158809507162</v>
      </c>
      <c r="M1080">
        <v>24.82</v>
      </c>
      <c r="N1080">
        <v>7.62</v>
      </c>
    </row>
    <row r="1081" spans="1:14" x14ac:dyDescent="0.25">
      <c r="A1081" s="1" t="s">
        <v>1093</v>
      </c>
      <c r="B1081" t="str">
        <f>HYPERLINK("https://www.suredividend.com/sure-analysis-research-database/","Novanta Inc")</f>
        <v>Novanta Inc</v>
      </c>
      <c r="C1081" t="s">
        <v>1803</v>
      </c>
      <c r="D1081">
        <v>141.44</v>
      </c>
      <c r="E1081">
        <v>0</v>
      </c>
      <c r="F1081" t="s">
        <v>1797</v>
      </c>
      <c r="G1081" t="s">
        <v>1797</v>
      </c>
      <c r="H1081">
        <v>0</v>
      </c>
      <c r="I1081">
        <v>5064.7300539999997</v>
      </c>
      <c r="J1081">
        <v>65.864675064502705</v>
      </c>
      <c r="K1081">
        <v>0</v>
      </c>
      <c r="L1081">
        <v>1.5918135533246129</v>
      </c>
      <c r="M1081">
        <v>187.61</v>
      </c>
      <c r="N1081">
        <v>126.83</v>
      </c>
    </row>
    <row r="1082" spans="1:14" x14ac:dyDescent="0.25">
      <c r="A1082" s="1" t="s">
        <v>1094</v>
      </c>
      <c r="B1082" t="str">
        <f>HYPERLINK("https://www.suredividend.com/sure-analysis-research-database/","National Presto Industries, Inc.")</f>
        <v>National Presto Industries, Inc.</v>
      </c>
      <c r="C1082" t="s">
        <v>1798</v>
      </c>
      <c r="D1082">
        <v>77.67</v>
      </c>
      <c r="E1082">
        <v>1.287498390627E-2</v>
      </c>
      <c r="F1082" t="s">
        <v>1797</v>
      </c>
      <c r="G1082" t="s">
        <v>1797</v>
      </c>
      <c r="H1082">
        <v>1</v>
      </c>
      <c r="I1082">
        <v>549.85629900000004</v>
      </c>
      <c r="J1082">
        <v>21.579070639692318</v>
      </c>
      <c r="K1082">
        <v>0.2785515320334262</v>
      </c>
      <c r="L1082">
        <v>0.64581202756317102</v>
      </c>
      <c r="M1082">
        <v>82.59</v>
      </c>
      <c r="N1082">
        <v>63.56</v>
      </c>
    </row>
    <row r="1083" spans="1:14" x14ac:dyDescent="0.25">
      <c r="A1083" s="1" t="s">
        <v>1095</v>
      </c>
      <c r="B1083" t="str">
        <f>HYPERLINK("https://www.suredividend.com/sure-analysis-research-database/","EnPro Industries Inc")</f>
        <v>EnPro Industries Inc</v>
      </c>
      <c r="C1083" t="s">
        <v>1798</v>
      </c>
      <c r="D1083">
        <v>118.66</v>
      </c>
      <c r="E1083">
        <v>9.6564067935010003E-3</v>
      </c>
      <c r="F1083">
        <v>3.5714285714285587E-2</v>
      </c>
      <c r="G1083">
        <v>3.8573773084258578E-2</v>
      </c>
      <c r="H1083">
        <v>1.145829230116914</v>
      </c>
      <c r="I1083">
        <v>2480.867812</v>
      </c>
      <c r="J1083">
        <v>15.902998796410261</v>
      </c>
      <c r="K1083">
        <v>0.15380258122374679</v>
      </c>
      <c r="L1083">
        <v>1.0867940283513879</v>
      </c>
      <c r="M1083">
        <v>144.54</v>
      </c>
      <c r="N1083">
        <v>91.29</v>
      </c>
    </row>
    <row r="1084" spans="1:14" x14ac:dyDescent="0.25">
      <c r="A1084" s="1" t="s">
        <v>1096</v>
      </c>
      <c r="B1084" t="str">
        <f>HYPERLINK("https://www.suredividend.com/sure-analysis-research-database/","Newpark Resources, Inc.")</f>
        <v>Newpark Resources, Inc.</v>
      </c>
      <c r="C1084" t="s">
        <v>1807</v>
      </c>
      <c r="D1084">
        <v>7.18</v>
      </c>
      <c r="E1084">
        <v>0</v>
      </c>
      <c r="F1084" t="s">
        <v>1797</v>
      </c>
      <c r="G1084" t="s">
        <v>1797</v>
      </c>
      <c r="H1084">
        <v>0</v>
      </c>
      <c r="I1084">
        <v>610.93300999999997</v>
      </c>
      <c r="J1084">
        <v>25.472523780020008</v>
      </c>
      <c r="K1084">
        <v>0</v>
      </c>
      <c r="L1084">
        <v>0.72181957615273107</v>
      </c>
      <c r="M1084">
        <v>7.54</v>
      </c>
      <c r="N1084">
        <v>3.4</v>
      </c>
    </row>
    <row r="1085" spans="1:14" x14ac:dyDescent="0.25">
      <c r="A1085" s="1" t="s">
        <v>1097</v>
      </c>
      <c r="B1085" t="str">
        <f>HYPERLINK("https://www.suredividend.com/sure-analysis-research-database/","National Research Corp")</f>
        <v>National Research Corp</v>
      </c>
      <c r="C1085" t="s">
        <v>1802</v>
      </c>
      <c r="D1085">
        <v>41.66</v>
      </c>
      <c r="E1085">
        <v>1.1067258491869E-2</v>
      </c>
      <c r="F1085" t="s">
        <v>1797</v>
      </c>
      <c r="G1085" t="s">
        <v>1797</v>
      </c>
      <c r="H1085">
        <v>0.46106198877128302</v>
      </c>
      <c r="I1085">
        <v>1023.492632</v>
      </c>
      <c r="J1085">
        <v>35.097994980967727</v>
      </c>
      <c r="K1085">
        <v>0.39073049895871442</v>
      </c>
      <c r="L1085">
        <v>0.52324957915227899</v>
      </c>
      <c r="M1085">
        <v>47</v>
      </c>
      <c r="N1085">
        <v>34.42</v>
      </c>
    </row>
    <row r="1086" spans="1:14" x14ac:dyDescent="0.25">
      <c r="A1086" s="1" t="s">
        <v>1098</v>
      </c>
      <c r="B1086" t="str">
        <f>HYPERLINK("https://www.suredividend.com/sure-analysis-research-database/","Nerdwallet Inc")</f>
        <v>Nerdwallet Inc</v>
      </c>
      <c r="C1086" t="s">
        <v>1797</v>
      </c>
      <c r="D1086">
        <v>11.46</v>
      </c>
      <c r="E1086">
        <v>0</v>
      </c>
      <c r="F1086" t="s">
        <v>1797</v>
      </c>
      <c r="G1086" t="s">
        <v>1797</v>
      </c>
      <c r="H1086">
        <v>0</v>
      </c>
      <c r="I1086">
        <v>844.82378500000004</v>
      </c>
      <c r="J1086" t="s">
        <v>1797</v>
      </c>
      <c r="K1086">
        <v>0</v>
      </c>
      <c r="L1086">
        <v>1.232301753943881</v>
      </c>
      <c r="M1086">
        <v>21.74</v>
      </c>
      <c r="N1086">
        <v>6.38</v>
      </c>
    </row>
    <row r="1087" spans="1:14" x14ac:dyDescent="0.25">
      <c r="A1087" s="1" t="s">
        <v>1099</v>
      </c>
      <c r="B1087" t="str">
        <f>HYPERLINK("https://www.suredividend.com/sure-analysis-research-database/","Nerdy Inc")</f>
        <v>Nerdy Inc</v>
      </c>
      <c r="C1087" t="s">
        <v>1797</v>
      </c>
      <c r="D1087">
        <v>3.15</v>
      </c>
      <c r="E1087">
        <v>0</v>
      </c>
      <c r="F1087" t="s">
        <v>1797</v>
      </c>
      <c r="G1087" t="s">
        <v>1797</v>
      </c>
      <c r="H1087">
        <v>0</v>
      </c>
      <c r="I1087">
        <v>317.254345</v>
      </c>
      <c r="J1087" t="s">
        <v>1797</v>
      </c>
      <c r="K1087">
        <v>0</v>
      </c>
      <c r="L1087">
        <v>1.5727979042169229</v>
      </c>
      <c r="M1087">
        <v>5.37</v>
      </c>
      <c r="N1087">
        <v>1.86</v>
      </c>
    </row>
    <row r="1088" spans="1:14" x14ac:dyDescent="0.25">
      <c r="A1088" s="1" t="s">
        <v>1100</v>
      </c>
      <c r="B1088" t="str">
        <f>HYPERLINK("https://www.suredividend.com/sure-analysis-research-database/","NexPoint Real Estate Finance Inc")</f>
        <v>NexPoint Real Estate Finance Inc</v>
      </c>
      <c r="C1088" t="s">
        <v>1799</v>
      </c>
      <c r="D1088">
        <v>16.02</v>
      </c>
      <c r="E1088">
        <v>0.14401888192173101</v>
      </c>
      <c r="F1088" t="s">
        <v>1797</v>
      </c>
      <c r="G1088" t="s">
        <v>1797</v>
      </c>
      <c r="H1088">
        <v>2.3071824883861312</v>
      </c>
      <c r="I1088">
        <v>276.05524600000001</v>
      </c>
      <c r="J1088" t="s">
        <v>1797</v>
      </c>
      <c r="K1088" t="s">
        <v>1797</v>
      </c>
      <c r="L1088">
        <v>0.99522907260586913</v>
      </c>
      <c r="M1088">
        <v>18.559999999999999</v>
      </c>
      <c r="N1088">
        <v>12.02</v>
      </c>
    </row>
    <row r="1089" spans="1:14" x14ac:dyDescent="0.25">
      <c r="A1089" s="1" t="s">
        <v>1101</v>
      </c>
      <c r="B1089" t="str">
        <f>HYPERLINK("https://www.suredividend.com/sure-analysis-research-database/","Energy Vault Holdings Inc")</f>
        <v>Energy Vault Holdings Inc</v>
      </c>
      <c r="C1089" t="s">
        <v>1797</v>
      </c>
      <c r="D1089">
        <v>2.2799999999999998</v>
      </c>
      <c r="E1089">
        <v>0</v>
      </c>
      <c r="F1089" t="s">
        <v>1797</v>
      </c>
      <c r="G1089" t="s">
        <v>1797</v>
      </c>
      <c r="H1089">
        <v>0</v>
      </c>
      <c r="I1089">
        <v>325.71313500000002</v>
      </c>
      <c r="J1089" t="s">
        <v>1797</v>
      </c>
      <c r="K1089">
        <v>0</v>
      </c>
      <c r="L1089">
        <v>2.5001208606538818</v>
      </c>
      <c r="M1089">
        <v>5.51</v>
      </c>
      <c r="N1089">
        <v>1.35</v>
      </c>
    </row>
    <row r="1090" spans="1:14" x14ac:dyDescent="0.25">
      <c r="A1090" s="1" t="s">
        <v>1102</v>
      </c>
      <c r="B1090" t="str">
        <f>HYPERLINK("https://www.suredividend.com/sure-analysis-research-database/","Nurix Therapeutics Inc")</f>
        <v>Nurix Therapeutics Inc</v>
      </c>
      <c r="C1090" t="s">
        <v>1797</v>
      </c>
      <c r="D1090">
        <v>6.46</v>
      </c>
      <c r="E1090">
        <v>0</v>
      </c>
      <c r="F1090" t="s">
        <v>1797</v>
      </c>
      <c r="G1090" t="s">
        <v>1797</v>
      </c>
      <c r="H1090">
        <v>0</v>
      </c>
      <c r="I1090">
        <v>313.33434099999999</v>
      </c>
      <c r="J1090" t="s">
        <v>1797</v>
      </c>
      <c r="K1090">
        <v>0</v>
      </c>
      <c r="L1090">
        <v>1.7894756987795151</v>
      </c>
      <c r="M1090">
        <v>15.09</v>
      </c>
      <c r="N1090">
        <v>4.22</v>
      </c>
    </row>
    <row r="1091" spans="1:14" x14ac:dyDescent="0.25">
      <c r="A1091" s="1" t="s">
        <v>1103</v>
      </c>
      <c r="B1091" t="str">
        <f>HYPERLINK("https://www.suredividend.com/sure-analysis-research-database/","Insight Enterprises Inc.")</f>
        <v>Insight Enterprises Inc.</v>
      </c>
      <c r="C1091" t="s">
        <v>1803</v>
      </c>
      <c r="D1091">
        <v>147.75</v>
      </c>
      <c r="E1091">
        <v>0</v>
      </c>
      <c r="F1091" t="s">
        <v>1797</v>
      </c>
      <c r="G1091" t="s">
        <v>1797</v>
      </c>
      <c r="H1091">
        <v>0</v>
      </c>
      <c r="I1091">
        <v>5255.905874</v>
      </c>
      <c r="J1091">
        <v>19.598572120942059</v>
      </c>
      <c r="K1091">
        <v>0</v>
      </c>
      <c r="L1091">
        <v>0.61790973522659109</v>
      </c>
      <c r="M1091">
        <v>162.05000000000001</v>
      </c>
      <c r="N1091">
        <v>92.41</v>
      </c>
    </row>
    <row r="1092" spans="1:14" x14ac:dyDescent="0.25">
      <c r="A1092" s="1" t="s">
        <v>1104</v>
      </c>
      <c r="B1092" t="str">
        <f>HYPERLINK("https://www.suredividend.com/sure-analysis-NSP/","Insperity Inc")</f>
        <v>Insperity Inc</v>
      </c>
      <c r="C1092" t="s">
        <v>1798</v>
      </c>
      <c r="D1092">
        <v>108.55</v>
      </c>
      <c r="E1092">
        <v>2.1004145555043759E-2</v>
      </c>
      <c r="F1092">
        <v>9.6153846153846256E-2</v>
      </c>
      <c r="G1092">
        <v>0.1369744888101381</v>
      </c>
      <c r="H1092">
        <v>2.1637240680834782</v>
      </c>
      <c r="I1092">
        <v>4046.813146</v>
      </c>
      <c r="J1092">
        <v>21.2915085014758</v>
      </c>
      <c r="K1092">
        <v>0.43888926330293682</v>
      </c>
      <c r="L1092">
        <v>0.89285365532033412</v>
      </c>
      <c r="M1092">
        <v>129.72</v>
      </c>
      <c r="N1092">
        <v>93.34</v>
      </c>
    </row>
    <row r="1093" spans="1:14" x14ac:dyDescent="0.25">
      <c r="A1093" s="1" t="s">
        <v>1105</v>
      </c>
      <c r="B1093" t="str">
        <f>HYPERLINK("https://www.suredividend.com/sure-analysis-research-database/","NAPCO Security Technologies Inc")</f>
        <v>NAPCO Security Technologies Inc</v>
      </c>
      <c r="C1093" t="s">
        <v>1798</v>
      </c>
      <c r="D1093">
        <v>18.795000000000002</v>
      </c>
      <c r="E1093">
        <v>4.256451088686E-3</v>
      </c>
      <c r="F1093" t="s">
        <v>1797</v>
      </c>
      <c r="G1093" t="s">
        <v>1797</v>
      </c>
      <c r="H1093">
        <v>7.9999998211860004E-2</v>
      </c>
      <c r="I1093">
        <v>691.09397300000001</v>
      </c>
      <c r="J1093">
        <v>25.476240392044829</v>
      </c>
      <c r="K1093">
        <v>0.1091256284434047</v>
      </c>
      <c r="L1093">
        <v>1.010466775178928</v>
      </c>
      <c r="M1093">
        <v>40.98</v>
      </c>
      <c r="N1093">
        <v>17.760000000000002</v>
      </c>
    </row>
    <row r="1094" spans="1:14" x14ac:dyDescent="0.25">
      <c r="A1094" s="1" t="s">
        <v>1106</v>
      </c>
      <c r="B1094" t="str">
        <f>HYPERLINK("https://www.suredividend.com/sure-analysis-research-database/","Nanostring Technologies Inc")</f>
        <v>Nanostring Technologies Inc</v>
      </c>
      <c r="C1094" t="s">
        <v>1802</v>
      </c>
      <c r="D1094">
        <v>1.6</v>
      </c>
      <c r="E1094">
        <v>0</v>
      </c>
      <c r="F1094" t="s">
        <v>1797</v>
      </c>
      <c r="G1094" t="s">
        <v>1797</v>
      </c>
      <c r="H1094">
        <v>0</v>
      </c>
      <c r="I1094">
        <v>76.072879999999998</v>
      </c>
      <c r="J1094">
        <v>0</v>
      </c>
      <c r="K1094" t="s">
        <v>1797</v>
      </c>
      <c r="L1094">
        <v>2.6508641120212708</v>
      </c>
      <c r="M1094">
        <v>13.2</v>
      </c>
      <c r="N1094">
        <v>1.18</v>
      </c>
    </row>
    <row r="1095" spans="1:14" x14ac:dyDescent="0.25">
      <c r="A1095" s="1" t="s">
        <v>1107</v>
      </c>
      <c r="B1095" t="str">
        <f>HYPERLINK("https://www.suredividend.com/sure-analysis-research-database/","Bank of N T Butterfield &amp; Son Ltd.")</f>
        <v>Bank of N T Butterfield &amp; Son Ltd.</v>
      </c>
      <c r="C1095" t="s">
        <v>1800</v>
      </c>
      <c r="D1095">
        <v>27.33</v>
      </c>
      <c r="E1095">
        <v>6.2690983572274012E-2</v>
      </c>
      <c r="F1095">
        <v>0</v>
      </c>
      <c r="G1095">
        <v>0</v>
      </c>
      <c r="H1095">
        <v>1.713344581030261</v>
      </c>
      <c r="I1095">
        <v>1342.2629629999999</v>
      </c>
      <c r="J1095">
        <v>0</v>
      </c>
      <c r="K1095" t="s">
        <v>1797</v>
      </c>
      <c r="L1095">
        <v>1.2126085934743049</v>
      </c>
      <c r="M1095">
        <v>36.590000000000003</v>
      </c>
      <c r="N1095">
        <v>22.17</v>
      </c>
    </row>
    <row r="1096" spans="1:14" x14ac:dyDescent="0.25">
      <c r="A1096" s="1" t="s">
        <v>1108</v>
      </c>
      <c r="B1096" t="str">
        <f>HYPERLINK("https://www.suredividend.com/sure-analysis-research-database/","Netscout Systems Inc")</f>
        <v>Netscout Systems Inc</v>
      </c>
      <c r="C1096" t="s">
        <v>1803</v>
      </c>
      <c r="D1096">
        <v>21.68</v>
      </c>
      <c r="E1096">
        <v>0</v>
      </c>
      <c r="F1096" t="s">
        <v>1797</v>
      </c>
      <c r="G1096" t="s">
        <v>1797</v>
      </c>
      <c r="H1096">
        <v>0</v>
      </c>
      <c r="I1096">
        <v>1564.1770739999999</v>
      </c>
      <c r="J1096">
        <v>23.465354618581131</v>
      </c>
      <c r="K1096">
        <v>0</v>
      </c>
      <c r="L1096">
        <v>0.7007999589564271</v>
      </c>
      <c r="M1096">
        <v>38.020000000000003</v>
      </c>
      <c r="N1096">
        <v>21.15</v>
      </c>
    </row>
    <row r="1097" spans="1:14" x14ac:dyDescent="0.25">
      <c r="A1097" s="1" t="s">
        <v>1109</v>
      </c>
      <c r="B1097" t="str">
        <f>HYPERLINK("https://www.suredividend.com/sure-analysis-research-database/","Netgear Inc")</f>
        <v>Netgear Inc</v>
      </c>
      <c r="C1097" t="s">
        <v>1803</v>
      </c>
      <c r="D1097">
        <v>12.85</v>
      </c>
      <c r="E1097">
        <v>0</v>
      </c>
      <c r="F1097" t="s">
        <v>1797</v>
      </c>
      <c r="G1097" t="s">
        <v>1797</v>
      </c>
      <c r="H1097">
        <v>0</v>
      </c>
      <c r="I1097">
        <v>377.791246</v>
      </c>
      <c r="J1097" t="s">
        <v>1797</v>
      </c>
      <c r="K1097">
        <v>0</v>
      </c>
      <c r="L1097">
        <v>0.73890364452624102</v>
      </c>
      <c r="M1097">
        <v>21.79</v>
      </c>
      <c r="N1097">
        <v>10.4</v>
      </c>
    </row>
    <row r="1098" spans="1:14" x14ac:dyDescent="0.25">
      <c r="A1098" s="1" t="s">
        <v>1110</v>
      </c>
      <c r="B1098" t="str">
        <f>HYPERLINK("https://www.suredividend.com/sure-analysis-research-database/","Intellia Therapeutics Inc")</f>
        <v>Intellia Therapeutics Inc</v>
      </c>
      <c r="C1098" t="s">
        <v>1802</v>
      </c>
      <c r="D1098">
        <v>28.76</v>
      </c>
      <c r="E1098">
        <v>0</v>
      </c>
      <c r="F1098" t="s">
        <v>1797</v>
      </c>
      <c r="G1098" t="s">
        <v>1797</v>
      </c>
      <c r="H1098">
        <v>0</v>
      </c>
      <c r="I1098">
        <v>2544.999722</v>
      </c>
      <c r="J1098" t="s">
        <v>1797</v>
      </c>
      <c r="K1098">
        <v>0</v>
      </c>
      <c r="L1098">
        <v>1.832485782990259</v>
      </c>
      <c r="M1098">
        <v>57.49</v>
      </c>
      <c r="N1098">
        <v>22.81</v>
      </c>
    </row>
    <row r="1099" spans="1:14" x14ac:dyDescent="0.25">
      <c r="A1099" s="1" t="s">
        <v>1111</v>
      </c>
      <c r="B1099" t="str">
        <f>HYPERLINK("https://www.suredividend.com/sure-analysis-NTST/","Netstreit Corp")</f>
        <v>Netstreit Corp</v>
      </c>
      <c r="C1099" t="s">
        <v>1797</v>
      </c>
      <c r="D1099">
        <v>15.61</v>
      </c>
      <c r="E1099">
        <v>5.253042921204356E-2</v>
      </c>
      <c r="F1099" t="s">
        <v>1797</v>
      </c>
      <c r="G1099" t="s">
        <v>1797</v>
      </c>
      <c r="H1099">
        <v>0.79123577180426607</v>
      </c>
      <c r="I1099">
        <v>1072.426091</v>
      </c>
      <c r="J1099">
        <v>139.6206341661242</v>
      </c>
      <c r="K1099">
        <v>6.2796489825735406</v>
      </c>
      <c r="L1099">
        <v>0.69604525906889803</v>
      </c>
      <c r="M1099">
        <v>19.95</v>
      </c>
      <c r="N1099">
        <v>13.49</v>
      </c>
    </row>
    <row r="1100" spans="1:14" x14ac:dyDescent="0.25">
      <c r="A1100" s="1" t="s">
        <v>1112</v>
      </c>
      <c r="B1100" t="str">
        <f>HYPERLINK("https://www.suredividend.com/sure-analysis-NUS/","Nu Skin Enterprises, Inc.")</f>
        <v>Nu Skin Enterprises, Inc.</v>
      </c>
      <c r="C1100" t="s">
        <v>1804</v>
      </c>
      <c r="D1100">
        <v>17.989999999999998</v>
      </c>
      <c r="E1100">
        <v>8.6714841578654819E-2</v>
      </c>
      <c r="F1100">
        <v>1.2987012987013101E-2</v>
      </c>
      <c r="G1100">
        <v>1.333804570728625E-2</v>
      </c>
      <c r="H1100">
        <v>1.523682368151178</v>
      </c>
      <c r="I1100">
        <v>898.76214000000004</v>
      </c>
      <c r="J1100">
        <v>15.35610545636276</v>
      </c>
      <c r="K1100">
        <v>1.3022926223514339</v>
      </c>
      <c r="L1100">
        <v>0.8174386871379371</v>
      </c>
      <c r="M1100">
        <v>43.88</v>
      </c>
      <c r="N1100">
        <v>16.2</v>
      </c>
    </row>
    <row r="1101" spans="1:14" x14ac:dyDescent="0.25">
      <c r="A1101" s="1" t="s">
        <v>1113</v>
      </c>
      <c r="B1101" t="str">
        <f>HYPERLINK("https://www.suredividend.com/sure-analysis-research-database/","Nutex Health Inc")</f>
        <v>Nutex Health Inc</v>
      </c>
      <c r="C1101" t="s">
        <v>1797</v>
      </c>
      <c r="D1101">
        <v>0.25669999999999998</v>
      </c>
      <c r="E1101">
        <v>0</v>
      </c>
      <c r="F1101" t="s">
        <v>1797</v>
      </c>
      <c r="G1101" t="s">
        <v>1797</v>
      </c>
      <c r="H1101">
        <v>0</v>
      </c>
      <c r="I1101">
        <v>169.90919</v>
      </c>
      <c r="J1101">
        <v>0</v>
      </c>
      <c r="K1101" t="s">
        <v>1797</v>
      </c>
      <c r="L1101">
        <v>0.96906924536775407</v>
      </c>
      <c r="M1101">
        <v>2.46</v>
      </c>
      <c r="N1101">
        <v>0.18</v>
      </c>
    </row>
    <row r="1102" spans="1:14" x14ac:dyDescent="0.25">
      <c r="A1102" s="1" t="s">
        <v>1114</v>
      </c>
      <c r="B1102" t="str">
        <f>HYPERLINK("https://www.suredividend.com/sure-analysis-research-database/","Nuvasive Inc")</f>
        <v>Nuvasive Inc</v>
      </c>
      <c r="C1102" t="s">
        <v>1802</v>
      </c>
      <c r="D1102">
        <v>39.75</v>
      </c>
      <c r="E1102">
        <v>0</v>
      </c>
      <c r="F1102" t="s">
        <v>1797</v>
      </c>
      <c r="G1102" t="s">
        <v>1797</v>
      </c>
      <c r="H1102">
        <v>0</v>
      </c>
      <c r="I1102">
        <v>0</v>
      </c>
      <c r="J1102">
        <v>0</v>
      </c>
      <c r="K1102">
        <v>0</v>
      </c>
    </row>
    <row r="1103" spans="1:14" x14ac:dyDescent="0.25">
      <c r="A1103" s="1" t="s">
        <v>1115</v>
      </c>
      <c r="B1103" t="str">
        <f>HYPERLINK("https://www.suredividend.com/sure-analysis-research-database/","Nuvation Bio Inc")</f>
        <v>Nuvation Bio Inc</v>
      </c>
      <c r="C1103" t="s">
        <v>1797</v>
      </c>
      <c r="D1103">
        <v>1.35</v>
      </c>
      <c r="E1103">
        <v>0</v>
      </c>
      <c r="F1103" t="s">
        <v>1797</v>
      </c>
      <c r="G1103" t="s">
        <v>1797</v>
      </c>
      <c r="H1103">
        <v>0</v>
      </c>
      <c r="I1103">
        <v>295.57447200000001</v>
      </c>
      <c r="J1103">
        <v>0</v>
      </c>
      <c r="K1103" t="s">
        <v>1797</v>
      </c>
      <c r="L1103">
        <v>1.214271032244447</v>
      </c>
      <c r="M1103">
        <v>2.5499999999999998</v>
      </c>
      <c r="N1103">
        <v>0.95000000000000007</v>
      </c>
    </row>
    <row r="1104" spans="1:14" x14ac:dyDescent="0.25">
      <c r="A1104" s="1" t="s">
        <v>1116</v>
      </c>
      <c r="B1104" t="str">
        <f>HYPERLINK("https://www.suredividend.com/sure-analysis-research-database/","Nuvalent Inc")</f>
        <v>Nuvalent Inc</v>
      </c>
      <c r="C1104" t="s">
        <v>1797</v>
      </c>
      <c r="D1104">
        <v>56.35</v>
      </c>
      <c r="E1104">
        <v>0</v>
      </c>
      <c r="F1104" t="s">
        <v>1797</v>
      </c>
      <c r="G1104" t="s">
        <v>1797</v>
      </c>
      <c r="H1104">
        <v>0</v>
      </c>
      <c r="I1104">
        <v>2907.0705790000002</v>
      </c>
      <c r="J1104">
        <v>0</v>
      </c>
      <c r="K1104" t="s">
        <v>1797</v>
      </c>
      <c r="L1104">
        <v>1.2287844380488611</v>
      </c>
      <c r="M1104">
        <v>65.5</v>
      </c>
      <c r="N1104">
        <v>23.1</v>
      </c>
    </row>
    <row r="1105" spans="1:14" x14ac:dyDescent="0.25">
      <c r="A1105" s="1" t="s">
        <v>1117</v>
      </c>
      <c r="B1105" t="str">
        <f>HYPERLINK("https://www.suredividend.com/sure-analysis-research-database/","NV5 Global Inc")</f>
        <v>NV5 Global Inc</v>
      </c>
      <c r="C1105" t="s">
        <v>1798</v>
      </c>
      <c r="D1105">
        <v>94.26</v>
      </c>
      <c r="E1105">
        <v>0</v>
      </c>
      <c r="F1105" t="s">
        <v>1797</v>
      </c>
      <c r="G1105" t="s">
        <v>1797</v>
      </c>
      <c r="H1105">
        <v>0</v>
      </c>
      <c r="I1105">
        <v>1497.8153420000001</v>
      </c>
      <c r="J1105">
        <v>32.974822051383661</v>
      </c>
      <c r="K1105">
        <v>0</v>
      </c>
      <c r="L1105">
        <v>1.057517486191849</v>
      </c>
      <c r="M1105">
        <v>154.97</v>
      </c>
      <c r="N1105">
        <v>89.3</v>
      </c>
    </row>
    <row r="1106" spans="1:14" x14ac:dyDescent="0.25">
      <c r="A1106" s="1" t="s">
        <v>1118</v>
      </c>
      <c r="B1106" t="str">
        <f>HYPERLINK("https://www.suredividend.com/sure-analysis-research-database/","Nevro Corp")</f>
        <v>Nevro Corp</v>
      </c>
      <c r="C1106" t="s">
        <v>1802</v>
      </c>
      <c r="D1106">
        <v>16.07</v>
      </c>
      <c r="E1106">
        <v>0</v>
      </c>
      <c r="F1106" t="s">
        <v>1797</v>
      </c>
      <c r="G1106" t="s">
        <v>1797</v>
      </c>
      <c r="H1106">
        <v>0</v>
      </c>
      <c r="I1106">
        <v>581.82230500000003</v>
      </c>
      <c r="J1106" t="s">
        <v>1797</v>
      </c>
      <c r="K1106">
        <v>0</v>
      </c>
      <c r="L1106">
        <v>1.206063237846672</v>
      </c>
      <c r="M1106">
        <v>48.1</v>
      </c>
      <c r="N1106">
        <v>13.98</v>
      </c>
    </row>
    <row r="1107" spans="1:14" x14ac:dyDescent="0.25">
      <c r="A1107" s="1" t="s">
        <v>1119</v>
      </c>
      <c r="B1107" t="str">
        <f>HYPERLINK("https://www.suredividend.com/sure-analysis-research-database/","Invitae Corp")</f>
        <v>Invitae Corp</v>
      </c>
      <c r="C1107" t="s">
        <v>1802</v>
      </c>
      <c r="D1107">
        <v>0.63490000000000002</v>
      </c>
      <c r="E1107">
        <v>0</v>
      </c>
      <c r="F1107" t="s">
        <v>1797</v>
      </c>
      <c r="G1107" t="s">
        <v>1797</v>
      </c>
      <c r="H1107">
        <v>0</v>
      </c>
      <c r="I1107">
        <v>169.52722900000001</v>
      </c>
      <c r="J1107" t="s">
        <v>1797</v>
      </c>
      <c r="K1107">
        <v>0</v>
      </c>
      <c r="L1107">
        <v>3.1079139360991981</v>
      </c>
      <c r="M1107">
        <v>3.78</v>
      </c>
      <c r="N1107">
        <v>0.51</v>
      </c>
    </row>
    <row r="1108" spans="1:14" x14ac:dyDescent="0.25">
      <c r="A1108" s="1" t="s">
        <v>1120</v>
      </c>
      <c r="B1108" t="str">
        <f>HYPERLINK("https://www.suredividend.com/sure-analysis-NWBI/","Northwest Bancshares Inc")</f>
        <v>Northwest Bancshares Inc</v>
      </c>
      <c r="C1108" t="s">
        <v>1800</v>
      </c>
      <c r="D1108">
        <v>11.02</v>
      </c>
      <c r="E1108">
        <v>7.2595281306715068E-2</v>
      </c>
      <c r="F1108">
        <v>0</v>
      </c>
      <c r="G1108">
        <v>2.1295687600135119E-2</v>
      </c>
      <c r="H1108">
        <v>0.75789115022931408</v>
      </c>
      <c r="I1108">
        <v>1400.5935890000001</v>
      </c>
      <c r="J1108">
        <v>10.12860471894186</v>
      </c>
      <c r="K1108">
        <v>0.69531298186175594</v>
      </c>
      <c r="L1108">
        <v>0.96872875505443112</v>
      </c>
      <c r="M1108">
        <v>13.57</v>
      </c>
      <c r="N1108">
        <v>9.2200000000000006</v>
      </c>
    </row>
    <row r="1109" spans="1:14" x14ac:dyDescent="0.25">
      <c r="A1109" s="1" t="s">
        <v>1121</v>
      </c>
      <c r="B1109" t="str">
        <f>HYPERLINK("https://www.suredividend.com/sure-analysis-NWE/","NorthWestern Energy Group Inc")</f>
        <v>NorthWestern Energy Group Inc</v>
      </c>
      <c r="C1109" t="s">
        <v>1805</v>
      </c>
      <c r="D1109">
        <v>51.9</v>
      </c>
      <c r="E1109">
        <v>4.9325626204238922E-2</v>
      </c>
      <c r="F1109">
        <v>1.587301587301582E-2</v>
      </c>
      <c r="G1109">
        <v>3.077400337593272E-2</v>
      </c>
      <c r="H1109">
        <v>0</v>
      </c>
      <c r="I1109">
        <v>3178.4721519999998</v>
      </c>
      <c r="J1109">
        <v>0</v>
      </c>
      <c r="K1109" t="s">
        <v>1797</v>
      </c>
      <c r="L1109">
        <v>1.103582381348529</v>
      </c>
      <c r="M1109">
        <v>52.31</v>
      </c>
      <c r="N1109">
        <v>45.97</v>
      </c>
    </row>
    <row r="1110" spans="1:14" x14ac:dyDescent="0.25">
      <c r="A1110" s="1" t="s">
        <v>1122</v>
      </c>
      <c r="B1110" t="str">
        <f>HYPERLINK("https://www.suredividend.com/sure-analysis-research-database/","National Western Life Group Inc")</f>
        <v>National Western Life Group Inc</v>
      </c>
      <c r="C1110" t="s">
        <v>1800</v>
      </c>
      <c r="D1110">
        <v>478.3</v>
      </c>
      <c r="E1110">
        <v>7.526657208970001E-4</v>
      </c>
      <c r="F1110" t="s">
        <v>1797</v>
      </c>
      <c r="G1110" t="s">
        <v>1797</v>
      </c>
      <c r="H1110">
        <v>0.36000001430511402</v>
      </c>
      <c r="I1110">
        <v>1643.4483660000001</v>
      </c>
      <c r="J1110">
        <v>21.953624979962601</v>
      </c>
      <c r="K1110">
        <v>1.6885554141890899E-2</v>
      </c>
      <c r="L1110">
        <v>0.96559915720283807</v>
      </c>
      <c r="M1110">
        <v>488.17</v>
      </c>
      <c r="N1110">
        <v>193.96</v>
      </c>
    </row>
    <row r="1111" spans="1:14" x14ac:dyDescent="0.25">
      <c r="A1111" s="1" t="s">
        <v>1123</v>
      </c>
      <c r="B1111" t="str">
        <f>HYPERLINK("https://www.suredividend.com/sure-analysis-NWN/","Northwest Natural Holding Co")</f>
        <v>Northwest Natural Holding Co</v>
      </c>
      <c r="C1111" t="s">
        <v>1805</v>
      </c>
      <c r="D1111">
        <v>39.340000000000003</v>
      </c>
      <c r="E1111">
        <v>4.9567869852567358E-2</v>
      </c>
      <c r="F1111">
        <v>5.1546391752579357E-3</v>
      </c>
      <c r="G1111">
        <v>5.2086151973560479E-3</v>
      </c>
      <c r="H1111">
        <v>1.9078331551879011</v>
      </c>
      <c r="I1111">
        <v>1418.8058329999999</v>
      </c>
      <c r="J1111">
        <v>14.010959802891451</v>
      </c>
      <c r="K1111">
        <v>0.66941514217119336</v>
      </c>
      <c r="L1111">
        <v>0.53470082405074804</v>
      </c>
      <c r="M1111">
        <v>50.6</v>
      </c>
      <c r="N1111">
        <v>36.07</v>
      </c>
    </row>
    <row r="1112" spans="1:14" x14ac:dyDescent="0.25">
      <c r="A1112" s="1" t="s">
        <v>1124</v>
      </c>
      <c r="B1112" t="str">
        <f>HYPERLINK("https://www.suredividend.com/sure-analysis-research-database/","Northwest Pipe Co.")</f>
        <v>Northwest Pipe Co.</v>
      </c>
      <c r="C1112" t="s">
        <v>1798</v>
      </c>
      <c r="D1112">
        <v>28.48</v>
      </c>
      <c r="E1112">
        <v>0</v>
      </c>
      <c r="F1112" t="s">
        <v>1797</v>
      </c>
      <c r="G1112" t="s">
        <v>1797</v>
      </c>
      <c r="H1112">
        <v>0</v>
      </c>
      <c r="I1112">
        <v>285.20430199999998</v>
      </c>
      <c r="J1112">
        <v>10.28615797165218</v>
      </c>
      <c r="K1112">
        <v>0</v>
      </c>
      <c r="L1112">
        <v>0.86071382081419812</v>
      </c>
      <c r="M1112">
        <v>40.6</v>
      </c>
      <c r="N1112">
        <v>25.58</v>
      </c>
    </row>
    <row r="1113" spans="1:14" x14ac:dyDescent="0.25">
      <c r="A1113" s="1" t="s">
        <v>1125</v>
      </c>
      <c r="B1113" t="str">
        <f>HYPERLINK("https://www.suredividend.com/sure-analysis-research-database/","Quanex Building Products Corp")</f>
        <v>Quanex Building Products Corp</v>
      </c>
      <c r="C1113" t="s">
        <v>1798</v>
      </c>
      <c r="D1113">
        <v>28.88</v>
      </c>
      <c r="E1113">
        <v>1.1028833029085999E-2</v>
      </c>
      <c r="F1113">
        <v>0</v>
      </c>
      <c r="G1113">
        <v>0</v>
      </c>
      <c r="H1113">
        <v>0.31851269788002801</v>
      </c>
      <c r="I1113">
        <v>952.64526799999999</v>
      </c>
      <c r="J1113">
        <v>11.940005366355001</v>
      </c>
      <c r="K1113">
        <v>0.13161681730579669</v>
      </c>
      <c r="L1113">
        <v>1.2986975121666831</v>
      </c>
      <c r="M1113">
        <v>29.54</v>
      </c>
      <c r="N1113">
        <v>18.600000000000001</v>
      </c>
    </row>
    <row r="1114" spans="1:14" x14ac:dyDescent="0.25">
      <c r="A1114" s="1" t="s">
        <v>1126</v>
      </c>
      <c r="B1114" t="str">
        <f>HYPERLINK("https://www.suredividend.com/sure-analysis-research-database/","NextGen Healthcare Inc")</f>
        <v>NextGen Healthcare Inc</v>
      </c>
      <c r="C1114" t="s">
        <v>1802</v>
      </c>
      <c r="D1114">
        <v>23.93</v>
      </c>
      <c r="E1114">
        <v>0</v>
      </c>
      <c r="F1114" t="s">
        <v>1797</v>
      </c>
      <c r="G1114" t="s">
        <v>1797</v>
      </c>
      <c r="H1114">
        <v>0</v>
      </c>
      <c r="I1114">
        <v>1605.6286729999999</v>
      </c>
      <c r="J1114" t="s">
        <v>1797</v>
      </c>
      <c r="K1114">
        <v>0</v>
      </c>
      <c r="L1114">
        <v>0.48634515327494399</v>
      </c>
      <c r="M1114">
        <v>23.98</v>
      </c>
      <c r="N1114">
        <v>15.23</v>
      </c>
    </row>
    <row r="1115" spans="1:14" x14ac:dyDescent="0.25">
      <c r="A1115" s="1" t="s">
        <v>1127</v>
      </c>
      <c r="B1115" t="str">
        <f>HYPERLINK("https://www.suredividend.com/sure-analysis-NXRT/","NexPoint Residential Trust Inc")</f>
        <v>NexPoint Residential Trust Inc</v>
      </c>
      <c r="C1115" t="s">
        <v>1799</v>
      </c>
      <c r="D1115">
        <v>30.05</v>
      </c>
      <c r="E1115">
        <v>6.156405990016639E-2</v>
      </c>
      <c r="F1115">
        <v>0.1052631578947367</v>
      </c>
      <c r="G1115">
        <v>8.8386933613543883E-2</v>
      </c>
      <c r="H1115">
        <v>1.6533754904262321</v>
      </c>
      <c r="I1115">
        <v>771.51310599999999</v>
      </c>
      <c r="J1115" t="s">
        <v>1797</v>
      </c>
      <c r="K1115" t="s">
        <v>1797</v>
      </c>
      <c r="L1115">
        <v>1.216210776163644</v>
      </c>
      <c r="M1115">
        <v>51.22</v>
      </c>
      <c r="N1115">
        <v>26.21</v>
      </c>
    </row>
    <row r="1116" spans="1:14" x14ac:dyDescent="0.25">
      <c r="A1116" s="1" t="s">
        <v>1128</v>
      </c>
      <c r="B1116" t="str">
        <f>HYPERLINK("https://www.suredividend.com/sure-analysis-research-database/","Nextracker Inc")</f>
        <v>Nextracker Inc</v>
      </c>
      <c r="C1116" t="s">
        <v>1797</v>
      </c>
      <c r="D1116">
        <v>37.19</v>
      </c>
      <c r="E1116">
        <v>0</v>
      </c>
      <c r="F1116" t="s">
        <v>1797</v>
      </c>
      <c r="G1116" t="s">
        <v>1797</v>
      </c>
      <c r="H1116">
        <v>0</v>
      </c>
      <c r="I1116">
        <v>2305.2480340000002</v>
      </c>
      <c r="J1116">
        <v>0</v>
      </c>
      <c r="K1116" t="s">
        <v>1797</v>
      </c>
      <c r="L1116">
        <v>0.97828041270084309</v>
      </c>
      <c r="M1116">
        <v>46.55</v>
      </c>
      <c r="N1116">
        <v>28.24</v>
      </c>
    </row>
    <row r="1117" spans="1:14" x14ac:dyDescent="0.25">
      <c r="A1117" s="1" t="s">
        <v>1129</v>
      </c>
      <c r="B1117" t="str">
        <f>HYPERLINK("https://www.suredividend.com/sure-analysis-NYMT/","New York Mortgage Trust Inc")</f>
        <v>New York Mortgage Trust Inc</v>
      </c>
      <c r="C1117" t="s">
        <v>1799</v>
      </c>
      <c r="D1117">
        <v>8</v>
      </c>
      <c r="E1117">
        <v>0.15</v>
      </c>
      <c r="F1117" t="s">
        <v>1797</v>
      </c>
      <c r="G1117" t="s">
        <v>1797</v>
      </c>
      <c r="H1117">
        <v>1.3053611521971979</v>
      </c>
      <c r="I1117">
        <v>730.00319200000001</v>
      </c>
      <c r="J1117" t="s">
        <v>1797</v>
      </c>
      <c r="K1117" t="s">
        <v>1797</v>
      </c>
      <c r="L1117">
        <v>1.2717057553387581</v>
      </c>
      <c r="M1117">
        <v>11.34</v>
      </c>
      <c r="N1117">
        <v>7.23</v>
      </c>
    </row>
    <row r="1118" spans="1:14" x14ac:dyDescent="0.25">
      <c r="A1118" s="1" t="s">
        <v>1130</v>
      </c>
      <c r="B1118" t="str">
        <f>HYPERLINK("https://www.suredividend.com/sure-analysis-research-database/","OmniAb Inc")</f>
        <v>OmniAb Inc</v>
      </c>
      <c r="C1118" t="s">
        <v>1797</v>
      </c>
      <c r="D1118">
        <v>4.7</v>
      </c>
      <c r="E1118">
        <v>0</v>
      </c>
      <c r="F1118" t="s">
        <v>1797</v>
      </c>
      <c r="G1118" t="s">
        <v>1797</v>
      </c>
      <c r="H1118">
        <v>0</v>
      </c>
      <c r="I1118">
        <v>545.99067200000002</v>
      </c>
      <c r="J1118" t="s">
        <v>1797</v>
      </c>
      <c r="K1118">
        <v>0</v>
      </c>
      <c r="L1118">
        <v>1.2503866338383549</v>
      </c>
      <c r="M1118">
        <v>5.98</v>
      </c>
      <c r="N1118">
        <v>1.91</v>
      </c>
    </row>
    <row r="1119" spans="1:14" x14ac:dyDescent="0.25">
      <c r="A1119" s="1" t="s">
        <v>1131</v>
      </c>
      <c r="B1119" t="str">
        <f>HYPERLINK("https://www.suredividend.com/sure-analysis-research-database/","Outbrain Inc")</f>
        <v>Outbrain Inc</v>
      </c>
      <c r="C1119" t="s">
        <v>1797</v>
      </c>
      <c r="D1119">
        <v>4</v>
      </c>
      <c r="E1119">
        <v>0</v>
      </c>
      <c r="F1119" t="s">
        <v>1797</v>
      </c>
      <c r="G1119" t="s">
        <v>1797</v>
      </c>
      <c r="H1119">
        <v>0</v>
      </c>
      <c r="I1119">
        <v>203.89117200000001</v>
      </c>
      <c r="J1119" t="s">
        <v>1797</v>
      </c>
      <c r="K1119">
        <v>0</v>
      </c>
      <c r="L1119">
        <v>1.5805887548922271</v>
      </c>
      <c r="M1119">
        <v>5.95</v>
      </c>
      <c r="N1119">
        <v>3.33</v>
      </c>
    </row>
    <row r="1120" spans="1:14" x14ac:dyDescent="0.25">
      <c r="A1120" s="1" t="s">
        <v>1132</v>
      </c>
      <c r="B1120" t="str">
        <f>HYPERLINK("https://www.suredividend.com/sure-analysis-research-database/","Origin Bancorp Inc")</f>
        <v>Origin Bancorp Inc</v>
      </c>
      <c r="C1120" t="s">
        <v>1797</v>
      </c>
      <c r="D1120">
        <v>32.450000000000003</v>
      </c>
      <c r="E1120">
        <v>4.6224963316010004E-3</v>
      </c>
      <c r="F1120" t="s">
        <v>1797</v>
      </c>
      <c r="G1120" t="s">
        <v>1797</v>
      </c>
      <c r="H1120">
        <v>0.15000000596046401</v>
      </c>
      <c r="I1120">
        <v>1001.619093</v>
      </c>
      <c r="J1120">
        <v>10.91290427639106</v>
      </c>
      <c r="K1120">
        <v>4.9504952462199353E-2</v>
      </c>
      <c r="L1120">
        <v>0.93179319992825205</v>
      </c>
      <c r="M1120">
        <v>42.59</v>
      </c>
      <c r="N1120">
        <v>25.51</v>
      </c>
    </row>
    <row r="1121" spans="1:14" x14ac:dyDescent="0.25">
      <c r="A1121" s="1" t="s">
        <v>1133</v>
      </c>
      <c r="B1121" t="str">
        <f>HYPERLINK("https://www.suredividend.com/sure-analysis-research-database/","OceanFirst Financial Corp.")</f>
        <v>OceanFirst Financial Corp.</v>
      </c>
      <c r="C1121" t="s">
        <v>1800</v>
      </c>
      <c r="D1121">
        <v>14.12</v>
      </c>
      <c r="E1121">
        <v>5.4630503859341997E-2</v>
      </c>
      <c r="F1121">
        <v>0</v>
      </c>
      <c r="G1121">
        <v>3.3037804113932312E-2</v>
      </c>
      <c r="H1121">
        <v>0.77138271449391105</v>
      </c>
      <c r="I1121">
        <v>839.03155200000003</v>
      </c>
      <c r="J1121">
        <v>5.844995379631758</v>
      </c>
      <c r="K1121">
        <v>0.31614045675979963</v>
      </c>
      <c r="L1121">
        <v>1.279510759393333</v>
      </c>
      <c r="M1121">
        <v>23.34</v>
      </c>
      <c r="N1121">
        <v>11.65</v>
      </c>
    </row>
    <row r="1122" spans="1:14" x14ac:dyDescent="0.25">
      <c r="A1122" s="1" t="s">
        <v>1134</v>
      </c>
      <c r="B1122" t="str">
        <f>HYPERLINK("https://www.suredividend.com/sure-analysis-research-database/","Ocugen Inc")</f>
        <v>Ocugen Inc</v>
      </c>
      <c r="C1122" t="s">
        <v>1802</v>
      </c>
      <c r="D1122">
        <v>0.38500000000000001</v>
      </c>
      <c r="E1122">
        <v>0</v>
      </c>
      <c r="F1122" t="s">
        <v>1797</v>
      </c>
      <c r="G1122" t="s">
        <v>1797</v>
      </c>
      <c r="H1122">
        <v>0</v>
      </c>
      <c r="I1122">
        <v>98.748232000000002</v>
      </c>
      <c r="J1122">
        <v>0</v>
      </c>
      <c r="K1122" t="s">
        <v>1797</v>
      </c>
      <c r="L1122">
        <v>2.319618925244666</v>
      </c>
      <c r="M1122">
        <v>1.83</v>
      </c>
      <c r="N1122">
        <v>0.34499999999999997</v>
      </c>
    </row>
    <row r="1123" spans="1:14" x14ac:dyDescent="0.25">
      <c r="A1123" s="1" t="s">
        <v>1135</v>
      </c>
      <c r="B1123" t="str">
        <f>HYPERLINK("https://www.suredividend.com/sure-analysis-research-database/","Eightco Holdings Inc")</f>
        <v>Eightco Holdings Inc</v>
      </c>
      <c r="C1123" t="s">
        <v>1797</v>
      </c>
      <c r="D1123">
        <v>0.52900000000000003</v>
      </c>
      <c r="E1123">
        <v>0</v>
      </c>
      <c r="F1123" t="s">
        <v>1797</v>
      </c>
      <c r="G1123" t="s">
        <v>1797</v>
      </c>
      <c r="H1123">
        <v>0</v>
      </c>
      <c r="I1123">
        <v>1.5455680000000001</v>
      </c>
      <c r="J1123">
        <v>0</v>
      </c>
      <c r="K1123" t="s">
        <v>1797</v>
      </c>
      <c r="L1123">
        <v>-8.7338978468581718</v>
      </c>
      <c r="M1123">
        <v>4.46</v>
      </c>
      <c r="N1123">
        <v>5.5100000000000003E-2</v>
      </c>
    </row>
    <row r="1124" spans="1:14" x14ac:dyDescent="0.25">
      <c r="A1124" s="1" t="s">
        <v>1136</v>
      </c>
      <c r="B1124" t="str">
        <f>HYPERLINK("https://www.suredividend.com/sure-analysis-research-database/","Ocular Therapeutix Inc")</f>
        <v>Ocular Therapeutix Inc</v>
      </c>
      <c r="C1124" t="s">
        <v>1802</v>
      </c>
      <c r="D1124">
        <v>3.26</v>
      </c>
      <c r="E1124">
        <v>0</v>
      </c>
      <c r="F1124" t="s">
        <v>1797</v>
      </c>
      <c r="G1124" t="s">
        <v>1797</v>
      </c>
      <c r="H1124">
        <v>0</v>
      </c>
      <c r="I1124">
        <v>258.79507999999998</v>
      </c>
      <c r="J1124" t="s">
        <v>1797</v>
      </c>
      <c r="K1124">
        <v>0</v>
      </c>
      <c r="L1124">
        <v>1.722473473452804</v>
      </c>
      <c r="M1124">
        <v>7.96</v>
      </c>
      <c r="N1124">
        <v>2.23</v>
      </c>
    </row>
    <row r="1125" spans="1:14" x14ac:dyDescent="0.25">
      <c r="A1125" s="1" t="s">
        <v>1137</v>
      </c>
      <c r="B1125" t="str">
        <f>HYPERLINK("https://www.suredividend.com/sure-analysis-research-database/","ODP Corporation (The)")</f>
        <v>ODP Corporation (The)</v>
      </c>
      <c r="C1125" t="s">
        <v>1801</v>
      </c>
      <c r="D1125">
        <v>48.45</v>
      </c>
      <c r="E1125">
        <v>0</v>
      </c>
      <c r="F1125" t="s">
        <v>1797</v>
      </c>
      <c r="G1125" t="s">
        <v>1797</v>
      </c>
      <c r="H1125">
        <v>0</v>
      </c>
      <c r="I1125">
        <v>1843.495271</v>
      </c>
      <c r="J1125">
        <v>9.7026066899999996</v>
      </c>
      <c r="K1125">
        <v>0</v>
      </c>
      <c r="L1125">
        <v>1.1021602311281049</v>
      </c>
      <c r="M1125">
        <v>53.59</v>
      </c>
      <c r="N1125">
        <v>39.36</v>
      </c>
    </row>
    <row r="1126" spans="1:14" x14ac:dyDescent="0.25">
      <c r="A1126" s="1" t="s">
        <v>1138</v>
      </c>
      <c r="B1126" t="str">
        <f>HYPERLINK("https://www.suredividend.com/sure-analysis-research-database/","Orion S.A")</f>
        <v>Orion S.A</v>
      </c>
      <c r="C1126" t="s">
        <v>1808</v>
      </c>
      <c r="D1126">
        <v>21.3</v>
      </c>
      <c r="E1126">
        <v>3.8820709633019999E-3</v>
      </c>
      <c r="F1126" t="s">
        <v>1797</v>
      </c>
      <c r="G1126" t="s">
        <v>1797</v>
      </c>
      <c r="H1126">
        <v>8.2688111518341004E-2</v>
      </c>
      <c r="I1126">
        <v>1245.536777</v>
      </c>
      <c r="J1126">
        <v>0</v>
      </c>
      <c r="K1126" t="s">
        <v>1797</v>
      </c>
      <c r="L1126">
        <v>1.348598199251217</v>
      </c>
      <c r="M1126">
        <v>26.83</v>
      </c>
      <c r="N1126">
        <v>16.579999999999998</v>
      </c>
    </row>
    <row r="1127" spans="1:14" x14ac:dyDescent="0.25">
      <c r="A1127" s="1" t="s">
        <v>1139</v>
      </c>
      <c r="B1127" t="str">
        <f>HYPERLINK("https://www.suredividend.com/sure-analysis-research-database/","OFG Bancorp")</f>
        <v>OFG Bancorp</v>
      </c>
      <c r="C1127" t="s">
        <v>1800</v>
      </c>
      <c r="D1127">
        <v>31.84</v>
      </c>
      <c r="E1127">
        <v>2.6694581832472E-2</v>
      </c>
      <c r="F1127">
        <v>9.9999999999999867E-2</v>
      </c>
      <c r="G1127">
        <v>0.25737530980244538</v>
      </c>
      <c r="H1127">
        <v>0.84995548554592903</v>
      </c>
      <c r="I1127">
        <v>1500.6575989999999</v>
      </c>
      <c r="J1127">
        <v>8.3982002095272215</v>
      </c>
      <c r="K1127">
        <v>0.22726082501228051</v>
      </c>
      <c r="L1127">
        <v>0.9298553686895431</v>
      </c>
      <c r="M1127">
        <v>34.04</v>
      </c>
      <c r="N1127">
        <v>21.98</v>
      </c>
    </row>
    <row r="1128" spans="1:14" x14ac:dyDescent="0.25">
      <c r="A1128" s="1" t="s">
        <v>1140</v>
      </c>
      <c r="B1128" t="str">
        <f>HYPERLINK("https://www.suredividend.com/sure-analysis-research-database/","Orthofix Medical Inc")</f>
        <v>Orthofix Medical Inc</v>
      </c>
      <c r="C1128" t="s">
        <v>1802</v>
      </c>
      <c r="D1128">
        <v>12.28</v>
      </c>
      <c r="E1128">
        <v>0</v>
      </c>
      <c r="F1128" t="s">
        <v>1797</v>
      </c>
      <c r="G1128" t="s">
        <v>1797</v>
      </c>
      <c r="H1128">
        <v>0</v>
      </c>
      <c r="I1128">
        <v>451.151003</v>
      </c>
      <c r="J1128" t="s">
        <v>1797</v>
      </c>
      <c r="K1128">
        <v>0</v>
      </c>
      <c r="L1128">
        <v>1.3488539777483159</v>
      </c>
      <c r="M1128">
        <v>23.19</v>
      </c>
      <c r="N1128">
        <v>10.54</v>
      </c>
    </row>
    <row r="1129" spans="1:14" x14ac:dyDescent="0.25">
      <c r="A1129" s="1" t="s">
        <v>1141</v>
      </c>
      <c r="B1129" t="str">
        <f>HYPERLINK("https://www.suredividend.com/sure-analysis-research-database/","Omega Flex Inc")</f>
        <v>Omega Flex Inc</v>
      </c>
      <c r="C1129" t="s">
        <v>1798</v>
      </c>
      <c r="D1129">
        <v>73.42</v>
      </c>
      <c r="E1129">
        <v>1.7519722276398E-2</v>
      </c>
      <c r="F1129">
        <v>3.125E-2</v>
      </c>
      <c r="G1129">
        <v>6.5762756635474373E-2</v>
      </c>
      <c r="H1129">
        <v>1.2862980095331911</v>
      </c>
      <c r="I1129">
        <v>741.12512100000004</v>
      </c>
      <c r="J1129">
        <v>32.196234468916977</v>
      </c>
      <c r="K1129">
        <v>0.56416579365490827</v>
      </c>
      <c r="L1129">
        <v>0.99234379981766208</v>
      </c>
      <c r="M1129">
        <v>125.91</v>
      </c>
      <c r="N1129">
        <v>71</v>
      </c>
    </row>
    <row r="1130" spans="1:14" x14ac:dyDescent="0.25">
      <c r="A1130" s="1" t="s">
        <v>1142</v>
      </c>
      <c r="B1130" t="str">
        <f>HYPERLINK("https://www.suredividend.com/sure-analysis-OGS/","ONE Gas Inc")</f>
        <v>ONE Gas Inc</v>
      </c>
      <c r="C1130" t="s">
        <v>1805</v>
      </c>
      <c r="D1130">
        <v>62.21</v>
      </c>
      <c r="E1130">
        <v>4.1793923806461977E-2</v>
      </c>
      <c r="F1130">
        <v>4.8387096774193512E-2</v>
      </c>
      <c r="G1130">
        <v>7.1596052225361806E-2</v>
      </c>
      <c r="H1130">
        <v>2.5381744755569939</v>
      </c>
      <c r="I1130">
        <v>3449.7964510000002</v>
      </c>
      <c r="J1130">
        <v>15.16187442809991</v>
      </c>
      <c r="K1130">
        <v>0.61906694525780348</v>
      </c>
      <c r="L1130">
        <v>0.61481515984337609</v>
      </c>
      <c r="M1130">
        <v>86.81</v>
      </c>
      <c r="N1130">
        <v>59.38</v>
      </c>
    </row>
    <row r="1131" spans="1:14" x14ac:dyDescent="0.25">
      <c r="A1131" s="1" t="s">
        <v>1143</v>
      </c>
      <c r="B1131" t="str">
        <f>HYPERLINK("https://www.suredividend.com/sure-analysis-research-database/","O-I Glass Inc")</f>
        <v>O-I Glass Inc</v>
      </c>
      <c r="C1131" t="s">
        <v>1801</v>
      </c>
      <c r="D1131">
        <v>14.95</v>
      </c>
      <c r="E1131">
        <v>0</v>
      </c>
      <c r="F1131" t="s">
        <v>1797</v>
      </c>
      <c r="G1131" t="s">
        <v>1797</v>
      </c>
      <c r="H1131">
        <v>0</v>
      </c>
      <c r="I1131">
        <v>2313.172881</v>
      </c>
      <c r="J1131">
        <v>0</v>
      </c>
      <c r="K1131" t="s">
        <v>1797</v>
      </c>
      <c r="L1131">
        <v>0.9328287428898141</v>
      </c>
      <c r="M1131">
        <v>23.57</v>
      </c>
      <c r="N1131">
        <v>13.56</v>
      </c>
    </row>
    <row r="1132" spans="1:14" x14ac:dyDescent="0.25">
      <c r="A1132" s="1" t="s">
        <v>1144</v>
      </c>
      <c r="B1132" t="str">
        <f>HYPERLINK("https://www.suredividend.com/sure-analysis-research-database/","Oceaneering International, Inc.")</f>
        <v>Oceaneering International, Inc.</v>
      </c>
      <c r="C1132" t="s">
        <v>1807</v>
      </c>
      <c r="D1132">
        <v>22.79</v>
      </c>
      <c r="E1132">
        <v>0</v>
      </c>
      <c r="F1132" t="s">
        <v>1797</v>
      </c>
      <c r="G1132" t="s">
        <v>1797</v>
      </c>
      <c r="H1132">
        <v>0</v>
      </c>
      <c r="I1132">
        <v>2295.5331649999998</v>
      </c>
      <c r="J1132">
        <v>30.2035889191074</v>
      </c>
      <c r="K1132">
        <v>0</v>
      </c>
      <c r="L1132">
        <v>1.2240559001166409</v>
      </c>
      <c r="M1132">
        <v>27.46</v>
      </c>
      <c r="N1132">
        <v>13.38</v>
      </c>
    </row>
    <row r="1133" spans="1:14" x14ac:dyDescent="0.25">
      <c r="A1133" s="1" t="s">
        <v>1145</v>
      </c>
      <c r="B1133" t="str">
        <f>HYPERLINK("https://www.suredividend.com/sure-analysis-research-database/","Oil States International, Inc.")</f>
        <v>Oil States International, Inc.</v>
      </c>
      <c r="C1133" t="s">
        <v>1807</v>
      </c>
      <c r="D1133">
        <v>7.72</v>
      </c>
      <c r="E1133">
        <v>0</v>
      </c>
      <c r="F1133" t="s">
        <v>1797</v>
      </c>
      <c r="G1133" t="s">
        <v>1797</v>
      </c>
      <c r="H1133">
        <v>0</v>
      </c>
      <c r="I1133">
        <v>493.22443900000002</v>
      </c>
      <c r="J1133">
        <v>50.685894432226902</v>
      </c>
      <c r="K1133">
        <v>0</v>
      </c>
      <c r="L1133">
        <v>1.2982634202960801</v>
      </c>
      <c r="M1133">
        <v>10.47</v>
      </c>
      <c r="N1133">
        <v>6.02</v>
      </c>
    </row>
    <row r="1134" spans="1:14" x14ac:dyDescent="0.25">
      <c r="A1134" s="1" t="s">
        <v>1146</v>
      </c>
      <c r="B1134" t="str">
        <f>HYPERLINK("https://www.suredividend.com/sure-analysis-research-database/","Olo Inc")</f>
        <v>Olo Inc</v>
      </c>
      <c r="D1134">
        <v>5.76</v>
      </c>
      <c r="E1134">
        <v>0</v>
      </c>
      <c r="F1134" t="s">
        <v>1797</v>
      </c>
      <c r="G1134" t="s">
        <v>1797</v>
      </c>
      <c r="H1134">
        <v>0</v>
      </c>
      <c r="I1134">
        <v>624.21126300000003</v>
      </c>
      <c r="J1134" t="s">
        <v>1797</v>
      </c>
      <c r="K1134">
        <v>0</v>
      </c>
      <c r="L1134">
        <v>1.8128248523405111</v>
      </c>
      <c r="M1134">
        <v>9.5500000000000007</v>
      </c>
      <c r="N1134">
        <v>5.0599999999999996</v>
      </c>
    </row>
    <row r="1135" spans="1:14" x14ac:dyDescent="0.25">
      <c r="A1135" s="1" t="s">
        <v>1147</v>
      </c>
      <c r="B1135" t="str">
        <f>HYPERLINK("https://www.suredividend.com/sure-analysis-OLP/","One Liberty Properties, Inc.")</f>
        <v>One Liberty Properties, Inc.</v>
      </c>
      <c r="C1135" t="s">
        <v>1799</v>
      </c>
      <c r="D1135">
        <v>19.28</v>
      </c>
      <c r="E1135">
        <v>9.3360995850622408E-2</v>
      </c>
      <c r="F1135">
        <v>0</v>
      </c>
      <c r="G1135">
        <v>0</v>
      </c>
      <c r="H1135">
        <v>1.7398528115378029</v>
      </c>
      <c r="I1135">
        <v>410.83805999999998</v>
      </c>
      <c r="J1135">
        <v>15.32577535121424</v>
      </c>
      <c r="K1135">
        <v>1.3281319172044299</v>
      </c>
      <c r="L1135">
        <v>0.89822338868053009</v>
      </c>
      <c r="M1135">
        <v>23.13</v>
      </c>
      <c r="N1135">
        <v>17.55</v>
      </c>
    </row>
    <row r="1136" spans="1:14" x14ac:dyDescent="0.25">
      <c r="A1136" s="1" t="s">
        <v>1148</v>
      </c>
      <c r="B1136" t="str">
        <f>HYPERLINK("https://www.suredividend.com/sure-analysis-research-database/","Outset Medical Inc")</f>
        <v>Outset Medical Inc</v>
      </c>
      <c r="C1136" t="s">
        <v>1797</v>
      </c>
      <c r="D1136">
        <v>4.25</v>
      </c>
      <c r="E1136">
        <v>0</v>
      </c>
      <c r="F1136" t="s">
        <v>1797</v>
      </c>
      <c r="G1136" t="s">
        <v>1797</v>
      </c>
      <c r="H1136">
        <v>0</v>
      </c>
      <c r="I1136">
        <v>211.60840099999999</v>
      </c>
      <c r="J1136" t="s">
        <v>1797</v>
      </c>
      <c r="K1136">
        <v>0</v>
      </c>
      <c r="L1136">
        <v>1.6717469866980059</v>
      </c>
      <c r="M1136">
        <v>30.55</v>
      </c>
      <c r="N1136">
        <v>2.9</v>
      </c>
    </row>
    <row r="1137" spans="1:14" x14ac:dyDescent="0.25">
      <c r="A1137" s="1" t="s">
        <v>1149</v>
      </c>
      <c r="B1137" t="str">
        <f>HYPERLINK("https://www.suredividend.com/sure-analysis-research-database/","Omnicell, Inc.")</f>
        <v>Omnicell, Inc.</v>
      </c>
      <c r="C1137" t="s">
        <v>1802</v>
      </c>
      <c r="D1137">
        <v>30.44</v>
      </c>
      <c r="E1137">
        <v>0</v>
      </c>
      <c r="F1137" t="s">
        <v>1797</v>
      </c>
      <c r="G1137" t="s">
        <v>1797</v>
      </c>
      <c r="H1137">
        <v>0</v>
      </c>
      <c r="I1137">
        <v>1376.2545580000001</v>
      </c>
      <c r="J1137" t="s">
        <v>1797</v>
      </c>
      <c r="K1137">
        <v>0</v>
      </c>
      <c r="L1137">
        <v>1.373844409658515</v>
      </c>
      <c r="M1137">
        <v>77.14</v>
      </c>
      <c r="N1137">
        <v>28.76</v>
      </c>
    </row>
    <row r="1138" spans="1:14" x14ac:dyDescent="0.25">
      <c r="A1138" s="1" t="s">
        <v>1150</v>
      </c>
      <c r="B1138" t="str">
        <f>HYPERLINK("https://www.suredividend.com/sure-analysis-research-database/","Owens &amp; Minor, Inc.")</f>
        <v>Owens &amp; Minor, Inc.</v>
      </c>
      <c r="C1138" t="s">
        <v>1802</v>
      </c>
      <c r="D1138">
        <v>19.71</v>
      </c>
      <c r="E1138">
        <v>0</v>
      </c>
      <c r="F1138" t="s">
        <v>1797</v>
      </c>
      <c r="G1138" t="s">
        <v>1797</v>
      </c>
      <c r="H1138">
        <v>0</v>
      </c>
      <c r="I1138">
        <v>1508.42057</v>
      </c>
      <c r="J1138" t="s">
        <v>1797</v>
      </c>
      <c r="K1138">
        <v>0</v>
      </c>
      <c r="L1138">
        <v>2.1479175688703571</v>
      </c>
      <c r="M1138">
        <v>22.86</v>
      </c>
      <c r="N1138">
        <v>11.79</v>
      </c>
    </row>
    <row r="1139" spans="1:14" x14ac:dyDescent="0.25">
      <c r="A1139" s="1" t="s">
        <v>1151</v>
      </c>
      <c r="B1139" t="str">
        <f>HYPERLINK("https://www.suredividend.com/sure-analysis-research-database/","Singular Genomics Systems Inc")</f>
        <v>Singular Genomics Systems Inc</v>
      </c>
      <c r="C1139" t="s">
        <v>1797</v>
      </c>
      <c r="D1139">
        <v>0.36</v>
      </c>
      <c r="E1139">
        <v>0</v>
      </c>
      <c r="F1139" t="s">
        <v>1797</v>
      </c>
      <c r="G1139" t="s">
        <v>1797</v>
      </c>
      <c r="H1139">
        <v>0</v>
      </c>
      <c r="I1139">
        <v>26.325172999999999</v>
      </c>
      <c r="J1139" t="s">
        <v>1797</v>
      </c>
      <c r="K1139">
        <v>0</v>
      </c>
      <c r="L1139">
        <v>1.7461790575907301</v>
      </c>
      <c r="M1139">
        <v>3</v>
      </c>
      <c r="N1139">
        <v>0.31190000000000001</v>
      </c>
    </row>
    <row r="1140" spans="1:14" x14ac:dyDescent="0.25">
      <c r="A1140" s="1" t="s">
        <v>1152</v>
      </c>
      <c r="B1140" t="str">
        <f>HYPERLINK("https://www.suredividend.com/sure-analysis-research-database/","Old National Bancorp")</f>
        <v>Old National Bancorp</v>
      </c>
      <c r="C1140" t="s">
        <v>1800</v>
      </c>
      <c r="D1140">
        <v>14.61</v>
      </c>
      <c r="E1140">
        <v>3.7583611758076001E-2</v>
      </c>
      <c r="F1140">
        <v>0</v>
      </c>
      <c r="G1140">
        <v>1.493197894539389E-2</v>
      </c>
      <c r="H1140">
        <v>0.54909656778550009</v>
      </c>
      <c r="I1140">
        <v>4275.1928099999996</v>
      </c>
      <c r="J1140">
        <v>6.7420153064442871</v>
      </c>
      <c r="K1140">
        <v>0.25303989298870971</v>
      </c>
      <c r="L1140">
        <v>0.93286487933254003</v>
      </c>
      <c r="M1140">
        <v>19.27</v>
      </c>
      <c r="N1140">
        <v>11.3</v>
      </c>
    </row>
    <row r="1141" spans="1:14" x14ac:dyDescent="0.25">
      <c r="A1141" s="1" t="s">
        <v>1153</v>
      </c>
      <c r="B1141" t="str">
        <f>HYPERLINK("https://www.suredividend.com/sure-analysis-research-database/","Ondas Holdings Inc")</f>
        <v>Ondas Holdings Inc</v>
      </c>
      <c r="C1141" t="s">
        <v>1803</v>
      </c>
      <c r="D1141">
        <v>0.54530000000000001</v>
      </c>
      <c r="E1141">
        <v>0</v>
      </c>
      <c r="F1141" t="s">
        <v>1797</v>
      </c>
      <c r="G1141" t="s">
        <v>1797</v>
      </c>
      <c r="H1141">
        <v>0</v>
      </c>
      <c r="I1141">
        <v>30.092175000000001</v>
      </c>
      <c r="J1141" t="s">
        <v>1797</v>
      </c>
      <c r="K1141">
        <v>0</v>
      </c>
      <c r="L1141">
        <v>2.4746473993371652</v>
      </c>
      <c r="M1141">
        <v>3.9</v>
      </c>
      <c r="N1141">
        <v>0.31459999999999999</v>
      </c>
    </row>
    <row r="1142" spans="1:14" x14ac:dyDescent="0.25">
      <c r="A1142" s="1" t="s">
        <v>1154</v>
      </c>
      <c r="B1142" t="str">
        <f>HYPERLINK("https://www.suredividend.com/sure-analysis-research-database/","Onewater Marine Inc")</f>
        <v>Onewater Marine Inc</v>
      </c>
      <c r="C1142" t="s">
        <v>1801</v>
      </c>
      <c r="D1142">
        <v>24.98</v>
      </c>
      <c r="E1142">
        <v>0</v>
      </c>
      <c r="F1142" t="s">
        <v>1797</v>
      </c>
      <c r="G1142" t="s">
        <v>1797</v>
      </c>
      <c r="H1142">
        <v>0</v>
      </c>
      <c r="I1142">
        <v>358.641932</v>
      </c>
      <c r="J1142">
        <v>4.5440852928729809</v>
      </c>
      <c r="K1142">
        <v>0</v>
      </c>
      <c r="L1142">
        <v>1.0853042555403161</v>
      </c>
      <c r="M1142">
        <v>39.15</v>
      </c>
      <c r="N1142">
        <v>21.78</v>
      </c>
    </row>
    <row r="1143" spans="1:14" x14ac:dyDescent="0.25">
      <c r="A1143" s="1" t="s">
        <v>1155</v>
      </c>
      <c r="B1143" t="str">
        <f>HYPERLINK("https://www.suredividend.com/sure-analysis-research-database/","Orion Office REIT Inc")</f>
        <v>Orion Office REIT Inc</v>
      </c>
      <c r="C1143" t="s">
        <v>1797</v>
      </c>
      <c r="D1143">
        <v>5.33</v>
      </c>
      <c r="E1143">
        <v>7.3138758591066999E-2</v>
      </c>
      <c r="F1143" t="s">
        <v>1797</v>
      </c>
      <c r="G1143" t="s">
        <v>1797</v>
      </c>
      <c r="H1143">
        <v>0.38982958329038903</v>
      </c>
      <c r="I1143">
        <v>302.18803300000002</v>
      </c>
      <c r="J1143" t="s">
        <v>1797</v>
      </c>
      <c r="K1143" t="s">
        <v>1797</v>
      </c>
      <c r="L1143">
        <v>1.289608919824107</v>
      </c>
      <c r="M1143">
        <v>9.35</v>
      </c>
      <c r="N1143">
        <v>4.41</v>
      </c>
    </row>
    <row r="1144" spans="1:14" x14ac:dyDescent="0.25">
      <c r="A1144" s="1" t="s">
        <v>1156</v>
      </c>
      <c r="B1144" t="str">
        <f>HYPERLINK("https://www.suredividend.com/sure-analysis-research-database/","ON24 Inc")</f>
        <v>ON24 Inc</v>
      </c>
      <c r="C1144" t="s">
        <v>1797</v>
      </c>
      <c r="D1144">
        <v>6.33</v>
      </c>
      <c r="E1144">
        <v>0</v>
      </c>
      <c r="F1144" t="s">
        <v>1797</v>
      </c>
      <c r="G1144" t="s">
        <v>1797</v>
      </c>
      <c r="H1144">
        <v>0</v>
      </c>
      <c r="I1144">
        <v>277.91616900000002</v>
      </c>
      <c r="J1144" t="s">
        <v>1797</v>
      </c>
      <c r="K1144">
        <v>0</v>
      </c>
      <c r="L1144">
        <v>1.027579542634238</v>
      </c>
      <c r="M1144">
        <v>9.67</v>
      </c>
      <c r="N1144">
        <v>5.73</v>
      </c>
    </row>
    <row r="1145" spans="1:14" x14ac:dyDescent="0.25">
      <c r="A1145" s="1" t="s">
        <v>1157</v>
      </c>
      <c r="B1145" t="str">
        <f>HYPERLINK("https://www.suredividend.com/sure-analysis-research-database/","Onto Innovation Inc.")</f>
        <v>Onto Innovation Inc.</v>
      </c>
      <c r="C1145" t="s">
        <v>1803</v>
      </c>
      <c r="D1145">
        <v>118.9</v>
      </c>
      <c r="E1145">
        <v>0</v>
      </c>
      <c r="F1145" t="s">
        <v>1797</v>
      </c>
      <c r="G1145" t="s">
        <v>1797</v>
      </c>
      <c r="H1145">
        <v>0</v>
      </c>
      <c r="I1145">
        <v>5837.99</v>
      </c>
      <c r="J1145">
        <v>33.669121590837001</v>
      </c>
      <c r="K1145">
        <v>0</v>
      </c>
      <c r="L1145">
        <v>1.7522422618368929</v>
      </c>
      <c r="M1145">
        <v>147.72</v>
      </c>
      <c r="N1145">
        <v>65.61</v>
      </c>
    </row>
    <row r="1146" spans="1:14" x14ac:dyDescent="0.25">
      <c r="A1146" s="1" t="s">
        <v>1158</v>
      </c>
      <c r="B1146" t="str">
        <f>HYPERLINK("https://www.suredividend.com/sure-analysis-research-database/","Ooma Inc")</f>
        <v>Ooma Inc</v>
      </c>
      <c r="C1146" t="s">
        <v>1806</v>
      </c>
      <c r="D1146">
        <v>10.85</v>
      </c>
      <c r="E1146">
        <v>0</v>
      </c>
      <c r="F1146" t="s">
        <v>1797</v>
      </c>
      <c r="G1146" t="s">
        <v>1797</v>
      </c>
      <c r="H1146">
        <v>0</v>
      </c>
      <c r="I1146">
        <v>277.76</v>
      </c>
      <c r="J1146" t="s">
        <v>1797</v>
      </c>
      <c r="K1146">
        <v>0</v>
      </c>
      <c r="L1146">
        <v>0.78636017579374706</v>
      </c>
      <c r="M1146">
        <v>16.350000000000001</v>
      </c>
      <c r="N1146">
        <v>10.210000000000001</v>
      </c>
    </row>
    <row r="1147" spans="1:14" x14ac:dyDescent="0.25">
      <c r="A1147" s="1" t="s">
        <v>1159</v>
      </c>
      <c r="B1147" t="str">
        <f>HYPERLINK("https://www.suredividend.com/sure-analysis-research-database/","Offerpad Solutions Inc")</f>
        <v>Offerpad Solutions Inc</v>
      </c>
      <c r="C1147" t="s">
        <v>1797</v>
      </c>
      <c r="D1147">
        <v>8.48</v>
      </c>
      <c r="E1147">
        <v>0</v>
      </c>
      <c r="F1147" t="s">
        <v>1797</v>
      </c>
      <c r="G1147" t="s">
        <v>1797</v>
      </c>
      <c r="H1147">
        <v>0</v>
      </c>
      <c r="I1147">
        <v>230.93514500000001</v>
      </c>
      <c r="J1147" t="s">
        <v>1797</v>
      </c>
      <c r="K1147">
        <v>0</v>
      </c>
      <c r="L1147">
        <v>2.4248588710486421</v>
      </c>
      <c r="M1147">
        <v>19.350000000000001</v>
      </c>
      <c r="N1147">
        <v>5.63</v>
      </c>
    </row>
    <row r="1148" spans="1:14" x14ac:dyDescent="0.25">
      <c r="A1148" s="1" t="s">
        <v>1160</v>
      </c>
      <c r="B1148" t="str">
        <f>HYPERLINK("https://www.suredividend.com/sure-analysis-research-database/","Option Care Health Inc.")</f>
        <v>Option Care Health Inc.</v>
      </c>
      <c r="C1148" t="s">
        <v>1802</v>
      </c>
      <c r="D1148">
        <v>28.59</v>
      </c>
      <c r="E1148">
        <v>0</v>
      </c>
      <c r="F1148" t="s">
        <v>1797</v>
      </c>
      <c r="G1148" t="s">
        <v>1797</v>
      </c>
      <c r="H1148">
        <v>0</v>
      </c>
      <c r="I1148">
        <v>5064.1621100000002</v>
      </c>
      <c r="J1148">
        <v>19.671079738387679</v>
      </c>
      <c r="K1148">
        <v>0</v>
      </c>
      <c r="L1148">
        <v>0.82491069902048408</v>
      </c>
      <c r="M1148">
        <v>35.74</v>
      </c>
      <c r="N1148">
        <v>24.23</v>
      </c>
    </row>
    <row r="1149" spans="1:14" x14ac:dyDescent="0.25">
      <c r="A1149" s="1" t="s">
        <v>1161</v>
      </c>
      <c r="B1149" t="str">
        <f>HYPERLINK("https://www.suredividend.com/sure-analysis-research-database/","OppFi Inc")</f>
        <v>OppFi Inc</v>
      </c>
      <c r="C1149" t="s">
        <v>1797</v>
      </c>
      <c r="D1149">
        <v>2.33</v>
      </c>
      <c r="E1149">
        <v>0</v>
      </c>
      <c r="F1149" t="s">
        <v>1797</v>
      </c>
      <c r="G1149" t="s">
        <v>1797</v>
      </c>
      <c r="H1149">
        <v>0</v>
      </c>
      <c r="I1149">
        <v>38.531806000000003</v>
      </c>
      <c r="J1149">
        <v>7.7732109098244901</v>
      </c>
      <c r="K1149">
        <v>0</v>
      </c>
      <c r="L1149">
        <v>0.95971087496785212</v>
      </c>
      <c r="M1149">
        <v>2.74</v>
      </c>
      <c r="N1149">
        <v>1.7</v>
      </c>
    </row>
    <row r="1150" spans="1:14" x14ac:dyDescent="0.25">
      <c r="A1150" s="1" t="s">
        <v>1162</v>
      </c>
      <c r="B1150" t="str">
        <f>HYPERLINK("https://www.suredividend.com/sure-analysis-OPI/","Office Properties Income Trust")</f>
        <v>Office Properties Income Trust</v>
      </c>
      <c r="C1150" t="s">
        <v>1799</v>
      </c>
      <c r="D1150">
        <v>5.48</v>
      </c>
      <c r="E1150">
        <v>0.18248175182481749</v>
      </c>
      <c r="F1150">
        <v>-0.54545454545454541</v>
      </c>
      <c r="G1150">
        <v>-0.14588674088525469</v>
      </c>
      <c r="H1150">
        <v>1.1152217720769011</v>
      </c>
      <c r="I1150">
        <v>267.182255</v>
      </c>
      <c r="J1150" t="s">
        <v>1797</v>
      </c>
      <c r="K1150" t="s">
        <v>1797</v>
      </c>
      <c r="L1150">
        <v>1.5630780417290739</v>
      </c>
      <c r="M1150">
        <v>14.2</v>
      </c>
      <c r="N1150">
        <v>3.35</v>
      </c>
    </row>
    <row r="1151" spans="1:14" x14ac:dyDescent="0.25">
      <c r="A1151" s="1" t="s">
        <v>1163</v>
      </c>
      <c r="B1151" t="str">
        <f>HYPERLINK("https://www.suredividend.com/sure-analysis-research-database/","Opko Health Inc")</f>
        <v>Opko Health Inc</v>
      </c>
      <c r="C1151" t="s">
        <v>1802</v>
      </c>
      <c r="D1151">
        <v>1.35</v>
      </c>
      <c r="E1151">
        <v>0</v>
      </c>
      <c r="F1151" t="s">
        <v>1797</v>
      </c>
      <c r="G1151" t="s">
        <v>1797</v>
      </c>
      <c r="H1151">
        <v>0</v>
      </c>
      <c r="I1151">
        <v>1043.6263200000001</v>
      </c>
      <c r="J1151" t="s">
        <v>1797</v>
      </c>
      <c r="K1151">
        <v>0</v>
      </c>
      <c r="L1151">
        <v>1.4757861450151279</v>
      </c>
      <c r="M1151">
        <v>2.2400000000000002</v>
      </c>
      <c r="N1151">
        <v>1</v>
      </c>
    </row>
    <row r="1152" spans="1:14" x14ac:dyDescent="0.25">
      <c r="A1152" s="1" t="s">
        <v>1164</v>
      </c>
      <c r="B1152" t="str">
        <f>HYPERLINK("https://www.suredividend.com/sure-analysis-research-database/","Oportun Financial Corp")</f>
        <v>Oportun Financial Corp</v>
      </c>
      <c r="C1152" t="s">
        <v>1800</v>
      </c>
      <c r="D1152">
        <v>6.12</v>
      </c>
      <c r="E1152">
        <v>0</v>
      </c>
      <c r="F1152" t="s">
        <v>1797</v>
      </c>
      <c r="G1152" t="s">
        <v>1797</v>
      </c>
      <c r="H1152">
        <v>0</v>
      </c>
      <c r="I1152">
        <v>208.35191800000001</v>
      </c>
      <c r="J1152" t="s">
        <v>1797</v>
      </c>
      <c r="K1152">
        <v>0</v>
      </c>
      <c r="L1152">
        <v>1.5047284195913451</v>
      </c>
      <c r="M1152">
        <v>8.06</v>
      </c>
      <c r="N1152">
        <v>2.19</v>
      </c>
    </row>
    <row r="1153" spans="1:14" x14ac:dyDescent="0.25">
      <c r="A1153" s="1" t="s">
        <v>1165</v>
      </c>
      <c r="B1153" t="str">
        <f>HYPERLINK("https://www.suredividend.com/sure-analysis-research-database/","OptimizeRx Corp")</f>
        <v>OptimizeRx Corp</v>
      </c>
      <c r="C1153" t="s">
        <v>1802</v>
      </c>
      <c r="D1153">
        <v>8.49</v>
      </c>
      <c r="E1153">
        <v>0</v>
      </c>
      <c r="F1153" t="s">
        <v>1797</v>
      </c>
      <c r="G1153" t="s">
        <v>1797</v>
      </c>
      <c r="H1153">
        <v>0</v>
      </c>
      <c r="I1153">
        <v>141.255695</v>
      </c>
      <c r="J1153" t="s">
        <v>1797</v>
      </c>
      <c r="K1153">
        <v>0</v>
      </c>
      <c r="L1153">
        <v>1.4799758559991301</v>
      </c>
      <c r="M1153">
        <v>22.77</v>
      </c>
      <c r="N1153">
        <v>6.92</v>
      </c>
    </row>
    <row r="1154" spans="1:14" x14ac:dyDescent="0.25">
      <c r="A1154" s="1" t="s">
        <v>1166</v>
      </c>
      <c r="B1154" t="str">
        <f>HYPERLINK("https://www.suredividend.com/sure-analysis-research-database/","Oppenheimer Holdings Inc")</f>
        <v>Oppenheimer Holdings Inc</v>
      </c>
      <c r="C1154" t="s">
        <v>1800</v>
      </c>
      <c r="D1154">
        <v>36.58</v>
      </c>
      <c r="E1154">
        <v>1.6291612292088E-2</v>
      </c>
      <c r="F1154">
        <v>0</v>
      </c>
      <c r="G1154">
        <v>4.5639552591273169E-2</v>
      </c>
      <c r="H1154">
        <v>0.59594717764461103</v>
      </c>
      <c r="I1154">
        <v>375.87500999999997</v>
      </c>
      <c r="J1154">
        <v>9.0591937991371605</v>
      </c>
      <c r="K1154">
        <v>0.16930317546721901</v>
      </c>
      <c r="L1154">
        <v>0.63530836475430508</v>
      </c>
      <c r="M1154">
        <v>48.77</v>
      </c>
      <c r="N1154">
        <v>32.82</v>
      </c>
    </row>
    <row r="1155" spans="1:14" x14ac:dyDescent="0.25">
      <c r="A1155" s="1" t="s">
        <v>1167</v>
      </c>
      <c r="B1155" t="str">
        <f>HYPERLINK("https://www.suredividend.com/sure-analysis-research-database/","Ormat Technologies Inc")</f>
        <v>Ormat Technologies Inc</v>
      </c>
      <c r="C1155" t="s">
        <v>1805</v>
      </c>
      <c r="D1155">
        <v>65.569999999999993</v>
      </c>
      <c r="E1155">
        <v>7.3041849927990002E-3</v>
      </c>
      <c r="F1155">
        <v>0</v>
      </c>
      <c r="G1155">
        <v>3.7137289336648172E-2</v>
      </c>
      <c r="H1155">
        <v>0.47893540997788497</v>
      </c>
      <c r="I1155">
        <v>3951.2701000000002</v>
      </c>
      <c r="J1155">
        <v>44.211993827751733</v>
      </c>
      <c r="K1155">
        <v>0.30899058708250648</v>
      </c>
      <c r="L1155">
        <v>0.79770315765796507</v>
      </c>
      <c r="M1155">
        <v>101.25</v>
      </c>
      <c r="N1155">
        <v>60.66</v>
      </c>
    </row>
    <row r="1156" spans="1:14" x14ac:dyDescent="0.25">
      <c r="A1156" s="1" t="s">
        <v>1168</v>
      </c>
      <c r="B1156" t="str">
        <f>HYPERLINK("https://www.suredividend.com/sure-analysis-ORC/","Orchid Island Capital Inc")</f>
        <v>Orchid Island Capital Inc</v>
      </c>
      <c r="C1156" t="s">
        <v>1799</v>
      </c>
      <c r="D1156">
        <v>6.89</v>
      </c>
      <c r="E1156">
        <v>0.20899854862119011</v>
      </c>
      <c r="F1156">
        <v>-0.25</v>
      </c>
      <c r="G1156">
        <v>0.2167286837864115</v>
      </c>
      <c r="H1156">
        <v>1.7150269363115089</v>
      </c>
      <c r="I1156">
        <v>360.56958800000001</v>
      </c>
      <c r="J1156" t="s">
        <v>1797</v>
      </c>
      <c r="K1156" t="s">
        <v>1797</v>
      </c>
      <c r="L1156">
        <v>1.0909078063459829</v>
      </c>
      <c r="M1156">
        <v>10.95</v>
      </c>
      <c r="N1156">
        <v>5.87</v>
      </c>
    </row>
    <row r="1157" spans="1:14" x14ac:dyDescent="0.25">
      <c r="A1157" s="1" t="s">
        <v>1169</v>
      </c>
      <c r="B1157" t="str">
        <f>HYPERLINK("https://www.suredividend.com/sure-analysis-research-database/","Origin Materials Inc")</f>
        <v>Origin Materials Inc</v>
      </c>
      <c r="C1157" t="s">
        <v>1797</v>
      </c>
      <c r="D1157">
        <v>1.17</v>
      </c>
      <c r="E1157">
        <v>0</v>
      </c>
      <c r="F1157" t="s">
        <v>1797</v>
      </c>
      <c r="G1157" t="s">
        <v>1797</v>
      </c>
      <c r="H1157">
        <v>0</v>
      </c>
      <c r="I1157">
        <v>167.91326799999999</v>
      </c>
      <c r="J1157">
        <v>0</v>
      </c>
      <c r="K1157" t="s">
        <v>1797</v>
      </c>
      <c r="L1157">
        <v>1.5873901034916349</v>
      </c>
      <c r="M1157">
        <v>6.26</v>
      </c>
      <c r="N1157">
        <v>0.86040000000000005</v>
      </c>
    </row>
    <row r="1158" spans="1:14" x14ac:dyDescent="0.25">
      <c r="A1158" s="1" t="s">
        <v>1170</v>
      </c>
      <c r="B1158" t="str">
        <f>HYPERLINK("https://www.suredividend.com/sure-analysis-research-database/","Organogenesis Holdings Inc")</f>
        <v>Organogenesis Holdings Inc</v>
      </c>
      <c r="C1158" t="s">
        <v>1802</v>
      </c>
      <c r="D1158">
        <v>2.37</v>
      </c>
      <c r="E1158">
        <v>0</v>
      </c>
      <c r="F1158" t="s">
        <v>1797</v>
      </c>
      <c r="G1158" t="s">
        <v>1797</v>
      </c>
      <c r="H1158">
        <v>0</v>
      </c>
      <c r="I1158">
        <v>311.20908900000001</v>
      </c>
      <c r="J1158">
        <v>34.395345848806357</v>
      </c>
      <c r="K1158">
        <v>0</v>
      </c>
      <c r="L1158">
        <v>1.1707255257472149</v>
      </c>
      <c r="M1158">
        <v>4.5</v>
      </c>
      <c r="N1158">
        <v>1.8</v>
      </c>
    </row>
    <row r="1159" spans="1:14" x14ac:dyDescent="0.25">
      <c r="A1159" s="1" t="s">
        <v>1171</v>
      </c>
      <c r="B1159" t="str">
        <f>HYPERLINK("https://www.suredividend.com/sure-analysis-research-database/","Orrstown Financial Services, Inc.")</f>
        <v>Orrstown Financial Services, Inc.</v>
      </c>
      <c r="C1159" t="s">
        <v>1800</v>
      </c>
      <c r="D1159">
        <v>22.76</v>
      </c>
      <c r="E1159">
        <v>2.5853658945347E-2</v>
      </c>
      <c r="F1159" t="s">
        <v>1797</v>
      </c>
      <c r="G1159" t="s">
        <v>1797</v>
      </c>
      <c r="H1159">
        <v>0.58842927759610009</v>
      </c>
      <c r="I1159">
        <v>241.51603299999999</v>
      </c>
      <c r="J1159">
        <v>10.15114462844654</v>
      </c>
      <c r="K1159">
        <v>0.25921994607757709</v>
      </c>
      <c r="L1159">
        <v>0.64532032121588201</v>
      </c>
      <c r="M1159">
        <v>27.03</v>
      </c>
      <c r="N1159">
        <v>15.26</v>
      </c>
    </row>
    <row r="1160" spans="1:14" x14ac:dyDescent="0.25">
      <c r="A1160" s="1" t="s">
        <v>1172</v>
      </c>
      <c r="B1160" t="str">
        <f>HYPERLINK("https://www.suredividend.com/sure-analysis-research-database/","Old Second Bancorporation Inc.")</f>
        <v>Old Second Bancorporation Inc.</v>
      </c>
      <c r="C1160" t="s">
        <v>1800</v>
      </c>
      <c r="D1160">
        <v>14.49</v>
      </c>
      <c r="E1160">
        <v>1.3676279566724001E-2</v>
      </c>
      <c r="F1160">
        <v>0</v>
      </c>
      <c r="G1160">
        <v>0.3797296614612149</v>
      </c>
      <c r="H1160">
        <v>0.198169290921832</v>
      </c>
      <c r="I1160">
        <v>647.34157600000003</v>
      </c>
      <c r="J1160">
        <v>7.0129196694725202</v>
      </c>
      <c r="K1160">
        <v>9.7141809275407859E-2</v>
      </c>
      <c r="L1160">
        <v>1.041908100934634</v>
      </c>
      <c r="M1160">
        <v>17.41</v>
      </c>
      <c r="N1160">
        <v>10.68</v>
      </c>
    </row>
    <row r="1161" spans="1:14" x14ac:dyDescent="0.25">
      <c r="A1161" s="1" t="s">
        <v>1173</v>
      </c>
      <c r="B1161" t="str">
        <f>HYPERLINK("https://www.suredividend.com/sure-analysis-research-database/","Oscar Health Inc")</f>
        <v>Oscar Health Inc</v>
      </c>
      <c r="C1161" t="s">
        <v>1797</v>
      </c>
      <c r="D1161">
        <v>5.73</v>
      </c>
      <c r="E1161">
        <v>0</v>
      </c>
      <c r="F1161" t="s">
        <v>1797</v>
      </c>
      <c r="G1161" t="s">
        <v>1797</v>
      </c>
      <c r="H1161">
        <v>0</v>
      </c>
      <c r="I1161">
        <v>1070.3059780000001</v>
      </c>
      <c r="J1161" t="s">
        <v>1797</v>
      </c>
      <c r="K1161">
        <v>0</v>
      </c>
      <c r="L1161">
        <v>1.795412229557459</v>
      </c>
      <c r="M1161">
        <v>9.89</v>
      </c>
      <c r="N1161">
        <v>2.0499999999999998</v>
      </c>
    </row>
    <row r="1162" spans="1:14" x14ac:dyDescent="0.25">
      <c r="A1162" s="1" t="s">
        <v>1174</v>
      </c>
      <c r="B1162" t="str">
        <f>HYPERLINK("https://www.suredividend.com/sure-analysis-research-database/","OSI Systems, Inc.")</f>
        <v>OSI Systems, Inc.</v>
      </c>
      <c r="C1162" t="s">
        <v>1803</v>
      </c>
      <c r="D1162">
        <v>108.46</v>
      </c>
      <c r="E1162">
        <v>0</v>
      </c>
      <c r="F1162" t="s">
        <v>1797</v>
      </c>
      <c r="G1162" t="s">
        <v>1797</v>
      </c>
      <c r="H1162">
        <v>0</v>
      </c>
      <c r="I1162">
        <v>1842.5013429999999</v>
      </c>
      <c r="J1162">
        <v>19.722349589175991</v>
      </c>
      <c r="K1162">
        <v>0</v>
      </c>
      <c r="L1162">
        <v>0.73606624855007108</v>
      </c>
      <c r="M1162">
        <v>139.9</v>
      </c>
      <c r="N1162">
        <v>77.77</v>
      </c>
    </row>
    <row r="1163" spans="1:14" x14ac:dyDescent="0.25">
      <c r="A1163" s="1" t="s">
        <v>1175</v>
      </c>
      <c r="B1163" t="str">
        <f>HYPERLINK("https://www.suredividend.com/sure-analysis-research-database/","OneSpan Inc")</f>
        <v>OneSpan Inc</v>
      </c>
      <c r="C1163" t="s">
        <v>1803</v>
      </c>
      <c r="D1163">
        <v>8.41</v>
      </c>
      <c r="E1163">
        <v>0</v>
      </c>
      <c r="F1163" t="s">
        <v>1797</v>
      </c>
      <c r="G1163" t="s">
        <v>1797</v>
      </c>
      <c r="H1163">
        <v>0</v>
      </c>
      <c r="I1163">
        <v>336.21949599999999</v>
      </c>
      <c r="J1163" t="s">
        <v>1797</v>
      </c>
      <c r="K1163">
        <v>0</v>
      </c>
      <c r="L1163">
        <v>1.2044678021665249</v>
      </c>
      <c r="M1163">
        <v>19.25</v>
      </c>
      <c r="N1163">
        <v>7.64</v>
      </c>
    </row>
    <row r="1164" spans="1:14" x14ac:dyDescent="0.25">
      <c r="A1164" s="1" t="s">
        <v>1176</v>
      </c>
      <c r="B1164" t="str">
        <f>HYPERLINK("https://www.suredividend.com/sure-analysis-research-database/","Overstock.com Inc")</f>
        <v>Overstock.com Inc</v>
      </c>
      <c r="C1164" t="s">
        <v>1801</v>
      </c>
      <c r="D1164">
        <v>16.78</v>
      </c>
      <c r="E1164">
        <v>0</v>
      </c>
      <c r="F1164" t="s">
        <v>1797</v>
      </c>
      <c r="G1164" t="s">
        <v>1797</v>
      </c>
      <c r="H1164">
        <v>0</v>
      </c>
      <c r="I1164">
        <v>760.216994</v>
      </c>
      <c r="J1164" t="s">
        <v>1797</v>
      </c>
      <c r="K1164">
        <v>0</v>
      </c>
      <c r="L1164">
        <v>2.1605327932424241</v>
      </c>
      <c r="M1164">
        <v>39.270000000000003</v>
      </c>
      <c r="N1164">
        <v>13.71</v>
      </c>
    </row>
    <row r="1165" spans="1:14" x14ac:dyDescent="0.25">
      <c r="A1165" s="1" t="s">
        <v>1177</v>
      </c>
      <c r="B1165" t="str">
        <f>HYPERLINK("https://www.suredividend.com/sure-analysis-research-database/","Orasure Technologies Inc.")</f>
        <v>Orasure Technologies Inc.</v>
      </c>
      <c r="C1165" t="s">
        <v>1802</v>
      </c>
      <c r="D1165">
        <v>5.63</v>
      </c>
      <c r="E1165">
        <v>0</v>
      </c>
      <c r="F1165" t="s">
        <v>1797</v>
      </c>
      <c r="G1165" t="s">
        <v>1797</v>
      </c>
      <c r="H1165">
        <v>0</v>
      </c>
      <c r="I1165">
        <v>413.32473299999998</v>
      </c>
      <c r="J1165">
        <v>9.5548738464561485</v>
      </c>
      <c r="K1165">
        <v>0</v>
      </c>
      <c r="L1165">
        <v>1.158585231430086</v>
      </c>
      <c r="M1165">
        <v>7.82</v>
      </c>
      <c r="N1165">
        <v>4.25</v>
      </c>
    </row>
    <row r="1166" spans="1:14" x14ac:dyDescent="0.25">
      <c r="A1166" s="1" t="s">
        <v>1178</v>
      </c>
      <c r="B1166" t="str">
        <f>HYPERLINK("https://www.suredividend.com/sure-analysis-research-database/","OneSpaWorld Holdings Limited")</f>
        <v>OneSpaWorld Holdings Limited</v>
      </c>
      <c r="C1166" t="s">
        <v>1801</v>
      </c>
      <c r="D1166">
        <v>10.99</v>
      </c>
      <c r="E1166">
        <v>0</v>
      </c>
      <c r="F1166" t="s">
        <v>1797</v>
      </c>
      <c r="G1166" t="s">
        <v>1797</v>
      </c>
      <c r="H1166">
        <v>0</v>
      </c>
      <c r="I1166">
        <v>1093.1727060000001</v>
      </c>
      <c r="J1166">
        <v>0</v>
      </c>
      <c r="K1166" t="s">
        <v>1797</v>
      </c>
      <c r="L1166">
        <v>0.65164803557309903</v>
      </c>
      <c r="M1166">
        <v>13.01</v>
      </c>
      <c r="N1166">
        <v>8.9600000000000009</v>
      </c>
    </row>
    <row r="1167" spans="1:14" x14ac:dyDescent="0.25">
      <c r="A1167" s="1" t="s">
        <v>1179</v>
      </c>
      <c r="B1167" t="str">
        <f>HYPERLINK("https://www.suredividend.com/sure-analysis-research-database/","Outlook Therapeutics Inc")</f>
        <v>Outlook Therapeutics Inc</v>
      </c>
      <c r="C1167" t="s">
        <v>1802</v>
      </c>
      <c r="D1167">
        <v>0.4274</v>
      </c>
      <c r="E1167">
        <v>0</v>
      </c>
      <c r="F1167" t="s">
        <v>1797</v>
      </c>
      <c r="G1167" t="s">
        <v>1797</v>
      </c>
      <c r="H1167">
        <v>0</v>
      </c>
      <c r="I1167">
        <v>111.22872</v>
      </c>
      <c r="J1167" t="s">
        <v>1797</v>
      </c>
      <c r="K1167">
        <v>0</v>
      </c>
      <c r="L1167">
        <v>0.72986352848807301</v>
      </c>
      <c r="M1167">
        <v>2.0299999999999998</v>
      </c>
      <c r="N1167">
        <v>0.20019999999999999</v>
      </c>
    </row>
    <row r="1168" spans="1:14" x14ac:dyDescent="0.25">
      <c r="A1168" s="1" t="s">
        <v>1180</v>
      </c>
      <c r="B1168" t="str">
        <f>HYPERLINK("https://www.suredividend.com/sure-analysis-OTTR/","Otter Tail Corporation")</f>
        <v>Otter Tail Corporation</v>
      </c>
      <c r="C1168" t="s">
        <v>1805</v>
      </c>
      <c r="D1168">
        <v>82.89</v>
      </c>
      <c r="E1168">
        <v>2.1112317529255641E-2</v>
      </c>
      <c r="F1168">
        <v>6.0606060606060552E-2</v>
      </c>
      <c r="G1168">
        <v>5.4840145710984389E-2</v>
      </c>
      <c r="H1168">
        <v>1.7052293986356739</v>
      </c>
      <c r="I1168">
        <v>3457.3850859999998</v>
      </c>
      <c r="J1168">
        <v>12.772300404478861</v>
      </c>
      <c r="K1168">
        <v>0.26437665095126728</v>
      </c>
      <c r="L1168">
        <v>0.61704240845621106</v>
      </c>
      <c r="M1168">
        <v>91.86</v>
      </c>
      <c r="N1168">
        <v>51.06</v>
      </c>
    </row>
    <row r="1169" spans="1:14" x14ac:dyDescent="0.25">
      <c r="A1169" s="1" t="s">
        <v>1181</v>
      </c>
      <c r="B1169" t="str">
        <f>HYPERLINK("https://www.suredividend.com/sure-analysis-research-database/","Ouster Inc")</f>
        <v>Ouster Inc</v>
      </c>
      <c r="C1169" t="s">
        <v>1797</v>
      </c>
      <c r="D1169">
        <v>4.62</v>
      </c>
      <c r="E1169">
        <v>0</v>
      </c>
      <c r="F1169" t="s">
        <v>1797</v>
      </c>
      <c r="G1169" t="s">
        <v>1797</v>
      </c>
      <c r="H1169">
        <v>0</v>
      </c>
      <c r="I1169">
        <v>182.49717000000001</v>
      </c>
      <c r="J1169" t="s">
        <v>1797</v>
      </c>
      <c r="K1169">
        <v>0</v>
      </c>
      <c r="L1169">
        <v>2.3073775828617711</v>
      </c>
      <c r="M1169">
        <v>19.2</v>
      </c>
      <c r="N1169">
        <v>3.21</v>
      </c>
    </row>
    <row r="1170" spans="1:14" x14ac:dyDescent="0.25">
      <c r="A1170" s="1" t="s">
        <v>1182</v>
      </c>
      <c r="B1170" t="str">
        <f>HYPERLINK("https://www.suredividend.com/sure-analysis-research-database/","Outfront Media Inc")</f>
        <v>Outfront Media Inc</v>
      </c>
      <c r="C1170" t="s">
        <v>1799</v>
      </c>
      <c r="D1170">
        <v>12</v>
      </c>
      <c r="E1170">
        <v>9.6681684791343009E-2</v>
      </c>
      <c r="F1170" t="s">
        <v>1797</v>
      </c>
      <c r="G1170" t="s">
        <v>1797</v>
      </c>
      <c r="H1170">
        <v>1.160180217496118</v>
      </c>
      <c r="I1170">
        <v>1980.512616</v>
      </c>
      <c r="J1170" t="s">
        <v>1797</v>
      </c>
      <c r="K1170" t="s">
        <v>1797</v>
      </c>
      <c r="L1170">
        <v>1.61040229444061</v>
      </c>
      <c r="M1170">
        <v>20.309999999999999</v>
      </c>
      <c r="N1170">
        <v>8.18</v>
      </c>
    </row>
    <row r="1171" spans="1:14" x14ac:dyDescent="0.25">
      <c r="A1171" s="1" t="s">
        <v>1183</v>
      </c>
      <c r="B1171" t="str">
        <f>HYPERLINK("https://www.suredividend.com/sure-analysis-research-database/","Oxford Industries, Inc.")</f>
        <v>Oxford Industries, Inc.</v>
      </c>
      <c r="C1171" t="s">
        <v>1801</v>
      </c>
      <c r="D1171">
        <v>88.59</v>
      </c>
      <c r="E1171">
        <v>2.7950486591845999E-2</v>
      </c>
      <c r="F1171">
        <v>0.18181818181818171</v>
      </c>
      <c r="G1171">
        <v>0.13837903230220411</v>
      </c>
      <c r="H1171">
        <v>2.4761336071716529</v>
      </c>
      <c r="I1171">
        <v>1383.807161</v>
      </c>
      <c r="J1171">
        <v>8.5575498797818277</v>
      </c>
      <c r="K1171">
        <v>0.24589211590582449</v>
      </c>
      <c r="L1171">
        <v>1.2359150651361439</v>
      </c>
      <c r="M1171">
        <v>120.96</v>
      </c>
      <c r="N1171">
        <v>82.33</v>
      </c>
    </row>
    <row r="1172" spans="1:14" x14ac:dyDescent="0.25">
      <c r="A1172" s="1" t="s">
        <v>1184</v>
      </c>
      <c r="B1172" t="str">
        <f>HYPERLINK("https://www.suredividend.com/sure-analysis-research-database/","Pacific Biosciences of California Inc")</f>
        <v>Pacific Biosciences of California Inc</v>
      </c>
      <c r="C1172" t="s">
        <v>1802</v>
      </c>
      <c r="D1172">
        <v>7.22</v>
      </c>
      <c r="E1172">
        <v>0</v>
      </c>
      <c r="F1172" t="s">
        <v>1797</v>
      </c>
      <c r="G1172" t="s">
        <v>1797</v>
      </c>
      <c r="H1172">
        <v>0</v>
      </c>
      <c r="I1172">
        <v>1809.0308749999999</v>
      </c>
      <c r="J1172" t="s">
        <v>1797</v>
      </c>
      <c r="K1172">
        <v>0</v>
      </c>
      <c r="L1172">
        <v>2.5884108083579198</v>
      </c>
      <c r="M1172">
        <v>14.55</v>
      </c>
      <c r="N1172">
        <v>5.74</v>
      </c>
    </row>
    <row r="1173" spans="1:14" x14ac:dyDescent="0.25">
      <c r="A1173" s="1" t="s">
        <v>1185</v>
      </c>
      <c r="B1173" t="str">
        <f>HYPERLINK("https://www.suredividend.com/sure-analysis-research-database/","Ranpak Holdings Corp")</f>
        <v>Ranpak Holdings Corp</v>
      </c>
      <c r="C1173" t="s">
        <v>1801</v>
      </c>
      <c r="D1173">
        <v>2.92</v>
      </c>
      <c r="E1173">
        <v>0</v>
      </c>
      <c r="F1173" t="s">
        <v>1797</v>
      </c>
      <c r="G1173" t="s">
        <v>1797</v>
      </c>
      <c r="H1173">
        <v>0</v>
      </c>
      <c r="I1173">
        <v>232.67777599999999</v>
      </c>
      <c r="J1173">
        <v>0</v>
      </c>
      <c r="K1173" t="s">
        <v>1797</v>
      </c>
      <c r="L1173">
        <v>1.5733556023124331</v>
      </c>
      <c r="M1173">
        <v>8.24</v>
      </c>
      <c r="N1173">
        <v>2.63</v>
      </c>
    </row>
    <row r="1174" spans="1:14" x14ac:dyDescent="0.25">
      <c r="A1174" s="1" t="s">
        <v>1186</v>
      </c>
      <c r="B1174" t="str">
        <f>HYPERLINK("https://www.suredividend.com/sure-analysis-research-database/","Phibro Animal Health Corp.")</f>
        <v>Phibro Animal Health Corp.</v>
      </c>
      <c r="C1174" t="s">
        <v>1802</v>
      </c>
      <c r="D1174">
        <v>12.34</v>
      </c>
      <c r="E1174">
        <v>3.8170767333466013E-2</v>
      </c>
      <c r="F1174">
        <v>0</v>
      </c>
      <c r="G1174">
        <v>0</v>
      </c>
      <c r="H1174">
        <v>0.47102726889497998</v>
      </c>
      <c r="I1174">
        <v>250.96566300000001</v>
      </c>
      <c r="J1174">
        <v>7.6969166153468684</v>
      </c>
      <c r="K1174">
        <v>0.58512704210556521</v>
      </c>
      <c r="L1174">
        <v>0.728524506373596</v>
      </c>
      <c r="M1174">
        <v>16.100000000000001</v>
      </c>
      <c r="N1174">
        <v>10.64</v>
      </c>
    </row>
    <row r="1175" spans="1:14" x14ac:dyDescent="0.25">
      <c r="A1175" s="1" t="s">
        <v>1187</v>
      </c>
      <c r="B1175" t="str">
        <f>HYPERLINK("https://www.suredividend.com/sure-analysis-research-database/","Par Technology Corp.")</f>
        <v>Par Technology Corp.</v>
      </c>
      <c r="C1175" t="s">
        <v>1803</v>
      </c>
      <c r="D1175">
        <v>32.74</v>
      </c>
      <c r="E1175">
        <v>0</v>
      </c>
      <c r="F1175" t="s">
        <v>1797</v>
      </c>
      <c r="G1175" t="s">
        <v>1797</v>
      </c>
      <c r="H1175">
        <v>0</v>
      </c>
      <c r="I1175">
        <v>898.55113300000005</v>
      </c>
      <c r="J1175" t="s">
        <v>1797</v>
      </c>
      <c r="K1175">
        <v>0</v>
      </c>
      <c r="L1175">
        <v>2.265369478708585</v>
      </c>
      <c r="M1175">
        <v>46.63</v>
      </c>
      <c r="N1175">
        <v>20.37</v>
      </c>
    </row>
    <row r="1176" spans="1:14" x14ac:dyDescent="0.25">
      <c r="A1176" s="1" t="s">
        <v>1188</v>
      </c>
      <c r="B1176" t="str">
        <f>HYPERLINK("https://www.suredividend.com/sure-analysis-research-database/","Par Pacific Holdings Inc")</f>
        <v>Par Pacific Holdings Inc</v>
      </c>
      <c r="C1176" t="s">
        <v>1807</v>
      </c>
      <c r="D1176">
        <v>32.49</v>
      </c>
      <c r="E1176">
        <v>0</v>
      </c>
      <c r="F1176" t="s">
        <v>1797</v>
      </c>
      <c r="G1176" t="s">
        <v>1797</v>
      </c>
      <c r="H1176">
        <v>0</v>
      </c>
      <c r="I1176">
        <v>1984.0678700000001</v>
      </c>
      <c r="J1176">
        <v>3.200016563519124</v>
      </c>
      <c r="K1176">
        <v>0</v>
      </c>
      <c r="L1176">
        <v>0.83476828287948601</v>
      </c>
      <c r="M1176">
        <v>37.5</v>
      </c>
      <c r="N1176">
        <v>19.39</v>
      </c>
    </row>
    <row r="1177" spans="1:14" x14ac:dyDescent="0.25">
      <c r="A1177" s="1" t="s">
        <v>1189</v>
      </c>
      <c r="B1177" t="str">
        <f>HYPERLINK("https://www.suredividend.com/sure-analysis-research-database/","Patrick Industries, Inc.")</f>
        <v>Patrick Industries, Inc.</v>
      </c>
      <c r="C1177" t="s">
        <v>1798</v>
      </c>
      <c r="D1177">
        <v>81.3</v>
      </c>
      <c r="E1177">
        <v>2.1859904754655001E-2</v>
      </c>
      <c r="F1177" t="s">
        <v>1797</v>
      </c>
      <c r="G1177" t="s">
        <v>1797</v>
      </c>
      <c r="H1177">
        <v>1.7772102565535191</v>
      </c>
      <c r="I1177">
        <v>1805.8342990000001</v>
      </c>
      <c r="J1177">
        <v>10.52786583726367</v>
      </c>
      <c r="K1177">
        <v>0.24048853268653839</v>
      </c>
      <c r="L1177">
        <v>1.342656076512718</v>
      </c>
      <c r="M1177">
        <v>86.39</v>
      </c>
      <c r="N1177">
        <v>44.86</v>
      </c>
    </row>
    <row r="1178" spans="1:14" x14ac:dyDescent="0.25">
      <c r="A1178" s="1" t="s">
        <v>1190</v>
      </c>
      <c r="B1178" t="str">
        <f>HYPERLINK("https://www.suredividend.com/sure-analysis-research-database/","Payoneer Global Inc")</f>
        <v>Payoneer Global Inc</v>
      </c>
      <c r="C1178" t="s">
        <v>1797</v>
      </c>
      <c r="D1178">
        <v>5.71</v>
      </c>
      <c r="E1178">
        <v>0</v>
      </c>
      <c r="F1178" t="s">
        <v>1797</v>
      </c>
      <c r="G1178" t="s">
        <v>1797</v>
      </c>
      <c r="H1178">
        <v>0</v>
      </c>
      <c r="I1178">
        <v>2050.8686600000001</v>
      </c>
      <c r="J1178">
        <v>121.46817458777539</v>
      </c>
      <c r="K1178">
        <v>0</v>
      </c>
      <c r="L1178">
        <v>0.68326693275686501</v>
      </c>
      <c r="M1178">
        <v>7.33</v>
      </c>
      <c r="N1178">
        <v>4.0199999999999996</v>
      </c>
    </row>
    <row r="1179" spans="1:14" x14ac:dyDescent="0.25">
      <c r="A1179" s="1" t="s">
        <v>1191</v>
      </c>
      <c r="B1179" t="str">
        <f>HYPERLINK("https://www.suredividend.com/sure-analysis-research-database/","PBF Energy Inc")</f>
        <v>PBF Energy Inc</v>
      </c>
      <c r="C1179" t="s">
        <v>1807</v>
      </c>
      <c r="D1179">
        <v>45.99</v>
      </c>
      <c r="E1179">
        <v>1.7254174893093999E-2</v>
      </c>
      <c r="F1179" t="s">
        <v>1797</v>
      </c>
      <c r="G1179" t="s">
        <v>1797</v>
      </c>
      <c r="H1179">
        <v>0.79351950333341303</v>
      </c>
      <c r="I1179">
        <v>5683.9040999999997</v>
      </c>
      <c r="J1179">
        <v>2.0107914175540378</v>
      </c>
      <c r="K1179">
        <v>3.716718985168211E-2</v>
      </c>
      <c r="L1179">
        <v>0.79982439921209803</v>
      </c>
      <c r="M1179">
        <v>56.38</v>
      </c>
      <c r="N1179">
        <v>30.95</v>
      </c>
    </row>
    <row r="1180" spans="1:14" x14ac:dyDescent="0.25">
      <c r="A1180" s="1" t="s">
        <v>1192</v>
      </c>
      <c r="B1180" t="str">
        <f>HYPERLINK("https://www.suredividend.com/sure-analysis-research-database/","Pioneer Bancorp Inc")</f>
        <v>Pioneer Bancorp Inc</v>
      </c>
      <c r="C1180" t="s">
        <v>1800</v>
      </c>
      <c r="D1180">
        <v>8.3000000000000007</v>
      </c>
      <c r="E1180">
        <v>0</v>
      </c>
      <c r="F1180" t="s">
        <v>1797</v>
      </c>
      <c r="G1180" t="s">
        <v>1797</v>
      </c>
      <c r="H1180">
        <v>0</v>
      </c>
      <c r="I1180">
        <v>215.61473599999999</v>
      </c>
      <c r="J1180">
        <v>0</v>
      </c>
      <c r="K1180" t="s">
        <v>1797</v>
      </c>
      <c r="L1180">
        <v>0.49418672516159812</v>
      </c>
      <c r="M1180">
        <v>11.97</v>
      </c>
      <c r="N1180">
        <v>7.81</v>
      </c>
    </row>
    <row r="1181" spans="1:14" x14ac:dyDescent="0.25">
      <c r="A1181" s="1" t="s">
        <v>1193</v>
      </c>
      <c r="B1181" t="str">
        <f>HYPERLINK("https://www.suredividend.com/sure-analysis-research-database/","Prestige Consumer Healthcare Inc")</f>
        <v>Prestige Consumer Healthcare Inc</v>
      </c>
      <c r="C1181" t="s">
        <v>1802</v>
      </c>
      <c r="D1181">
        <v>59.56</v>
      </c>
      <c r="E1181">
        <v>0</v>
      </c>
      <c r="F1181" t="s">
        <v>1797</v>
      </c>
      <c r="G1181" t="s">
        <v>1797</v>
      </c>
      <c r="H1181">
        <v>0</v>
      </c>
      <c r="I1181">
        <v>2950.5669619999999</v>
      </c>
      <c r="J1181" t="s">
        <v>1797</v>
      </c>
      <c r="K1181">
        <v>0</v>
      </c>
      <c r="L1181">
        <v>0.40487139364683411</v>
      </c>
      <c r="M1181">
        <v>68.540000000000006</v>
      </c>
      <c r="N1181">
        <v>55.29</v>
      </c>
    </row>
    <row r="1182" spans="1:14" x14ac:dyDescent="0.25">
      <c r="A1182" s="1" t="s">
        <v>1194</v>
      </c>
      <c r="B1182" t="str">
        <f>HYPERLINK("https://www.suredividend.com/sure-analysis-research-database/","Pitney Bowes, Inc.")</f>
        <v>Pitney Bowes, Inc.</v>
      </c>
      <c r="C1182" t="s">
        <v>1798</v>
      </c>
      <c r="D1182">
        <v>4.1100000000000003</v>
      </c>
      <c r="E1182">
        <v>4.7644684836376003E-2</v>
      </c>
      <c r="F1182">
        <v>0</v>
      </c>
      <c r="G1182">
        <v>0</v>
      </c>
      <c r="H1182">
        <v>0.195819654677507</v>
      </c>
      <c r="I1182">
        <v>723.467896</v>
      </c>
      <c r="J1182" t="s">
        <v>1797</v>
      </c>
      <c r="K1182" t="s">
        <v>1797</v>
      </c>
      <c r="L1182">
        <v>1.4588234522261641</v>
      </c>
      <c r="M1182">
        <v>4.6500000000000004</v>
      </c>
      <c r="N1182">
        <v>2.74</v>
      </c>
    </row>
    <row r="1183" spans="1:14" x14ac:dyDescent="0.25">
      <c r="A1183" s="1" t="s">
        <v>1195</v>
      </c>
      <c r="B1183" t="str">
        <f>HYPERLINK("https://www.suredividend.com/sure-analysis-research-database/","PCB Bancorp.")</f>
        <v>PCB Bancorp.</v>
      </c>
      <c r="C1183" t="s">
        <v>1800</v>
      </c>
      <c r="D1183">
        <v>15.97</v>
      </c>
      <c r="E1183">
        <v>4.0351527523498E-2</v>
      </c>
      <c r="F1183">
        <v>0.2</v>
      </c>
      <c r="G1183">
        <v>0.43096908110525561</v>
      </c>
      <c r="H1183">
        <v>0.64441389455027609</v>
      </c>
      <c r="I1183">
        <v>229.06713199999999</v>
      </c>
      <c r="J1183">
        <v>0</v>
      </c>
      <c r="K1183" t="s">
        <v>1797</v>
      </c>
      <c r="L1183">
        <v>0.85780850057738312</v>
      </c>
      <c r="M1183">
        <v>18.579999999999998</v>
      </c>
      <c r="N1183">
        <v>12.41</v>
      </c>
    </row>
    <row r="1184" spans="1:14" x14ac:dyDescent="0.25">
      <c r="A1184" s="1" t="s">
        <v>1196</v>
      </c>
      <c r="B1184" t="str">
        <f>HYPERLINK("https://www.suredividend.com/sure-analysis-research-database/","PotlatchDeltic Corp")</f>
        <v>PotlatchDeltic Corp</v>
      </c>
      <c r="C1184" t="s">
        <v>1799</v>
      </c>
      <c r="D1184">
        <v>46.38</v>
      </c>
      <c r="E1184">
        <v>3.7770464059606997E-2</v>
      </c>
      <c r="F1184">
        <v>0</v>
      </c>
      <c r="G1184">
        <v>2.383625553960966E-2</v>
      </c>
      <c r="H1184">
        <v>1.7517941230846019</v>
      </c>
      <c r="I1184">
        <v>3706.2850739999999</v>
      </c>
      <c r="J1184">
        <v>41.943382753610067</v>
      </c>
      <c r="K1184">
        <v>1.550260285915577</v>
      </c>
      <c r="L1184">
        <v>1.036887605199446</v>
      </c>
      <c r="M1184">
        <v>53.38</v>
      </c>
      <c r="N1184">
        <v>40.630000000000003</v>
      </c>
    </row>
    <row r="1185" spans="1:14" x14ac:dyDescent="0.25">
      <c r="A1185" s="1" t="s">
        <v>1197</v>
      </c>
      <c r="B1185" t="str">
        <f>HYPERLINK("https://www.suredividend.com/sure-analysis-research-database/","Pacira BioSciences Inc")</f>
        <v>Pacira BioSciences Inc</v>
      </c>
      <c r="C1185" t="s">
        <v>1802</v>
      </c>
      <c r="D1185">
        <v>31.04</v>
      </c>
      <c r="E1185">
        <v>0</v>
      </c>
      <c r="F1185" t="s">
        <v>1797</v>
      </c>
      <c r="G1185" t="s">
        <v>1797</v>
      </c>
      <c r="H1185">
        <v>0</v>
      </c>
      <c r="I1185">
        <v>1440.7844560000001</v>
      </c>
      <c r="J1185">
        <v>206.3274317628526</v>
      </c>
      <c r="K1185">
        <v>0</v>
      </c>
      <c r="L1185">
        <v>0.78124066347873411</v>
      </c>
      <c r="M1185">
        <v>53.32</v>
      </c>
      <c r="N1185">
        <v>26.59</v>
      </c>
    </row>
    <row r="1186" spans="1:14" x14ac:dyDescent="0.25">
      <c r="A1186" s="1" t="s">
        <v>1198</v>
      </c>
      <c r="B1186" t="str">
        <f>HYPERLINK("https://www.suredividend.com/sure-analysis-research-database/","PureCycle Technologies Inc")</f>
        <v>PureCycle Technologies Inc</v>
      </c>
      <c r="C1186" t="s">
        <v>1797</v>
      </c>
      <c r="D1186">
        <v>4.99</v>
      </c>
      <c r="E1186">
        <v>0</v>
      </c>
      <c r="F1186" t="s">
        <v>1797</v>
      </c>
      <c r="G1186" t="s">
        <v>1797</v>
      </c>
      <c r="H1186">
        <v>0</v>
      </c>
      <c r="I1186">
        <v>818.31971599999997</v>
      </c>
      <c r="J1186">
        <v>0</v>
      </c>
      <c r="K1186" t="s">
        <v>1797</v>
      </c>
      <c r="L1186">
        <v>1.7109752644887339</v>
      </c>
      <c r="M1186">
        <v>11.89</v>
      </c>
      <c r="N1186">
        <v>3.94</v>
      </c>
    </row>
    <row r="1187" spans="1:14" x14ac:dyDescent="0.25">
      <c r="A1187" s="1" t="s">
        <v>1199</v>
      </c>
      <c r="B1187" t="str">
        <f>HYPERLINK("https://www.suredividend.com/sure-analysis-research-database/","Vaxcyte Inc")</f>
        <v>Vaxcyte Inc</v>
      </c>
      <c r="C1187" t="s">
        <v>1797</v>
      </c>
      <c r="D1187">
        <v>50.75</v>
      </c>
      <c r="E1187">
        <v>0</v>
      </c>
      <c r="F1187" t="s">
        <v>1797</v>
      </c>
      <c r="G1187" t="s">
        <v>1797</v>
      </c>
      <c r="H1187">
        <v>0</v>
      </c>
      <c r="I1187">
        <v>4762.7311390000004</v>
      </c>
      <c r="J1187">
        <v>0</v>
      </c>
      <c r="K1187" t="s">
        <v>1797</v>
      </c>
      <c r="L1187">
        <v>0.6749490631699101</v>
      </c>
      <c r="M1187">
        <v>54.97</v>
      </c>
      <c r="N1187">
        <v>34.11</v>
      </c>
    </row>
    <row r="1188" spans="1:14" x14ac:dyDescent="0.25">
      <c r="A1188" s="1" t="s">
        <v>1200</v>
      </c>
      <c r="B1188" t="str">
        <f>HYPERLINK("https://www.suredividend.com/sure-analysis-research-database/","Pure Cycle Corp.")</f>
        <v>Pure Cycle Corp.</v>
      </c>
      <c r="C1188" t="s">
        <v>1805</v>
      </c>
      <c r="D1188">
        <v>9.94</v>
      </c>
      <c r="E1188">
        <v>0</v>
      </c>
      <c r="F1188" t="s">
        <v>1797</v>
      </c>
      <c r="G1188" t="s">
        <v>1797</v>
      </c>
      <c r="H1188">
        <v>0</v>
      </c>
      <c r="I1188">
        <v>239.10513900000001</v>
      </c>
      <c r="J1188">
        <v>0</v>
      </c>
      <c r="K1188" t="s">
        <v>1797</v>
      </c>
      <c r="L1188">
        <v>0.80301428671271002</v>
      </c>
      <c r="M1188">
        <v>13.07</v>
      </c>
      <c r="N1188">
        <v>8.0399999999999991</v>
      </c>
    </row>
    <row r="1189" spans="1:14" x14ac:dyDescent="0.25">
      <c r="A1189" s="1" t="s">
        <v>1201</v>
      </c>
      <c r="B1189" t="str">
        <f>HYPERLINK("https://www.suredividend.com/sure-analysis-research-database/","Pagerduty Inc")</f>
        <v>Pagerduty Inc</v>
      </c>
      <c r="C1189" t="s">
        <v>1803</v>
      </c>
      <c r="D1189">
        <v>21.43</v>
      </c>
      <c r="E1189">
        <v>0</v>
      </c>
      <c r="F1189" t="s">
        <v>1797</v>
      </c>
      <c r="G1189" t="s">
        <v>1797</v>
      </c>
      <c r="H1189">
        <v>0</v>
      </c>
      <c r="I1189">
        <v>1999.65473</v>
      </c>
      <c r="J1189" t="s">
        <v>1797</v>
      </c>
      <c r="K1189">
        <v>0</v>
      </c>
      <c r="L1189">
        <v>1.901135941733116</v>
      </c>
      <c r="M1189">
        <v>35.33</v>
      </c>
      <c r="N1189">
        <v>19.18</v>
      </c>
    </row>
    <row r="1190" spans="1:14" x14ac:dyDescent="0.25">
      <c r="A1190" s="1" t="s">
        <v>1202</v>
      </c>
      <c r="B1190" t="str">
        <f>HYPERLINK("https://www.suredividend.com/sure-analysis-PDCO/","Patterson Companies Inc.")</f>
        <v>Patterson Companies Inc.</v>
      </c>
      <c r="C1190" t="s">
        <v>1802</v>
      </c>
      <c r="D1190">
        <v>31.13</v>
      </c>
      <c r="E1190">
        <v>3.3408287825248961E-2</v>
      </c>
      <c r="F1190">
        <v>0</v>
      </c>
      <c r="G1190">
        <v>0</v>
      </c>
      <c r="H1190">
        <v>1.016324364645391</v>
      </c>
      <c r="I1190">
        <v>2983.8105</v>
      </c>
      <c r="J1190">
        <v>13.92995597592915</v>
      </c>
      <c r="K1190">
        <v>0.46196562029335952</v>
      </c>
      <c r="L1190">
        <v>0.75758252174457308</v>
      </c>
      <c r="M1190">
        <v>33.950000000000003</v>
      </c>
      <c r="N1190">
        <v>24.1</v>
      </c>
    </row>
    <row r="1191" spans="1:14" x14ac:dyDescent="0.25">
      <c r="A1191" s="1" t="s">
        <v>1203</v>
      </c>
      <c r="B1191" t="str">
        <f>HYPERLINK("https://www.suredividend.com/sure-analysis-research-database/","PDF Solutions Inc.")</f>
        <v>PDF Solutions Inc.</v>
      </c>
      <c r="C1191" t="s">
        <v>1803</v>
      </c>
      <c r="D1191">
        <v>27.47</v>
      </c>
      <c r="E1191">
        <v>0</v>
      </c>
      <c r="F1191" t="s">
        <v>1797</v>
      </c>
      <c r="G1191" t="s">
        <v>1797</v>
      </c>
      <c r="H1191">
        <v>0</v>
      </c>
      <c r="I1191">
        <v>1047.3450359999999</v>
      </c>
      <c r="J1191">
        <v>115.6265220236255</v>
      </c>
      <c r="K1191">
        <v>0</v>
      </c>
      <c r="L1191">
        <v>1.2037441564412039</v>
      </c>
      <c r="M1191">
        <v>48.02</v>
      </c>
      <c r="N1191">
        <v>22.85</v>
      </c>
    </row>
    <row r="1192" spans="1:14" x14ac:dyDescent="0.25">
      <c r="A1192" s="1" t="s">
        <v>1204</v>
      </c>
      <c r="B1192" t="str">
        <f>HYPERLINK("https://www.suredividend.com/sure-analysis-research-database/","PDL Biopharma Inc")</f>
        <v>PDL Biopharma Inc</v>
      </c>
      <c r="C1192" t="s">
        <v>1802</v>
      </c>
      <c r="D1192">
        <v>2.4700000000000002</v>
      </c>
      <c r="E1192">
        <v>0</v>
      </c>
      <c r="F1192" t="s">
        <v>1797</v>
      </c>
      <c r="G1192" t="s">
        <v>1797</v>
      </c>
      <c r="H1192">
        <v>7.5879000127315008E-2</v>
      </c>
      <c r="I1192">
        <v>0</v>
      </c>
      <c r="J1192">
        <v>0</v>
      </c>
      <c r="K1192" t="s">
        <v>1797</v>
      </c>
    </row>
    <row r="1193" spans="1:14" x14ac:dyDescent="0.25">
      <c r="A1193" s="1" t="s">
        <v>1205</v>
      </c>
      <c r="B1193" t="str">
        <f>HYPERLINK("https://www.suredividend.com/sure-analysis-PDM/","Piedmont Office Realty Trust Inc")</f>
        <v>Piedmont Office Realty Trust Inc</v>
      </c>
      <c r="C1193" t="s">
        <v>1799</v>
      </c>
      <c r="D1193">
        <v>6.1</v>
      </c>
      <c r="E1193">
        <v>8.1967213114754106E-2</v>
      </c>
      <c r="F1193">
        <v>-0.40476190476190482</v>
      </c>
      <c r="G1193">
        <v>-9.85572635745805E-2</v>
      </c>
      <c r="H1193">
        <v>0.72537694662043206</v>
      </c>
      <c r="I1193">
        <v>754.65188000000001</v>
      </c>
      <c r="J1193">
        <v>13.66825835506774</v>
      </c>
      <c r="K1193">
        <v>1.6231303347962229</v>
      </c>
      <c r="L1193">
        <v>1.405279791334197</v>
      </c>
      <c r="M1193">
        <v>10.56</v>
      </c>
      <c r="N1193">
        <v>4.91</v>
      </c>
    </row>
    <row r="1194" spans="1:14" x14ac:dyDescent="0.25">
      <c r="A1194" s="1" t="s">
        <v>1206</v>
      </c>
      <c r="B1194" t="str">
        <f>HYPERLINK("https://www.suredividend.com/sure-analysis-research-database/","Pebblebrook Hotel Trust")</f>
        <v>Pebblebrook Hotel Trust</v>
      </c>
      <c r="C1194" t="s">
        <v>1799</v>
      </c>
      <c r="D1194">
        <v>12.87</v>
      </c>
      <c r="E1194">
        <v>3.1045467520560001E-3</v>
      </c>
      <c r="F1194">
        <v>0</v>
      </c>
      <c r="G1194">
        <v>-0.40327972630779862</v>
      </c>
      <c r="H1194">
        <v>3.9955516698967998E-2</v>
      </c>
      <c r="I1194">
        <v>1550.8589509999999</v>
      </c>
      <c r="J1194" t="s">
        <v>1797</v>
      </c>
      <c r="K1194" t="s">
        <v>1797</v>
      </c>
      <c r="L1194">
        <v>1.3790421318157919</v>
      </c>
      <c r="M1194">
        <v>17.34</v>
      </c>
      <c r="N1194">
        <v>11.52</v>
      </c>
    </row>
    <row r="1195" spans="1:14" x14ac:dyDescent="0.25">
      <c r="A1195" s="1" t="s">
        <v>1207</v>
      </c>
      <c r="B1195" t="str">
        <f>HYPERLINK("https://www.suredividend.com/sure-analysis-research-database/","Peoples Bancorp, Inc. (Marietta, OH)")</f>
        <v>Peoples Bancorp, Inc. (Marietta, OH)</v>
      </c>
      <c r="C1195" t="s">
        <v>1800</v>
      </c>
      <c r="D1195">
        <v>28.48</v>
      </c>
      <c r="E1195">
        <v>5.2181734882977997E-2</v>
      </c>
      <c r="F1195" t="s">
        <v>1797</v>
      </c>
      <c r="G1195" t="s">
        <v>1797</v>
      </c>
      <c r="H1195">
        <v>1.4861358094672339</v>
      </c>
      <c r="I1195">
        <v>1007.347938</v>
      </c>
      <c r="J1195">
        <v>9.5439794050100435</v>
      </c>
      <c r="K1195">
        <v>0.43454263434714452</v>
      </c>
      <c r="L1195">
        <v>0.67576170274127101</v>
      </c>
      <c r="M1195">
        <v>29.14</v>
      </c>
      <c r="N1195">
        <v>21.61</v>
      </c>
    </row>
    <row r="1196" spans="1:14" x14ac:dyDescent="0.25">
      <c r="A1196" s="1" t="s">
        <v>1208</v>
      </c>
      <c r="B1196" t="str">
        <f>HYPERLINK("https://www.suredividend.com/sure-analysis-PECO/","Phillips Edison &amp; Company Inc")</f>
        <v>Phillips Edison &amp; Company Inc</v>
      </c>
      <c r="C1196" t="s">
        <v>1797</v>
      </c>
      <c r="D1196">
        <v>35.090000000000003</v>
      </c>
      <c r="E1196">
        <v>3.3342832715873461E-2</v>
      </c>
      <c r="F1196">
        <v>4.5016077170418001E-2</v>
      </c>
      <c r="G1196">
        <v>1.6137364741595661E-2</v>
      </c>
      <c r="H1196">
        <v>1.104021523692994</v>
      </c>
      <c r="I1196">
        <v>4196.7640000000001</v>
      </c>
      <c r="J1196">
        <v>73.636481673187944</v>
      </c>
      <c r="K1196">
        <v>2.304846604787044</v>
      </c>
      <c r="L1196">
        <v>0.86660723426487507</v>
      </c>
      <c r="M1196">
        <v>36.049999999999997</v>
      </c>
      <c r="N1196">
        <v>27.24</v>
      </c>
    </row>
    <row r="1197" spans="1:14" x14ac:dyDescent="0.25">
      <c r="A1197" s="1" t="s">
        <v>1209</v>
      </c>
      <c r="B1197" t="str">
        <f>HYPERLINK("https://www.suredividend.com/sure-analysis-research-database/","PepGen Inc")</f>
        <v>PepGen Inc</v>
      </c>
      <c r="C1197" t="s">
        <v>1797</v>
      </c>
      <c r="D1197">
        <v>5.24</v>
      </c>
      <c r="E1197">
        <v>0</v>
      </c>
      <c r="F1197" t="s">
        <v>1797</v>
      </c>
      <c r="G1197" t="s">
        <v>1797</v>
      </c>
      <c r="H1197">
        <v>0</v>
      </c>
      <c r="I1197">
        <v>124.78298599999999</v>
      </c>
      <c r="J1197">
        <v>0</v>
      </c>
      <c r="K1197" t="s">
        <v>1797</v>
      </c>
      <c r="L1197">
        <v>1.227539915476604</v>
      </c>
      <c r="M1197">
        <v>20</v>
      </c>
      <c r="N1197">
        <v>4.26</v>
      </c>
    </row>
    <row r="1198" spans="1:14" x14ac:dyDescent="0.25">
      <c r="A1198" s="1" t="s">
        <v>1210</v>
      </c>
      <c r="B1198" t="str">
        <f>HYPERLINK("https://www.suredividend.com/sure-analysis-research-database/","PetIQ Inc")</f>
        <v>PetIQ Inc</v>
      </c>
      <c r="C1198" t="s">
        <v>1802</v>
      </c>
      <c r="D1198">
        <v>19.61</v>
      </c>
      <c r="E1198">
        <v>0</v>
      </c>
      <c r="F1198" t="s">
        <v>1797</v>
      </c>
      <c r="G1198" t="s">
        <v>1797</v>
      </c>
      <c r="H1198">
        <v>0</v>
      </c>
      <c r="I1198">
        <v>572.26511900000003</v>
      </c>
      <c r="J1198" t="s">
        <v>1797</v>
      </c>
      <c r="K1198">
        <v>0</v>
      </c>
      <c r="L1198">
        <v>1.951627685788085</v>
      </c>
      <c r="M1198">
        <v>22.98</v>
      </c>
      <c r="N1198">
        <v>7.13</v>
      </c>
    </row>
    <row r="1199" spans="1:14" x14ac:dyDescent="0.25">
      <c r="A1199" s="1" t="s">
        <v>1211</v>
      </c>
      <c r="B1199" t="str">
        <f>HYPERLINK("https://www.suredividend.com/sure-analysis-PETS/","Petmed Express, Inc.")</f>
        <v>Petmed Express, Inc.</v>
      </c>
      <c r="C1199" t="s">
        <v>1802</v>
      </c>
      <c r="D1199">
        <v>7.21</v>
      </c>
      <c r="E1199">
        <v>0.18307905686546461</v>
      </c>
      <c r="F1199" t="s">
        <v>1797</v>
      </c>
      <c r="G1199" t="s">
        <v>1797</v>
      </c>
      <c r="H1199">
        <v>1.1747004889877961</v>
      </c>
      <c r="I1199">
        <v>152.46991299999999</v>
      </c>
      <c r="J1199" t="s">
        <v>1797</v>
      </c>
      <c r="K1199" t="s">
        <v>1797</v>
      </c>
      <c r="L1199">
        <v>1.0136399413269459</v>
      </c>
      <c r="M1199">
        <v>21.78</v>
      </c>
      <c r="N1199">
        <v>5.5</v>
      </c>
    </row>
    <row r="1200" spans="1:14" x14ac:dyDescent="0.25">
      <c r="A1200" s="1" t="s">
        <v>1212</v>
      </c>
      <c r="B1200" t="str">
        <f>HYPERLINK("https://www.suredividend.com/sure-analysis-research-database/","Preferred Bank (Los Angeles, CA)")</f>
        <v>Preferred Bank (Los Angeles, CA)</v>
      </c>
      <c r="C1200" t="s">
        <v>1800</v>
      </c>
      <c r="D1200">
        <v>63.38</v>
      </c>
      <c r="E1200">
        <v>4.1925329853681997E-2</v>
      </c>
      <c r="F1200">
        <v>0.27906976744186052</v>
      </c>
      <c r="G1200">
        <v>0.12888132073019751</v>
      </c>
      <c r="H1200">
        <v>2.6572274061263901</v>
      </c>
      <c r="I1200">
        <v>835.91881999999998</v>
      </c>
      <c r="J1200">
        <v>5.9331309532259224</v>
      </c>
      <c r="K1200">
        <v>0.27766221589617451</v>
      </c>
      <c r="L1200">
        <v>0.92551408939956403</v>
      </c>
      <c r="M1200">
        <v>72.77</v>
      </c>
      <c r="N1200">
        <v>40.85</v>
      </c>
    </row>
    <row r="1201" spans="1:14" x14ac:dyDescent="0.25">
      <c r="A1201" s="1" t="s">
        <v>1213</v>
      </c>
      <c r="B1201" t="str">
        <f>HYPERLINK("https://www.suredividend.com/sure-analysis-research-database/","Premier Financial Corp")</f>
        <v>Premier Financial Corp</v>
      </c>
      <c r="C1201" t="s">
        <v>1797</v>
      </c>
      <c r="D1201">
        <v>19.47</v>
      </c>
      <c r="E1201">
        <v>6.0246536448858003E-2</v>
      </c>
      <c r="F1201">
        <v>3.3333333333333208E-2</v>
      </c>
      <c r="G1201">
        <v>0.12767137012376309</v>
      </c>
      <c r="H1201">
        <v>1.1730000646592831</v>
      </c>
      <c r="I1201">
        <v>695.666741</v>
      </c>
      <c r="J1201">
        <v>5.8021546722213877</v>
      </c>
      <c r="K1201">
        <v>0.35014927303262178</v>
      </c>
      <c r="L1201">
        <v>1.1062541524136631</v>
      </c>
      <c r="M1201">
        <v>28.34</v>
      </c>
      <c r="N1201">
        <v>13.2</v>
      </c>
    </row>
    <row r="1202" spans="1:14" x14ac:dyDescent="0.25">
      <c r="A1202" s="1" t="s">
        <v>1214</v>
      </c>
      <c r="B1202" t="str">
        <f>HYPERLINK("https://www.suredividend.com/sure-analysis-research-database/","Peoples Financial Services Corp")</f>
        <v>Peoples Financial Services Corp</v>
      </c>
      <c r="C1202" t="s">
        <v>1800</v>
      </c>
      <c r="D1202">
        <v>40.200000000000003</v>
      </c>
      <c r="E1202">
        <v>3.9497370670320997E-2</v>
      </c>
      <c r="F1202">
        <v>2.4999999999999911E-2</v>
      </c>
      <c r="G1202">
        <v>4.4369026902302489E-2</v>
      </c>
      <c r="H1202">
        <v>1.587794300946924</v>
      </c>
      <c r="I1202">
        <v>285.148931</v>
      </c>
      <c r="J1202">
        <v>0</v>
      </c>
      <c r="K1202" t="s">
        <v>1797</v>
      </c>
      <c r="L1202">
        <v>0.98811215695070909</v>
      </c>
      <c r="M1202">
        <v>55.33</v>
      </c>
      <c r="N1202">
        <v>29.4</v>
      </c>
    </row>
    <row r="1203" spans="1:14" x14ac:dyDescent="0.25">
      <c r="A1203" s="1" t="s">
        <v>1215</v>
      </c>
      <c r="B1203" t="str">
        <f>HYPERLINK("https://www.suredividend.com/sure-analysis-research-database/","Provident Financial Services Inc")</f>
        <v>Provident Financial Services Inc</v>
      </c>
      <c r="C1203" t="s">
        <v>1800</v>
      </c>
      <c r="D1203">
        <v>15.53</v>
      </c>
      <c r="E1203">
        <v>6.0573668728031008E-2</v>
      </c>
      <c r="F1203">
        <v>0</v>
      </c>
      <c r="G1203">
        <v>8.5482523039324132E-3</v>
      </c>
      <c r="H1203">
        <v>0.94070907534633108</v>
      </c>
      <c r="I1203">
        <v>1173.0101589999999</v>
      </c>
      <c r="J1203">
        <v>7.1092817355467064</v>
      </c>
      <c r="K1203">
        <v>0.42566021508883761</v>
      </c>
      <c r="L1203">
        <v>1.0103461576954209</v>
      </c>
      <c r="M1203">
        <v>23.63</v>
      </c>
      <c r="N1203">
        <v>13.43</v>
      </c>
    </row>
    <row r="1204" spans="1:14" x14ac:dyDescent="0.25">
      <c r="A1204" s="1" t="s">
        <v>1216</v>
      </c>
      <c r="B1204" t="str">
        <f>HYPERLINK("https://www.suredividend.com/sure-analysis-research-database/","PennyMac Financial Services Inc.")</f>
        <v>PennyMac Financial Services Inc.</v>
      </c>
      <c r="C1204" t="s">
        <v>1800</v>
      </c>
      <c r="D1204">
        <v>72.56</v>
      </c>
      <c r="E1204">
        <v>1.0966455777222999E-2</v>
      </c>
      <c r="F1204" t="s">
        <v>1797</v>
      </c>
      <c r="G1204" t="s">
        <v>1797</v>
      </c>
      <c r="H1204">
        <v>0.79572603119533103</v>
      </c>
      <c r="I1204">
        <v>3622.6125649999999</v>
      </c>
      <c r="J1204">
        <v>16.53292821176095</v>
      </c>
      <c r="K1204">
        <v>0.19174121233622429</v>
      </c>
      <c r="L1204">
        <v>1.3389026998343061</v>
      </c>
      <c r="M1204">
        <v>82.69</v>
      </c>
      <c r="N1204">
        <v>49.87</v>
      </c>
    </row>
    <row r="1205" spans="1:14" x14ac:dyDescent="0.25">
      <c r="A1205" s="1" t="s">
        <v>1217</v>
      </c>
      <c r="B1205" t="str">
        <f>HYPERLINK("https://www.suredividend.com/sure-analysis-research-database/","PFSWEB Inc")</f>
        <v>PFSWEB Inc</v>
      </c>
      <c r="C1205" t="s">
        <v>1798</v>
      </c>
      <c r="D1205">
        <v>7.49</v>
      </c>
      <c r="E1205">
        <v>0</v>
      </c>
      <c r="F1205" t="s">
        <v>1797</v>
      </c>
      <c r="G1205" t="s">
        <v>1797</v>
      </c>
      <c r="H1205">
        <v>0</v>
      </c>
      <c r="I1205">
        <v>0</v>
      </c>
      <c r="J1205">
        <v>0</v>
      </c>
      <c r="K1205">
        <v>0</v>
      </c>
    </row>
    <row r="1206" spans="1:14" x14ac:dyDescent="0.25">
      <c r="A1206" s="1" t="s">
        <v>1218</v>
      </c>
      <c r="B1206" t="str">
        <f>HYPERLINK("https://www.suredividend.com/sure-analysis-research-database/","Peapack-Gladstone Financial Corp.")</f>
        <v>Peapack-Gladstone Financial Corp.</v>
      </c>
      <c r="C1206" t="s">
        <v>1800</v>
      </c>
      <c r="D1206">
        <v>25.61</v>
      </c>
      <c r="E1206">
        <v>7.7808945535330007E-3</v>
      </c>
      <c r="F1206">
        <v>0</v>
      </c>
      <c r="G1206">
        <v>0</v>
      </c>
      <c r="H1206">
        <v>0.19926870951598699</v>
      </c>
      <c r="I1206">
        <v>458.108991</v>
      </c>
      <c r="J1206">
        <v>6.3445605006578489</v>
      </c>
      <c r="K1206">
        <v>5.0447774561009372E-2</v>
      </c>
      <c r="L1206">
        <v>1.130805352012227</v>
      </c>
      <c r="M1206">
        <v>41.89</v>
      </c>
      <c r="N1206">
        <v>21.58</v>
      </c>
    </row>
    <row r="1207" spans="1:14" x14ac:dyDescent="0.25">
      <c r="A1207" s="1" t="s">
        <v>1219</v>
      </c>
      <c r="B1207" t="str">
        <f>HYPERLINK("https://www.suredividend.com/sure-analysis-research-database/","Precigen Inc")</f>
        <v>Precigen Inc</v>
      </c>
      <c r="C1207" t="s">
        <v>1802</v>
      </c>
      <c r="D1207">
        <v>1.21</v>
      </c>
      <c r="E1207">
        <v>0</v>
      </c>
      <c r="F1207" t="s">
        <v>1797</v>
      </c>
      <c r="G1207" t="s">
        <v>1797</v>
      </c>
      <c r="H1207">
        <v>0</v>
      </c>
      <c r="I1207">
        <v>309.13413100000002</v>
      </c>
      <c r="J1207">
        <v>13.957024295905009</v>
      </c>
      <c r="K1207">
        <v>0</v>
      </c>
      <c r="L1207">
        <v>2.3907170691543538</v>
      </c>
      <c r="M1207">
        <v>2.29</v>
      </c>
      <c r="N1207">
        <v>0.80500000000000005</v>
      </c>
    </row>
    <row r="1208" spans="1:14" x14ac:dyDescent="0.25">
      <c r="A1208" s="1" t="s">
        <v>1220</v>
      </c>
      <c r="B1208" t="str">
        <f>HYPERLINK("https://www.suredividend.com/sure-analysis-research-database/","Progyny Inc")</f>
        <v>Progyny Inc</v>
      </c>
      <c r="C1208" t="s">
        <v>1802</v>
      </c>
      <c r="D1208">
        <v>31.9</v>
      </c>
      <c r="E1208">
        <v>0</v>
      </c>
      <c r="F1208" t="s">
        <v>1797</v>
      </c>
      <c r="G1208" t="s">
        <v>1797</v>
      </c>
      <c r="H1208">
        <v>0</v>
      </c>
      <c r="I1208">
        <v>3043.4635539999999</v>
      </c>
      <c r="J1208">
        <v>61.748570725125788</v>
      </c>
      <c r="K1208">
        <v>0</v>
      </c>
      <c r="L1208">
        <v>0.90214148348726009</v>
      </c>
      <c r="M1208">
        <v>44.95</v>
      </c>
      <c r="N1208">
        <v>28.03</v>
      </c>
    </row>
    <row r="1209" spans="1:14" x14ac:dyDescent="0.25">
      <c r="A1209" s="1" t="s">
        <v>1221</v>
      </c>
      <c r="B1209" t="str">
        <f>HYPERLINK("https://www.suredividend.com/sure-analysis-PGRE/","Paramount Group Inc")</f>
        <v>Paramount Group Inc</v>
      </c>
      <c r="C1209" t="s">
        <v>1799</v>
      </c>
      <c r="D1209">
        <v>4.83</v>
      </c>
      <c r="E1209">
        <v>2.8985507246376819E-2</v>
      </c>
      <c r="F1209">
        <v>-0.54838709677419351</v>
      </c>
      <c r="G1209">
        <v>-0.18938691690105089</v>
      </c>
      <c r="H1209">
        <v>0.22103384822998101</v>
      </c>
      <c r="I1209">
        <v>1049.8174389999999</v>
      </c>
      <c r="J1209" t="s">
        <v>1797</v>
      </c>
      <c r="K1209" t="s">
        <v>1797</v>
      </c>
      <c r="L1209">
        <v>1.367957058030713</v>
      </c>
      <c r="M1209">
        <v>6.54</v>
      </c>
      <c r="N1209">
        <v>3.77</v>
      </c>
    </row>
    <row r="1210" spans="1:14" x14ac:dyDescent="0.25">
      <c r="A1210" s="1" t="s">
        <v>1222</v>
      </c>
      <c r="B1210" t="str">
        <f>HYPERLINK("https://www.suredividend.com/sure-analysis-research-database/","PGT Innovations Inc")</f>
        <v>PGT Innovations Inc</v>
      </c>
      <c r="C1210" t="s">
        <v>1798</v>
      </c>
      <c r="D1210">
        <v>30.84</v>
      </c>
      <c r="E1210">
        <v>0</v>
      </c>
      <c r="F1210" t="s">
        <v>1797</v>
      </c>
      <c r="G1210" t="s">
        <v>1797</v>
      </c>
      <c r="H1210">
        <v>0</v>
      </c>
      <c r="I1210">
        <v>1799.5552949999999</v>
      </c>
      <c r="J1210">
        <v>15.83070415447548</v>
      </c>
      <c r="K1210">
        <v>0</v>
      </c>
      <c r="L1210">
        <v>1.2189467085878849</v>
      </c>
      <c r="M1210">
        <v>32.78</v>
      </c>
      <c r="N1210">
        <v>17.43</v>
      </c>
    </row>
    <row r="1211" spans="1:14" x14ac:dyDescent="0.25">
      <c r="A1211" s="1" t="s">
        <v>1223</v>
      </c>
      <c r="B1211" t="str">
        <f>HYPERLINK("https://www.suredividend.com/sure-analysis-research-database/","Phathom Pharmaceuticals Inc")</f>
        <v>Phathom Pharmaceuticals Inc</v>
      </c>
      <c r="C1211" t="s">
        <v>1802</v>
      </c>
      <c r="D1211">
        <v>8.73</v>
      </c>
      <c r="E1211">
        <v>0</v>
      </c>
      <c r="F1211" t="s">
        <v>1797</v>
      </c>
      <c r="G1211" t="s">
        <v>1797</v>
      </c>
      <c r="H1211">
        <v>0</v>
      </c>
      <c r="I1211">
        <v>495.89178800000002</v>
      </c>
      <c r="J1211">
        <v>0</v>
      </c>
      <c r="K1211" t="s">
        <v>1797</v>
      </c>
      <c r="L1211">
        <v>1.349022488062791</v>
      </c>
      <c r="M1211">
        <v>17.02</v>
      </c>
      <c r="N1211">
        <v>5.84</v>
      </c>
    </row>
    <row r="1212" spans="1:14" x14ac:dyDescent="0.25">
      <c r="A1212" s="1" t="s">
        <v>1224</v>
      </c>
      <c r="B1212" t="str">
        <f>HYPERLINK("https://www.suredividend.com/sure-analysis-research-database/","Phreesia Inc")</f>
        <v>Phreesia Inc</v>
      </c>
      <c r="C1212" t="s">
        <v>1802</v>
      </c>
      <c r="D1212">
        <v>16.350000000000001</v>
      </c>
      <c r="E1212">
        <v>0</v>
      </c>
      <c r="F1212" t="s">
        <v>1797</v>
      </c>
      <c r="G1212" t="s">
        <v>1797</v>
      </c>
      <c r="H1212">
        <v>0</v>
      </c>
      <c r="I1212">
        <v>902.66182000000003</v>
      </c>
      <c r="J1212" t="s">
        <v>1797</v>
      </c>
      <c r="K1212">
        <v>0</v>
      </c>
      <c r="L1212">
        <v>1.9592885171480161</v>
      </c>
      <c r="M1212">
        <v>40</v>
      </c>
      <c r="N1212">
        <v>12.05</v>
      </c>
    </row>
    <row r="1213" spans="1:14" x14ac:dyDescent="0.25">
      <c r="A1213" s="1" t="s">
        <v>1225</v>
      </c>
      <c r="B1213" t="str">
        <f>HYPERLINK("https://www.suredividend.com/sure-analysis-research-database/","Impinj Inc")</f>
        <v>Impinj Inc</v>
      </c>
      <c r="C1213" t="s">
        <v>1803</v>
      </c>
      <c r="D1213">
        <v>68.72</v>
      </c>
      <c r="E1213">
        <v>0</v>
      </c>
      <c r="F1213" t="s">
        <v>1797</v>
      </c>
      <c r="G1213" t="s">
        <v>1797</v>
      </c>
      <c r="H1213">
        <v>0</v>
      </c>
      <c r="I1213">
        <v>1859.2788370000001</v>
      </c>
      <c r="J1213" t="s">
        <v>1797</v>
      </c>
      <c r="K1213">
        <v>0</v>
      </c>
      <c r="L1213">
        <v>1.3298320632703411</v>
      </c>
      <c r="M1213">
        <v>144.9</v>
      </c>
      <c r="N1213">
        <v>48.39</v>
      </c>
    </row>
    <row r="1214" spans="1:14" x14ac:dyDescent="0.25">
      <c r="A1214" s="1" t="s">
        <v>1226</v>
      </c>
      <c r="B1214" t="str">
        <f>HYPERLINK("https://www.suredividend.com/sure-analysis-research-database/","P3 Health Partners Inc")</f>
        <v>P3 Health Partners Inc</v>
      </c>
      <c r="C1214" t="s">
        <v>1797</v>
      </c>
      <c r="D1214">
        <v>1.53</v>
      </c>
      <c r="E1214">
        <v>0</v>
      </c>
      <c r="F1214" t="s">
        <v>1797</v>
      </c>
      <c r="G1214" t="s">
        <v>1797</v>
      </c>
      <c r="H1214">
        <v>0</v>
      </c>
      <c r="I1214">
        <v>174.80138600000001</v>
      </c>
      <c r="J1214" t="s">
        <v>1797</v>
      </c>
      <c r="K1214">
        <v>0</v>
      </c>
      <c r="L1214">
        <v>1.1643687790514889</v>
      </c>
      <c r="M1214">
        <v>5.84</v>
      </c>
      <c r="N1214">
        <v>0.70030000000000003</v>
      </c>
    </row>
    <row r="1215" spans="1:14" x14ac:dyDescent="0.25">
      <c r="A1215" s="1" t="s">
        <v>1227</v>
      </c>
      <c r="B1215" t="str">
        <f>HYPERLINK("https://www.suredividend.com/sure-analysis-research-database/","Piper Sandler Co`s")</f>
        <v>Piper Sandler Co`s</v>
      </c>
      <c r="C1215" t="s">
        <v>1800</v>
      </c>
      <c r="D1215">
        <v>145.19</v>
      </c>
      <c r="E1215">
        <v>2.4952625876717E-2</v>
      </c>
      <c r="F1215">
        <v>0</v>
      </c>
      <c r="G1215">
        <v>9.8560543306117854E-2</v>
      </c>
      <c r="H1215">
        <v>3.6228717510406199</v>
      </c>
      <c r="I1215">
        <v>2577.0393060000001</v>
      </c>
      <c r="J1215">
        <v>0</v>
      </c>
      <c r="K1215" t="s">
        <v>1797</v>
      </c>
      <c r="L1215">
        <v>1.2561131675934061</v>
      </c>
      <c r="M1215">
        <v>160.09</v>
      </c>
      <c r="N1215">
        <v>119.88</v>
      </c>
    </row>
    <row r="1216" spans="1:14" x14ac:dyDescent="0.25">
      <c r="A1216" s="1" t="s">
        <v>1228</v>
      </c>
      <c r="B1216" t="str">
        <f>HYPERLINK("https://www.suredividend.com/sure-analysis-research-database/","PJT Partners Inc")</f>
        <v>PJT Partners Inc</v>
      </c>
      <c r="C1216" t="s">
        <v>1800</v>
      </c>
      <c r="D1216">
        <v>83.09</v>
      </c>
      <c r="E1216">
        <v>1.1974987736467E-2</v>
      </c>
      <c r="F1216">
        <v>0</v>
      </c>
      <c r="G1216">
        <v>0.3797296614612149</v>
      </c>
      <c r="H1216">
        <v>0.99500173102312606</v>
      </c>
      <c r="I1216">
        <v>2010.27946</v>
      </c>
      <c r="J1216">
        <v>23.61173445776906</v>
      </c>
      <c r="K1216">
        <v>0.31191276834580761</v>
      </c>
      <c r="L1216">
        <v>0.71844157083683302</v>
      </c>
      <c r="M1216">
        <v>86.65</v>
      </c>
      <c r="N1216">
        <v>59.2</v>
      </c>
    </row>
    <row r="1217" spans="1:14" x14ac:dyDescent="0.25">
      <c r="A1217" s="1" t="s">
        <v>1229</v>
      </c>
      <c r="B1217" t="str">
        <f>HYPERLINK("https://www.suredividend.com/sure-analysis-research-database/","Parke Bancorp Inc")</f>
        <v>Parke Bancorp Inc</v>
      </c>
      <c r="C1217" t="s">
        <v>1800</v>
      </c>
      <c r="D1217">
        <v>17.96</v>
      </c>
      <c r="E1217">
        <v>3.8818020794301002E-2</v>
      </c>
      <c r="F1217">
        <v>0</v>
      </c>
      <c r="G1217">
        <v>5.1547496797280427E-2</v>
      </c>
      <c r="H1217">
        <v>0.69717165346565102</v>
      </c>
      <c r="I1217">
        <v>214.56221099999999</v>
      </c>
      <c r="J1217">
        <v>0</v>
      </c>
      <c r="K1217" t="s">
        <v>1797</v>
      </c>
      <c r="L1217">
        <v>0.77950173059641803</v>
      </c>
      <c r="M1217">
        <v>20.36</v>
      </c>
      <c r="N1217">
        <v>14.23</v>
      </c>
    </row>
    <row r="1218" spans="1:14" x14ac:dyDescent="0.25">
      <c r="A1218" s="1" t="s">
        <v>1230</v>
      </c>
      <c r="B1218" t="str">
        <f>HYPERLINK("https://www.suredividend.com/sure-analysis-research-database/","Park Aerospace Corp")</f>
        <v>Park Aerospace Corp</v>
      </c>
      <c r="C1218" t="s">
        <v>1798</v>
      </c>
      <c r="D1218">
        <v>14.84</v>
      </c>
      <c r="E1218">
        <v>3.1185745639434999E-2</v>
      </c>
      <c r="F1218">
        <v>0.25</v>
      </c>
      <c r="G1218">
        <v>4.5639552591273169E-2</v>
      </c>
      <c r="H1218">
        <v>0.46279646528921597</v>
      </c>
      <c r="I1218">
        <v>300.51313099999999</v>
      </c>
      <c r="J1218">
        <v>28.522506761579351</v>
      </c>
      <c r="K1218">
        <v>0.89933242380337342</v>
      </c>
      <c r="L1218">
        <v>0.62307370774142901</v>
      </c>
      <c r="M1218">
        <v>16.100000000000001</v>
      </c>
      <c r="N1218">
        <v>9.74</v>
      </c>
    </row>
    <row r="1219" spans="1:14" x14ac:dyDescent="0.25">
      <c r="A1219" s="1" t="s">
        <v>1231</v>
      </c>
      <c r="B1219" t="str">
        <f>HYPERLINK("https://www.suredividend.com/sure-analysis-research-database/","Planet Labs PBC")</f>
        <v>Planet Labs PBC</v>
      </c>
      <c r="C1219" t="s">
        <v>1797</v>
      </c>
      <c r="D1219">
        <v>2.2799999999999998</v>
      </c>
      <c r="E1219">
        <v>0</v>
      </c>
      <c r="F1219" t="s">
        <v>1797</v>
      </c>
      <c r="G1219" t="s">
        <v>1797</v>
      </c>
      <c r="H1219">
        <v>0</v>
      </c>
      <c r="I1219">
        <v>564.36839999999995</v>
      </c>
      <c r="J1219" t="s">
        <v>1797</v>
      </c>
      <c r="K1219">
        <v>0</v>
      </c>
      <c r="L1219">
        <v>1.55237902890632</v>
      </c>
      <c r="M1219">
        <v>5.81</v>
      </c>
      <c r="N1219">
        <v>2.04</v>
      </c>
    </row>
    <row r="1220" spans="1:14" x14ac:dyDescent="0.25">
      <c r="A1220" s="1" t="s">
        <v>1232</v>
      </c>
      <c r="B1220" t="str">
        <f>HYPERLINK("https://www.suredividend.com/sure-analysis-research-database/","Photronics, Inc.")</f>
        <v>Photronics, Inc.</v>
      </c>
      <c r="C1220" t="s">
        <v>1803</v>
      </c>
      <c r="D1220">
        <v>19.82</v>
      </c>
      <c r="E1220">
        <v>0</v>
      </c>
      <c r="F1220" t="s">
        <v>1797</v>
      </c>
      <c r="G1220" t="s">
        <v>1797</v>
      </c>
      <c r="H1220">
        <v>0</v>
      </c>
      <c r="I1220">
        <v>1239.711151</v>
      </c>
      <c r="J1220">
        <v>10.51190624484882</v>
      </c>
      <c r="K1220">
        <v>0</v>
      </c>
      <c r="L1220">
        <v>1.4088616114433481</v>
      </c>
      <c r="M1220">
        <v>26.98</v>
      </c>
      <c r="N1220">
        <v>13.86</v>
      </c>
    </row>
    <row r="1221" spans="1:14" x14ac:dyDescent="0.25">
      <c r="A1221" s="1" t="s">
        <v>1233</v>
      </c>
      <c r="B1221" t="str">
        <f>HYPERLINK("https://www.suredividend.com/sure-analysis-research-database/","Dave &amp; Buster`s Entertainment Inc")</f>
        <v>Dave &amp; Buster`s Entertainment Inc</v>
      </c>
      <c r="C1221" t="s">
        <v>1801</v>
      </c>
      <c r="D1221">
        <v>36.35</v>
      </c>
      <c r="E1221">
        <v>0</v>
      </c>
      <c r="F1221" t="s">
        <v>1797</v>
      </c>
      <c r="G1221" t="s">
        <v>1797</v>
      </c>
      <c r="H1221">
        <v>0</v>
      </c>
      <c r="I1221">
        <v>1561.2325000000001</v>
      </c>
      <c r="J1221">
        <v>11.39061964206241</v>
      </c>
      <c r="K1221">
        <v>0</v>
      </c>
      <c r="L1221">
        <v>1.1271628964744791</v>
      </c>
      <c r="M1221">
        <v>47.29</v>
      </c>
      <c r="N1221">
        <v>31.65</v>
      </c>
    </row>
    <row r="1222" spans="1:14" x14ac:dyDescent="0.25">
      <c r="A1222" s="1" t="s">
        <v>1234</v>
      </c>
      <c r="B1222" t="str">
        <f>HYPERLINK("https://www.suredividend.com/sure-analysis-research-database/","PLBY Group Inc")</f>
        <v>PLBY Group Inc</v>
      </c>
      <c r="C1222" t="s">
        <v>1797</v>
      </c>
      <c r="D1222">
        <v>0.68</v>
      </c>
      <c r="E1222">
        <v>0</v>
      </c>
      <c r="F1222" t="s">
        <v>1797</v>
      </c>
      <c r="G1222" t="s">
        <v>1797</v>
      </c>
      <c r="H1222">
        <v>0</v>
      </c>
      <c r="I1222">
        <v>50.239179</v>
      </c>
      <c r="J1222">
        <v>0</v>
      </c>
      <c r="K1222" t="s">
        <v>1797</v>
      </c>
      <c r="L1222">
        <v>2.0326200923967561</v>
      </c>
      <c r="M1222">
        <v>4.43</v>
      </c>
      <c r="N1222">
        <v>0.58410000000000006</v>
      </c>
    </row>
    <row r="1223" spans="1:14" x14ac:dyDescent="0.25">
      <c r="A1223" s="1" t="s">
        <v>1235</v>
      </c>
      <c r="B1223" t="str">
        <f>HYPERLINK("https://www.suredividend.com/sure-analysis-research-database/","Childrens Place Inc")</f>
        <v>Childrens Place Inc</v>
      </c>
      <c r="C1223" t="s">
        <v>1801</v>
      </c>
      <c r="D1223">
        <v>27.79</v>
      </c>
      <c r="E1223">
        <v>0</v>
      </c>
      <c r="F1223" t="s">
        <v>1797</v>
      </c>
      <c r="G1223" t="s">
        <v>1797</v>
      </c>
      <c r="H1223">
        <v>0</v>
      </c>
      <c r="I1223">
        <v>346.78743600000001</v>
      </c>
      <c r="J1223" t="s">
        <v>1797</v>
      </c>
      <c r="K1223">
        <v>0</v>
      </c>
      <c r="L1223">
        <v>1.815547560506487</v>
      </c>
      <c r="M1223">
        <v>48.88</v>
      </c>
      <c r="N1223">
        <v>14.27</v>
      </c>
    </row>
    <row r="1224" spans="1:14" x14ac:dyDescent="0.25">
      <c r="A1224" s="1" t="s">
        <v>1236</v>
      </c>
      <c r="B1224" t="str">
        <f>HYPERLINK("https://www.suredividend.com/sure-analysis-research-database/","Piedmont Lithium Inc")</f>
        <v>Piedmont Lithium Inc</v>
      </c>
      <c r="C1224" t="s">
        <v>1808</v>
      </c>
      <c r="D1224">
        <v>29.35</v>
      </c>
      <c r="E1224">
        <v>0</v>
      </c>
      <c r="F1224" t="s">
        <v>1797</v>
      </c>
      <c r="G1224" t="s">
        <v>1797</v>
      </c>
      <c r="H1224">
        <v>0</v>
      </c>
      <c r="I1224">
        <v>563.39934200000005</v>
      </c>
      <c r="J1224">
        <v>0</v>
      </c>
      <c r="K1224" t="s">
        <v>1797</v>
      </c>
      <c r="L1224">
        <v>2.0049693187180959</v>
      </c>
      <c r="M1224">
        <v>76.78</v>
      </c>
      <c r="N1224">
        <v>25.81</v>
      </c>
    </row>
    <row r="1225" spans="1:14" x14ac:dyDescent="0.25">
      <c r="A1225" s="1" t="s">
        <v>1237</v>
      </c>
      <c r="B1225" t="str">
        <f>HYPERLINK("https://www.suredividend.com/sure-analysis-research-database/","Polymet Mining Corp")</f>
        <v>Polymet Mining Corp</v>
      </c>
      <c r="C1225" t="s">
        <v>1808</v>
      </c>
      <c r="D1225">
        <v>2.11</v>
      </c>
      <c r="E1225">
        <v>0</v>
      </c>
      <c r="F1225" t="s">
        <v>1797</v>
      </c>
      <c r="G1225" t="s">
        <v>1797</v>
      </c>
      <c r="H1225">
        <v>0</v>
      </c>
      <c r="I1225">
        <v>410.31112999999999</v>
      </c>
      <c r="J1225">
        <v>0</v>
      </c>
      <c r="K1225" t="s">
        <v>1797</v>
      </c>
      <c r="L1225">
        <v>0.93539393174846708</v>
      </c>
      <c r="M1225">
        <v>3.22</v>
      </c>
      <c r="N1225">
        <v>0.751</v>
      </c>
    </row>
    <row r="1226" spans="1:14" x14ac:dyDescent="0.25">
      <c r="A1226" s="1" t="s">
        <v>1238</v>
      </c>
      <c r="B1226" t="str">
        <f>HYPERLINK("https://www.suredividend.com/sure-analysis-research-database/","Palomar Holdings Inc")</f>
        <v>Palomar Holdings Inc</v>
      </c>
      <c r="C1226" t="s">
        <v>1800</v>
      </c>
      <c r="D1226">
        <v>56.36</v>
      </c>
      <c r="E1226">
        <v>0</v>
      </c>
      <c r="F1226" t="s">
        <v>1797</v>
      </c>
      <c r="G1226" t="s">
        <v>1797</v>
      </c>
      <c r="H1226">
        <v>0</v>
      </c>
      <c r="I1226">
        <v>1394.4471719999999</v>
      </c>
      <c r="J1226">
        <v>19.349853211406369</v>
      </c>
      <c r="K1226">
        <v>0</v>
      </c>
      <c r="L1226">
        <v>0.90862462197367111</v>
      </c>
      <c r="M1226">
        <v>74.17</v>
      </c>
      <c r="N1226">
        <v>43.64</v>
      </c>
    </row>
    <row r="1227" spans="1:14" x14ac:dyDescent="0.25">
      <c r="A1227" s="1" t="s">
        <v>1239</v>
      </c>
      <c r="B1227" t="str">
        <f>HYPERLINK("https://www.suredividend.com/sure-analysis-research-database/","Douglas Dynamics Inc")</f>
        <v>Douglas Dynamics Inc</v>
      </c>
      <c r="C1227" t="s">
        <v>1801</v>
      </c>
      <c r="D1227">
        <v>27.23</v>
      </c>
      <c r="E1227">
        <v>4.2538638890167013E-2</v>
      </c>
      <c r="F1227">
        <v>1.7241379310344751E-2</v>
      </c>
      <c r="G1227">
        <v>2.168079166422654E-2</v>
      </c>
      <c r="H1227">
        <v>1.1583271369792709</v>
      </c>
      <c r="I1227">
        <v>625.85336700000005</v>
      </c>
      <c r="J1227">
        <v>22.880611521588129</v>
      </c>
      <c r="K1227">
        <v>0.97338414872207646</v>
      </c>
      <c r="L1227">
        <v>0.88783414310790609</v>
      </c>
      <c r="M1227">
        <v>40.229999999999997</v>
      </c>
      <c r="N1227">
        <v>23.15</v>
      </c>
    </row>
    <row r="1228" spans="1:14" x14ac:dyDescent="0.25">
      <c r="A1228" s="1" t="s">
        <v>1240</v>
      </c>
      <c r="B1228" t="str">
        <f>HYPERLINK("https://www.suredividend.com/sure-analysis-research-database/","Preformed Line Products Co.")</f>
        <v>Preformed Line Products Co.</v>
      </c>
      <c r="C1228" t="s">
        <v>1798</v>
      </c>
      <c r="D1228">
        <v>116.22</v>
      </c>
      <c r="E1228">
        <v>6.8593489523320009E-3</v>
      </c>
      <c r="F1228">
        <v>0</v>
      </c>
      <c r="G1228">
        <v>0</v>
      </c>
      <c r="H1228">
        <v>0.79719353524007608</v>
      </c>
      <c r="I1228">
        <v>571.27952600000003</v>
      </c>
      <c r="J1228">
        <v>7.7713475020065026</v>
      </c>
      <c r="K1228">
        <v>5.4415940972018843E-2</v>
      </c>
      <c r="L1228">
        <v>0.82394107977792808</v>
      </c>
      <c r="M1228">
        <v>184.37</v>
      </c>
      <c r="N1228">
        <v>78.010000000000005</v>
      </c>
    </row>
    <row r="1229" spans="1:14" x14ac:dyDescent="0.25">
      <c r="A1229" s="1" t="s">
        <v>1241</v>
      </c>
      <c r="B1229" t="str">
        <f>HYPERLINK("https://www.suredividend.com/sure-analysis-research-database/","ePlus Inc")</f>
        <v>ePlus Inc</v>
      </c>
      <c r="C1229" t="s">
        <v>1803</v>
      </c>
      <c r="D1229">
        <v>65.010000000000005</v>
      </c>
      <c r="E1229">
        <v>0</v>
      </c>
      <c r="F1229" t="s">
        <v>1797</v>
      </c>
      <c r="G1229" t="s">
        <v>1797</v>
      </c>
      <c r="H1229">
        <v>0</v>
      </c>
      <c r="I1229">
        <v>1751.233074</v>
      </c>
      <c r="J1229">
        <v>13.382084255639439</v>
      </c>
      <c r="K1229">
        <v>0</v>
      </c>
      <c r="L1229">
        <v>1.0376790865725409</v>
      </c>
      <c r="M1229">
        <v>75.900000000000006</v>
      </c>
      <c r="N1229">
        <v>41.71</v>
      </c>
    </row>
    <row r="1230" spans="1:14" x14ac:dyDescent="0.25">
      <c r="A1230" s="1" t="s">
        <v>1242</v>
      </c>
      <c r="B1230" t="str">
        <f>HYPERLINK("https://www.suredividend.com/sure-analysis-research-database/","Plexus Corp.")</f>
        <v>Plexus Corp.</v>
      </c>
      <c r="C1230" t="s">
        <v>1803</v>
      </c>
      <c r="D1230">
        <v>99.06</v>
      </c>
      <c r="E1230">
        <v>0</v>
      </c>
      <c r="F1230" t="s">
        <v>1797</v>
      </c>
      <c r="G1230" t="s">
        <v>1797</v>
      </c>
      <c r="H1230">
        <v>0</v>
      </c>
      <c r="I1230">
        <v>2722.282224</v>
      </c>
      <c r="J1230">
        <v>18.234859827851832</v>
      </c>
      <c r="K1230">
        <v>0</v>
      </c>
      <c r="L1230">
        <v>0.75338128332725407</v>
      </c>
      <c r="M1230">
        <v>115.36</v>
      </c>
      <c r="N1230">
        <v>83.84</v>
      </c>
    </row>
    <row r="1231" spans="1:14" x14ac:dyDescent="0.25">
      <c r="A1231" s="1" t="s">
        <v>1243</v>
      </c>
      <c r="B1231" t="str">
        <f>HYPERLINK("https://www.suredividend.com/sure-analysis-PLYM/","Plymouth Industrial Reit Inc")</f>
        <v>Plymouth Industrial Reit Inc</v>
      </c>
      <c r="C1231" t="s">
        <v>1799</v>
      </c>
      <c r="D1231">
        <v>21.33</v>
      </c>
      <c r="E1231">
        <v>4.2194092827004218E-2</v>
      </c>
      <c r="F1231">
        <v>2.2727272727272711E-2</v>
      </c>
      <c r="G1231">
        <v>-9.7119548552565771E-2</v>
      </c>
      <c r="H1231">
        <v>0.88108132517735105</v>
      </c>
      <c r="I1231">
        <v>943.95240999999999</v>
      </c>
      <c r="J1231">
        <v>0</v>
      </c>
      <c r="K1231" t="s">
        <v>1797</v>
      </c>
      <c r="L1231">
        <v>1.0295118598987241</v>
      </c>
      <c r="M1231">
        <v>23.53</v>
      </c>
      <c r="N1231">
        <v>17.84</v>
      </c>
    </row>
    <row r="1232" spans="1:14" x14ac:dyDescent="0.25">
      <c r="A1232" s="1" t="s">
        <v>1244</v>
      </c>
      <c r="B1232" t="str">
        <f>HYPERLINK("https://www.suredividend.com/sure-analysis-PMT/","Pennymac Mortgage Investment Trust")</f>
        <v>Pennymac Mortgage Investment Trust</v>
      </c>
      <c r="C1232" t="s">
        <v>1799</v>
      </c>
      <c r="D1232">
        <v>13.72</v>
      </c>
      <c r="E1232">
        <v>0.11661807580174929</v>
      </c>
      <c r="F1232">
        <v>-0.14893617021276601</v>
      </c>
      <c r="G1232">
        <v>-3.1739028631201038E-2</v>
      </c>
      <c r="H1232">
        <v>1.526808052269822</v>
      </c>
      <c r="I1232">
        <v>1188.481884</v>
      </c>
      <c r="J1232">
        <v>10.892311420192099</v>
      </c>
      <c r="K1232">
        <v>1.3162138381636399</v>
      </c>
      <c r="L1232">
        <v>1.1157688628823419</v>
      </c>
      <c r="M1232">
        <v>14.16</v>
      </c>
      <c r="N1232">
        <v>10</v>
      </c>
    </row>
    <row r="1233" spans="1:14" x14ac:dyDescent="0.25">
      <c r="A1233" s="1" t="s">
        <v>1245</v>
      </c>
      <c r="B1233" t="str">
        <f>HYPERLINK("https://www.suredividend.com/sure-analysis-research-database/","PMV Pharmaceuticals Inc")</f>
        <v>PMV Pharmaceuticals Inc</v>
      </c>
      <c r="C1233" t="s">
        <v>1797</v>
      </c>
      <c r="D1233">
        <v>1.91</v>
      </c>
      <c r="E1233">
        <v>0</v>
      </c>
      <c r="F1233" t="s">
        <v>1797</v>
      </c>
      <c r="G1233" t="s">
        <v>1797</v>
      </c>
      <c r="H1233">
        <v>0</v>
      </c>
      <c r="I1233">
        <v>92.548252000000005</v>
      </c>
      <c r="J1233">
        <v>0</v>
      </c>
      <c r="K1233" t="s">
        <v>1797</v>
      </c>
      <c r="L1233">
        <v>1.594637483255158</v>
      </c>
      <c r="M1233">
        <v>12.11</v>
      </c>
      <c r="N1233">
        <v>1.18</v>
      </c>
    </row>
    <row r="1234" spans="1:14" x14ac:dyDescent="0.25">
      <c r="A1234" s="1" t="s">
        <v>1246</v>
      </c>
      <c r="B1234" t="str">
        <f>HYPERLINK("https://www.suredividend.com/sure-analysis-PNM/","PNM Resources Inc")</f>
        <v>PNM Resources Inc</v>
      </c>
      <c r="C1234" t="s">
        <v>1805</v>
      </c>
      <c r="D1234">
        <v>42.4</v>
      </c>
      <c r="E1234">
        <v>3.4669811320754723E-2</v>
      </c>
      <c r="F1234">
        <v>5.7553956834532238E-2</v>
      </c>
      <c r="G1234">
        <v>4.8508291334489639E-2</v>
      </c>
      <c r="H1234">
        <v>1.452088005021966</v>
      </c>
      <c r="I1234">
        <v>3639.3986580000001</v>
      </c>
      <c r="J1234">
        <v>23.664882778352158</v>
      </c>
      <c r="K1234">
        <v>0.81122234917428271</v>
      </c>
      <c r="L1234">
        <v>0.103377695520958</v>
      </c>
      <c r="M1234">
        <v>48.29</v>
      </c>
      <c r="N1234">
        <v>42.09</v>
      </c>
    </row>
    <row r="1235" spans="1:14" x14ac:dyDescent="0.25">
      <c r="A1235" s="1" t="s">
        <v>1247</v>
      </c>
      <c r="B1235" t="str">
        <f>HYPERLINK("https://www.suredividend.com/sure-analysis-research-database/","POINT Biopharma Global Inc")</f>
        <v>POINT Biopharma Global Inc</v>
      </c>
      <c r="C1235" t="s">
        <v>1797</v>
      </c>
      <c r="D1235">
        <v>12.75</v>
      </c>
      <c r="E1235">
        <v>0</v>
      </c>
      <c r="F1235" t="s">
        <v>1797</v>
      </c>
      <c r="G1235" t="s">
        <v>1797</v>
      </c>
      <c r="H1235">
        <v>0</v>
      </c>
      <c r="I1235">
        <v>1348.5159140000001</v>
      </c>
      <c r="J1235">
        <v>13.857578223949879</v>
      </c>
      <c r="K1235">
        <v>0</v>
      </c>
      <c r="L1235">
        <v>0.52401511004367807</v>
      </c>
      <c r="M1235">
        <v>13.03</v>
      </c>
      <c r="N1235">
        <v>5.59</v>
      </c>
    </row>
    <row r="1236" spans="1:14" x14ac:dyDescent="0.25">
      <c r="A1236" s="1" t="s">
        <v>1248</v>
      </c>
      <c r="B1236" t="str">
        <f>HYPERLINK("https://www.suredividend.com/sure-analysis-research-database/","Pennant Group Inc")</f>
        <v>Pennant Group Inc</v>
      </c>
      <c r="C1236" t="s">
        <v>1802</v>
      </c>
      <c r="D1236">
        <v>11.68</v>
      </c>
      <c r="E1236">
        <v>0</v>
      </c>
      <c r="F1236" t="s">
        <v>1797</v>
      </c>
      <c r="G1236" t="s">
        <v>1797</v>
      </c>
      <c r="H1236">
        <v>0</v>
      </c>
      <c r="I1236">
        <v>348.65200599999997</v>
      </c>
      <c r="J1236">
        <v>26.918777504632491</v>
      </c>
      <c r="K1236">
        <v>0</v>
      </c>
      <c r="L1236">
        <v>0.84448365392034308</v>
      </c>
      <c r="M1236">
        <v>16.39</v>
      </c>
      <c r="N1236">
        <v>9.26</v>
      </c>
    </row>
    <row r="1237" spans="1:14" x14ac:dyDescent="0.25">
      <c r="A1237" s="1" t="s">
        <v>1249</v>
      </c>
      <c r="B1237" t="str">
        <f>HYPERLINK("https://www.suredividend.com/sure-analysis-POR/","Portland General Electric Co")</f>
        <v>Portland General Electric Co</v>
      </c>
      <c r="C1237" t="s">
        <v>1805</v>
      </c>
      <c r="D1237">
        <v>42.24</v>
      </c>
      <c r="E1237">
        <v>4.4981060606060601E-2</v>
      </c>
      <c r="F1237">
        <v>4.9723756906077332E-2</v>
      </c>
      <c r="G1237">
        <v>5.5545891648483892E-2</v>
      </c>
      <c r="H1237">
        <v>1.826374858999924</v>
      </c>
      <c r="I1237">
        <v>4271.4736629999998</v>
      </c>
      <c r="J1237">
        <v>20.243951008151651</v>
      </c>
      <c r="K1237">
        <v>0.82641396334838191</v>
      </c>
      <c r="L1237">
        <v>0.67640981985127702</v>
      </c>
      <c r="M1237">
        <v>50.5</v>
      </c>
      <c r="N1237">
        <v>38.01</v>
      </c>
    </row>
    <row r="1238" spans="1:14" x14ac:dyDescent="0.25">
      <c r="A1238" s="1" t="s">
        <v>1250</v>
      </c>
      <c r="B1238" t="str">
        <f>HYPERLINK("https://www.suredividend.com/sure-analysis-research-database/","Power Integrations Inc.")</f>
        <v>Power Integrations Inc.</v>
      </c>
      <c r="C1238" t="s">
        <v>1803</v>
      </c>
      <c r="D1238">
        <v>74.819999999999993</v>
      </c>
      <c r="E1238">
        <v>9.9638207767050006E-3</v>
      </c>
      <c r="F1238">
        <v>5.555555555555558E-2</v>
      </c>
      <c r="G1238">
        <v>3.4967527040806967E-2</v>
      </c>
      <c r="H1238">
        <v>0.74549307051312208</v>
      </c>
      <c r="I1238">
        <v>4294.2157880000004</v>
      </c>
      <c r="J1238">
        <v>47.477702830607967</v>
      </c>
      <c r="K1238">
        <v>0.47483635064530072</v>
      </c>
      <c r="L1238">
        <v>1.5485343144348129</v>
      </c>
      <c r="M1238">
        <v>99.15</v>
      </c>
      <c r="N1238">
        <v>65.23</v>
      </c>
    </row>
    <row r="1239" spans="1:14" x14ac:dyDescent="0.25">
      <c r="A1239" s="1" t="s">
        <v>1251</v>
      </c>
      <c r="B1239" t="str">
        <f>HYPERLINK("https://www.suredividend.com/sure-analysis-research-database/","Powell Industries, Inc.")</f>
        <v>Powell Industries, Inc.</v>
      </c>
      <c r="C1239" t="s">
        <v>1798</v>
      </c>
      <c r="D1239">
        <v>80.09</v>
      </c>
      <c r="E1239">
        <v>1.2936755656332E-2</v>
      </c>
      <c r="F1239">
        <v>9.6153846153845812E-3</v>
      </c>
      <c r="G1239">
        <v>1.9157228600665821E-3</v>
      </c>
      <c r="H1239">
        <v>1.0361047605156659</v>
      </c>
      <c r="I1239">
        <v>949.91409199999998</v>
      </c>
      <c r="J1239">
        <v>25.79325764282612</v>
      </c>
      <c r="K1239">
        <v>0.34194876584675438</v>
      </c>
      <c r="L1239">
        <v>0.70331835886134708</v>
      </c>
      <c r="M1239">
        <v>91.29</v>
      </c>
      <c r="N1239">
        <v>24.04</v>
      </c>
    </row>
    <row r="1240" spans="1:14" x14ac:dyDescent="0.25">
      <c r="A1240" s="1" t="s">
        <v>1252</v>
      </c>
      <c r="B1240" t="str">
        <f>HYPERLINK("https://www.suredividend.com/sure-analysis-research-database/","AMMO Inc")</f>
        <v>AMMO Inc</v>
      </c>
      <c r="C1240" t="s">
        <v>1801</v>
      </c>
      <c r="D1240">
        <v>3.02</v>
      </c>
      <c r="E1240">
        <v>0</v>
      </c>
      <c r="F1240" t="s">
        <v>1797</v>
      </c>
      <c r="G1240" t="s">
        <v>1797</v>
      </c>
      <c r="H1240">
        <v>0</v>
      </c>
      <c r="I1240">
        <v>356.23292099999998</v>
      </c>
      <c r="J1240">
        <v>0</v>
      </c>
      <c r="K1240" t="s">
        <v>1797</v>
      </c>
      <c r="L1240">
        <v>1.3301321180508621</v>
      </c>
      <c r="M1240">
        <v>3.28</v>
      </c>
      <c r="N1240">
        <v>1.56</v>
      </c>
    </row>
    <row r="1241" spans="1:14" x14ac:dyDescent="0.25">
      <c r="A1241" s="1" t="s">
        <v>1253</v>
      </c>
      <c r="B1241" t="str">
        <f>HYPERLINK("https://www.suredividend.com/sure-analysis-research-database/","Pacific Premier Bancorp, Inc.")</f>
        <v>Pacific Premier Bancorp, Inc.</v>
      </c>
      <c r="C1241" t="s">
        <v>1800</v>
      </c>
      <c r="D1241">
        <v>21.34</v>
      </c>
      <c r="E1241">
        <v>5.9021157495024013E-2</v>
      </c>
      <c r="F1241">
        <v>0</v>
      </c>
      <c r="G1241">
        <v>8.4471771197698553E-2</v>
      </c>
      <c r="H1241">
        <v>1.2595115009438169</v>
      </c>
      <c r="I1241">
        <v>2046.505402</v>
      </c>
      <c r="J1241">
        <v>8.6597442599143548</v>
      </c>
      <c r="K1241">
        <v>0.5017974107345885</v>
      </c>
      <c r="L1241">
        <v>1.4475304592662179</v>
      </c>
      <c r="M1241">
        <v>33.729999999999997</v>
      </c>
      <c r="N1241">
        <v>16.04</v>
      </c>
    </row>
    <row r="1242" spans="1:14" x14ac:dyDescent="0.25">
      <c r="A1242" s="1" t="s">
        <v>1254</v>
      </c>
      <c r="B1242" t="str">
        <f>HYPERLINK("https://www.suredividend.com/sure-analysis-research-database/","Permian Resources Corp")</f>
        <v>Permian Resources Corp</v>
      </c>
      <c r="C1242" t="s">
        <v>1797</v>
      </c>
      <c r="D1242">
        <v>14.84</v>
      </c>
      <c r="E1242">
        <v>1.3387023304198E-2</v>
      </c>
      <c r="F1242" t="s">
        <v>1797</v>
      </c>
      <c r="G1242" t="s">
        <v>1797</v>
      </c>
      <c r="H1242">
        <v>0.19866342583429999</v>
      </c>
      <c r="I1242">
        <v>5189.7823680000001</v>
      </c>
      <c r="J1242">
        <v>10.74649299299274</v>
      </c>
      <c r="K1242">
        <v>0.1379607123849306</v>
      </c>
      <c r="L1242">
        <v>1.402622531073749</v>
      </c>
      <c r="M1242">
        <v>15.49</v>
      </c>
      <c r="N1242">
        <v>8.32</v>
      </c>
    </row>
    <row r="1243" spans="1:14" x14ac:dyDescent="0.25">
      <c r="A1243" s="1" t="s">
        <v>1255</v>
      </c>
      <c r="B1243" t="str">
        <f>HYPERLINK("https://www.suredividend.com/sure-analysis-research-database/","Proassurance Corporation")</f>
        <v>Proassurance Corporation</v>
      </c>
      <c r="C1243" t="s">
        <v>1800</v>
      </c>
      <c r="D1243">
        <v>17.89</v>
      </c>
      <c r="E1243">
        <v>5.5818225530860008E-3</v>
      </c>
      <c r="F1243" t="s">
        <v>1797</v>
      </c>
      <c r="G1243" t="s">
        <v>1797</v>
      </c>
      <c r="H1243">
        <v>9.9858805474723006E-2</v>
      </c>
      <c r="I1243">
        <v>931.43941500000005</v>
      </c>
      <c r="J1243">
        <v>100.47890130744339</v>
      </c>
      <c r="K1243">
        <v>0.58226708731616905</v>
      </c>
      <c r="L1243">
        <v>0.57703008238731901</v>
      </c>
      <c r="M1243">
        <v>22.69</v>
      </c>
      <c r="N1243">
        <v>11.87</v>
      </c>
    </row>
    <row r="1244" spans="1:14" x14ac:dyDescent="0.25">
      <c r="A1244" s="1" t="s">
        <v>1256</v>
      </c>
      <c r="B1244" t="str">
        <f>HYPERLINK("https://www.suredividend.com/sure-analysis-research-database/","PRA Group Inc")</f>
        <v>PRA Group Inc</v>
      </c>
      <c r="C1244" t="s">
        <v>1800</v>
      </c>
      <c r="D1244">
        <v>14.04</v>
      </c>
      <c r="E1244">
        <v>0</v>
      </c>
      <c r="F1244" t="s">
        <v>1797</v>
      </c>
      <c r="G1244" t="s">
        <v>1797</v>
      </c>
      <c r="H1244">
        <v>0</v>
      </c>
      <c r="I1244">
        <v>550.952134</v>
      </c>
      <c r="J1244" t="s">
        <v>1797</v>
      </c>
      <c r="K1244">
        <v>0</v>
      </c>
      <c r="L1244">
        <v>0.93437016464254607</v>
      </c>
      <c r="M1244">
        <v>43.34</v>
      </c>
      <c r="N1244">
        <v>11.85</v>
      </c>
    </row>
    <row r="1245" spans="1:14" x14ac:dyDescent="0.25">
      <c r="A1245" s="1" t="s">
        <v>1257</v>
      </c>
      <c r="B1245" t="str">
        <f>HYPERLINK("https://www.suredividend.com/sure-analysis-research-database/","Praxis Precision Medicines Inc")</f>
        <v>Praxis Precision Medicines Inc</v>
      </c>
      <c r="C1245" t="s">
        <v>1797</v>
      </c>
      <c r="D1245">
        <v>1.1200000000000001</v>
      </c>
      <c r="E1245">
        <v>0</v>
      </c>
      <c r="F1245" t="s">
        <v>1797</v>
      </c>
      <c r="G1245" t="s">
        <v>1797</v>
      </c>
      <c r="H1245">
        <v>0</v>
      </c>
      <c r="I1245">
        <v>143.973016</v>
      </c>
      <c r="J1245">
        <v>0</v>
      </c>
      <c r="K1245" t="s">
        <v>1797</v>
      </c>
      <c r="L1245">
        <v>0.317476783665116</v>
      </c>
      <c r="M1245">
        <v>5.25</v>
      </c>
      <c r="N1245">
        <v>0.79</v>
      </c>
    </row>
    <row r="1246" spans="1:14" x14ac:dyDescent="0.25">
      <c r="A1246" s="1" t="s">
        <v>1258</v>
      </c>
      <c r="B1246" t="str">
        <f>HYPERLINK("https://www.suredividend.com/sure-analysis-research-database/","Porch Group Inc")</f>
        <v>Porch Group Inc</v>
      </c>
      <c r="C1246" t="s">
        <v>1797</v>
      </c>
      <c r="D1246">
        <v>0.67890000000000006</v>
      </c>
      <c r="E1246">
        <v>0</v>
      </c>
      <c r="F1246" t="s">
        <v>1797</v>
      </c>
      <c r="G1246" t="s">
        <v>1797</v>
      </c>
      <c r="H1246">
        <v>0</v>
      </c>
      <c r="I1246">
        <v>66.82535</v>
      </c>
      <c r="J1246" t="s">
        <v>1797</v>
      </c>
      <c r="K1246">
        <v>0</v>
      </c>
      <c r="L1246">
        <v>2.2603863747554711</v>
      </c>
      <c r="M1246">
        <v>3.99</v>
      </c>
      <c r="N1246">
        <v>0.495</v>
      </c>
    </row>
    <row r="1247" spans="1:14" x14ac:dyDescent="0.25">
      <c r="A1247" s="1" t="s">
        <v>1259</v>
      </c>
      <c r="B1247" t="str">
        <f>HYPERLINK("https://www.suredividend.com/sure-analysis-research-database/","Procept BioRobotics Corp")</f>
        <v>Procept BioRobotics Corp</v>
      </c>
      <c r="C1247" t="s">
        <v>1797</v>
      </c>
      <c r="D1247">
        <v>33.909999999999997</v>
      </c>
      <c r="E1247">
        <v>0</v>
      </c>
      <c r="F1247" t="s">
        <v>1797</v>
      </c>
      <c r="G1247" t="s">
        <v>1797</v>
      </c>
      <c r="H1247">
        <v>0</v>
      </c>
      <c r="I1247">
        <v>1535.4090249999999</v>
      </c>
      <c r="J1247" t="s">
        <v>1797</v>
      </c>
      <c r="K1247">
        <v>0</v>
      </c>
      <c r="L1247">
        <v>0.99174674993641709</v>
      </c>
      <c r="M1247">
        <v>47.75</v>
      </c>
      <c r="N1247">
        <v>24.83</v>
      </c>
    </row>
    <row r="1248" spans="1:14" x14ac:dyDescent="0.25">
      <c r="A1248" s="1" t="s">
        <v>1260</v>
      </c>
      <c r="B1248" t="str">
        <f>HYPERLINK("https://www.suredividend.com/sure-analysis-research-database/","Perdoceo Education Corporation")</f>
        <v>Perdoceo Education Corporation</v>
      </c>
      <c r="C1248" t="s">
        <v>1804</v>
      </c>
      <c r="D1248">
        <v>17.510000000000002</v>
      </c>
      <c r="E1248">
        <v>6.2821244662450001E-3</v>
      </c>
      <c r="F1248" t="s">
        <v>1797</v>
      </c>
      <c r="G1248" t="s">
        <v>1797</v>
      </c>
      <c r="H1248">
        <v>0.109999999403953</v>
      </c>
      <c r="I1248">
        <v>1148.823308</v>
      </c>
      <c r="J1248">
        <v>7.8461354609032989</v>
      </c>
      <c r="K1248">
        <v>5.1162790420443263E-2</v>
      </c>
      <c r="L1248">
        <v>0.46393212705294401</v>
      </c>
      <c r="M1248">
        <v>19.62</v>
      </c>
      <c r="N1248">
        <v>11.35</v>
      </c>
    </row>
    <row r="1249" spans="1:14" x14ac:dyDescent="0.25">
      <c r="A1249" s="1" t="s">
        <v>1261</v>
      </c>
      <c r="B1249" t="str">
        <f>HYPERLINK("https://www.suredividend.com/sure-analysis-research-database/","Pardes Biosciences Inc")</f>
        <v>Pardes Biosciences Inc</v>
      </c>
      <c r="C1249" t="s">
        <v>1797</v>
      </c>
      <c r="D1249">
        <v>2.16</v>
      </c>
      <c r="E1249">
        <v>0</v>
      </c>
      <c r="F1249" t="s">
        <v>1797</v>
      </c>
      <c r="G1249" t="s">
        <v>1797</v>
      </c>
      <c r="H1249">
        <v>0</v>
      </c>
      <c r="I1249">
        <v>0</v>
      </c>
      <c r="J1249">
        <v>0</v>
      </c>
      <c r="K1249" t="s">
        <v>1797</v>
      </c>
    </row>
    <row r="1250" spans="1:14" x14ac:dyDescent="0.25">
      <c r="A1250" s="1" t="s">
        <v>1262</v>
      </c>
      <c r="B1250" t="str">
        <f>HYPERLINK("https://www.suredividend.com/sure-analysis-research-database/","Perficient Inc.")</f>
        <v>Perficient Inc.</v>
      </c>
      <c r="C1250" t="s">
        <v>1803</v>
      </c>
      <c r="D1250">
        <v>61.72</v>
      </c>
      <c r="E1250">
        <v>0</v>
      </c>
      <c r="F1250" t="s">
        <v>1797</v>
      </c>
      <c r="G1250" t="s">
        <v>1797</v>
      </c>
      <c r="H1250">
        <v>0</v>
      </c>
      <c r="I1250">
        <v>2146.1042010000001</v>
      </c>
      <c r="J1250">
        <v>20.9955702206091</v>
      </c>
      <c r="K1250">
        <v>0</v>
      </c>
      <c r="L1250">
        <v>1.370931333059076</v>
      </c>
      <c r="M1250">
        <v>96.93</v>
      </c>
      <c r="N1250">
        <v>51.23</v>
      </c>
    </row>
    <row r="1251" spans="1:14" x14ac:dyDescent="0.25">
      <c r="A1251" s="1" t="s">
        <v>1263</v>
      </c>
      <c r="B1251" t="str">
        <f>HYPERLINK("https://www.suredividend.com/sure-analysis-research-database/","PROG Holdings Inc")</f>
        <v>PROG Holdings Inc</v>
      </c>
      <c r="C1251" t="s">
        <v>1797</v>
      </c>
      <c r="D1251">
        <v>28.85</v>
      </c>
      <c r="E1251">
        <v>0</v>
      </c>
      <c r="F1251" t="s">
        <v>1797</v>
      </c>
      <c r="G1251" t="s">
        <v>1797</v>
      </c>
      <c r="H1251">
        <v>0</v>
      </c>
      <c r="I1251">
        <v>1290.237259</v>
      </c>
      <c r="J1251">
        <v>8.2523425864098048</v>
      </c>
      <c r="K1251">
        <v>0</v>
      </c>
      <c r="L1251">
        <v>1.420104100286586</v>
      </c>
      <c r="M1251">
        <v>44.81</v>
      </c>
      <c r="N1251">
        <v>16.260000000000002</v>
      </c>
    </row>
    <row r="1252" spans="1:14" x14ac:dyDescent="0.25">
      <c r="A1252" s="1" t="s">
        <v>1264</v>
      </c>
      <c r="B1252" t="str">
        <f>HYPERLINK("https://www.suredividend.com/sure-analysis-research-database/","Progress Software Corp.")</f>
        <v>Progress Software Corp.</v>
      </c>
      <c r="C1252" t="s">
        <v>1803</v>
      </c>
      <c r="D1252">
        <v>51.07</v>
      </c>
      <c r="E1252">
        <v>1.3597732260505001E-2</v>
      </c>
      <c r="F1252">
        <v>0</v>
      </c>
      <c r="G1252">
        <v>2.4569138363080611E-2</v>
      </c>
      <c r="H1252">
        <v>0.69443618654400996</v>
      </c>
      <c r="I1252">
        <v>2224.88222</v>
      </c>
      <c r="J1252">
        <v>28.317197660939289</v>
      </c>
      <c r="K1252">
        <v>0.39233682855593782</v>
      </c>
      <c r="L1252">
        <v>0.716311377375071</v>
      </c>
      <c r="M1252">
        <v>61.98</v>
      </c>
      <c r="N1252">
        <v>48.21</v>
      </c>
    </row>
    <row r="1253" spans="1:14" x14ac:dyDescent="0.25">
      <c r="A1253" s="1" t="s">
        <v>1265</v>
      </c>
      <c r="B1253" t="str">
        <f>HYPERLINK("https://www.suredividend.com/sure-analysis-research-database/","Primoris Services Corp")</f>
        <v>Primoris Services Corp</v>
      </c>
      <c r="C1253" t="s">
        <v>1798</v>
      </c>
      <c r="D1253">
        <v>30.72</v>
      </c>
      <c r="E1253">
        <v>3.9026819491240002E-3</v>
      </c>
      <c r="F1253">
        <v>0</v>
      </c>
      <c r="G1253">
        <v>0</v>
      </c>
      <c r="H1253">
        <v>0.119890389477103</v>
      </c>
      <c r="I1253">
        <v>1638.2629790000001</v>
      </c>
      <c r="J1253">
        <v>13.118382634626011</v>
      </c>
      <c r="K1253">
        <v>5.1900601505239403E-2</v>
      </c>
      <c r="L1253">
        <v>0.9688056529366651</v>
      </c>
      <c r="M1253">
        <v>36.119999999999997</v>
      </c>
      <c r="N1253">
        <v>19.989999999999998</v>
      </c>
    </row>
    <row r="1254" spans="1:14" x14ac:dyDescent="0.25">
      <c r="A1254" s="1" t="s">
        <v>1266</v>
      </c>
      <c r="B1254" t="str">
        <f>HYPERLINK("https://www.suredividend.com/sure-analysis-research-database/","Park National Corp.")</f>
        <v>Park National Corp.</v>
      </c>
      <c r="C1254" t="s">
        <v>1800</v>
      </c>
      <c r="D1254">
        <v>109.09</v>
      </c>
      <c r="E1254">
        <v>3.7855995433885001E-2</v>
      </c>
      <c r="F1254">
        <v>9.6153846153845812E-3</v>
      </c>
      <c r="G1254">
        <v>7.7982155897833314E-3</v>
      </c>
      <c r="H1254">
        <v>4.1297105418825879</v>
      </c>
      <c r="I1254">
        <v>1758.146694</v>
      </c>
      <c r="J1254">
        <v>12.992703809618821</v>
      </c>
      <c r="K1254">
        <v>0.49755548697380569</v>
      </c>
      <c r="L1254">
        <v>0.97521428999157211</v>
      </c>
      <c r="M1254">
        <v>147.37</v>
      </c>
      <c r="N1254">
        <v>89.38</v>
      </c>
    </row>
    <row r="1255" spans="1:14" x14ac:dyDescent="0.25">
      <c r="A1255" s="1" t="s">
        <v>1267</v>
      </c>
      <c r="B1255" t="str">
        <f>HYPERLINK("https://www.suredividend.com/sure-analysis-research-database/","Proto Labs Inc")</f>
        <v>Proto Labs Inc</v>
      </c>
      <c r="C1255" t="s">
        <v>1798</v>
      </c>
      <c r="D1255">
        <v>31.69</v>
      </c>
      <c r="E1255">
        <v>0</v>
      </c>
      <c r="F1255" t="s">
        <v>1797</v>
      </c>
      <c r="G1255" t="s">
        <v>1797</v>
      </c>
      <c r="H1255">
        <v>0</v>
      </c>
      <c r="I1255">
        <v>826.96430299999997</v>
      </c>
      <c r="J1255" t="s">
        <v>1797</v>
      </c>
      <c r="K1255">
        <v>0</v>
      </c>
      <c r="L1255">
        <v>1.4934956735950671</v>
      </c>
      <c r="M1255">
        <v>39.520000000000003</v>
      </c>
      <c r="N1255">
        <v>22.04</v>
      </c>
    </row>
    <row r="1256" spans="1:14" x14ac:dyDescent="0.25">
      <c r="A1256" s="1" t="s">
        <v>1268</v>
      </c>
      <c r="B1256" t="str">
        <f>HYPERLINK("https://www.suredividend.com/sure-analysis-research-database/","Perimeter Solutions SA")</f>
        <v>Perimeter Solutions SA</v>
      </c>
      <c r="C1256" t="s">
        <v>1797</v>
      </c>
      <c r="D1256">
        <v>3.19</v>
      </c>
      <c r="E1256">
        <v>0</v>
      </c>
      <c r="F1256" t="s">
        <v>1797</v>
      </c>
      <c r="G1256" t="s">
        <v>1797</v>
      </c>
      <c r="H1256">
        <v>0</v>
      </c>
      <c r="I1256">
        <v>492.92145699999998</v>
      </c>
      <c r="J1256">
        <v>4.5569567738446324</v>
      </c>
      <c r="K1256">
        <v>0</v>
      </c>
      <c r="L1256">
        <v>1.19123047268809</v>
      </c>
      <c r="M1256">
        <v>11.25</v>
      </c>
      <c r="N1256">
        <v>2.79</v>
      </c>
    </row>
    <row r="1257" spans="1:14" x14ac:dyDescent="0.25">
      <c r="A1257" s="1" t="s">
        <v>1269</v>
      </c>
      <c r="B1257" t="str">
        <f>HYPERLINK("https://www.suredividend.com/sure-analysis-research-database/","Prime Medicine Inc")</f>
        <v>Prime Medicine Inc</v>
      </c>
      <c r="C1257" t="s">
        <v>1797</v>
      </c>
      <c r="D1257">
        <v>7.8</v>
      </c>
      <c r="E1257">
        <v>0</v>
      </c>
      <c r="F1257" t="s">
        <v>1797</v>
      </c>
      <c r="G1257" t="s">
        <v>1797</v>
      </c>
      <c r="H1257">
        <v>0</v>
      </c>
      <c r="I1257">
        <v>758.94241799999998</v>
      </c>
      <c r="J1257">
        <v>0</v>
      </c>
      <c r="K1257" t="s">
        <v>1797</v>
      </c>
      <c r="L1257">
        <v>1.395886320168819</v>
      </c>
      <c r="M1257">
        <v>21.73</v>
      </c>
      <c r="N1257">
        <v>5.54</v>
      </c>
    </row>
    <row r="1258" spans="1:14" x14ac:dyDescent="0.25">
      <c r="A1258" s="1" t="s">
        <v>1270</v>
      </c>
      <c r="B1258" t="str">
        <f>HYPERLINK("https://www.suredividend.com/sure-analysis-research-database/","Primo Water Corporation")</f>
        <v>Primo Water Corporation</v>
      </c>
      <c r="C1258" t="s">
        <v>1804</v>
      </c>
      <c r="D1258">
        <v>14.77</v>
      </c>
      <c r="E1258">
        <v>2.2748576420332001E-2</v>
      </c>
      <c r="F1258">
        <v>0.19408897349280951</v>
      </c>
      <c r="G1258">
        <v>0.12582712204872989</v>
      </c>
      <c r="H1258">
        <v>0.33599647372830499</v>
      </c>
      <c r="I1258">
        <v>2374.9298910000002</v>
      </c>
      <c r="J1258">
        <v>27.647612233993019</v>
      </c>
      <c r="K1258">
        <v>0.63180984153498498</v>
      </c>
      <c r="L1258">
        <v>0.83041318996287006</v>
      </c>
      <c r="M1258">
        <v>16.190000000000001</v>
      </c>
      <c r="N1258">
        <v>12.2</v>
      </c>
    </row>
    <row r="1259" spans="1:14" x14ac:dyDescent="0.25">
      <c r="A1259" s="1" t="s">
        <v>1271</v>
      </c>
      <c r="B1259" t="str">
        <f>HYPERLINK("https://www.suredividend.com/sure-analysis-research-database/","Pros Holdings Inc")</f>
        <v>Pros Holdings Inc</v>
      </c>
      <c r="C1259" t="s">
        <v>1803</v>
      </c>
      <c r="D1259">
        <v>35.25</v>
      </c>
      <c r="E1259">
        <v>0</v>
      </c>
      <c r="F1259" t="s">
        <v>1797</v>
      </c>
      <c r="G1259" t="s">
        <v>1797</v>
      </c>
      <c r="H1259">
        <v>0</v>
      </c>
      <c r="I1259">
        <v>1630.7153370000001</v>
      </c>
      <c r="J1259" t="s">
        <v>1797</v>
      </c>
      <c r="K1259">
        <v>0</v>
      </c>
      <c r="L1259">
        <v>1.41232541684098</v>
      </c>
      <c r="M1259">
        <v>38.96</v>
      </c>
      <c r="N1259">
        <v>20.32</v>
      </c>
    </row>
    <row r="1260" spans="1:14" x14ac:dyDescent="0.25">
      <c r="A1260" s="1" t="s">
        <v>1272</v>
      </c>
      <c r="B1260" t="str">
        <f>HYPERLINK("https://www.suredividend.com/sure-analysis-research-database/","Purple Innovation Inc")</f>
        <v>Purple Innovation Inc</v>
      </c>
      <c r="C1260" t="s">
        <v>1801</v>
      </c>
      <c r="D1260">
        <v>0.91</v>
      </c>
      <c r="E1260">
        <v>0</v>
      </c>
      <c r="F1260" t="s">
        <v>1797</v>
      </c>
      <c r="G1260" t="s">
        <v>1797</v>
      </c>
      <c r="H1260">
        <v>0</v>
      </c>
      <c r="I1260">
        <v>95.843571999999995</v>
      </c>
      <c r="J1260" t="s">
        <v>1797</v>
      </c>
      <c r="K1260">
        <v>0</v>
      </c>
      <c r="L1260">
        <v>2.2618283240953461</v>
      </c>
      <c r="M1260">
        <v>6.76</v>
      </c>
      <c r="N1260">
        <v>0.83000000000000007</v>
      </c>
    </row>
    <row r="1261" spans="1:14" x14ac:dyDescent="0.25">
      <c r="A1261" s="1" t="s">
        <v>1273</v>
      </c>
      <c r="B1261" t="str">
        <f>HYPERLINK("https://www.suredividend.com/sure-analysis-research-database/","Prothena Corporation plc")</f>
        <v>Prothena Corporation plc</v>
      </c>
      <c r="C1261" t="s">
        <v>1802</v>
      </c>
      <c r="D1261">
        <v>37.549999999999997</v>
      </c>
      <c r="E1261">
        <v>0</v>
      </c>
      <c r="F1261" t="s">
        <v>1797</v>
      </c>
      <c r="G1261" t="s">
        <v>1797</v>
      </c>
      <c r="H1261">
        <v>0</v>
      </c>
      <c r="I1261">
        <v>2010.250515</v>
      </c>
      <c r="J1261" t="s">
        <v>1797</v>
      </c>
      <c r="K1261">
        <v>0</v>
      </c>
      <c r="L1261">
        <v>1.4320969086482751</v>
      </c>
      <c r="M1261">
        <v>79.650000000000006</v>
      </c>
      <c r="N1261">
        <v>28.51</v>
      </c>
    </row>
    <row r="1262" spans="1:14" x14ac:dyDescent="0.25">
      <c r="A1262" s="1" t="s">
        <v>1274</v>
      </c>
      <c r="B1262" t="str">
        <f>HYPERLINK("https://www.suredividend.com/sure-analysis-research-database/","Priority Technology Holdings Inc")</f>
        <v>Priority Technology Holdings Inc</v>
      </c>
      <c r="C1262" t="s">
        <v>1803</v>
      </c>
      <c r="D1262">
        <v>3.62</v>
      </c>
      <c r="E1262">
        <v>0</v>
      </c>
      <c r="F1262" t="s">
        <v>1797</v>
      </c>
      <c r="G1262" t="s">
        <v>1797</v>
      </c>
      <c r="H1262">
        <v>0</v>
      </c>
      <c r="I1262">
        <v>277.18849699999998</v>
      </c>
      <c r="J1262">
        <v>0</v>
      </c>
      <c r="K1262" t="s">
        <v>1797</v>
      </c>
      <c r="L1262">
        <v>1.386914276399823</v>
      </c>
      <c r="M1262">
        <v>6.16</v>
      </c>
      <c r="N1262">
        <v>2.62</v>
      </c>
    </row>
    <row r="1263" spans="1:14" x14ac:dyDescent="0.25">
      <c r="A1263" s="1" t="s">
        <v>1275</v>
      </c>
      <c r="B1263" t="str">
        <f>HYPERLINK("https://www.suredividend.com/sure-analysis-research-database/","CarParts.com Inc")</f>
        <v>CarParts.com Inc</v>
      </c>
      <c r="C1263" t="s">
        <v>1801</v>
      </c>
      <c r="D1263">
        <v>3.13</v>
      </c>
      <c r="E1263">
        <v>0</v>
      </c>
      <c r="F1263" t="s">
        <v>1797</v>
      </c>
      <c r="G1263" t="s">
        <v>1797</v>
      </c>
      <c r="H1263">
        <v>0</v>
      </c>
      <c r="I1263">
        <v>179.97064</v>
      </c>
      <c r="J1263" t="s">
        <v>1797</v>
      </c>
      <c r="K1263">
        <v>0</v>
      </c>
      <c r="L1263">
        <v>1.6195981806513471</v>
      </c>
      <c r="M1263">
        <v>7.44</v>
      </c>
      <c r="N1263">
        <v>2.5</v>
      </c>
    </row>
    <row r="1264" spans="1:14" x14ac:dyDescent="0.25">
      <c r="A1264" s="1" t="s">
        <v>1276</v>
      </c>
      <c r="B1264" t="str">
        <f>HYPERLINK("https://www.suredividend.com/sure-analysis-research-database/","Privia Health Group Inc")</f>
        <v>Privia Health Group Inc</v>
      </c>
      <c r="C1264" t="s">
        <v>1797</v>
      </c>
      <c r="D1264">
        <v>23.52</v>
      </c>
      <c r="E1264">
        <v>0</v>
      </c>
      <c r="F1264" t="s">
        <v>1797</v>
      </c>
      <c r="G1264" t="s">
        <v>1797</v>
      </c>
      <c r="H1264">
        <v>0</v>
      </c>
      <c r="I1264">
        <v>2760.3826519999998</v>
      </c>
      <c r="J1264">
        <v>81.192501093005475</v>
      </c>
      <c r="K1264">
        <v>0</v>
      </c>
      <c r="L1264">
        <v>1.3443302455577331</v>
      </c>
      <c r="M1264">
        <v>30.17</v>
      </c>
      <c r="N1264">
        <v>19.68</v>
      </c>
    </row>
    <row r="1265" spans="1:14" x14ac:dyDescent="0.25">
      <c r="A1265" s="1" t="s">
        <v>1277</v>
      </c>
      <c r="B1265" t="str">
        <f>HYPERLINK("https://www.suredividend.com/sure-analysis-research-database/","Paysafe Limited")</f>
        <v>Paysafe Limited</v>
      </c>
      <c r="C1265" t="s">
        <v>1797</v>
      </c>
      <c r="D1265">
        <v>10.79</v>
      </c>
      <c r="E1265">
        <v>0</v>
      </c>
      <c r="F1265" t="s">
        <v>1797</v>
      </c>
      <c r="G1265" t="s">
        <v>1797</v>
      </c>
      <c r="H1265">
        <v>0</v>
      </c>
      <c r="I1265">
        <v>655.91132500000003</v>
      </c>
      <c r="J1265">
        <v>0</v>
      </c>
      <c r="K1265" t="s">
        <v>1797</v>
      </c>
      <c r="L1265">
        <v>1.695172217307982</v>
      </c>
      <c r="M1265">
        <v>24.25</v>
      </c>
      <c r="N1265">
        <v>9.25</v>
      </c>
    </row>
    <row r="1266" spans="1:14" x14ac:dyDescent="0.25">
      <c r="A1266" s="1" t="s">
        <v>1278</v>
      </c>
      <c r="B1266" t="str">
        <f>HYPERLINK("https://www.suredividend.com/sure-analysis-research-database/","Pricesmart Inc.")</f>
        <v>Pricesmart Inc.</v>
      </c>
      <c r="C1266" t="s">
        <v>1804</v>
      </c>
      <c r="D1266">
        <v>66.819999999999993</v>
      </c>
      <c r="E1266">
        <v>1.3727400202103E-2</v>
      </c>
      <c r="F1266" t="s">
        <v>1797</v>
      </c>
      <c r="G1266" t="s">
        <v>1797</v>
      </c>
      <c r="H1266">
        <v>0.9172648815045481</v>
      </c>
      <c r="I1266">
        <v>2015.4172229999999</v>
      </c>
      <c r="J1266">
        <v>18.455356645941119</v>
      </c>
      <c r="K1266">
        <v>0.25838447366325301</v>
      </c>
      <c r="L1266">
        <v>0.80575146952649102</v>
      </c>
      <c r="M1266">
        <v>82.63</v>
      </c>
      <c r="N1266">
        <v>59.28</v>
      </c>
    </row>
    <row r="1267" spans="1:14" x14ac:dyDescent="0.25">
      <c r="A1267" s="1" t="s">
        <v>1279</v>
      </c>
      <c r="B1267" t="str">
        <f>HYPERLINK("https://www.suredividend.com/sure-analysis-research-database/","Parsons Corp")</f>
        <v>Parsons Corp</v>
      </c>
      <c r="C1267" t="s">
        <v>1798</v>
      </c>
      <c r="D1267">
        <v>61.62</v>
      </c>
      <c r="E1267">
        <v>0</v>
      </c>
      <c r="F1267" t="s">
        <v>1797</v>
      </c>
      <c r="G1267" t="s">
        <v>1797</v>
      </c>
      <c r="H1267">
        <v>0</v>
      </c>
      <c r="I1267">
        <v>6463.2562980000002</v>
      </c>
      <c r="J1267">
        <v>44.768073434876563</v>
      </c>
      <c r="K1267">
        <v>0</v>
      </c>
      <c r="L1267">
        <v>0.46510455966361802</v>
      </c>
      <c r="M1267">
        <v>62.06</v>
      </c>
      <c r="N1267">
        <v>40.61</v>
      </c>
    </row>
    <row r="1268" spans="1:14" x14ac:dyDescent="0.25">
      <c r="A1268" s="1" t="s">
        <v>1280</v>
      </c>
      <c r="B1268" t="str">
        <f>HYPERLINK("https://www.suredividend.com/sure-analysis-PSTL/","Postal Realty Trust Inc")</f>
        <v>Postal Realty Trust Inc</v>
      </c>
      <c r="C1268" t="s">
        <v>1799</v>
      </c>
      <c r="D1268">
        <v>13.88</v>
      </c>
      <c r="E1268">
        <v>6.8443804034582126E-2</v>
      </c>
      <c r="F1268" t="s">
        <v>1797</v>
      </c>
      <c r="G1268" t="s">
        <v>1797</v>
      </c>
      <c r="H1268">
        <v>0.92644837976675809</v>
      </c>
      <c r="I1268">
        <v>301.39712100000003</v>
      </c>
      <c r="J1268">
        <v>77.261502486541914</v>
      </c>
      <c r="K1268">
        <v>4.6299269353661074</v>
      </c>
      <c r="L1268">
        <v>0.67946775358053002</v>
      </c>
      <c r="M1268">
        <v>15.22</v>
      </c>
      <c r="N1268">
        <v>12.75</v>
      </c>
    </row>
    <row r="1269" spans="1:14" x14ac:dyDescent="0.25">
      <c r="A1269" s="1" t="s">
        <v>1281</v>
      </c>
      <c r="B1269" t="str">
        <f>HYPERLINK("https://www.suredividend.com/sure-analysis-research-database/","PTC Therapeutics Inc")</f>
        <v>PTC Therapeutics Inc</v>
      </c>
      <c r="C1269" t="s">
        <v>1802</v>
      </c>
      <c r="D1269">
        <v>19.53</v>
      </c>
      <c r="E1269">
        <v>0</v>
      </c>
      <c r="F1269" t="s">
        <v>1797</v>
      </c>
      <c r="G1269" t="s">
        <v>1797</v>
      </c>
      <c r="H1269">
        <v>0</v>
      </c>
      <c r="I1269">
        <v>1473.795222</v>
      </c>
      <c r="J1269" t="s">
        <v>1797</v>
      </c>
      <c r="K1269">
        <v>0</v>
      </c>
      <c r="L1269">
        <v>1.0073028695231849</v>
      </c>
      <c r="M1269">
        <v>59.84</v>
      </c>
      <c r="N1269">
        <v>17.53</v>
      </c>
    </row>
    <row r="1270" spans="1:14" x14ac:dyDescent="0.25">
      <c r="A1270" s="1" t="s">
        <v>1282</v>
      </c>
      <c r="B1270" t="str">
        <f>HYPERLINK("https://www.suredividend.com/sure-analysis-research-database/","Patterson-UTI Energy Inc")</f>
        <v>Patterson-UTI Energy Inc</v>
      </c>
      <c r="C1270" t="s">
        <v>1807</v>
      </c>
      <c r="D1270">
        <v>12.83</v>
      </c>
      <c r="E1270">
        <v>2.4611288577809001E-2</v>
      </c>
      <c r="F1270" t="s">
        <v>1797</v>
      </c>
      <c r="G1270" t="s">
        <v>1797</v>
      </c>
      <c r="H1270">
        <v>0.31576283245329101</v>
      </c>
      <c r="I1270">
        <v>2668.5577469999998</v>
      </c>
      <c r="J1270">
        <v>7.7161405006057704</v>
      </c>
      <c r="K1270">
        <v>0.1985929763857176</v>
      </c>
      <c r="L1270">
        <v>1.3375483011494309</v>
      </c>
      <c r="M1270">
        <v>19.190000000000001</v>
      </c>
      <c r="N1270">
        <v>9.65</v>
      </c>
    </row>
    <row r="1271" spans="1:14" x14ac:dyDescent="0.25">
      <c r="A1271" s="1" t="s">
        <v>1283</v>
      </c>
      <c r="B1271" t="str">
        <f>HYPERLINK("https://www.suredividend.com/sure-analysis-research-database/","Protagonist Therapeutics Inc")</f>
        <v>Protagonist Therapeutics Inc</v>
      </c>
      <c r="C1271" t="s">
        <v>1802</v>
      </c>
      <c r="D1271">
        <v>16.649999999999999</v>
      </c>
      <c r="E1271">
        <v>0</v>
      </c>
      <c r="F1271" t="s">
        <v>1797</v>
      </c>
      <c r="G1271" t="s">
        <v>1797</v>
      </c>
      <c r="H1271">
        <v>0</v>
      </c>
      <c r="I1271">
        <v>957.87852899999996</v>
      </c>
      <c r="J1271">
        <v>0</v>
      </c>
      <c r="K1271" t="s">
        <v>1797</v>
      </c>
      <c r="L1271">
        <v>0.71889136192363201</v>
      </c>
      <c r="M1271">
        <v>30.1</v>
      </c>
      <c r="N1271">
        <v>7.24</v>
      </c>
    </row>
    <row r="1272" spans="1:14" x14ac:dyDescent="0.25">
      <c r="A1272" s="1" t="s">
        <v>1284</v>
      </c>
      <c r="B1272" t="str">
        <f>HYPERLINK("https://www.suredividend.com/sure-analysis-research-database/","Portillos Inc")</f>
        <v>Portillos Inc</v>
      </c>
      <c r="C1272" t="s">
        <v>1797</v>
      </c>
      <c r="D1272">
        <v>16.41</v>
      </c>
      <c r="E1272">
        <v>0</v>
      </c>
      <c r="F1272" t="s">
        <v>1797</v>
      </c>
      <c r="G1272" t="s">
        <v>1797</v>
      </c>
      <c r="H1272">
        <v>0</v>
      </c>
      <c r="I1272">
        <v>904.21504100000004</v>
      </c>
      <c r="J1272">
        <v>0</v>
      </c>
      <c r="K1272" t="s">
        <v>1797</v>
      </c>
      <c r="L1272">
        <v>1.232620382302587</v>
      </c>
      <c r="M1272">
        <v>25.88</v>
      </c>
      <c r="N1272">
        <v>13.89</v>
      </c>
    </row>
    <row r="1273" spans="1:14" x14ac:dyDescent="0.25">
      <c r="A1273" s="1" t="s">
        <v>1285</v>
      </c>
      <c r="B1273" t="str">
        <f>HYPERLINK("https://www.suredividend.com/sure-analysis-research-database/","Proterra Inc")</f>
        <v>Proterra Inc</v>
      </c>
      <c r="C1273" t="s">
        <v>1797</v>
      </c>
      <c r="D1273">
        <v>6.7000000000000004E-2</v>
      </c>
      <c r="E1273">
        <v>0</v>
      </c>
      <c r="F1273" t="s">
        <v>1797</v>
      </c>
      <c r="G1273" t="s">
        <v>1797</v>
      </c>
      <c r="H1273">
        <v>0</v>
      </c>
      <c r="I1273">
        <v>0</v>
      </c>
      <c r="J1273">
        <v>0</v>
      </c>
      <c r="K1273" t="s">
        <v>1797</v>
      </c>
    </row>
    <row r="1274" spans="1:14" x14ac:dyDescent="0.25">
      <c r="A1274" s="1" t="s">
        <v>1286</v>
      </c>
      <c r="B1274" t="str">
        <f>HYPERLINK("https://www.suredividend.com/sure-analysis-research-database/","P.A.M. Transportation Services, Inc.")</f>
        <v>P.A.M. Transportation Services, Inc.</v>
      </c>
      <c r="C1274" t="s">
        <v>1798</v>
      </c>
      <c r="D1274">
        <v>18.71</v>
      </c>
      <c r="E1274">
        <v>0</v>
      </c>
      <c r="F1274" t="s">
        <v>1797</v>
      </c>
      <c r="G1274" t="s">
        <v>1797</v>
      </c>
      <c r="H1274">
        <v>0</v>
      </c>
      <c r="I1274">
        <v>412.01929000000001</v>
      </c>
      <c r="J1274">
        <v>10.66606151104093</v>
      </c>
      <c r="K1274">
        <v>0</v>
      </c>
      <c r="L1274">
        <v>1.2128677636419201</v>
      </c>
      <c r="M1274">
        <v>31.36</v>
      </c>
      <c r="N1274">
        <v>15.66</v>
      </c>
    </row>
    <row r="1275" spans="1:14" x14ac:dyDescent="0.25">
      <c r="A1275" s="1" t="s">
        <v>1287</v>
      </c>
      <c r="B1275" t="str">
        <f>HYPERLINK("https://www.suredividend.com/sure-analysis-research-database/","Pactiv Evergreen Inc")</f>
        <v>Pactiv Evergreen Inc</v>
      </c>
      <c r="C1275" t="s">
        <v>1797</v>
      </c>
      <c r="D1275">
        <v>10.65</v>
      </c>
      <c r="E1275">
        <v>3.6541679330866002E-2</v>
      </c>
      <c r="F1275" t="s">
        <v>1797</v>
      </c>
      <c r="G1275" t="s">
        <v>1797</v>
      </c>
      <c r="H1275">
        <v>0.38916888487373302</v>
      </c>
      <c r="I1275">
        <v>1899.8088130000001</v>
      </c>
      <c r="J1275" t="s">
        <v>1797</v>
      </c>
      <c r="K1275" t="s">
        <v>1797</v>
      </c>
      <c r="L1275">
        <v>1.1384209245132371</v>
      </c>
      <c r="M1275">
        <v>11.86</v>
      </c>
      <c r="N1275">
        <v>6.6</v>
      </c>
    </row>
    <row r="1276" spans="1:14" x14ac:dyDescent="0.25">
      <c r="A1276" s="1" t="s">
        <v>1288</v>
      </c>
      <c r="B1276" t="str">
        <f>HYPERLINK("https://www.suredividend.com/sure-analysis-research-database/","PubMatic Inc")</f>
        <v>PubMatic Inc</v>
      </c>
      <c r="C1276" t="s">
        <v>1797</v>
      </c>
      <c r="D1276">
        <v>12.15</v>
      </c>
      <c r="E1276">
        <v>0</v>
      </c>
      <c r="F1276" t="s">
        <v>1797</v>
      </c>
      <c r="G1276" t="s">
        <v>1797</v>
      </c>
      <c r="H1276">
        <v>0</v>
      </c>
      <c r="I1276">
        <v>518.26093500000002</v>
      </c>
      <c r="J1276">
        <v>114.8627959109042</v>
      </c>
      <c r="K1276">
        <v>0</v>
      </c>
      <c r="L1276">
        <v>1.887009026054949</v>
      </c>
      <c r="M1276">
        <v>20.079999999999998</v>
      </c>
      <c r="N1276">
        <v>10.92</v>
      </c>
    </row>
    <row r="1277" spans="1:14" x14ac:dyDescent="0.25">
      <c r="A1277" s="1" t="s">
        <v>1289</v>
      </c>
      <c r="B1277" t="str">
        <f>HYPERLINK("https://www.suredividend.com/sure-analysis-research-database/","ProPetro Holding Corp")</f>
        <v>ProPetro Holding Corp</v>
      </c>
      <c r="C1277" t="s">
        <v>1807</v>
      </c>
      <c r="D1277">
        <v>10.220000000000001</v>
      </c>
      <c r="E1277">
        <v>0</v>
      </c>
      <c r="F1277" t="s">
        <v>1797</v>
      </c>
      <c r="G1277" t="s">
        <v>1797</v>
      </c>
      <c r="H1277">
        <v>0</v>
      </c>
      <c r="I1277">
        <v>1152.530831</v>
      </c>
      <c r="J1277">
        <v>9.9541459211980925</v>
      </c>
      <c r="K1277">
        <v>0</v>
      </c>
      <c r="L1277">
        <v>1.426948807679133</v>
      </c>
      <c r="M1277">
        <v>12.58</v>
      </c>
      <c r="N1277">
        <v>6.33</v>
      </c>
    </row>
    <row r="1278" spans="1:14" x14ac:dyDescent="0.25">
      <c r="A1278" s="1" t="s">
        <v>1290</v>
      </c>
      <c r="B1278" t="str">
        <f>HYPERLINK("https://www.suredividend.com/sure-analysis-research-database/","Provident Bancorp Inc")</f>
        <v>Provident Bancorp Inc</v>
      </c>
      <c r="C1278" t="s">
        <v>1800</v>
      </c>
      <c r="D1278">
        <v>9.4700000000000006</v>
      </c>
      <c r="E1278">
        <v>0</v>
      </c>
      <c r="F1278" t="s">
        <v>1797</v>
      </c>
      <c r="G1278" t="s">
        <v>1797</v>
      </c>
      <c r="H1278">
        <v>0</v>
      </c>
      <c r="I1278">
        <v>167.483768</v>
      </c>
      <c r="J1278" t="s">
        <v>1797</v>
      </c>
      <c r="K1278">
        <v>0</v>
      </c>
      <c r="L1278">
        <v>0.98723423506648911</v>
      </c>
      <c r="M1278">
        <v>12.66</v>
      </c>
      <c r="N1278">
        <v>5.76</v>
      </c>
    </row>
    <row r="1279" spans="1:14" x14ac:dyDescent="0.25">
      <c r="A1279" s="1" t="s">
        <v>1291</v>
      </c>
      <c r="B1279" t="str">
        <f>HYPERLINK("https://www.suredividend.com/sure-analysis-research-database/","Perella Weinberg Partners")</f>
        <v>Perella Weinberg Partners</v>
      </c>
      <c r="C1279" t="s">
        <v>1797</v>
      </c>
      <c r="D1279">
        <v>10.39</v>
      </c>
      <c r="E1279">
        <v>2.6540916309985001E-2</v>
      </c>
      <c r="F1279" t="s">
        <v>1797</v>
      </c>
      <c r="G1279" t="s">
        <v>1797</v>
      </c>
      <c r="H1279">
        <v>0.27576012046074999</v>
      </c>
      <c r="I1279">
        <v>432.57158700000002</v>
      </c>
      <c r="J1279" t="s">
        <v>1797</v>
      </c>
      <c r="K1279" t="s">
        <v>1797</v>
      </c>
      <c r="L1279">
        <v>1.104956411546262</v>
      </c>
      <c r="M1279">
        <v>11.64</v>
      </c>
      <c r="N1279">
        <v>6.64</v>
      </c>
    </row>
    <row r="1280" spans="1:14" x14ac:dyDescent="0.25">
      <c r="A1280" s="1" t="s">
        <v>1292</v>
      </c>
      <c r="B1280" t="str">
        <f>HYPERLINK("https://www.suredividend.com/sure-analysis-research-database/","PowerSchool Holdings Inc")</f>
        <v>PowerSchool Holdings Inc</v>
      </c>
      <c r="C1280" t="s">
        <v>1797</v>
      </c>
      <c r="D1280">
        <v>20.3</v>
      </c>
      <c r="E1280">
        <v>0</v>
      </c>
      <c r="F1280" t="s">
        <v>1797</v>
      </c>
      <c r="G1280" t="s">
        <v>1797</v>
      </c>
      <c r="H1280">
        <v>0</v>
      </c>
      <c r="I1280">
        <v>4084.1597609999999</v>
      </c>
      <c r="J1280" t="s">
        <v>1797</v>
      </c>
      <c r="K1280">
        <v>0</v>
      </c>
      <c r="L1280">
        <v>0.87721123742375007</v>
      </c>
      <c r="M1280">
        <v>26.05</v>
      </c>
      <c r="N1280">
        <v>16.41</v>
      </c>
    </row>
    <row r="1281" spans="1:14" x14ac:dyDescent="0.25">
      <c r="A1281" s="1" t="s">
        <v>1293</v>
      </c>
      <c r="B1281" t="str">
        <f>HYPERLINK("https://www.suredividend.com/sure-analysis-research-database/","Papa John`s International, Inc.")</f>
        <v>Papa John`s International, Inc.</v>
      </c>
      <c r="C1281" t="s">
        <v>1801</v>
      </c>
      <c r="D1281">
        <v>68</v>
      </c>
      <c r="E1281">
        <v>2.496459886388E-2</v>
      </c>
      <c r="F1281">
        <v>9.5238095238095344E-2</v>
      </c>
      <c r="G1281">
        <v>0.15375889616306759</v>
      </c>
      <c r="H1281">
        <v>1.6975927227438421</v>
      </c>
      <c r="I1281">
        <v>2226.106616</v>
      </c>
      <c r="J1281">
        <v>28.019668412043099</v>
      </c>
      <c r="K1281">
        <v>0.72237988201865622</v>
      </c>
      <c r="L1281">
        <v>0.83423491464955601</v>
      </c>
      <c r="M1281">
        <v>96.17</v>
      </c>
      <c r="N1281">
        <v>60.66</v>
      </c>
    </row>
    <row r="1282" spans="1:14" x14ac:dyDescent="0.25">
      <c r="A1282" s="1" t="s">
        <v>1294</v>
      </c>
      <c r="B1282" t="str">
        <f>HYPERLINK("https://www.suredividend.com/sure-analysis-research-database/","QCR Holding, Inc.")</f>
        <v>QCR Holding, Inc.</v>
      </c>
      <c r="C1282" t="s">
        <v>1800</v>
      </c>
      <c r="D1282">
        <v>50.99</v>
      </c>
      <c r="E1282">
        <v>4.6902234468230008E-3</v>
      </c>
      <c r="F1282">
        <v>0</v>
      </c>
      <c r="G1282">
        <v>0</v>
      </c>
      <c r="H1282">
        <v>0.23915449355350599</v>
      </c>
      <c r="I1282">
        <v>852.32411000000002</v>
      </c>
      <c r="J1282">
        <v>0</v>
      </c>
      <c r="K1282" t="s">
        <v>1797</v>
      </c>
      <c r="L1282">
        <v>1.0411870963397709</v>
      </c>
      <c r="M1282">
        <v>54.19</v>
      </c>
      <c r="N1282">
        <v>34.96</v>
      </c>
    </row>
    <row r="1283" spans="1:14" x14ac:dyDescent="0.25">
      <c r="A1283" s="1" t="s">
        <v>1295</v>
      </c>
      <c r="B1283" t="str">
        <f>HYPERLINK("https://www.suredividend.com/sure-analysis-research-database/","Qualys Inc")</f>
        <v>Qualys Inc</v>
      </c>
      <c r="C1283" t="s">
        <v>1803</v>
      </c>
      <c r="D1283">
        <v>170</v>
      </c>
      <c r="E1283">
        <v>0</v>
      </c>
      <c r="F1283" t="s">
        <v>1797</v>
      </c>
      <c r="G1283" t="s">
        <v>1797</v>
      </c>
      <c r="H1283">
        <v>0</v>
      </c>
      <c r="I1283">
        <v>6241.04</v>
      </c>
      <c r="J1283">
        <v>44.793867707854851</v>
      </c>
      <c r="K1283">
        <v>0</v>
      </c>
      <c r="L1283">
        <v>1.3009907288798299</v>
      </c>
      <c r="M1283">
        <v>171.77</v>
      </c>
      <c r="N1283">
        <v>101.1</v>
      </c>
    </row>
    <row r="1284" spans="1:14" x14ac:dyDescent="0.25">
      <c r="A1284" s="1" t="s">
        <v>1296</v>
      </c>
      <c r="B1284" t="str">
        <f>HYPERLINK("https://www.suredividend.com/sure-analysis-research-database/","QuinStreet Inc")</f>
        <v>QuinStreet Inc</v>
      </c>
      <c r="C1284" t="s">
        <v>1806</v>
      </c>
      <c r="D1284">
        <v>11.01</v>
      </c>
      <c r="E1284">
        <v>0</v>
      </c>
      <c r="F1284" t="s">
        <v>1797</v>
      </c>
      <c r="G1284" t="s">
        <v>1797</v>
      </c>
      <c r="H1284">
        <v>0</v>
      </c>
      <c r="I1284">
        <v>602.58540300000004</v>
      </c>
      <c r="J1284" t="s">
        <v>1797</v>
      </c>
      <c r="K1284">
        <v>0</v>
      </c>
      <c r="L1284">
        <v>0.92224070486130605</v>
      </c>
      <c r="M1284">
        <v>18.18</v>
      </c>
      <c r="N1284">
        <v>6.79</v>
      </c>
    </row>
    <row r="1285" spans="1:14" x14ac:dyDescent="0.25">
      <c r="A1285" s="1" t="s">
        <v>1297</v>
      </c>
      <c r="B1285" t="str">
        <f>HYPERLINK("https://www.suredividend.com/sure-analysis-research-database/","Qurate Retail Inc")</f>
        <v>Qurate Retail Inc</v>
      </c>
      <c r="C1285" t="s">
        <v>1801</v>
      </c>
      <c r="D1285">
        <v>0.67700000000000005</v>
      </c>
      <c r="E1285">
        <v>0</v>
      </c>
      <c r="F1285" t="s">
        <v>1797</v>
      </c>
      <c r="G1285" t="s">
        <v>1797</v>
      </c>
      <c r="H1285">
        <v>0</v>
      </c>
      <c r="I1285">
        <v>333.27390100000002</v>
      </c>
      <c r="J1285">
        <v>0</v>
      </c>
      <c r="K1285" t="s">
        <v>1797</v>
      </c>
      <c r="L1285">
        <v>3.546352389136056</v>
      </c>
      <c r="M1285">
        <v>2.84</v>
      </c>
      <c r="N1285">
        <v>0.4</v>
      </c>
    </row>
    <row r="1286" spans="1:14" x14ac:dyDescent="0.25">
      <c r="A1286" s="1" t="s">
        <v>1298</v>
      </c>
      <c r="B1286" t="str">
        <f>HYPERLINK("https://www.suredividend.com/sure-analysis-research-database/","Quantum-Si Incorporated")</f>
        <v>Quantum-Si Incorporated</v>
      </c>
      <c r="C1286" t="s">
        <v>1797</v>
      </c>
      <c r="D1286">
        <v>1.37</v>
      </c>
      <c r="E1286">
        <v>0</v>
      </c>
      <c r="F1286" t="s">
        <v>1797</v>
      </c>
      <c r="G1286" t="s">
        <v>1797</v>
      </c>
      <c r="H1286">
        <v>0</v>
      </c>
      <c r="I1286">
        <v>166.83721399999999</v>
      </c>
      <c r="J1286">
        <v>0</v>
      </c>
      <c r="K1286" t="s">
        <v>1797</v>
      </c>
      <c r="L1286">
        <v>2.3805174144661678</v>
      </c>
      <c r="M1286">
        <v>3.9</v>
      </c>
      <c r="N1286">
        <v>1.1200000000000001</v>
      </c>
    </row>
    <row r="1287" spans="1:14" x14ac:dyDescent="0.25">
      <c r="A1287" s="1" t="s">
        <v>1299</v>
      </c>
      <c r="B1287" t="str">
        <f>HYPERLINK("https://www.suredividend.com/sure-analysis-research-database/","Quanterix Corp")</f>
        <v>Quanterix Corp</v>
      </c>
      <c r="C1287" t="s">
        <v>1802</v>
      </c>
      <c r="D1287">
        <v>22.92</v>
      </c>
      <c r="E1287">
        <v>0</v>
      </c>
      <c r="F1287" t="s">
        <v>1797</v>
      </c>
      <c r="G1287" t="s">
        <v>1797</v>
      </c>
      <c r="H1287">
        <v>0</v>
      </c>
      <c r="I1287">
        <v>860.70527100000004</v>
      </c>
      <c r="J1287" t="s">
        <v>1797</v>
      </c>
      <c r="K1287">
        <v>0</v>
      </c>
      <c r="L1287">
        <v>1.583610654341203</v>
      </c>
      <c r="M1287">
        <v>28.77</v>
      </c>
      <c r="N1287">
        <v>8.7899999999999991</v>
      </c>
    </row>
    <row r="1288" spans="1:14" x14ac:dyDescent="0.25">
      <c r="A1288" s="1" t="s">
        <v>1300</v>
      </c>
      <c r="B1288" t="str">
        <f>HYPERLINK("https://www.suredividend.com/sure-analysis-research-database/","Q2 Holdings Inc")</f>
        <v>Q2 Holdings Inc</v>
      </c>
      <c r="C1288" t="s">
        <v>1803</v>
      </c>
      <c r="D1288">
        <v>34.14</v>
      </c>
      <c r="E1288">
        <v>0</v>
      </c>
      <c r="F1288" t="s">
        <v>1797</v>
      </c>
      <c r="G1288" t="s">
        <v>1797</v>
      </c>
      <c r="H1288">
        <v>0</v>
      </c>
      <c r="I1288">
        <v>2001.7990709999999</v>
      </c>
      <c r="J1288" t="s">
        <v>1797</v>
      </c>
      <c r="K1288">
        <v>0</v>
      </c>
      <c r="L1288">
        <v>2.1828328700237098</v>
      </c>
      <c r="M1288">
        <v>36.520000000000003</v>
      </c>
      <c r="N1288">
        <v>18.91</v>
      </c>
    </row>
    <row r="1289" spans="1:14" x14ac:dyDescent="0.25">
      <c r="A1289" s="1" t="s">
        <v>1301</v>
      </c>
      <c r="B1289" t="str">
        <f>HYPERLINK("https://www.suredividend.com/sure-analysis-research-database/","Quad/Graphics Inc")</f>
        <v>Quad/Graphics Inc</v>
      </c>
      <c r="C1289" t="s">
        <v>1798</v>
      </c>
      <c r="D1289">
        <v>4.5</v>
      </c>
      <c r="E1289">
        <v>0</v>
      </c>
      <c r="F1289" t="s">
        <v>1797</v>
      </c>
      <c r="G1289" t="s">
        <v>1797</v>
      </c>
      <c r="H1289">
        <v>0</v>
      </c>
      <c r="I1289">
        <v>169.88179099999999</v>
      </c>
      <c r="J1289">
        <v>0</v>
      </c>
      <c r="K1289" t="s">
        <v>1797</v>
      </c>
      <c r="L1289">
        <v>1.2847040250313859</v>
      </c>
      <c r="M1289">
        <v>6.41</v>
      </c>
      <c r="N1289">
        <v>2.68</v>
      </c>
    </row>
    <row r="1290" spans="1:14" x14ac:dyDescent="0.25">
      <c r="A1290" s="1" t="s">
        <v>1302</v>
      </c>
      <c r="B1290" t="str">
        <f>HYPERLINK("https://www.suredividend.com/sure-analysis-research-database/","Quotient Technology Inc")</f>
        <v>Quotient Technology Inc</v>
      </c>
      <c r="C1290" t="s">
        <v>1806</v>
      </c>
      <c r="D1290">
        <v>3.99</v>
      </c>
      <c r="E1290">
        <v>0</v>
      </c>
      <c r="F1290" t="s">
        <v>1797</v>
      </c>
      <c r="G1290" t="s">
        <v>1797</v>
      </c>
      <c r="H1290">
        <v>0</v>
      </c>
      <c r="I1290">
        <v>397.92339399999997</v>
      </c>
      <c r="J1290" t="s">
        <v>1797</v>
      </c>
      <c r="K1290">
        <v>0</v>
      </c>
      <c r="L1290">
        <v>0.83124945151545204</v>
      </c>
      <c r="M1290">
        <v>4.25</v>
      </c>
      <c r="N1290">
        <v>1.71</v>
      </c>
    </row>
    <row r="1291" spans="1:14" x14ac:dyDescent="0.25">
      <c r="A1291" s="1" t="s">
        <v>1303</v>
      </c>
      <c r="B1291" t="str">
        <f>HYPERLINK("https://www.suredividend.com/sure-analysis-research-database/","Rite Aid Corp.")</f>
        <v>Rite Aid Corp.</v>
      </c>
      <c r="C1291" t="s">
        <v>1802</v>
      </c>
      <c r="D1291">
        <v>0.64829999999999999</v>
      </c>
      <c r="E1291">
        <v>0</v>
      </c>
      <c r="F1291" t="s">
        <v>1797</v>
      </c>
      <c r="G1291" t="s">
        <v>1797</v>
      </c>
      <c r="H1291">
        <v>0</v>
      </c>
      <c r="I1291">
        <v>36.756231999999997</v>
      </c>
      <c r="J1291" t="s">
        <v>1797</v>
      </c>
      <c r="K1291">
        <v>0</v>
      </c>
      <c r="L1291">
        <v>1.0503220926754131</v>
      </c>
      <c r="M1291">
        <v>7.37</v>
      </c>
      <c r="N1291">
        <v>0.37790000000000001</v>
      </c>
    </row>
    <row r="1292" spans="1:14" x14ac:dyDescent="0.25">
      <c r="A1292" s="1" t="s">
        <v>1304</v>
      </c>
      <c r="B1292" t="str">
        <f>HYPERLINK("https://www.suredividend.com/sure-analysis-research-database/","Radius Global Infrastructure Inc")</f>
        <v>Radius Global Infrastructure Inc</v>
      </c>
      <c r="C1292" t="s">
        <v>1797</v>
      </c>
      <c r="D1292">
        <v>15</v>
      </c>
      <c r="E1292">
        <v>0</v>
      </c>
      <c r="F1292" t="s">
        <v>1797</v>
      </c>
      <c r="G1292" t="s">
        <v>1797</v>
      </c>
      <c r="H1292">
        <v>0</v>
      </c>
      <c r="I1292">
        <v>0</v>
      </c>
      <c r="J1292">
        <v>0</v>
      </c>
      <c r="K1292">
        <v>0</v>
      </c>
    </row>
    <row r="1293" spans="1:14" x14ac:dyDescent="0.25">
      <c r="A1293" s="1" t="s">
        <v>1305</v>
      </c>
      <c r="B1293" t="str">
        <f>HYPERLINK("https://www.suredividend.com/sure-analysis-research-database/","LiveRamp Holdings Inc")</f>
        <v>LiveRamp Holdings Inc</v>
      </c>
      <c r="C1293" t="s">
        <v>1803</v>
      </c>
      <c r="D1293">
        <v>29.48</v>
      </c>
      <c r="E1293">
        <v>0</v>
      </c>
      <c r="F1293" t="s">
        <v>1797</v>
      </c>
      <c r="G1293" t="s">
        <v>1797</v>
      </c>
      <c r="H1293">
        <v>0</v>
      </c>
      <c r="I1293">
        <v>1951.8679400000001</v>
      </c>
      <c r="J1293" t="s">
        <v>1797</v>
      </c>
      <c r="K1293">
        <v>0</v>
      </c>
      <c r="L1293">
        <v>1.1976271727529779</v>
      </c>
      <c r="M1293">
        <v>32.97</v>
      </c>
      <c r="N1293">
        <v>15.37</v>
      </c>
    </row>
    <row r="1294" spans="1:14" x14ac:dyDescent="0.25">
      <c r="A1294" s="1" t="s">
        <v>1306</v>
      </c>
      <c r="B1294" t="str">
        <f>HYPERLINK("https://www.suredividend.com/sure-analysis-research-database/","RAPT Therapeutics Inc")</f>
        <v>RAPT Therapeutics Inc</v>
      </c>
      <c r="C1294" t="s">
        <v>1802</v>
      </c>
      <c r="D1294">
        <v>15.5</v>
      </c>
      <c r="E1294">
        <v>0</v>
      </c>
      <c r="F1294" t="s">
        <v>1797</v>
      </c>
      <c r="G1294" t="s">
        <v>1797</v>
      </c>
      <c r="H1294">
        <v>0</v>
      </c>
      <c r="I1294">
        <v>532.55135600000006</v>
      </c>
      <c r="J1294">
        <v>0</v>
      </c>
      <c r="K1294" t="s">
        <v>1797</v>
      </c>
      <c r="L1294">
        <v>1.794030745716765</v>
      </c>
      <c r="M1294">
        <v>31.45</v>
      </c>
      <c r="N1294">
        <v>11.04</v>
      </c>
    </row>
    <row r="1295" spans="1:14" x14ac:dyDescent="0.25">
      <c r="A1295" s="1" t="s">
        <v>1307</v>
      </c>
      <c r="B1295" t="str">
        <f>HYPERLINK("https://www.suredividend.com/sure-analysis-research-database/","RBB Bancorp")</f>
        <v>RBB Bancorp</v>
      </c>
      <c r="C1295" t="s">
        <v>1800</v>
      </c>
      <c r="D1295">
        <v>13.67</v>
      </c>
      <c r="E1295">
        <v>4.5090186862831012E-2</v>
      </c>
      <c r="F1295">
        <v>0.14285714285714279</v>
      </c>
      <c r="G1295">
        <v>9.8560543306117632E-2</v>
      </c>
      <c r="H1295">
        <v>0.61638285441491103</v>
      </c>
      <c r="I1295">
        <v>259.66579200000001</v>
      </c>
      <c r="J1295">
        <v>4.6242550177194452</v>
      </c>
      <c r="K1295">
        <v>0.20894334047963081</v>
      </c>
      <c r="L1295">
        <v>1.364575958550988</v>
      </c>
      <c r="M1295">
        <v>21.43</v>
      </c>
      <c r="N1295">
        <v>8.2100000000000009</v>
      </c>
    </row>
    <row r="1296" spans="1:14" x14ac:dyDescent="0.25">
      <c r="A1296" s="1" t="s">
        <v>1308</v>
      </c>
      <c r="B1296" t="str">
        <f>HYPERLINK("https://www.suredividend.com/sure-analysis-research-database/","Ribbon Communications Inc")</f>
        <v>Ribbon Communications Inc</v>
      </c>
      <c r="C1296" t="s">
        <v>1806</v>
      </c>
      <c r="D1296">
        <v>2.06</v>
      </c>
      <c r="E1296">
        <v>0</v>
      </c>
      <c r="F1296" t="s">
        <v>1797</v>
      </c>
      <c r="G1296" t="s">
        <v>1797</v>
      </c>
      <c r="H1296">
        <v>0</v>
      </c>
      <c r="I1296">
        <v>353.76535899999999</v>
      </c>
      <c r="J1296">
        <v>0</v>
      </c>
      <c r="K1296" t="s">
        <v>1797</v>
      </c>
      <c r="L1296">
        <v>1.3479806642980761</v>
      </c>
      <c r="M1296">
        <v>4.84</v>
      </c>
      <c r="N1296">
        <v>1.78</v>
      </c>
    </row>
    <row r="1297" spans="1:14" x14ac:dyDescent="0.25">
      <c r="A1297" s="1" t="s">
        <v>1309</v>
      </c>
      <c r="B1297" t="str">
        <f>HYPERLINK("https://www.suredividend.com/sure-analysis-research-database/","RBC Bearings Inc.")</f>
        <v>RBC Bearings Inc.</v>
      </c>
      <c r="C1297" t="s">
        <v>1798</v>
      </c>
      <c r="D1297">
        <v>220.44</v>
      </c>
      <c r="E1297">
        <v>0</v>
      </c>
      <c r="F1297" t="s">
        <v>1797</v>
      </c>
      <c r="G1297" t="s">
        <v>1797</v>
      </c>
      <c r="H1297">
        <v>0</v>
      </c>
      <c r="I1297">
        <v>6349.8414339999999</v>
      </c>
      <c r="J1297">
        <v>40.596894318850218</v>
      </c>
      <c r="K1297">
        <v>0</v>
      </c>
      <c r="L1297">
        <v>1.0143686039323789</v>
      </c>
      <c r="M1297">
        <v>254.5</v>
      </c>
      <c r="N1297">
        <v>195.18</v>
      </c>
    </row>
    <row r="1298" spans="1:14" x14ac:dyDescent="0.25">
      <c r="A1298" s="1" t="s">
        <v>1310</v>
      </c>
      <c r="B1298" t="str">
        <f>HYPERLINK("https://www.suredividend.com/sure-analysis-RBCAA/","Republic Bancorp, Inc. (KY)")</f>
        <v>Republic Bancorp, Inc. (KY)</v>
      </c>
      <c r="C1298" t="s">
        <v>1800</v>
      </c>
      <c r="D1298">
        <v>47.03</v>
      </c>
      <c r="E1298">
        <v>3.1894535402934299E-2</v>
      </c>
      <c r="F1298">
        <v>9.6774193548387011E-2</v>
      </c>
      <c r="G1298">
        <v>9.0966078501449665E-2</v>
      </c>
      <c r="H1298">
        <v>1.4301671364077619</v>
      </c>
      <c r="I1298">
        <v>817.67566699999998</v>
      </c>
      <c r="J1298">
        <v>9.2473187599380235</v>
      </c>
      <c r="K1298">
        <v>0.32283682537421271</v>
      </c>
      <c r="L1298">
        <v>0.69927107218603901</v>
      </c>
      <c r="M1298">
        <v>47.99</v>
      </c>
      <c r="N1298">
        <v>36.01</v>
      </c>
    </row>
    <row r="1299" spans="1:14" x14ac:dyDescent="0.25">
      <c r="A1299" s="1" t="s">
        <v>1311</v>
      </c>
      <c r="B1299" t="str">
        <f>HYPERLINK("https://www.suredividend.com/sure-analysis-research-database/","Vicarious Surgical Inc")</f>
        <v>Vicarious Surgical Inc</v>
      </c>
      <c r="C1299" t="s">
        <v>1797</v>
      </c>
      <c r="D1299">
        <v>0.39789999999999998</v>
      </c>
      <c r="E1299">
        <v>0</v>
      </c>
      <c r="F1299" t="s">
        <v>1797</v>
      </c>
      <c r="G1299" t="s">
        <v>1797</v>
      </c>
      <c r="H1299">
        <v>0</v>
      </c>
      <c r="I1299">
        <v>50.652670000000001</v>
      </c>
      <c r="J1299">
        <v>0</v>
      </c>
      <c r="K1299" t="s">
        <v>1797</v>
      </c>
      <c r="L1299">
        <v>2.2261525327462799</v>
      </c>
      <c r="M1299">
        <v>3.96</v>
      </c>
      <c r="N1299">
        <v>0.3201</v>
      </c>
    </row>
    <row r="1300" spans="1:14" x14ac:dyDescent="0.25">
      <c r="A1300" s="1" t="s">
        <v>1312</v>
      </c>
      <c r="B1300" t="str">
        <f>HYPERLINK("https://www.suredividend.com/sure-analysis-research-database/","Ready Capital Corp")</f>
        <v>Ready Capital Corp</v>
      </c>
      <c r="C1300" t="s">
        <v>1799</v>
      </c>
      <c r="D1300">
        <v>10.16</v>
      </c>
      <c r="E1300">
        <v>0.15564793116895201</v>
      </c>
      <c r="F1300">
        <v>-0.1000000000000001</v>
      </c>
      <c r="G1300">
        <v>-2.0851637639023202E-2</v>
      </c>
      <c r="H1300">
        <v>1.58138298067656</v>
      </c>
      <c r="I1300">
        <v>1747.2336299999999</v>
      </c>
      <c r="J1300">
        <v>4.9746421989135268</v>
      </c>
      <c r="K1300">
        <v>0.57504835660965814</v>
      </c>
      <c r="L1300">
        <v>1.266859971913598</v>
      </c>
      <c r="M1300">
        <v>12.05</v>
      </c>
      <c r="N1300">
        <v>8.36</v>
      </c>
    </row>
    <row r="1301" spans="1:14" x14ac:dyDescent="0.25">
      <c r="A1301" s="1" t="s">
        <v>1313</v>
      </c>
      <c r="B1301" t="str">
        <f>HYPERLINK("https://www.suredividend.com/sure-analysis-research-database/","Rocket Pharmaceuticals Inc")</f>
        <v>Rocket Pharmaceuticals Inc</v>
      </c>
      <c r="C1301" t="s">
        <v>1802</v>
      </c>
      <c r="D1301">
        <v>20.98</v>
      </c>
      <c r="E1301">
        <v>0</v>
      </c>
      <c r="F1301" t="s">
        <v>1797</v>
      </c>
      <c r="G1301" t="s">
        <v>1797</v>
      </c>
      <c r="H1301">
        <v>0</v>
      </c>
      <c r="I1301">
        <v>1689.4256399999999</v>
      </c>
      <c r="J1301">
        <v>0</v>
      </c>
      <c r="K1301" t="s">
        <v>1797</v>
      </c>
      <c r="L1301">
        <v>1.8827313204373279</v>
      </c>
      <c r="M1301">
        <v>24.65</v>
      </c>
      <c r="N1301">
        <v>14.89</v>
      </c>
    </row>
    <row r="1302" spans="1:14" x14ac:dyDescent="0.25">
      <c r="A1302" s="1" t="s">
        <v>1314</v>
      </c>
      <c r="B1302" t="str">
        <f>HYPERLINK("https://www.suredividend.com/sure-analysis-research-database/","Rocky Brands, Inc")</f>
        <v>Rocky Brands, Inc</v>
      </c>
      <c r="C1302" t="s">
        <v>1801</v>
      </c>
      <c r="D1302">
        <v>20.67</v>
      </c>
      <c r="E1302">
        <v>2.9341350319575001E-2</v>
      </c>
      <c r="F1302">
        <v>0</v>
      </c>
      <c r="G1302">
        <v>5.2519353814266312E-2</v>
      </c>
      <c r="H1302">
        <v>0.6064857111056331</v>
      </c>
      <c r="I1302">
        <v>152.25937500000001</v>
      </c>
      <c r="J1302">
        <v>0</v>
      </c>
      <c r="K1302" t="s">
        <v>1797</v>
      </c>
      <c r="L1302">
        <v>1.76780096460233</v>
      </c>
      <c r="M1302">
        <v>31.84</v>
      </c>
      <c r="N1302">
        <v>11.78</v>
      </c>
    </row>
    <row r="1303" spans="1:14" x14ac:dyDescent="0.25">
      <c r="A1303" s="1" t="s">
        <v>1315</v>
      </c>
      <c r="B1303" t="str">
        <f>HYPERLINK("https://www.suredividend.com/sure-analysis-research-database/","R1 RCM Inc.")</f>
        <v>R1 RCM Inc.</v>
      </c>
      <c r="C1303" t="s">
        <v>1802</v>
      </c>
      <c r="D1303">
        <v>11.53</v>
      </c>
      <c r="E1303">
        <v>0</v>
      </c>
      <c r="F1303" t="s">
        <v>1797</v>
      </c>
      <c r="G1303" t="s">
        <v>1797</v>
      </c>
      <c r="H1303">
        <v>0</v>
      </c>
      <c r="I1303">
        <v>3224.9409999999998</v>
      </c>
      <c r="J1303" t="s">
        <v>1797</v>
      </c>
      <c r="K1303">
        <v>0</v>
      </c>
      <c r="L1303">
        <v>1.2808093466310131</v>
      </c>
      <c r="M1303">
        <v>18.7</v>
      </c>
      <c r="N1303">
        <v>6.71</v>
      </c>
    </row>
    <row r="1304" spans="1:14" x14ac:dyDescent="0.25">
      <c r="A1304" s="1" t="s">
        <v>1316</v>
      </c>
      <c r="B1304" t="str">
        <f>HYPERLINK("https://www.suredividend.com/sure-analysis-research-database/","Arcus Biosciences Inc")</f>
        <v>Arcus Biosciences Inc</v>
      </c>
      <c r="C1304" t="s">
        <v>1802</v>
      </c>
      <c r="D1304">
        <v>16.37</v>
      </c>
      <c r="E1304">
        <v>0</v>
      </c>
      <c r="F1304" t="s">
        <v>1797</v>
      </c>
      <c r="G1304" t="s">
        <v>1797</v>
      </c>
      <c r="H1304">
        <v>0</v>
      </c>
      <c r="I1304">
        <v>1219.6249800000001</v>
      </c>
      <c r="J1304" t="s">
        <v>1797</v>
      </c>
      <c r="K1304">
        <v>0</v>
      </c>
      <c r="L1304">
        <v>1.584478994384839</v>
      </c>
      <c r="M1304">
        <v>36.130000000000003</v>
      </c>
      <c r="N1304">
        <v>14.33</v>
      </c>
    </row>
    <row r="1305" spans="1:14" x14ac:dyDescent="0.25">
      <c r="A1305" s="1" t="s">
        <v>1317</v>
      </c>
      <c r="B1305" t="str">
        <f>HYPERLINK("https://www.suredividend.com/sure-analysis-research-database/","Redfin Corp")</f>
        <v>Redfin Corp</v>
      </c>
      <c r="C1305" t="s">
        <v>1799</v>
      </c>
      <c r="D1305">
        <v>6.18</v>
      </c>
      <c r="E1305">
        <v>0</v>
      </c>
      <c r="F1305" t="s">
        <v>1797</v>
      </c>
      <c r="G1305" t="s">
        <v>1797</v>
      </c>
      <c r="H1305">
        <v>0</v>
      </c>
      <c r="I1305">
        <v>704.36667999999997</v>
      </c>
      <c r="J1305" t="s">
        <v>1797</v>
      </c>
      <c r="K1305">
        <v>0</v>
      </c>
      <c r="L1305">
        <v>3.8111192198303669</v>
      </c>
      <c r="M1305">
        <v>17.68</v>
      </c>
      <c r="N1305">
        <v>3.08</v>
      </c>
    </row>
    <row r="1306" spans="1:14" x14ac:dyDescent="0.25">
      <c r="A1306" s="1" t="s">
        <v>1318</v>
      </c>
      <c r="B1306" t="str">
        <f>HYPERLINK("https://www.suredividend.com/sure-analysis-research-database/","Radian Group, Inc.")</f>
        <v>Radian Group, Inc.</v>
      </c>
      <c r="C1306" t="s">
        <v>1800</v>
      </c>
      <c r="D1306">
        <v>27.13</v>
      </c>
      <c r="E1306">
        <v>3.1835662109982003E-2</v>
      </c>
      <c r="F1306">
        <v>0.125</v>
      </c>
      <c r="G1306">
        <v>1.459509485849364</v>
      </c>
      <c r="H1306">
        <v>0.86370151304382503</v>
      </c>
      <c r="I1306">
        <v>4270.9636630000005</v>
      </c>
      <c r="J1306">
        <v>6.427779294262657</v>
      </c>
      <c r="K1306">
        <v>0.2111739640693949</v>
      </c>
      <c r="L1306">
        <v>0.85393498248220001</v>
      </c>
      <c r="M1306">
        <v>28.02</v>
      </c>
      <c r="N1306">
        <v>17.350000000000001</v>
      </c>
    </row>
    <row r="1307" spans="1:14" x14ac:dyDescent="0.25">
      <c r="A1307" s="1" t="s">
        <v>1319</v>
      </c>
      <c r="B1307" t="str">
        <f>HYPERLINK("https://www.suredividend.com/sure-analysis-research-database/","Radnet Inc")</f>
        <v>Radnet Inc</v>
      </c>
      <c r="C1307" t="s">
        <v>1802</v>
      </c>
      <c r="D1307">
        <v>28.84</v>
      </c>
      <c r="E1307">
        <v>0</v>
      </c>
      <c r="F1307" t="s">
        <v>1797</v>
      </c>
      <c r="G1307" t="s">
        <v>1797</v>
      </c>
      <c r="H1307">
        <v>0</v>
      </c>
      <c r="I1307">
        <v>1954.562563</v>
      </c>
      <c r="J1307" t="s">
        <v>1797</v>
      </c>
      <c r="K1307">
        <v>0</v>
      </c>
      <c r="L1307">
        <v>1.1923050489327649</v>
      </c>
      <c r="M1307">
        <v>35.18</v>
      </c>
      <c r="N1307">
        <v>12.03</v>
      </c>
    </row>
    <row r="1308" spans="1:14" x14ac:dyDescent="0.25">
      <c r="A1308" s="1" t="s">
        <v>1320</v>
      </c>
      <c r="B1308" t="str">
        <f>HYPERLINK("https://www.suredividend.com/sure-analysis-research-database/","Red Violet Inc")</f>
        <v>Red Violet Inc</v>
      </c>
      <c r="C1308" t="s">
        <v>1803</v>
      </c>
      <c r="D1308">
        <v>19.39</v>
      </c>
      <c r="E1308">
        <v>0</v>
      </c>
      <c r="F1308" t="s">
        <v>1797</v>
      </c>
      <c r="G1308" t="s">
        <v>1797</v>
      </c>
      <c r="H1308">
        <v>0</v>
      </c>
      <c r="I1308">
        <v>269.78259000000003</v>
      </c>
      <c r="J1308">
        <v>0</v>
      </c>
      <c r="K1308" t="s">
        <v>1797</v>
      </c>
      <c r="L1308">
        <v>1.0843830895617119</v>
      </c>
      <c r="M1308">
        <v>27.61</v>
      </c>
      <c r="N1308">
        <v>14.89</v>
      </c>
    </row>
    <row r="1309" spans="1:14" x14ac:dyDescent="0.25">
      <c r="A1309" s="1" t="s">
        <v>1321</v>
      </c>
      <c r="B1309" t="str">
        <f>HYPERLINK("https://www.suredividend.com/sure-analysis-research-database/","Redwire Corporation")</f>
        <v>Redwire Corporation</v>
      </c>
      <c r="C1309" t="s">
        <v>1797</v>
      </c>
      <c r="D1309">
        <v>2.91</v>
      </c>
      <c r="E1309">
        <v>0</v>
      </c>
      <c r="F1309" t="s">
        <v>1797</v>
      </c>
      <c r="G1309" t="s">
        <v>1797</v>
      </c>
      <c r="H1309">
        <v>0</v>
      </c>
      <c r="I1309">
        <v>188.46768900000001</v>
      </c>
      <c r="J1309" t="s">
        <v>1797</v>
      </c>
      <c r="K1309">
        <v>0</v>
      </c>
      <c r="L1309">
        <v>1.9209344298976789</v>
      </c>
      <c r="M1309">
        <v>4.58</v>
      </c>
      <c r="N1309">
        <v>1.67</v>
      </c>
    </row>
    <row r="1310" spans="1:14" x14ac:dyDescent="0.25">
      <c r="A1310" s="1" t="s">
        <v>1322</v>
      </c>
      <c r="B1310" t="str">
        <f>HYPERLINK("https://www.suredividend.com/sure-analysis-research-database/","Therealreal Inc")</f>
        <v>Therealreal Inc</v>
      </c>
      <c r="C1310" t="s">
        <v>1801</v>
      </c>
      <c r="D1310">
        <v>1.51</v>
      </c>
      <c r="E1310">
        <v>0</v>
      </c>
      <c r="F1310" t="s">
        <v>1797</v>
      </c>
      <c r="G1310" t="s">
        <v>1797</v>
      </c>
      <c r="H1310">
        <v>0</v>
      </c>
      <c r="I1310">
        <v>154.17099999999999</v>
      </c>
      <c r="J1310" t="s">
        <v>1797</v>
      </c>
      <c r="K1310">
        <v>0</v>
      </c>
      <c r="L1310">
        <v>3.1932490598340788</v>
      </c>
      <c r="M1310">
        <v>2.94</v>
      </c>
      <c r="N1310">
        <v>1</v>
      </c>
    </row>
    <row r="1311" spans="1:14" x14ac:dyDescent="0.25">
      <c r="A1311" s="1" t="s">
        <v>1323</v>
      </c>
      <c r="B1311" t="str">
        <f>HYPERLINK("https://www.suredividend.com/sure-analysis-research-database/","Chicago Atlantic Real Estate Finance Inc")</f>
        <v>Chicago Atlantic Real Estate Finance Inc</v>
      </c>
      <c r="C1311" t="s">
        <v>1797</v>
      </c>
      <c r="D1311">
        <v>14.51</v>
      </c>
      <c r="E1311">
        <v>0.146688326341501</v>
      </c>
      <c r="F1311" t="s">
        <v>1797</v>
      </c>
      <c r="G1311" t="s">
        <v>1797</v>
      </c>
      <c r="H1311">
        <v>2.128447615215181</v>
      </c>
      <c r="I1311">
        <v>263.72495199999997</v>
      </c>
      <c r="J1311">
        <v>7.2530791228911511</v>
      </c>
      <c r="K1311">
        <v>1.0484963621749659</v>
      </c>
      <c r="L1311">
        <v>0.50383755036018607</v>
      </c>
      <c r="M1311">
        <v>15.12</v>
      </c>
      <c r="N1311">
        <v>11.01</v>
      </c>
    </row>
    <row r="1312" spans="1:14" x14ac:dyDescent="0.25">
      <c r="A1312" s="1" t="s">
        <v>1324</v>
      </c>
      <c r="B1312" t="str">
        <f>HYPERLINK("https://www.suredividend.com/sure-analysis-research-database/","Ring Energy Inc")</f>
        <v>Ring Energy Inc</v>
      </c>
      <c r="C1312" t="s">
        <v>1807</v>
      </c>
      <c r="D1312">
        <v>1.71</v>
      </c>
      <c r="E1312">
        <v>0</v>
      </c>
      <c r="F1312" t="s">
        <v>1797</v>
      </c>
      <c r="G1312" t="s">
        <v>1797</v>
      </c>
      <c r="H1312">
        <v>0</v>
      </c>
      <c r="I1312">
        <v>334.06008200000002</v>
      </c>
      <c r="J1312">
        <v>0</v>
      </c>
      <c r="K1312" t="s">
        <v>1797</v>
      </c>
      <c r="L1312">
        <v>1.550475046539793</v>
      </c>
      <c r="M1312">
        <v>3.47</v>
      </c>
      <c r="N1312">
        <v>1.63</v>
      </c>
    </row>
    <row r="1313" spans="1:14" x14ac:dyDescent="0.25">
      <c r="A1313" s="1" t="s">
        <v>1325</v>
      </c>
      <c r="B1313" t="str">
        <f>HYPERLINK("https://www.suredividend.com/sure-analysis-research-database/","Remitly Global Inc")</f>
        <v>Remitly Global Inc</v>
      </c>
      <c r="C1313" t="s">
        <v>1797</v>
      </c>
      <c r="D1313">
        <v>19</v>
      </c>
      <c r="E1313">
        <v>0</v>
      </c>
      <c r="F1313" t="s">
        <v>1797</v>
      </c>
      <c r="G1313" t="s">
        <v>1797</v>
      </c>
      <c r="H1313">
        <v>0</v>
      </c>
      <c r="I1313">
        <v>3517.9970790000002</v>
      </c>
      <c r="J1313" t="s">
        <v>1797</v>
      </c>
      <c r="K1313">
        <v>0</v>
      </c>
      <c r="L1313">
        <v>1.148995744915704</v>
      </c>
      <c r="M1313">
        <v>27.95</v>
      </c>
      <c r="N1313">
        <v>8.94</v>
      </c>
    </row>
    <row r="1314" spans="1:14" x14ac:dyDescent="0.25">
      <c r="A1314" s="1" t="s">
        <v>1326</v>
      </c>
      <c r="B1314" t="str">
        <f>HYPERLINK("https://www.suredividend.com/sure-analysis-research-database/","Rent the Runway Inc")</f>
        <v>Rent the Runway Inc</v>
      </c>
      <c r="C1314" t="s">
        <v>1797</v>
      </c>
      <c r="D1314">
        <v>0.50019999999999998</v>
      </c>
      <c r="E1314">
        <v>0</v>
      </c>
      <c r="F1314" t="s">
        <v>1797</v>
      </c>
      <c r="G1314" t="s">
        <v>1797</v>
      </c>
      <c r="H1314">
        <v>0</v>
      </c>
      <c r="I1314">
        <v>32.942503000000002</v>
      </c>
      <c r="J1314">
        <v>0</v>
      </c>
      <c r="K1314" t="s">
        <v>1797</v>
      </c>
      <c r="L1314">
        <v>2.1862070047252331</v>
      </c>
      <c r="M1314">
        <v>4.82</v>
      </c>
      <c r="N1314">
        <v>0.44</v>
      </c>
    </row>
    <row r="1315" spans="1:14" x14ac:dyDescent="0.25">
      <c r="A1315" s="1" t="s">
        <v>1327</v>
      </c>
      <c r="B1315" t="str">
        <f>HYPERLINK("https://www.suredividend.com/sure-analysis-research-database/","Replimune Group Inc")</f>
        <v>Replimune Group Inc</v>
      </c>
      <c r="C1315" t="s">
        <v>1802</v>
      </c>
      <c r="D1315">
        <v>14.2</v>
      </c>
      <c r="E1315">
        <v>0</v>
      </c>
      <c r="F1315" t="s">
        <v>1797</v>
      </c>
      <c r="G1315" t="s">
        <v>1797</v>
      </c>
      <c r="H1315">
        <v>0</v>
      </c>
      <c r="I1315">
        <v>837.74782900000002</v>
      </c>
      <c r="J1315">
        <v>0</v>
      </c>
      <c r="K1315" t="s">
        <v>1797</v>
      </c>
      <c r="L1315">
        <v>1.1185075795278769</v>
      </c>
      <c r="M1315">
        <v>29.52</v>
      </c>
      <c r="N1315">
        <v>13.09</v>
      </c>
    </row>
    <row r="1316" spans="1:14" x14ac:dyDescent="0.25">
      <c r="A1316" s="1" t="s">
        <v>1328</v>
      </c>
      <c r="B1316" t="str">
        <f>HYPERLINK("https://www.suredividend.com/sure-analysis-research-database/","Riley Exploration Permian Inc.")</f>
        <v>Riley Exploration Permian Inc.</v>
      </c>
      <c r="C1316" t="s">
        <v>1797</v>
      </c>
      <c r="D1316">
        <v>31.93</v>
      </c>
      <c r="E1316">
        <v>4.1948955789089998E-2</v>
      </c>
      <c r="F1316" t="s">
        <v>1797</v>
      </c>
      <c r="G1316" t="s">
        <v>1797</v>
      </c>
      <c r="H1316">
        <v>1.3394301583456441</v>
      </c>
      <c r="I1316">
        <v>644.26320099999998</v>
      </c>
      <c r="J1316">
        <v>5.4593487097812918</v>
      </c>
      <c r="K1316">
        <v>0.2236110447989389</v>
      </c>
      <c r="L1316">
        <v>1.396258329307857</v>
      </c>
      <c r="M1316">
        <v>45.15</v>
      </c>
      <c r="N1316">
        <v>23.48</v>
      </c>
    </row>
    <row r="1317" spans="1:14" x14ac:dyDescent="0.25">
      <c r="A1317" s="1" t="s">
        <v>1329</v>
      </c>
      <c r="B1317" t="str">
        <f>HYPERLINK("https://www.suredividend.com/sure-analysis-research-database/","RPC, Inc.")</f>
        <v>RPC, Inc.</v>
      </c>
      <c r="C1317" t="s">
        <v>1807</v>
      </c>
      <c r="D1317">
        <v>8.1999999999999993</v>
      </c>
      <c r="E1317">
        <v>1.6961787603846E-2</v>
      </c>
      <c r="F1317" t="s">
        <v>1797</v>
      </c>
      <c r="G1317" t="s">
        <v>1797</v>
      </c>
      <c r="H1317">
        <v>0.13908665835154299</v>
      </c>
      <c r="I1317">
        <v>1774.5535870000001</v>
      </c>
      <c r="J1317">
        <v>7.435425777040332</v>
      </c>
      <c r="K1317">
        <v>0.1241845163853063</v>
      </c>
      <c r="L1317">
        <v>1.117925992354295</v>
      </c>
      <c r="M1317">
        <v>10.68</v>
      </c>
      <c r="N1317">
        <v>6.51</v>
      </c>
    </row>
    <row r="1318" spans="1:14" x14ac:dyDescent="0.25">
      <c r="A1318" s="1" t="s">
        <v>1330</v>
      </c>
      <c r="B1318" t="str">
        <f>HYPERLINK("https://www.suredividend.com/sure-analysis-research-database/","Reata Pharmaceuticals Inc")</f>
        <v>Reata Pharmaceuticals Inc</v>
      </c>
      <c r="C1318" t="s">
        <v>1802</v>
      </c>
      <c r="D1318">
        <v>172.36</v>
      </c>
      <c r="E1318">
        <v>0</v>
      </c>
      <c r="F1318" t="s">
        <v>1797</v>
      </c>
      <c r="G1318" t="s">
        <v>1797</v>
      </c>
      <c r="H1318">
        <v>0</v>
      </c>
      <c r="I1318">
        <v>0</v>
      </c>
      <c r="J1318">
        <v>0</v>
      </c>
      <c r="K1318">
        <v>0</v>
      </c>
    </row>
    <row r="1319" spans="1:14" x14ac:dyDescent="0.25">
      <c r="A1319" s="1" t="s">
        <v>1331</v>
      </c>
      <c r="B1319" t="str">
        <f>HYPERLINK("https://www.suredividend.com/sure-analysis-research-database/","REV Group Inc")</f>
        <v>REV Group Inc</v>
      </c>
      <c r="C1319" t="s">
        <v>1798</v>
      </c>
      <c r="D1319">
        <v>15.1</v>
      </c>
      <c r="E1319">
        <v>1.3174471408712E-2</v>
      </c>
      <c r="F1319" t="s">
        <v>1797</v>
      </c>
      <c r="G1319" t="s">
        <v>1797</v>
      </c>
      <c r="H1319">
        <v>0.198934518271557</v>
      </c>
      <c r="I1319">
        <v>895.56751599999996</v>
      </c>
      <c r="J1319" t="s">
        <v>1797</v>
      </c>
      <c r="K1319" t="s">
        <v>1797</v>
      </c>
      <c r="L1319">
        <v>1.049007946776471</v>
      </c>
      <c r="M1319">
        <v>16.54</v>
      </c>
      <c r="N1319">
        <v>9.7799999999999994</v>
      </c>
    </row>
    <row r="1320" spans="1:14" x14ac:dyDescent="0.25">
      <c r="A1320" s="1" t="s">
        <v>1332</v>
      </c>
      <c r="B1320" t="str">
        <f>HYPERLINK("https://www.suredividend.com/sure-analysis-research-database/","REX American Resources Corp")</f>
        <v>REX American Resources Corp</v>
      </c>
      <c r="C1320" t="s">
        <v>1807</v>
      </c>
      <c r="D1320">
        <v>38.22</v>
      </c>
      <c r="E1320">
        <v>0</v>
      </c>
      <c r="F1320" t="s">
        <v>1797</v>
      </c>
      <c r="G1320" t="s">
        <v>1797</v>
      </c>
      <c r="H1320">
        <v>0</v>
      </c>
      <c r="I1320">
        <v>668.99313400000005</v>
      </c>
      <c r="J1320">
        <v>26.095847008113591</v>
      </c>
      <c r="K1320">
        <v>0</v>
      </c>
      <c r="L1320">
        <v>1.152990103001607</v>
      </c>
      <c r="M1320">
        <v>41.63</v>
      </c>
      <c r="N1320">
        <v>27.42</v>
      </c>
    </row>
    <row r="1321" spans="1:14" x14ac:dyDescent="0.25">
      <c r="A1321" s="1" t="s">
        <v>1333</v>
      </c>
      <c r="B1321" t="str">
        <f>HYPERLINK("https://www.suredividend.com/sure-analysis-research-database/","Resideo Technologies Inc")</f>
        <v>Resideo Technologies Inc</v>
      </c>
      <c r="C1321" t="s">
        <v>1798</v>
      </c>
      <c r="D1321">
        <v>15.86</v>
      </c>
      <c r="E1321">
        <v>0</v>
      </c>
      <c r="F1321" t="s">
        <v>1797</v>
      </c>
      <c r="G1321" t="s">
        <v>1797</v>
      </c>
      <c r="H1321">
        <v>0</v>
      </c>
      <c r="I1321">
        <v>2316.9555529999998</v>
      </c>
      <c r="J1321">
        <v>13.87398534802395</v>
      </c>
      <c r="K1321">
        <v>0</v>
      </c>
      <c r="L1321">
        <v>1.367163703278101</v>
      </c>
      <c r="M1321">
        <v>20.16</v>
      </c>
      <c r="N1321">
        <v>14.2</v>
      </c>
    </row>
    <row r="1322" spans="1:14" x14ac:dyDescent="0.25">
      <c r="A1322" s="1" t="s">
        <v>1334</v>
      </c>
      <c r="B1322" t="str">
        <f>HYPERLINK("https://www.suredividend.com/sure-analysis-research-database/","Regenxbio Inc")</f>
        <v>Regenxbio Inc</v>
      </c>
      <c r="C1322" t="s">
        <v>1802</v>
      </c>
      <c r="D1322">
        <v>15.33</v>
      </c>
      <c r="E1322">
        <v>0</v>
      </c>
      <c r="F1322" t="s">
        <v>1797</v>
      </c>
      <c r="G1322" t="s">
        <v>1797</v>
      </c>
      <c r="H1322">
        <v>0</v>
      </c>
      <c r="I1322">
        <v>673.908456</v>
      </c>
      <c r="J1322" t="s">
        <v>1797</v>
      </c>
      <c r="K1322">
        <v>0</v>
      </c>
      <c r="L1322">
        <v>1.3391319390414871</v>
      </c>
      <c r="M1322">
        <v>25.54</v>
      </c>
      <c r="N1322">
        <v>12.82</v>
      </c>
    </row>
    <row r="1323" spans="1:14" x14ac:dyDescent="0.25">
      <c r="A1323" s="1" t="s">
        <v>1335</v>
      </c>
      <c r="B1323" t="str">
        <f>HYPERLINK("https://www.suredividend.com/sure-analysis-research-database/","Resources Connection Inc")</f>
        <v>Resources Connection Inc</v>
      </c>
      <c r="C1323" t="s">
        <v>1798</v>
      </c>
      <c r="D1323">
        <v>13.93</v>
      </c>
      <c r="E1323">
        <v>3.9401218076223002E-2</v>
      </c>
      <c r="F1323">
        <v>0</v>
      </c>
      <c r="G1323">
        <v>1.493197894539389E-2</v>
      </c>
      <c r="H1323">
        <v>0.54885896780179699</v>
      </c>
      <c r="I1323">
        <v>469.40992199999999</v>
      </c>
      <c r="J1323">
        <v>11.933341523540779</v>
      </c>
      <c r="K1323">
        <v>0.47726866765373649</v>
      </c>
      <c r="L1323">
        <v>0.84168262262767102</v>
      </c>
      <c r="M1323">
        <v>19.059999999999999</v>
      </c>
      <c r="N1323">
        <v>13</v>
      </c>
    </row>
    <row r="1324" spans="1:14" x14ac:dyDescent="0.25">
      <c r="A1324" s="1" t="s">
        <v>1336</v>
      </c>
      <c r="B1324" t="str">
        <f>HYPERLINK("https://www.suredividend.com/sure-analysis-research-database/","Sturm, Ruger &amp; Co., Inc.")</f>
        <v>Sturm, Ruger &amp; Co., Inc.</v>
      </c>
      <c r="C1324" t="s">
        <v>1798</v>
      </c>
      <c r="D1324">
        <v>45.14</v>
      </c>
      <c r="E1324">
        <v>3.2343899855481001E-2</v>
      </c>
      <c r="F1324">
        <v>-0.1219512195121952</v>
      </c>
      <c r="G1324">
        <v>4.4193295943856237E-2</v>
      </c>
      <c r="H1324">
        <v>1.4600036394764251</v>
      </c>
      <c r="I1324">
        <v>800.00186499999995</v>
      </c>
      <c r="J1324">
        <v>14.054846547435</v>
      </c>
      <c r="K1324">
        <v>0.45625113733638278</v>
      </c>
      <c r="L1324">
        <v>0.39393198627018311</v>
      </c>
      <c r="M1324">
        <v>60.12</v>
      </c>
      <c r="N1324">
        <v>45.01</v>
      </c>
    </row>
    <row r="1325" spans="1:14" x14ac:dyDescent="0.25">
      <c r="A1325" s="1" t="s">
        <v>1337</v>
      </c>
      <c r="B1325" t="str">
        <f>HYPERLINK("https://www.suredividend.com/sure-analysis-research-database/","Rigetti Computing Inc")</f>
        <v>Rigetti Computing Inc</v>
      </c>
      <c r="C1325" t="s">
        <v>1797</v>
      </c>
      <c r="D1325">
        <v>1.17</v>
      </c>
      <c r="E1325">
        <v>0</v>
      </c>
      <c r="F1325" t="s">
        <v>1797</v>
      </c>
      <c r="G1325" t="s">
        <v>1797</v>
      </c>
      <c r="H1325">
        <v>0</v>
      </c>
      <c r="I1325">
        <v>155.59829999999999</v>
      </c>
      <c r="J1325" t="s">
        <v>1797</v>
      </c>
      <c r="K1325">
        <v>0</v>
      </c>
      <c r="L1325">
        <v>2.9752096554436842</v>
      </c>
      <c r="M1325">
        <v>3.43</v>
      </c>
      <c r="N1325">
        <v>0.36009999999999998</v>
      </c>
    </row>
    <row r="1326" spans="1:14" x14ac:dyDescent="0.25">
      <c r="A1326" s="1" t="s">
        <v>1338</v>
      </c>
      <c r="B1326" t="str">
        <f>HYPERLINK("https://www.suredividend.com/sure-analysis-research-database/","Ryman Hospitality Properties Inc")</f>
        <v>Ryman Hospitality Properties Inc</v>
      </c>
      <c r="C1326" t="s">
        <v>1799</v>
      </c>
      <c r="D1326">
        <v>91.76</v>
      </c>
      <c r="E1326">
        <v>3.2286287486880998E-2</v>
      </c>
      <c r="F1326" t="s">
        <v>1797</v>
      </c>
      <c r="G1326" t="s">
        <v>1797</v>
      </c>
      <c r="H1326">
        <v>2.9625897397962642</v>
      </c>
      <c r="I1326">
        <v>5478.6673389999996</v>
      </c>
      <c r="J1326">
        <v>23.69737552123118</v>
      </c>
      <c r="K1326">
        <v>0.73880043386440508</v>
      </c>
      <c r="L1326">
        <v>1.0736471758341499</v>
      </c>
      <c r="M1326">
        <v>97.32</v>
      </c>
      <c r="N1326">
        <v>74.739999999999995</v>
      </c>
    </row>
    <row r="1327" spans="1:14" x14ac:dyDescent="0.25">
      <c r="A1327" s="1" t="s">
        <v>1339</v>
      </c>
      <c r="B1327" t="str">
        <f>HYPERLINK("https://www.suredividend.com/sure-analysis-research-database/","RCI Hospitality Holdings Inc")</f>
        <v>RCI Hospitality Holdings Inc</v>
      </c>
      <c r="C1327" t="s">
        <v>1801</v>
      </c>
      <c r="D1327">
        <v>56.42</v>
      </c>
      <c r="E1327">
        <v>4.0671555424720007E-3</v>
      </c>
      <c r="F1327">
        <v>0.2</v>
      </c>
      <c r="G1327">
        <v>0.1486983549970351</v>
      </c>
      <c r="H1327">
        <v>0.22946891570629499</v>
      </c>
      <c r="I1327">
        <v>531.46427000000006</v>
      </c>
      <c r="J1327">
        <v>14.109546013752089</v>
      </c>
      <c r="K1327">
        <v>5.6658991532418518E-2</v>
      </c>
      <c r="L1327">
        <v>0.85538703747425304</v>
      </c>
      <c r="M1327">
        <v>97.04</v>
      </c>
      <c r="N1327">
        <v>50.43</v>
      </c>
    </row>
    <row r="1328" spans="1:14" x14ac:dyDescent="0.25">
      <c r="A1328" s="1" t="s">
        <v>1340</v>
      </c>
      <c r="B1328" t="str">
        <f>HYPERLINK("https://www.suredividend.com/sure-analysis-research-database/","Lordstown Motors Corp.")</f>
        <v>Lordstown Motors Corp.</v>
      </c>
      <c r="C1328" t="s">
        <v>1797</v>
      </c>
      <c r="D1328">
        <v>2.2000000000000002</v>
      </c>
      <c r="E1328">
        <v>0</v>
      </c>
      <c r="F1328" t="s">
        <v>1797</v>
      </c>
      <c r="G1328" t="s">
        <v>1797</v>
      </c>
      <c r="H1328">
        <v>0</v>
      </c>
      <c r="I1328">
        <v>0</v>
      </c>
      <c r="J1328">
        <v>0</v>
      </c>
      <c r="K1328" t="s">
        <v>1797</v>
      </c>
    </row>
    <row r="1329" spans="1:14" x14ac:dyDescent="0.25">
      <c r="A1329" s="1" t="s">
        <v>1341</v>
      </c>
      <c r="B1329" t="str">
        <f>HYPERLINK("https://www.suredividend.com/sure-analysis-research-database/","Rigel Pharmaceuticals")</f>
        <v>Rigel Pharmaceuticals</v>
      </c>
      <c r="C1329" t="s">
        <v>1802</v>
      </c>
      <c r="D1329">
        <v>0.88109999999999999</v>
      </c>
      <c r="E1329">
        <v>0</v>
      </c>
      <c r="F1329" t="s">
        <v>1797</v>
      </c>
      <c r="G1329" t="s">
        <v>1797</v>
      </c>
      <c r="H1329">
        <v>0</v>
      </c>
      <c r="I1329">
        <v>153.632372</v>
      </c>
      <c r="J1329" t="s">
        <v>1797</v>
      </c>
      <c r="K1329">
        <v>0</v>
      </c>
      <c r="L1329">
        <v>0.9717093450355041</v>
      </c>
      <c r="M1329">
        <v>2.04</v>
      </c>
      <c r="N1329">
        <v>0.66790000000000005</v>
      </c>
    </row>
    <row r="1330" spans="1:14" x14ac:dyDescent="0.25">
      <c r="A1330" s="1" t="s">
        <v>1342</v>
      </c>
      <c r="B1330" t="str">
        <f>HYPERLINK("https://www.suredividend.com/sure-analysis-research-database/","B. Riley Financial Inc")</f>
        <v>B. Riley Financial Inc</v>
      </c>
      <c r="C1330" t="s">
        <v>1800</v>
      </c>
      <c r="D1330">
        <v>41.56</v>
      </c>
      <c r="E1330">
        <v>9.0355751146246013E-2</v>
      </c>
      <c r="F1330">
        <v>0</v>
      </c>
      <c r="G1330">
        <v>0.5848931924611136</v>
      </c>
      <c r="H1330">
        <v>3.7551850176380079</v>
      </c>
      <c r="I1330">
        <v>1270.5631350000001</v>
      </c>
      <c r="J1330">
        <v>27.682923398914959</v>
      </c>
      <c r="K1330">
        <v>2.3469906360237549</v>
      </c>
      <c r="L1330">
        <v>2.3889246055655211</v>
      </c>
      <c r="M1330">
        <v>58.45</v>
      </c>
      <c r="N1330">
        <v>22.64</v>
      </c>
    </row>
    <row r="1331" spans="1:14" x14ac:dyDescent="0.25">
      <c r="A1331" s="1" t="s">
        <v>1343</v>
      </c>
      <c r="B1331" t="str">
        <f>HYPERLINK("https://www.suredividend.com/sure-analysis-research-database/","Riot Platforms Inc")</f>
        <v>Riot Platforms Inc</v>
      </c>
      <c r="C1331" t="s">
        <v>1803</v>
      </c>
      <c r="D1331">
        <v>11.39</v>
      </c>
      <c r="E1331">
        <v>0</v>
      </c>
      <c r="F1331" t="s">
        <v>1797</v>
      </c>
      <c r="G1331" t="s">
        <v>1797</v>
      </c>
      <c r="H1331">
        <v>0</v>
      </c>
      <c r="I1331">
        <v>2262.983788</v>
      </c>
      <c r="J1331">
        <v>0</v>
      </c>
      <c r="K1331" t="s">
        <v>1797</v>
      </c>
      <c r="L1331">
        <v>2.781580911263176</v>
      </c>
      <c r="M1331">
        <v>20.65</v>
      </c>
      <c r="N1331">
        <v>3.25</v>
      </c>
    </row>
    <row r="1332" spans="1:14" x14ac:dyDescent="0.25">
      <c r="A1332" s="1" t="s">
        <v>1344</v>
      </c>
      <c r="B1332" t="str">
        <f>HYPERLINK("https://www.suredividend.com/sure-analysis-research-database/","Rocket Lab USA Inc")</f>
        <v>Rocket Lab USA Inc</v>
      </c>
      <c r="C1332" t="s">
        <v>1797</v>
      </c>
      <c r="D1332">
        <v>4.6100000000000003</v>
      </c>
      <c r="E1332">
        <v>0</v>
      </c>
      <c r="F1332" t="s">
        <v>1797</v>
      </c>
      <c r="G1332" t="s">
        <v>1797</v>
      </c>
      <c r="H1332">
        <v>0</v>
      </c>
      <c r="I1332">
        <v>2228.135691</v>
      </c>
      <c r="J1332" t="s">
        <v>1797</v>
      </c>
      <c r="K1332">
        <v>0</v>
      </c>
      <c r="L1332">
        <v>2.0620046944049228</v>
      </c>
      <c r="M1332">
        <v>8.0500000000000007</v>
      </c>
      <c r="N1332">
        <v>3.48</v>
      </c>
    </row>
    <row r="1333" spans="1:14" x14ac:dyDescent="0.25">
      <c r="A1333" s="1" t="s">
        <v>1345</v>
      </c>
      <c r="B1333" t="str">
        <f>HYPERLINK("https://www.suredividend.com/sure-analysis-research-database/","Relay Therapeutics Inc")</f>
        <v>Relay Therapeutics Inc</v>
      </c>
      <c r="C1333" t="s">
        <v>1797</v>
      </c>
      <c r="D1333">
        <v>7.52</v>
      </c>
      <c r="E1333">
        <v>0</v>
      </c>
      <c r="F1333" t="s">
        <v>1797</v>
      </c>
      <c r="G1333" t="s">
        <v>1797</v>
      </c>
      <c r="H1333">
        <v>0</v>
      </c>
      <c r="I1333">
        <v>918.44554400000004</v>
      </c>
      <c r="J1333" t="s">
        <v>1797</v>
      </c>
      <c r="K1333">
        <v>0</v>
      </c>
      <c r="L1333">
        <v>1.394895644957733</v>
      </c>
      <c r="M1333">
        <v>23.18</v>
      </c>
      <c r="N1333">
        <v>5.95</v>
      </c>
    </row>
    <row r="1334" spans="1:14" x14ac:dyDescent="0.25">
      <c r="A1334" s="1" t="s">
        <v>1346</v>
      </c>
      <c r="B1334" t="str">
        <f>HYPERLINK("https://www.suredividend.com/sure-analysis-research-database/","Radiant Logistics, Inc.")</f>
        <v>Radiant Logistics, Inc.</v>
      </c>
      <c r="C1334" t="s">
        <v>1798</v>
      </c>
      <c r="D1334">
        <v>6.14</v>
      </c>
      <c r="E1334">
        <v>0</v>
      </c>
      <c r="F1334" t="s">
        <v>1797</v>
      </c>
      <c r="G1334" t="s">
        <v>1797</v>
      </c>
      <c r="H1334">
        <v>0</v>
      </c>
      <c r="I1334">
        <v>290.968343</v>
      </c>
      <c r="J1334">
        <v>0</v>
      </c>
      <c r="K1334" t="s">
        <v>1797</v>
      </c>
      <c r="L1334">
        <v>0.88173703085741706</v>
      </c>
      <c r="M1334">
        <v>7.76</v>
      </c>
      <c r="N1334">
        <v>4.93</v>
      </c>
    </row>
    <row r="1335" spans="1:14" x14ac:dyDescent="0.25">
      <c r="A1335" s="1" t="s">
        <v>1347</v>
      </c>
      <c r="B1335" t="str">
        <f>HYPERLINK("https://www.suredividend.com/sure-analysis-RLI/","RLI Corp.")</f>
        <v>RLI Corp.</v>
      </c>
      <c r="C1335" t="s">
        <v>1800</v>
      </c>
      <c r="D1335">
        <v>135.12</v>
      </c>
      <c r="E1335">
        <v>7.9928952042628773E-3</v>
      </c>
      <c r="F1335">
        <v>3.8461538461538547E-2</v>
      </c>
      <c r="G1335">
        <v>3.2588266169875757E-2</v>
      </c>
      <c r="H1335">
        <v>1.0567320001874989</v>
      </c>
      <c r="I1335">
        <v>6164.954178</v>
      </c>
      <c r="J1335">
        <v>21.418510655553739</v>
      </c>
      <c r="K1335">
        <v>0.16934807695312479</v>
      </c>
      <c r="L1335">
        <v>0.45344613562920411</v>
      </c>
      <c r="M1335">
        <v>149.01</v>
      </c>
      <c r="N1335">
        <v>122.79</v>
      </c>
    </row>
    <row r="1336" spans="1:14" x14ac:dyDescent="0.25">
      <c r="A1336" s="1" t="s">
        <v>1348</v>
      </c>
      <c r="B1336" t="str">
        <f>HYPERLINK("https://www.suredividend.com/sure-analysis-research-database/","RLJ Lodging Trust")</f>
        <v>RLJ Lodging Trust</v>
      </c>
      <c r="C1336" t="s">
        <v>1799</v>
      </c>
      <c r="D1336">
        <v>10.35</v>
      </c>
      <c r="E1336">
        <v>2.9605194784727E-2</v>
      </c>
      <c r="F1336">
        <v>1</v>
      </c>
      <c r="G1336">
        <v>-0.2124154064688504</v>
      </c>
      <c r="H1336">
        <v>0.30641376602192899</v>
      </c>
      <c r="I1336">
        <v>1629.9137250000001</v>
      </c>
      <c r="J1336">
        <v>33.07991811678032</v>
      </c>
      <c r="K1336">
        <v>0.98115198854284025</v>
      </c>
      <c r="L1336">
        <v>1.216614485046863</v>
      </c>
      <c r="M1336">
        <v>12.58</v>
      </c>
      <c r="N1336">
        <v>9.0299999999999994</v>
      </c>
    </row>
    <row r="1337" spans="1:14" x14ac:dyDescent="0.25">
      <c r="A1337" s="1" t="s">
        <v>1349</v>
      </c>
      <c r="B1337" t="str">
        <f>HYPERLINK("https://www.suredividend.com/sure-analysis-research-database/","Relmada Therapeutics Inc")</f>
        <v>Relmada Therapeutics Inc</v>
      </c>
      <c r="C1337" t="s">
        <v>1802</v>
      </c>
      <c r="D1337">
        <v>3.16</v>
      </c>
      <c r="E1337">
        <v>0</v>
      </c>
      <c r="F1337" t="s">
        <v>1797</v>
      </c>
      <c r="G1337" t="s">
        <v>1797</v>
      </c>
      <c r="H1337">
        <v>0</v>
      </c>
      <c r="I1337">
        <v>95.113480999999993</v>
      </c>
      <c r="J1337">
        <v>0</v>
      </c>
      <c r="K1337" t="s">
        <v>1797</v>
      </c>
      <c r="L1337">
        <v>1.0259745801732849</v>
      </c>
      <c r="M1337">
        <v>6.74</v>
      </c>
      <c r="N1337">
        <v>1.81</v>
      </c>
    </row>
    <row r="1338" spans="1:14" x14ac:dyDescent="0.25">
      <c r="A1338" s="1" t="s">
        <v>1350</v>
      </c>
      <c r="B1338" t="str">
        <f>HYPERLINK("https://www.suredividend.com/sure-analysis-research-database/","Rallybio Corp")</f>
        <v>Rallybio Corp</v>
      </c>
      <c r="C1338" t="s">
        <v>1797</v>
      </c>
      <c r="D1338">
        <v>4.1399999999999997</v>
      </c>
      <c r="E1338">
        <v>0</v>
      </c>
      <c r="F1338" t="s">
        <v>1797</v>
      </c>
      <c r="G1338" t="s">
        <v>1797</v>
      </c>
      <c r="H1338">
        <v>0</v>
      </c>
      <c r="I1338">
        <v>156.495544</v>
      </c>
      <c r="J1338">
        <v>0</v>
      </c>
      <c r="K1338" t="s">
        <v>1797</v>
      </c>
      <c r="L1338">
        <v>0.57731741189805408</v>
      </c>
      <c r="M1338">
        <v>10.07</v>
      </c>
      <c r="N1338">
        <v>3.03</v>
      </c>
    </row>
    <row r="1339" spans="1:14" x14ac:dyDescent="0.25">
      <c r="A1339" s="1" t="s">
        <v>1351</v>
      </c>
      <c r="B1339" t="str">
        <f>HYPERLINK("https://www.suredividend.com/sure-analysis-research-database/","Regional Management Corp")</f>
        <v>Regional Management Corp</v>
      </c>
      <c r="C1339" t="s">
        <v>1800</v>
      </c>
      <c r="D1339">
        <v>23.5</v>
      </c>
      <c r="E1339">
        <v>5.0247636802077007E-2</v>
      </c>
      <c r="F1339" t="s">
        <v>1797</v>
      </c>
      <c r="G1339" t="s">
        <v>1797</v>
      </c>
      <c r="H1339">
        <v>1.1808194648488131</v>
      </c>
      <c r="I1339">
        <v>231.17373000000001</v>
      </c>
      <c r="J1339">
        <v>0</v>
      </c>
      <c r="K1339" t="s">
        <v>1797</v>
      </c>
      <c r="L1339">
        <v>1.04730038580339</v>
      </c>
      <c r="M1339">
        <v>37.159999999999997</v>
      </c>
      <c r="N1339">
        <v>20.91</v>
      </c>
    </row>
    <row r="1340" spans="1:14" x14ac:dyDescent="0.25">
      <c r="A1340" s="1" t="s">
        <v>1352</v>
      </c>
      <c r="B1340" t="str">
        <f>HYPERLINK("https://www.suredividend.com/sure-analysis-research-database/","RE/MAX Holdings Inc")</f>
        <v>RE/MAX Holdings Inc</v>
      </c>
      <c r="C1340" t="s">
        <v>1799</v>
      </c>
      <c r="D1340">
        <v>11.65</v>
      </c>
      <c r="E1340">
        <v>7.7527746735689004E-2</v>
      </c>
      <c r="F1340">
        <v>0</v>
      </c>
      <c r="G1340">
        <v>2.834672210021361E-2</v>
      </c>
      <c r="H1340">
        <v>0.90319824947077909</v>
      </c>
      <c r="I1340">
        <v>211.180307</v>
      </c>
      <c r="J1340">
        <v>1249.5876168639049</v>
      </c>
      <c r="K1340">
        <v>98.173722768562939</v>
      </c>
      <c r="L1340">
        <v>1.2907220542542459</v>
      </c>
      <c r="M1340">
        <v>23.39</v>
      </c>
      <c r="N1340">
        <v>10.08</v>
      </c>
    </row>
    <row r="1341" spans="1:14" x14ac:dyDescent="0.25">
      <c r="A1341" s="1" t="s">
        <v>1353</v>
      </c>
      <c r="B1341" t="str">
        <f>HYPERLINK("https://www.suredividend.com/sure-analysis-research-database/","RumbleON Inc")</f>
        <v>RumbleON Inc</v>
      </c>
      <c r="C1341" t="s">
        <v>1801</v>
      </c>
      <c r="D1341">
        <v>6.53</v>
      </c>
      <c r="E1341">
        <v>0</v>
      </c>
      <c r="F1341" t="s">
        <v>1797</v>
      </c>
      <c r="G1341" t="s">
        <v>1797</v>
      </c>
      <c r="H1341">
        <v>0</v>
      </c>
      <c r="I1341">
        <v>109.28210300000001</v>
      </c>
      <c r="J1341">
        <v>0</v>
      </c>
      <c r="K1341" t="s">
        <v>1797</v>
      </c>
      <c r="L1341">
        <v>1.7850439914499581</v>
      </c>
      <c r="M1341">
        <v>17.579999999999998</v>
      </c>
      <c r="N1341">
        <v>5.0999999999999996</v>
      </c>
    </row>
    <row r="1342" spans="1:14" x14ac:dyDescent="0.25">
      <c r="A1342" s="1" t="s">
        <v>1354</v>
      </c>
      <c r="B1342" t="str">
        <f>HYPERLINK("https://www.suredividend.com/sure-analysis-research-database/","Rambus Inc.")</f>
        <v>Rambus Inc.</v>
      </c>
      <c r="C1342" t="s">
        <v>1803</v>
      </c>
      <c r="D1342">
        <v>58.07</v>
      </c>
      <c r="E1342">
        <v>0</v>
      </c>
      <c r="F1342" t="s">
        <v>1797</v>
      </c>
      <c r="G1342" t="s">
        <v>1797</v>
      </c>
      <c r="H1342">
        <v>0</v>
      </c>
      <c r="I1342">
        <v>6335.4369999999999</v>
      </c>
      <c r="J1342">
        <v>33.512142354627642</v>
      </c>
      <c r="K1342">
        <v>0</v>
      </c>
      <c r="L1342">
        <v>1.3620983050812809</v>
      </c>
      <c r="M1342">
        <v>68.540000000000006</v>
      </c>
      <c r="N1342">
        <v>34.409999999999997</v>
      </c>
    </row>
    <row r="1343" spans="1:14" x14ac:dyDescent="0.25">
      <c r="A1343" s="1" t="s">
        <v>1355</v>
      </c>
      <c r="B1343" t="str">
        <f>HYPERLINK("https://www.suredividend.com/sure-analysis-research-database/","Rimini Street Inc.")</f>
        <v>Rimini Street Inc.</v>
      </c>
      <c r="C1343" t="s">
        <v>1803</v>
      </c>
      <c r="D1343">
        <v>2.82</v>
      </c>
      <c r="E1343">
        <v>0</v>
      </c>
      <c r="F1343" t="s">
        <v>1797</v>
      </c>
      <c r="G1343" t="s">
        <v>1797</v>
      </c>
      <c r="H1343">
        <v>0</v>
      </c>
      <c r="I1343">
        <v>252.07697999999999</v>
      </c>
      <c r="J1343">
        <v>22.04240818467996</v>
      </c>
      <c r="K1343">
        <v>0</v>
      </c>
      <c r="L1343">
        <v>1.3787935532707589</v>
      </c>
      <c r="M1343">
        <v>5.32</v>
      </c>
      <c r="N1343">
        <v>2.0099999999999998</v>
      </c>
    </row>
    <row r="1344" spans="1:14" x14ac:dyDescent="0.25">
      <c r="A1344" s="1" t="s">
        <v>1356</v>
      </c>
      <c r="B1344" t="str">
        <f>HYPERLINK("https://www.suredividend.com/sure-analysis-research-database/","RMR Group Inc (The)")</f>
        <v>RMR Group Inc (The)</v>
      </c>
      <c r="C1344" t="s">
        <v>1799</v>
      </c>
      <c r="D1344">
        <v>23.76</v>
      </c>
      <c r="E1344">
        <v>6.4076983669224E-2</v>
      </c>
      <c r="F1344">
        <v>0</v>
      </c>
      <c r="G1344">
        <v>2.7066087089351761E-2</v>
      </c>
      <c r="H1344">
        <v>1.5224691319807659</v>
      </c>
      <c r="I1344">
        <v>370.94537300000002</v>
      </c>
      <c r="J1344">
        <v>0</v>
      </c>
      <c r="K1344" t="s">
        <v>1797</v>
      </c>
      <c r="L1344">
        <v>0.76962252100782302</v>
      </c>
      <c r="M1344">
        <v>28.56</v>
      </c>
      <c r="N1344">
        <v>19.440000000000001</v>
      </c>
    </row>
    <row r="1345" spans="1:14" x14ac:dyDescent="0.25">
      <c r="A1345" s="1" t="s">
        <v>1357</v>
      </c>
      <c r="B1345" t="str">
        <f>HYPERLINK("https://www.suredividend.com/sure-analysis-research-database/","Avidity Biosciences Inc")</f>
        <v>Avidity Biosciences Inc</v>
      </c>
      <c r="C1345" t="s">
        <v>1797</v>
      </c>
      <c r="D1345">
        <v>5.47</v>
      </c>
      <c r="E1345">
        <v>0</v>
      </c>
      <c r="F1345" t="s">
        <v>1797</v>
      </c>
      <c r="G1345" t="s">
        <v>1797</v>
      </c>
      <c r="H1345">
        <v>0</v>
      </c>
      <c r="I1345">
        <v>405.30625199999997</v>
      </c>
      <c r="J1345" t="s">
        <v>1797</v>
      </c>
      <c r="K1345">
        <v>0</v>
      </c>
      <c r="L1345">
        <v>0.7306520857913481</v>
      </c>
      <c r="M1345">
        <v>25.74</v>
      </c>
      <c r="N1345">
        <v>4.83</v>
      </c>
    </row>
    <row r="1346" spans="1:14" x14ac:dyDescent="0.25">
      <c r="A1346" s="1" t="s">
        <v>1358</v>
      </c>
      <c r="B1346" t="str">
        <f>HYPERLINK("https://www.suredividend.com/sure-analysis-research-database/","Renasant Corp.")</f>
        <v>Renasant Corp.</v>
      </c>
      <c r="C1346" t="s">
        <v>1800</v>
      </c>
      <c r="D1346">
        <v>27.14</v>
      </c>
      <c r="E1346">
        <v>3.1920763382283002E-2</v>
      </c>
      <c r="F1346">
        <v>0</v>
      </c>
      <c r="G1346">
        <v>9.3474199095688881E-3</v>
      </c>
      <c r="H1346">
        <v>0.86632951819517001</v>
      </c>
      <c r="I1346">
        <v>1523.5544620000001</v>
      </c>
      <c r="J1346">
        <v>9.0923734323601728</v>
      </c>
      <c r="K1346">
        <v>0.29071460342119798</v>
      </c>
      <c r="L1346">
        <v>1.061966264358599</v>
      </c>
      <c r="M1346">
        <v>40.270000000000003</v>
      </c>
      <c r="N1346">
        <v>22.92</v>
      </c>
    </row>
    <row r="1347" spans="1:14" x14ac:dyDescent="0.25">
      <c r="A1347" s="1" t="s">
        <v>1359</v>
      </c>
      <c r="B1347" t="str">
        <f>HYPERLINK("https://www.suredividend.com/sure-analysis-research-database/","Construction Partners Inc")</f>
        <v>Construction Partners Inc</v>
      </c>
      <c r="C1347" t="s">
        <v>1798</v>
      </c>
      <c r="D1347">
        <v>39.76</v>
      </c>
      <c r="E1347">
        <v>0</v>
      </c>
      <c r="F1347" t="s">
        <v>1797</v>
      </c>
      <c r="G1347" t="s">
        <v>1797</v>
      </c>
      <c r="H1347">
        <v>0</v>
      </c>
      <c r="I1347">
        <v>1738.637606</v>
      </c>
      <c r="J1347">
        <v>55.7202065698811</v>
      </c>
      <c r="K1347">
        <v>0</v>
      </c>
      <c r="L1347">
        <v>1.25172719000276</v>
      </c>
      <c r="M1347">
        <v>40.76</v>
      </c>
      <c r="N1347">
        <v>24.12</v>
      </c>
    </row>
    <row r="1348" spans="1:14" x14ac:dyDescent="0.25">
      <c r="A1348" s="1" t="s">
        <v>1360</v>
      </c>
      <c r="B1348" t="str">
        <f>HYPERLINK("https://www.suredividend.com/sure-analysis-research-database/","Ranger Oil Corp")</f>
        <v>Ranger Oil Corp</v>
      </c>
      <c r="C1348" t="s">
        <v>1797</v>
      </c>
      <c r="D1348">
        <v>37.47</v>
      </c>
      <c r="E1348">
        <v>0</v>
      </c>
      <c r="F1348" t="s">
        <v>1797</v>
      </c>
      <c r="G1348" t="s">
        <v>1797</v>
      </c>
      <c r="H1348">
        <v>0.30000001192092801</v>
      </c>
      <c r="I1348">
        <v>0</v>
      </c>
      <c r="J1348">
        <v>0</v>
      </c>
      <c r="K1348">
        <v>2.1945867733791369E-2</v>
      </c>
    </row>
    <row r="1349" spans="1:14" x14ac:dyDescent="0.25">
      <c r="A1349" s="1" t="s">
        <v>1361</v>
      </c>
      <c r="B1349" t="str">
        <f>HYPERLINK("https://www.suredividend.com/sure-analysis-research-database/","Gibraltar Industries Inc.")</f>
        <v>Gibraltar Industries Inc.</v>
      </c>
      <c r="C1349" t="s">
        <v>1798</v>
      </c>
      <c r="D1349">
        <v>66.239999999999995</v>
      </c>
      <c r="E1349">
        <v>0</v>
      </c>
      <c r="F1349" t="s">
        <v>1797</v>
      </c>
      <c r="G1349" t="s">
        <v>1797</v>
      </c>
      <c r="H1349">
        <v>0</v>
      </c>
      <c r="I1349">
        <v>2015.26304</v>
      </c>
      <c r="J1349">
        <v>21.337501875972769</v>
      </c>
      <c r="K1349">
        <v>0</v>
      </c>
      <c r="L1349">
        <v>1.1377869066192821</v>
      </c>
      <c r="M1349">
        <v>77.099999999999994</v>
      </c>
      <c r="N1349">
        <v>44.69</v>
      </c>
    </row>
    <row r="1350" spans="1:14" x14ac:dyDescent="0.25">
      <c r="A1350" s="1" t="s">
        <v>1362</v>
      </c>
      <c r="B1350" t="str">
        <f>HYPERLINK("https://www.suredividend.com/sure-analysis-research-database/","Rogers Corp.")</f>
        <v>Rogers Corp.</v>
      </c>
      <c r="C1350" t="s">
        <v>1803</v>
      </c>
      <c r="D1350">
        <v>118.76</v>
      </c>
      <c r="E1350">
        <v>0</v>
      </c>
      <c r="F1350" t="s">
        <v>1797</v>
      </c>
      <c r="G1350" t="s">
        <v>1797</v>
      </c>
      <c r="H1350">
        <v>0</v>
      </c>
      <c r="I1350">
        <v>2210.8977960000002</v>
      </c>
      <c r="J1350">
        <v>21.95485488312049</v>
      </c>
      <c r="K1350">
        <v>0</v>
      </c>
      <c r="L1350">
        <v>0.83696753002694901</v>
      </c>
      <c r="M1350">
        <v>173.16</v>
      </c>
      <c r="N1350">
        <v>98.45</v>
      </c>
    </row>
    <row r="1351" spans="1:14" x14ac:dyDescent="0.25">
      <c r="A1351" s="1" t="s">
        <v>1363</v>
      </c>
      <c r="B1351" t="str">
        <f>HYPERLINK("https://www.suredividend.com/sure-analysis-research-database/","Retail Opportunity Investments Corp")</f>
        <v>Retail Opportunity Investments Corp</v>
      </c>
      <c r="C1351" t="s">
        <v>1799</v>
      </c>
      <c r="D1351">
        <v>12.81</v>
      </c>
      <c r="E1351">
        <v>4.5445226819482001E-2</v>
      </c>
      <c r="F1351" t="s">
        <v>1797</v>
      </c>
      <c r="G1351" t="s">
        <v>1797</v>
      </c>
      <c r="H1351">
        <v>0.58215335555757308</v>
      </c>
      <c r="I1351">
        <v>1614.0829940000001</v>
      </c>
      <c r="J1351">
        <v>44.521514700446843</v>
      </c>
      <c r="K1351">
        <v>2.1339932388474092</v>
      </c>
      <c r="L1351">
        <v>1.0234967562081549</v>
      </c>
      <c r="M1351">
        <v>15.48</v>
      </c>
      <c r="N1351">
        <v>10.99</v>
      </c>
    </row>
    <row r="1352" spans="1:14" x14ac:dyDescent="0.25">
      <c r="A1352" s="1" t="s">
        <v>1364</v>
      </c>
      <c r="B1352" t="str">
        <f>HYPERLINK("https://www.suredividend.com/sure-analysis-research-database/","Root Inc")</f>
        <v>Root Inc</v>
      </c>
      <c r="C1352" t="s">
        <v>1797</v>
      </c>
      <c r="D1352">
        <v>9.94</v>
      </c>
      <c r="E1352">
        <v>0</v>
      </c>
      <c r="F1352" t="s">
        <v>1797</v>
      </c>
      <c r="G1352" t="s">
        <v>1797</v>
      </c>
      <c r="H1352">
        <v>0</v>
      </c>
      <c r="I1352">
        <v>95.424000000000007</v>
      </c>
      <c r="J1352" t="s">
        <v>1797</v>
      </c>
      <c r="K1352">
        <v>0</v>
      </c>
      <c r="L1352">
        <v>2.5798521243354169</v>
      </c>
      <c r="M1352">
        <v>14.8</v>
      </c>
      <c r="N1352">
        <v>3.31</v>
      </c>
    </row>
    <row r="1353" spans="1:14" x14ac:dyDescent="0.25">
      <c r="A1353" s="1" t="s">
        <v>1365</v>
      </c>
      <c r="B1353" t="str">
        <f>HYPERLINK("https://www.suredividend.com/sure-analysis-research-database/","Rover Group Inc")</f>
        <v>Rover Group Inc</v>
      </c>
      <c r="C1353" t="s">
        <v>1797</v>
      </c>
      <c r="D1353">
        <v>6.51</v>
      </c>
      <c r="E1353">
        <v>0</v>
      </c>
      <c r="F1353" t="s">
        <v>1797</v>
      </c>
      <c r="G1353" t="s">
        <v>1797</v>
      </c>
      <c r="H1353">
        <v>0</v>
      </c>
      <c r="I1353">
        <v>1184.036372</v>
      </c>
      <c r="J1353" t="s">
        <v>1797</v>
      </c>
      <c r="K1353">
        <v>0</v>
      </c>
      <c r="L1353">
        <v>1.1343659514656339</v>
      </c>
      <c r="M1353">
        <v>7.12</v>
      </c>
      <c r="N1353">
        <v>3.38</v>
      </c>
    </row>
    <row r="1354" spans="1:14" x14ac:dyDescent="0.25">
      <c r="A1354" s="1" t="s">
        <v>1366</v>
      </c>
      <c r="B1354" t="str">
        <f>HYPERLINK("https://www.suredividend.com/sure-analysis-research-database/","Repay Holdings Corporation")</f>
        <v>Repay Holdings Corporation</v>
      </c>
      <c r="C1354" t="s">
        <v>1803</v>
      </c>
      <c r="D1354">
        <v>6.59</v>
      </c>
      <c r="E1354">
        <v>0</v>
      </c>
      <c r="F1354" t="s">
        <v>1797</v>
      </c>
      <c r="G1354" t="s">
        <v>1797</v>
      </c>
      <c r="H1354">
        <v>0</v>
      </c>
      <c r="I1354">
        <v>624.07870700000001</v>
      </c>
      <c r="J1354">
        <v>0</v>
      </c>
      <c r="K1354" t="s">
        <v>1797</v>
      </c>
      <c r="L1354">
        <v>2.9234498390109458</v>
      </c>
      <c r="M1354">
        <v>10.43</v>
      </c>
      <c r="N1354">
        <v>4.37</v>
      </c>
    </row>
    <row r="1355" spans="1:14" x14ac:dyDescent="0.25">
      <c r="A1355" s="1" t="s">
        <v>1367</v>
      </c>
      <c r="B1355" t="str">
        <f>HYPERLINK("https://www.suredividend.com/sure-analysis-research-database/","Rapid7 Inc")</f>
        <v>Rapid7 Inc</v>
      </c>
      <c r="C1355" t="s">
        <v>1803</v>
      </c>
      <c r="D1355">
        <v>51.35</v>
      </c>
      <c r="E1355">
        <v>0</v>
      </c>
      <c r="F1355" t="s">
        <v>1797</v>
      </c>
      <c r="G1355" t="s">
        <v>1797</v>
      </c>
      <c r="H1355">
        <v>0</v>
      </c>
      <c r="I1355">
        <v>3132.35</v>
      </c>
      <c r="J1355" t="s">
        <v>1797</v>
      </c>
      <c r="K1355">
        <v>0</v>
      </c>
      <c r="L1355">
        <v>1.935871003908195</v>
      </c>
      <c r="M1355">
        <v>55.61</v>
      </c>
      <c r="N1355">
        <v>26.49</v>
      </c>
    </row>
    <row r="1356" spans="1:14" x14ac:dyDescent="0.25">
      <c r="A1356" s="1" t="s">
        <v>1368</v>
      </c>
      <c r="B1356" t="str">
        <f>HYPERLINK("https://www.suredividend.com/sure-analysis-RPT/","RPT Realty")</f>
        <v>RPT Realty</v>
      </c>
      <c r="C1356" t="s">
        <v>1799</v>
      </c>
      <c r="D1356">
        <v>11.29</v>
      </c>
      <c r="E1356">
        <v>4.9601417183348102E-2</v>
      </c>
      <c r="F1356" t="s">
        <v>1797</v>
      </c>
      <c r="G1356" t="s">
        <v>1797</v>
      </c>
      <c r="H1356">
        <v>0.53941751290744999</v>
      </c>
      <c r="I1356">
        <v>979.60970399999997</v>
      </c>
      <c r="J1356">
        <v>21.199084698117289</v>
      </c>
      <c r="K1356">
        <v>1.001331934114442</v>
      </c>
      <c r="L1356">
        <v>1.133718085768429</v>
      </c>
      <c r="M1356">
        <v>11.53</v>
      </c>
      <c r="N1356">
        <v>8.4</v>
      </c>
    </row>
    <row r="1357" spans="1:14" x14ac:dyDescent="0.25">
      <c r="A1357" s="1" t="s">
        <v>1369</v>
      </c>
      <c r="B1357" t="str">
        <f>HYPERLINK("https://www.suredividend.com/sure-analysis-research-database/","Red River Bancshares Inc")</f>
        <v>Red River Bancshares Inc</v>
      </c>
      <c r="C1357" t="s">
        <v>1800</v>
      </c>
      <c r="D1357">
        <v>47.91</v>
      </c>
      <c r="E1357">
        <v>6.4422412689950003E-3</v>
      </c>
      <c r="F1357" t="s">
        <v>1797</v>
      </c>
      <c r="G1357" t="s">
        <v>1797</v>
      </c>
      <c r="H1357">
        <v>0.30864777919758202</v>
      </c>
      <c r="I1357">
        <v>343.756933</v>
      </c>
      <c r="J1357">
        <v>0</v>
      </c>
      <c r="K1357" t="s">
        <v>1797</v>
      </c>
      <c r="L1357">
        <v>0.651115965190048</v>
      </c>
      <c r="M1357">
        <v>58.44</v>
      </c>
      <c r="N1357">
        <v>43.22</v>
      </c>
    </row>
    <row r="1358" spans="1:14" x14ac:dyDescent="0.25">
      <c r="A1358" s="1" t="s">
        <v>1370</v>
      </c>
      <c r="B1358" t="str">
        <f>HYPERLINK("https://www.suredividend.com/sure-analysis-research-database/","Red Rock Resorts Inc")</f>
        <v>Red Rock Resorts Inc</v>
      </c>
      <c r="C1358" t="s">
        <v>1801</v>
      </c>
      <c r="D1358">
        <v>42.18</v>
      </c>
      <c r="E1358">
        <v>2.3352486625802998E-2</v>
      </c>
      <c r="F1358" t="s">
        <v>1797</v>
      </c>
      <c r="G1358" t="s">
        <v>1797</v>
      </c>
      <c r="H1358">
        <v>0.9850078858763931</v>
      </c>
      <c r="I1358">
        <v>2462.9257579999999</v>
      </c>
      <c r="J1358">
        <v>10.919547411417319</v>
      </c>
      <c r="K1358">
        <v>0.49747873024060257</v>
      </c>
      <c r="L1358">
        <v>1.056266584464254</v>
      </c>
      <c r="M1358">
        <v>50.77</v>
      </c>
      <c r="N1358">
        <v>37.39</v>
      </c>
    </row>
    <row r="1359" spans="1:14" x14ac:dyDescent="0.25">
      <c r="A1359" s="1" t="s">
        <v>1371</v>
      </c>
      <c r="B1359" t="str">
        <f>HYPERLINK("https://www.suredividend.com/sure-analysis-research-database/","Rush Street Interactive Inc")</f>
        <v>Rush Street Interactive Inc</v>
      </c>
      <c r="C1359" t="s">
        <v>1797</v>
      </c>
      <c r="D1359">
        <v>3.8</v>
      </c>
      <c r="E1359">
        <v>0</v>
      </c>
      <c r="F1359" t="s">
        <v>1797</v>
      </c>
      <c r="G1359" t="s">
        <v>1797</v>
      </c>
      <c r="H1359">
        <v>0</v>
      </c>
      <c r="I1359">
        <v>262.61577299999999</v>
      </c>
      <c r="J1359" t="s">
        <v>1797</v>
      </c>
      <c r="K1359">
        <v>0</v>
      </c>
      <c r="L1359">
        <v>1.916465533052186</v>
      </c>
      <c r="M1359">
        <v>5.48</v>
      </c>
      <c r="N1359">
        <v>2.77</v>
      </c>
    </row>
    <row r="1360" spans="1:14" x14ac:dyDescent="0.25">
      <c r="A1360" s="1" t="s">
        <v>1372</v>
      </c>
      <c r="B1360" t="str">
        <f>HYPERLINK("https://www.suredividend.com/sure-analysis-research-database/","Reservoir Media Inc")</f>
        <v>Reservoir Media Inc</v>
      </c>
      <c r="C1360" t="s">
        <v>1797</v>
      </c>
      <c r="D1360">
        <v>5.95</v>
      </c>
      <c r="E1360">
        <v>0</v>
      </c>
      <c r="F1360" t="s">
        <v>1797</v>
      </c>
      <c r="G1360" t="s">
        <v>1797</v>
      </c>
      <c r="H1360">
        <v>0</v>
      </c>
      <c r="I1360">
        <v>384.99738600000001</v>
      </c>
      <c r="J1360">
        <v>140.48461531584621</v>
      </c>
      <c r="K1360">
        <v>0</v>
      </c>
      <c r="L1360">
        <v>0.90687121551750605</v>
      </c>
      <c r="M1360">
        <v>7.77</v>
      </c>
      <c r="N1360">
        <v>5.19</v>
      </c>
    </row>
    <row r="1361" spans="1:14" x14ac:dyDescent="0.25">
      <c r="A1361" s="1" t="s">
        <v>1373</v>
      </c>
      <c r="B1361" t="str">
        <f>HYPERLINK("https://www.suredividend.com/sure-analysis-RTL/","Necessity Retail REIT Inc (The)")</f>
        <v>Necessity Retail REIT Inc (The)</v>
      </c>
      <c r="D1361">
        <v>7.61</v>
      </c>
      <c r="E1361">
        <v>0.11169513797634691</v>
      </c>
      <c r="F1361" t="s">
        <v>1797</v>
      </c>
      <c r="G1361" t="s">
        <v>1797</v>
      </c>
      <c r="H1361">
        <v>0.85000002384185702</v>
      </c>
      <c r="I1361">
        <v>0</v>
      </c>
      <c r="J1361">
        <v>0</v>
      </c>
      <c r="K1361" t="s">
        <v>1797</v>
      </c>
    </row>
    <row r="1362" spans="1:14" x14ac:dyDescent="0.25">
      <c r="A1362" s="1" t="s">
        <v>1374</v>
      </c>
      <c r="B1362" t="str">
        <f>HYPERLINK("https://www.suredividend.com/sure-analysis-research-database/","Rush Enterprises Inc")</f>
        <v>Rush Enterprises Inc</v>
      </c>
      <c r="C1362" t="s">
        <v>1801</v>
      </c>
      <c r="D1362">
        <v>38.08</v>
      </c>
      <c r="E1362">
        <v>1.5374064802149E-2</v>
      </c>
      <c r="F1362">
        <v>-0.19047619047619041</v>
      </c>
      <c r="G1362">
        <v>7.2145025900850923E-2</v>
      </c>
      <c r="H1362">
        <v>0.58544438766585605</v>
      </c>
      <c r="I1362">
        <v>2107.6053999999999</v>
      </c>
      <c r="J1362">
        <v>5.5820255836003909</v>
      </c>
      <c r="K1362">
        <v>8.7641375399080249E-2</v>
      </c>
      <c r="L1362">
        <v>0.88916562323927906</v>
      </c>
      <c r="M1362">
        <v>46.11</v>
      </c>
      <c r="N1362">
        <v>31.37</v>
      </c>
    </row>
    <row r="1363" spans="1:14" x14ac:dyDescent="0.25">
      <c r="A1363" s="1" t="s">
        <v>1375</v>
      </c>
      <c r="B1363" t="str">
        <f>HYPERLINK("https://www.suredividend.com/sure-analysis-research-database/","Rush Enterprises Inc")</f>
        <v>Rush Enterprises Inc</v>
      </c>
      <c r="C1363" t="s">
        <v>1801</v>
      </c>
      <c r="D1363">
        <v>42.82</v>
      </c>
      <c r="E1363">
        <v>1.3680353878757E-2</v>
      </c>
      <c r="F1363">
        <v>-0.19047619047619041</v>
      </c>
      <c r="G1363">
        <v>7.2145025900850923E-2</v>
      </c>
      <c r="H1363">
        <v>0.58579275308838707</v>
      </c>
      <c r="I1363">
        <v>2107.6053999999999</v>
      </c>
      <c r="J1363">
        <v>5.5820255836003909</v>
      </c>
      <c r="K1363">
        <v>8.7693525911435199E-2</v>
      </c>
      <c r="L1363">
        <v>0.94251786658802905</v>
      </c>
      <c r="M1363">
        <v>49.86</v>
      </c>
      <c r="N1363">
        <v>32.58</v>
      </c>
    </row>
    <row r="1364" spans="1:14" x14ac:dyDescent="0.25">
      <c r="A1364" s="1" t="s">
        <v>1376</v>
      </c>
      <c r="B1364" t="str">
        <f>HYPERLINK("https://www.suredividend.com/sure-analysis-research-database/","Revolve Group Inc")</f>
        <v>Revolve Group Inc</v>
      </c>
      <c r="C1364" t="s">
        <v>1801</v>
      </c>
      <c r="D1364">
        <v>13.35</v>
      </c>
      <c r="E1364">
        <v>0</v>
      </c>
      <c r="F1364" t="s">
        <v>1797</v>
      </c>
      <c r="G1364" t="s">
        <v>1797</v>
      </c>
      <c r="H1364">
        <v>0</v>
      </c>
      <c r="I1364">
        <v>528.08214499999997</v>
      </c>
      <c r="J1364">
        <v>16.238189024015249</v>
      </c>
      <c r="K1364">
        <v>0</v>
      </c>
      <c r="L1364">
        <v>2.0923845637845919</v>
      </c>
      <c r="M1364">
        <v>32.590000000000003</v>
      </c>
      <c r="N1364">
        <v>12.25</v>
      </c>
    </row>
    <row r="1365" spans="1:14" x14ac:dyDescent="0.25">
      <c r="A1365" s="1" t="s">
        <v>1377</v>
      </c>
      <c r="B1365" t="str">
        <f>HYPERLINK("https://www.suredividend.com/sure-analysis-research-database/","Revolution Medicines Inc")</f>
        <v>Revolution Medicines Inc</v>
      </c>
      <c r="C1365" t="s">
        <v>1802</v>
      </c>
      <c r="D1365">
        <v>22.16</v>
      </c>
      <c r="E1365">
        <v>0</v>
      </c>
      <c r="F1365" t="s">
        <v>1797</v>
      </c>
      <c r="G1365" t="s">
        <v>1797</v>
      </c>
      <c r="H1365">
        <v>0</v>
      </c>
      <c r="I1365">
        <v>2419.2049179999999</v>
      </c>
      <c r="J1365" t="s">
        <v>1797</v>
      </c>
      <c r="K1365">
        <v>0</v>
      </c>
      <c r="L1365">
        <v>1.4368441998954311</v>
      </c>
      <c r="M1365">
        <v>35.6</v>
      </c>
      <c r="N1365">
        <v>15.44</v>
      </c>
    </row>
    <row r="1366" spans="1:14" x14ac:dyDescent="0.25">
      <c r="A1366" s="1" t="s">
        <v>1378</v>
      </c>
      <c r="B1366" t="str">
        <f>HYPERLINK("https://www.suredividend.com/sure-analysis-research-database/","Revance Therapeutics Inc")</f>
        <v>Revance Therapeutics Inc</v>
      </c>
      <c r="C1366" t="s">
        <v>1802</v>
      </c>
      <c r="D1366">
        <v>9.23</v>
      </c>
      <c r="E1366">
        <v>0</v>
      </c>
      <c r="F1366" t="s">
        <v>1797</v>
      </c>
      <c r="G1366" t="s">
        <v>1797</v>
      </c>
      <c r="H1366">
        <v>0</v>
      </c>
      <c r="I1366">
        <v>811.827945</v>
      </c>
      <c r="J1366">
        <v>0</v>
      </c>
      <c r="K1366" t="s">
        <v>1797</v>
      </c>
      <c r="L1366">
        <v>1.3666020857779539</v>
      </c>
      <c r="M1366">
        <v>37.979999999999997</v>
      </c>
      <c r="N1366">
        <v>7.51</v>
      </c>
    </row>
    <row r="1367" spans="1:14" x14ac:dyDescent="0.25">
      <c r="A1367" s="1" t="s">
        <v>1379</v>
      </c>
      <c r="B1367" t="str">
        <f>HYPERLINK("https://www.suredividend.com/sure-analysis-research-database/","Redwood Trust Inc.")</f>
        <v>Redwood Trust Inc.</v>
      </c>
      <c r="C1367" t="s">
        <v>1799</v>
      </c>
      <c r="D1367">
        <v>6.93</v>
      </c>
      <c r="E1367">
        <v>0.107931795654583</v>
      </c>
      <c r="F1367">
        <v>-0.30434782608695649</v>
      </c>
      <c r="G1367">
        <v>-0.1181397937782795</v>
      </c>
      <c r="H1367">
        <v>0.74796734388626607</v>
      </c>
      <c r="I1367">
        <v>791.64607599999999</v>
      </c>
      <c r="J1367" t="s">
        <v>1797</v>
      </c>
      <c r="K1367" t="s">
        <v>1797</v>
      </c>
      <c r="L1367">
        <v>1.1870399142524051</v>
      </c>
      <c r="M1367">
        <v>8.1199999999999992</v>
      </c>
      <c r="N1367">
        <v>5.22</v>
      </c>
    </row>
    <row r="1368" spans="1:14" x14ac:dyDescent="0.25">
      <c r="A1368" s="1" t="s">
        <v>1380</v>
      </c>
      <c r="B1368" t="str">
        <f>HYPERLINK("https://www.suredividend.com/sure-analysis-research-database/","Prometheus Biosciences Inc")</f>
        <v>Prometheus Biosciences Inc</v>
      </c>
      <c r="C1368" t="s">
        <v>1797</v>
      </c>
      <c r="D1368">
        <v>199.92</v>
      </c>
      <c r="E1368">
        <v>0</v>
      </c>
      <c r="F1368" t="s">
        <v>1797</v>
      </c>
      <c r="G1368" t="s">
        <v>1797</v>
      </c>
      <c r="H1368">
        <v>0</v>
      </c>
      <c r="I1368">
        <v>0</v>
      </c>
      <c r="J1368">
        <v>0</v>
      </c>
      <c r="K1368" t="s">
        <v>1797</v>
      </c>
    </row>
    <row r="1369" spans="1:14" x14ac:dyDescent="0.25">
      <c r="A1369" s="1" t="s">
        <v>1381</v>
      </c>
      <c r="B1369" t="str">
        <f>HYPERLINK("https://www.suredividend.com/sure-analysis-research-database/","Recursion Pharmaceuticals Inc")</f>
        <v>Recursion Pharmaceuticals Inc</v>
      </c>
      <c r="C1369" t="s">
        <v>1797</v>
      </c>
      <c r="D1369">
        <v>5.91</v>
      </c>
      <c r="E1369">
        <v>0</v>
      </c>
      <c r="F1369" t="s">
        <v>1797</v>
      </c>
      <c r="G1369" t="s">
        <v>1797</v>
      </c>
      <c r="H1369">
        <v>0</v>
      </c>
      <c r="I1369">
        <v>1205.866542</v>
      </c>
      <c r="J1369" t="s">
        <v>1797</v>
      </c>
      <c r="K1369">
        <v>0</v>
      </c>
      <c r="L1369">
        <v>1.942170767760931</v>
      </c>
      <c r="M1369">
        <v>16.75</v>
      </c>
      <c r="N1369">
        <v>4.54</v>
      </c>
    </row>
    <row r="1370" spans="1:14" x14ac:dyDescent="0.25">
      <c r="A1370" s="1" t="s">
        <v>1382</v>
      </c>
      <c r="B1370" t="str">
        <f>HYPERLINK("https://www.suredividend.com/sure-analysis-research-database/","RxSight Inc")</f>
        <v>RxSight Inc</v>
      </c>
      <c r="C1370" t="s">
        <v>1797</v>
      </c>
      <c r="D1370">
        <v>24.17</v>
      </c>
      <c r="E1370">
        <v>0</v>
      </c>
      <c r="F1370" t="s">
        <v>1797</v>
      </c>
      <c r="G1370" t="s">
        <v>1797</v>
      </c>
      <c r="H1370">
        <v>0</v>
      </c>
      <c r="I1370">
        <v>861.50747999999999</v>
      </c>
      <c r="J1370">
        <v>0</v>
      </c>
      <c r="K1370" t="s">
        <v>1797</v>
      </c>
      <c r="L1370">
        <v>1.1722234742667299</v>
      </c>
      <c r="M1370">
        <v>33.770000000000003</v>
      </c>
      <c r="N1370">
        <v>10.29</v>
      </c>
    </row>
    <row r="1371" spans="1:14" x14ac:dyDescent="0.25">
      <c r="A1371" s="1" t="s">
        <v>1383</v>
      </c>
      <c r="B1371" t="str">
        <f>HYPERLINK("https://www.suredividend.com/sure-analysis-research-database/","Rackspace Technology Inc")</f>
        <v>Rackspace Technology Inc</v>
      </c>
      <c r="C1371" t="s">
        <v>1797</v>
      </c>
      <c r="D1371">
        <v>1.41</v>
      </c>
      <c r="E1371">
        <v>0</v>
      </c>
      <c r="F1371" t="s">
        <v>1797</v>
      </c>
      <c r="G1371" t="s">
        <v>1797</v>
      </c>
      <c r="H1371">
        <v>0</v>
      </c>
      <c r="I1371">
        <v>304.40686599999998</v>
      </c>
      <c r="J1371" t="s">
        <v>1797</v>
      </c>
      <c r="K1371">
        <v>0</v>
      </c>
      <c r="L1371">
        <v>3.2180044149715581</v>
      </c>
      <c r="M1371">
        <v>6.07</v>
      </c>
      <c r="N1371">
        <v>1.05</v>
      </c>
    </row>
    <row r="1372" spans="1:14" x14ac:dyDescent="0.25">
      <c r="A1372" s="1" t="s">
        <v>1384</v>
      </c>
      <c r="B1372" t="str">
        <f>HYPERLINK("https://www.suredividend.com/sure-analysis-research-database/","Rayonier Advanced Materials Inc")</f>
        <v>Rayonier Advanced Materials Inc</v>
      </c>
      <c r="C1372" t="s">
        <v>1808</v>
      </c>
      <c r="D1372">
        <v>2.92</v>
      </c>
      <c r="E1372">
        <v>0</v>
      </c>
      <c r="F1372" t="s">
        <v>1797</v>
      </c>
      <c r="G1372" t="s">
        <v>1797</v>
      </c>
      <c r="H1372">
        <v>0</v>
      </c>
      <c r="I1372">
        <v>190.80278100000001</v>
      </c>
      <c r="J1372">
        <v>10.5672784980062</v>
      </c>
      <c r="K1372">
        <v>0</v>
      </c>
      <c r="L1372">
        <v>1.7852744376517129</v>
      </c>
      <c r="M1372">
        <v>9.84</v>
      </c>
      <c r="N1372">
        <v>2.66</v>
      </c>
    </row>
    <row r="1373" spans="1:14" x14ac:dyDescent="0.25">
      <c r="A1373" s="1" t="s">
        <v>1385</v>
      </c>
      <c r="B1373" t="str">
        <f>HYPERLINK("https://www.suredividend.com/sure-analysis-research-database/","Ryerson Holding Corp.")</f>
        <v>Ryerson Holding Corp.</v>
      </c>
      <c r="C1373" t="s">
        <v>1798</v>
      </c>
      <c r="D1373">
        <v>28.98</v>
      </c>
      <c r="E1373">
        <v>2.3707072135380002E-2</v>
      </c>
      <c r="F1373" t="s">
        <v>1797</v>
      </c>
      <c r="G1373" t="s">
        <v>1797</v>
      </c>
      <c r="H1373">
        <v>0.68703095048331908</v>
      </c>
      <c r="I1373">
        <v>996.91200000000003</v>
      </c>
      <c r="J1373">
        <v>10.406179540709809</v>
      </c>
      <c r="K1373">
        <v>0.2602389963951966</v>
      </c>
      <c r="L1373">
        <v>1.219073968469859</v>
      </c>
      <c r="M1373">
        <v>44.43</v>
      </c>
      <c r="N1373">
        <v>24.46</v>
      </c>
    </row>
    <row r="1374" spans="1:14" x14ac:dyDescent="0.25">
      <c r="A1374" s="1" t="s">
        <v>1386</v>
      </c>
      <c r="B1374" t="str">
        <f>HYPERLINK("https://www.suredividend.com/sure-analysis-research-database/","Sabre Corp")</f>
        <v>Sabre Corp</v>
      </c>
      <c r="C1374" t="s">
        <v>1803</v>
      </c>
      <c r="D1374">
        <v>4.13</v>
      </c>
      <c r="E1374">
        <v>0</v>
      </c>
      <c r="F1374" t="s">
        <v>1797</v>
      </c>
      <c r="G1374" t="s">
        <v>1797</v>
      </c>
      <c r="H1374">
        <v>0</v>
      </c>
      <c r="I1374">
        <v>1372.529702</v>
      </c>
      <c r="J1374" t="s">
        <v>1797</v>
      </c>
      <c r="K1374">
        <v>0</v>
      </c>
      <c r="L1374">
        <v>1.9513465843661231</v>
      </c>
      <c r="M1374">
        <v>7.92</v>
      </c>
      <c r="N1374">
        <v>2.99</v>
      </c>
    </row>
    <row r="1375" spans="1:14" x14ac:dyDescent="0.25">
      <c r="A1375" s="1" t="s">
        <v>1387</v>
      </c>
      <c r="B1375" t="str">
        <f>HYPERLINK("https://www.suredividend.com/sure-analysis-SAFE/","Safehold Inc.")</f>
        <v>Safehold Inc.</v>
      </c>
      <c r="C1375" t="s">
        <v>1799</v>
      </c>
      <c r="D1375">
        <v>17.79</v>
      </c>
      <c r="E1375">
        <v>3.9910061832490157E-2</v>
      </c>
      <c r="F1375">
        <v>0</v>
      </c>
      <c r="G1375">
        <v>3.3656884345193427E-2</v>
      </c>
      <c r="H1375">
        <v>0.52921770620393904</v>
      </c>
      <c r="I1375">
        <v>1264.2709</v>
      </c>
      <c r="J1375" t="s">
        <v>1797</v>
      </c>
      <c r="K1375" t="s">
        <v>1797</v>
      </c>
      <c r="L1375">
        <v>3.3520189912435638</v>
      </c>
      <c r="M1375">
        <v>29.75</v>
      </c>
      <c r="N1375">
        <v>6.55</v>
      </c>
    </row>
    <row r="1376" spans="1:14" x14ac:dyDescent="0.25">
      <c r="A1376" s="1" t="s">
        <v>1388</v>
      </c>
      <c r="B1376" t="str">
        <f>HYPERLINK("https://www.suredividend.com/sure-analysis-research-database/","Safety Insurance Group, Inc.")</f>
        <v>Safety Insurance Group, Inc.</v>
      </c>
      <c r="C1376" t="s">
        <v>1800</v>
      </c>
      <c r="D1376">
        <v>77.98</v>
      </c>
      <c r="E1376">
        <v>4.4609328353149007E-2</v>
      </c>
      <c r="F1376">
        <v>0</v>
      </c>
      <c r="G1376">
        <v>2.383625553960966E-2</v>
      </c>
      <c r="H1376">
        <v>3.478635424978584</v>
      </c>
      <c r="I1376">
        <v>1153.472908</v>
      </c>
      <c r="J1376">
        <v>32.700371601179327</v>
      </c>
      <c r="K1376">
        <v>1.44943142707441</v>
      </c>
      <c r="L1376">
        <v>0.43148484276607701</v>
      </c>
      <c r="M1376">
        <v>86.52</v>
      </c>
      <c r="N1376">
        <v>64.31</v>
      </c>
    </row>
    <row r="1377" spans="1:14" x14ac:dyDescent="0.25">
      <c r="A1377" s="1" t="s">
        <v>1389</v>
      </c>
      <c r="B1377" t="str">
        <f>HYPERLINK("https://www.suredividend.com/sure-analysis-research-database/","Sage Therapeutics Inc")</f>
        <v>Sage Therapeutics Inc</v>
      </c>
      <c r="C1377" t="s">
        <v>1802</v>
      </c>
      <c r="D1377">
        <v>21.29</v>
      </c>
      <c r="E1377">
        <v>0</v>
      </c>
      <c r="F1377" t="s">
        <v>1797</v>
      </c>
      <c r="G1377" t="s">
        <v>1797</v>
      </c>
      <c r="H1377">
        <v>0</v>
      </c>
      <c r="I1377">
        <v>1274.9291459999999</v>
      </c>
      <c r="J1377" t="s">
        <v>1797</v>
      </c>
      <c r="K1377">
        <v>0</v>
      </c>
      <c r="L1377">
        <v>0.84584398681531403</v>
      </c>
      <c r="M1377">
        <v>59.99</v>
      </c>
      <c r="N1377">
        <v>16.52</v>
      </c>
    </row>
    <row r="1378" spans="1:14" x14ac:dyDescent="0.25">
      <c r="A1378" s="1" t="s">
        <v>1390</v>
      </c>
      <c r="B1378" t="str">
        <f>HYPERLINK("https://www.suredividend.com/sure-analysis-research-database/","Sonic Automotive, Inc.")</f>
        <v>Sonic Automotive, Inc.</v>
      </c>
      <c r="C1378" t="s">
        <v>1801</v>
      </c>
      <c r="D1378">
        <v>52.96</v>
      </c>
      <c r="E1378">
        <v>2.1342462142621001E-2</v>
      </c>
      <c r="F1378">
        <v>0.15999999999999989</v>
      </c>
      <c r="G1378">
        <v>0.37040630950593201</v>
      </c>
      <c r="H1378">
        <v>1.130296795073255</v>
      </c>
      <c r="I1378">
        <v>1157.561496</v>
      </c>
      <c r="J1378" t="s">
        <v>1797</v>
      </c>
      <c r="K1378" t="s">
        <v>1797</v>
      </c>
      <c r="L1378">
        <v>0.93175927127181912</v>
      </c>
      <c r="M1378">
        <v>61.2</v>
      </c>
      <c r="N1378">
        <v>38.56</v>
      </c>
    </row>
    <row r="1379" spans="1:14" x14ac:dyDescent="0.25">
      <c r="A1379" s="1" t="s">
        <v>1391</v>
      </c>
      <c r="B1379" t="str">
        <f>HYPERLINK("https://www.suredividend.com/sure-analysis-research-database/","Saia Inc.")</f>
        <v>Saia Inc.</v>
      </c>
      <c r="C1379" t="s">
        <v>1798</v>
      </c>
      <c r="D1379">
        <v>388.03</v>
      </c>
      <c r="E1379">
        <v>0</v>
      </c>
      <c r="F1379" t="s">
        <v>1797</v>
      </c>
      <c r="G1379" t="s">
        <v>1797</v>
      </c>
      <c r="H1379">
        <v>0</v>
      </c>
      <c r="I1379">
        <v>10301.395994</v>
      </c>
      <c r="J1379">
        <v>30.614179856548908</v>
      </c>
      <c r="K1379">
        <v>0</v>
      </c>
      <c r="L1379">
        <v>1.5912655470475141</v>
      </c>
      <c r="M1379">
        <v>443.85</v>
      </c>
      <c r="N1379">
        <v>204.02</v>
      </c>
    </row>
    <row r="1380" spans="1:14" x14ac:dyDescent="0.25">
      <c r="A1380" s="1" t="s">
        <v>1392</v>
      </c>
      <c r="B1380" t="str">
        <f>HYPERLINK("https://www.suredividend.com/sure-analysis-research-database/","Silvercrest Asset Management Group Inc")</f>
        <v>Silvercrest Asset Management Group Inc</v>
      </c>
      <c r="C1380" t="s">
        <v>1800</v>
      </c>
      <c r="D1380">
        <v>17.739999999999998</v>
      </c>
      <c r="E1380">
        <v>4.0104143150797002E-2</v>
      </c>
      <c r="F1380">
        <v>5.555555555555558E-2</v>
      </c>
      <c r="G1380">
        <v>6.2980048262344379E-2</v>
      </c>
      <c r="H1380">
        <v>0.71144749949515007</v>
      </c>
      <c r="I1380">
        <v>166.28487899999999</v>
      </c>
      <c r="J1380">
        <v>0</v>
      </c>
      <c r="K1380" t="s">
        <v>1797</v>
      </c>
      <c r="L1380">
        <v>0.94458128890680204</v>
      </c>
      <c r="M1380">
        <v>22.74</v>
      </c>
      <c r="N1380">
        <v>14.39</v>
      </c>
    </row>
    <row r="1381" spans="1:14" x14ac:dyDescent="0.25">
      <c r="A1381" s="1" t="s">
        <v>1393</v>
      </c>
      <c r="B1381" t="str">
        <f>HYPERLINK("https://www.suredividend.com/sure-analysis-research-database/","Sana Biotechnology Inc")</f>
        <v>Sana Biotechnology Inc</v>
      </c>
      <c r="C1381" t="s">
        <v>1797</v>
      </c>
      <c r="D1381">
        <v>3.53</v>
      </c>
      <c r="E1381">
        <v>0</v>
      </c>
      <c r="F1381" t="s">
        <v>1797</v>
      </c>
      <c r="G1381" t="s">
        <v>1797</v>
      </c>
      <c r="H1381">
        <v>0</v>
      </c>
      <c r="I1381">
        <v>695.20548899999994</v>
      </c>
      <c r="J1381">
        <v>0</v>
      </c>
      <c r="K1381" t="s">
        <v>1797</v>
      </c>
      <c r="L1381">
        <v>1.968750003702932</v>
      </c>
      <c r="M1381">
        <v>8.01</v>
      </c>
      <c r="N1381">
        <v>2.75</v>
      </c>
    </row>
    <row r="1382" spans="1:14" x14ac:dyDescent="0.25">
      <c r="A1382" s="1" t="s">
        <v>1394</v>
      </c>
      <c r="B1382" t="str">
        <f>HYPERLINK("https://www.suredividend.com/sure-analysis-research-database/","Sanmina Corp")</f>
        <v>Sanmina Corp</v>
      </c>
      <c r="C1382" t="s">
        <v>1803</v>
      </c>
      <c r="D1382">
        <v>53.36</v>
      </c>
      <c r="E1382">
        <v>0</v>
      </c>
      <c r="F1382" t="s">
        <v>1797</v>
      </c>
      <c r="G1382" t="s">
        <v>1797</v>
      </c>
      <c r="H1382">
        <v>0</v>
      </c>
      <c r="I1382">
        <v>3105.5520000000001</v>
      </c>
      <c r="J1382">
        <v>10.45232165214933</v>
      </c>
      <c r="K1382">
        <v>0</v>
      </c>
      <c r="L1382">
        <v>1.082648294770217</v>
      </c>
      <c r="M1382">
        <v>69.28</v>
      </c>
      <c r="N1382">
        <v>49.07</v>
      </c>
    </row>
    <row r="1383" spans="1:14" x14ac:dyDescent="0.25">
      <c r="A1383" s="1" t="s">
        <v>1395</v>
      </c>
      <c r="B1383" t="str">
        <f>HYPERLINK("https://www.suredividend.com/sure-analysis-research-database/","Sandy Spring Bancorp")</f>
        <v>Sandy Spring Bancorp</v>
      </c>
      <c r="C1383" t="s">
        <v>1800</v>
      </c>
      <c r="D1383">
        <v>22.91</v>
      </c>
      <c r="E1383">
        <v>5.7101694908196013E-2</v>
      </c>
      <c r="F1383">
        <v>0</v>
      </c>
      <c r="G1383">
        <v>3.9594988207552577E-2</v>
      </c>
      <c r="H1383">
        <v>1.3081998303467799</v>
      </c>
      <c r="I1383">
        <v>1027.7968739999999</v>
      </c>
      <c r="J1383">
        <v>7.1803108388931189</v>
      </c>
      <c r="K1383">
        <v>0.41009399070431968</v>
      </c>
      <c r="L1383">
        <v>1.007178367786699</v>
      </c>
      <c r="M1383">
        <v>33.75</v>
      </c>
      <c r="N1383">
        <v>18.63</v>
      </c>
    </row>
    <row r="1384" spans="1:14" x14ac:dyDescent="0.25">
      <c r="A1384" s="1" t="s">
        <v>1396</v>
      </c>
      <c r="B1384" t="str">
        <f>HYPERLINK("https://www.suredividend.com/sure-analysis-research-database/","EchoStar Corp")</f>
        <v>EchoStar Corp</v>
      </c>
      <c r="C1384" t="s">
        <v>1803</v>
      </c>
      <c r="D1384">
        <v>15.44</v>
      </c>
      <c r="E1384">
        <v>0</v>
      </c>
      <c r="F1384" t="s">
        <v>1797</v>
      </c>
      <c r="G1384" t="s">
        <v>1797</v>
      </c>
      <c r="H1384">
        <v>0</v>
      </c>
      <c r="I1384">
        <v>558.34563400000002</v>
      </c>
      <c r="J1384">
        <v>4.9875445213849279</v>
      </c>
      <c r="K1384">
        <v>0</v>
      </c>
      <c r="L1384">
        <v>1.0583560349727961</v>
      </c>
      <c r="M1384">
        <v>24.8</v>
      </c>
      <c r="N1384">
        <v>13.21</v>
      </c>
    </row>
    <row r="1385" spans="1:14" x14ac:dyDescent="0.25">
      <c r="A1385" s="1" t="s">
        <v>1397</v>
      </c>
      <c r="B1385" t="str">
        <f>HYPERLINK("https://www.suredividend.com/sure-analysis-research-database/","Cassava Sciences Inc")</f>
        <v>Cassava Sciences Inc</v>
      </c>
      <c r="C1385" t="s">
        <v>1802</v>
      </c>
      <c r="D1385">
        <v>22.7</v>
      </c>
      <c r="E1385">
        <v>0</v>
      </c>
      <c r="F1385" t="s">
        <v>1797</v>
      </c>
      <c r="G1385" t="s">
        <v>1797</v>
      </c>
      <c r="H1385">
        <v>0</v>
      </c>
      <c r="I1385">
        <v>952.71886400000005</v>
      </c>
      <c r="J1385">
        <v>0</v>
      </c>
      <c r="K1385" t="s">
        <v>1797</v>
      </c>
      <c r="L1385">
        <v>1.290467367337194</v>
      </c>
      <c r="M1385">
        <v>45.43</v>
      </c>
      <c r="N1385">
        <v>12.32</v>
      </c>
    </row>
    <row r="1386" spans="1:14" x14ac:dyDescent="0.25">
      <c r="A1386" s="1" t="s">
        <v>1398</v>
      </c>
      <c r="B1386" t="str">
        <f>HYPERLINK("https://www.suredividend.com/sure-analysis-research-database/","Spirit Airlines Inc")</f>
        <v>Spirit Airlines Inc</v>
      </c>
      <c r="C1386" t="s">
        <v>1798</v>
      </c>
      <c r="D1386">
        <v>11.26</v>
      </c>
      <c r="E1386">
        <v>0</v>
      </c>
      <c r="F1386" t="s">
        <v>1797</v>
      </c>
      <c r="G1386" t="s">
        <v>1797</v>
      </c>
      <c r="H1386">
        <v>0</v>
      </c>
      <c r="I1386">
        <v>1229.2267260000001</v>
      </c>
      <c r="J1386" t="s">
        <v>1797</v>
      </c>
      <c r="K1386">
        <v>0</v>
      </c>
      <c r="L1386">
        <v>0.549067569804774</v>
      </c>
      <c r="M1386">
        <v>20.93</v>
      </c>
      <c r="N1386">
        <v>10.73</v>
      </c>
    </row>
    <row r="1387" spans="1:14" x14ac:dyDescent="0.25">
      <c r="A1387" s="1" t="s">
        <v>1399</v>
      </c>
      <c r="B1387" t="str">
        <f>HYPERLINK("https://www.suredividend.com/sure-analysis-research-database/","Safe Bulkers, Inc")</f>
        <v>Safe Bulkers, Inc</v>
      </c>
      <c r="C1387" t="s">
        <v>1798</v>
      </c>
      <c r="D1387">
        <v>3.23</v>
      </c>
      <c r="E1387">
        <v>6.0589378232731007E-2</v>
      </c>
      <c r="F1387" t="s">
        <v>1797</v>
      </c>
      <c r="G1387" t="s">
        <v>1797</v>
      </c>
      <c r="H1387">
        <v>0.195703691691722</v>
      </c>
      <c r="I1387">
        <v>360.41862600000002</v>
      </c>
      <c r="J1387">
        <v>2.7969132041004778</v>
      </c>
      <c r="K1387">
        <v>0.1795446712768092</v>
      </c>
      <c r="L1387">
        <v>1.027585874408091</v>
      </c>
      <c r="M1387">
        <v>3.74</v>
      </c>
      <c r="N1387">
        <v>2.48</v>
      </c>
    </row>
    <row r="1388" spans="1:14" x14ac:dyDescent="0.25">
      <c r="A1388" s="1" t="s">
        <v>1400</v>
      </c>
      <c r="B1388" t="str">
        <f>HYPERLINK("https://www.suredividend.com/sure-analysis-research-database/","Seacoast Banking Corp. Of Florida")</f>
        <v>Seacoast Banking Corp. Of Florida</v>
      </c>
      <c r="C1388" t="s">
        <v>1800</v>
      </c>
      <c r="D1388">
        <v>23.02</v>
      </c>
      <c r="E1388">
        <v>2.9774731426723999E-2</v>
      </c>
      <c r="F1388" t="s">
        <v>1797</v>
      </c>
      <c r="G1388" t="s">
        <v>1797</v>
      </c>
      <c r="H1388">
        <v>0.68541431744319703</v>
      </c>
      <c r="I1388">
        <v>1945.19</v>
      </c>
      <c r="J1388">
        <v>20.211866167913549</v>
      </c>
      <c r="K1388">
        <v>0.53547993550249762</v>
      </c>
      <c r="L1388">
        <v>1.465652834745337</v>
      </c>
      <c r="M1388">
        <v>33.44</v>
      </c>
      <c r="N1388">
        <v>17.38</v>
      </c>
    </row>
    <row r="1389" spans="1:14" x14ac:dyDescent="0.25">
      <c r="A1389" s="1" t="s">
        <v>1401</v>
      </c>
      <c r="B1389" t="str">
        <f>HYPERLINK("https://www.suredividend.com/sure-analysis-research-database/","Sinclair Inc")</f>
        <v>Sinclair Inc</v>
      </c>
      <c r="C1389" t="s">
        <v>1806</v>
      </c>
      <c r="D1389">
        <v>14.87</v>
      </c>
      <c r="E1389">
        <v>1.6812373907195002E-2</v>
      </c>
      <c r="F1389">
        <v>0</v>
      </c>
      <c r="G1389">
        <v>4.5639552591273169E-2</v>
      </c>
      <c r="H1389">
        <v>0.25</v>
      </c>
      <c r="I1389">
        <v>589.58448099999998</v>
      </c>
      <c r="J1389">
        <v>0</v>
      </c>
      <c r="K1389" t="s">
        <v>1797</v>
      </c>
      <c r="L1389">
        <v>1.3973606995338219</v>
      </c>
      <c r="M1389">
        <v>15.86</v>
      </c>
      <c r="N1389">
        <v>9.39</v>
      </c>
    </row>
    <row r="1390" spans="1:14" x14ac:dyDescent="0.25">
      <c r="A1390" s="1" t="s">
        <v>1402</v>
      </c>
      <c r="B1390" t="str">
        <f>HYPERLINK("https://www.suredividend.com/sure-analysis-research-database/","Sally Beauty Holdings Inc")</f>
        <v>Sally Beauty Holdings Inc</v>
      </c>
      <c r="C1390" t="s">
        <v>1801</v>
      </c>
      <c r="D1390">
        <v>9.27</v>
      </c>
      <c r="E1390">
        <v>0</v>
      </c>
      <c r="F1390" t="s">
        <v>1797</v>
      </c>
      <c r="G1390" t="s">
        <v>1797</v>
      </c>
      <c r="H1390">
        <v>0</v>
      </c>
      <c r="I1390">
        <v>999.02375600000005</v>
      </c>
      <c r="J1390">
        <v>6.1155109685416766</v>
      </c>
      <c r="K1390">
        <v>0</v>
      </c>
      <c r="L1390">
        <v>1.173071287050774</v>
      </c>
      <c r="M1390">
        <v>18.420000000000002</v>
      </c>
      <c r="N1390">
        <v>7.21</v>
      </c>
    </row>
    <row r="1391" spans="1:14" x14ac:dyDescent="0.25">
      <c r="A1391" s="1" t="s">
        <v>1403</v>
      </c>
      <c r="B1391" t="str">
        <f>HYPERLINK("https://www.suredividend.com/sure-analysis-research-database/","SilverBow Resources Inc")</f>
        <v>SilverBow Resources Inc</v>
      </c>
      <c r="C1391" t="s">
        <v>1807</v>
      </c>
      <c r="D1391">
        <v>36.450000000000003</v>
      </c>
      <c r="E1391">
        <v>0</v>
      </c>
      <c r="F1391" t="s">
        <v>1797</v>
      </c>
      <c r="G1391" t="s">
        <v>1797</v>
      </c>
      <c r="H1391">
        <v>0</v>
      </c>
      <c r="I1391">
        <v>824.438894</v>
      </c>
      <c r="J1391">
        <v>0</v>
      </c>
      <c r="K1391" t="s">
        <v>1797</v>
      </c>
      <c r="L1391">
        <v>1.6857733682339759</v>
      </c>
      <c r="M1391">
        <v>43.95</v>
      </c>
      <c r="N1391">
        <v>19.13</v>
      </c>
    </row>
    <row r="1392" spans="1:14" x14ac:dyDescent="0.25">
      <c r="A1392" s="1" t="s">
        <v>1404</v>
      </c>
      <c r="B1392" t="str">
        <f>HYPERLINK("https://www.suredividend.com/sure-analysis-SBRA/","Sabra Healthcare REIT Inc")</f>
        <v>Sabra Healthcare REIT Inc</v>
      </c>
      <c r="C1392" t="s">
        <v>1799</v>
      </c>
      <c r="D1392">
        <v>13.86</v>
      </c>
      <c r="E1392">
        <v>8.6580086580086577E-2</v>
      </c>
      <c r="F1392">
        <v>0</v>
      </c>
      <c r="G1392">
        <v>-7.7892088518272229E-2</v>
      </c>
      <c r="H1392">
        <v>1.156497776365832</v>
      </c>
      <c r="I1392">
        <v>3204.6905999999999</v>
      </c>
      <c r="J1392" t="s">
        <v>1797</v>
      </c>
      <c r="K1392" t="s">
        <v>1797</v>
      </c>
      <c r="L1392">
        <v>0.82915416381783402</v>
      </c>
      <c r="M1392">
        <v>14.72</v>
      </c>
      <c r="N1392">
        <v>9.58</v>
      </c>
    </row>
    <row r="1393" spans="1:14" x14ac:dyDescent="0.25">
      <c r="A1393" s="1" t="s">
        <v>1405</v>
      </c>
      <c r="B1393" t="str">
        <f>HYPERLINK("https://www.suredividend.com/sure-analysis-SBSI/","Southside Bancshares Inc")</f>
        <v>Southside Bancshares Inc</v>
      </c>
      <c r="C1393" t="s">
        <v>1800</v>
      </c>
      <c r="D1393">
        <v>29.44</v>
      </c>
      <c r="E1393">
        <v>4.7554347826086953E-2</v>
      </c>
      <c r="F1393">
        <v>7.75</v>
      </c>
      <c r="G1393">
        <v>2.4569138363080611E-2</v>
      </c>
      <c r="H1393">
        <v>1.366821737231763</v>
      </c>
      <c r="I1393">
        <v>888.98831600000005</v>
      </c>
      <c r="J1393">
        <v>9.1606726449857803</v>
      </c>
      <c r="K1393">
        <v>0.43949252001021322</v>
      </c>
      <c r="L1393">
        <v>0.87657413276410612</v>
      </c>
      <c r="M1393">
        <v>39.07</v>
      </c>
      <c r="N1393">
        <v>25.1</v>
      </c>
    </row>
    <row r="1394" spans="1:14" x14ac:dyDescent="0.25">
      <c r="A1394" s="1" t="s">
        <v>1406</v>
      </c>
      <c r="B1394" t="str">
        <f>HYPERLINK("https://www.suredividend.com/sure-analysis-research-database/","Sterling Bancorp Inc")</f>
        <v>Sterling Bancorp Inc</v>
      </c>
      <c r="C1394" t="s">
        <v>1800</v>
      </c>
      <c r="D1394">
        <v>5.84</v>
      </c>
      <c r="E1394">
        <v>0</v>
      </c>
      <c r="F1394" t="s">
        <v>1797</v>
      </c>
      <c r="G1394" t="s">
        <v>1797</v>
      </c>
      <c r="H1394">
        <v>0</v>
      </c>
      <c r="I1394">
        <v>304.12431900000001</v>
      </c>
      <c r="J1394">
        <v>0</v>
      </c>
      <c r="K1394" t="s">
        <v>1797</v>
      </c>
      <c r="L1394">
        <v>0.71713781307168201</v>
      </c>
      <c r="M1394">
        <v>6.76</v>
      </c>
      <c r="N1394">
        <v>4.22</v>
      </c>
    </row>
    <row r="1395" spans="1:14" x14ac:dyDescent="0.25">
      <c r="A1395" s="1" t="s">
        <v>1407</v>
      </c>
      <c r="B1395" t="str">
        <f>HYPERLINK("https://www.suredividend.com/sure-analysis-SCHL/","Scholastic Corp.")</f>
        <v>Scholastic Corp.</v>
      </c>
      <c r="C1395" t="s">
        <v>1806</v>
      </c>
      <c r="D1395">
        <v>39.44</v>
      </c>
      <c r="E1395">
        <v>2.0283975659229209E-2</v>
      </c>
      <c r="F1395">
        <v>0</v>
      </c>
      <c r="G1395">
        <v>5.9223841048812183E-2</v>
      </c>
      <c r="H1395">
        <v>0.78888071045597707</v>
      </c>
      <c r="I1395">
        <v>1157.956901</v>
      </c>
      <c r="J1395">
        <v>20.103418425000001</v>
      </c>
      <c r="K1395">
        <v>0.46679331979643618</v>
      </c>
      <c r="L1395">
        <v>0.66173588879094103</v>
      </c>
      <c r="M1395">
        <v>46.06</v>
      </c>
      <c r="N1395">
        <v>29.73</v>
      </c>
    </row>
    <row r="1396" spans="1:14" x14ac:dyDescent="0.25">
      <c r="A1396" s="1" t="s">
        <v>1408</v>
      </c>
      <c r="B1396" t="str">
        <f>HYPERLINK("https://www.suredividend.com/sure-analysis-SCL/","Stepan Co.")</f>
        <v>Stepan Co.</v>
      </c>
      <c r="C1396" t="s">
        <v>1808</v>
      </c>
      <c r="D1396">
        <v>77.7</v>
      </c>
      <c r="E1396">
        <v>1.9305019305019301E-2</v>
      </c>
      <c r="F1396">
        <v>0</v>
      </c>
      <c r="G1396">
        <v>7.8625221439269977E-2</v>
      </c>
      <c r="H1396">
        <v>1.4513262698070459</v>
      </c>
      <c r="I1396">
        <v>1736.6857540000001</v>
      </c>
      <c r="J1396">
        <v>33.250095797514888</v>
      </c>
      <c r="K1396">
        <v>0.63935077965068099</v>
      </c>
      <c r="L1396">
        <v>0.87451560066689205</v>
      </c>
      <c r="M1396">
        <v>113.64</v>
      </c>
      <c r="N1396">
        <v>63.6</v>
      </c>
    </row>
    <row r="1397" spans="1:14" x14ac:dyDescent="0.25">
      <c r="A1397" s="1" t="s">
        <v>1409</v>
      </c>
      <c r="B1397" t="str">
        <f>HYPERLINK("https://www.suredividend.com/sure-analysis-research-database/","Steelcase, Inc.")</f>
        <v>Steelcase, Inc.</v>
      </c>
      <c r="C1397" t="s">
        <v>1798</v>
      </c>
      <c r="D1397">
        <v>11.41</v>
      </c>
      <c r="E1397">
        <v>3.4501288628885997E-2</v>
      </c>
      <c r="F1397">
        <v>0</v>
      </c>
      <c r="G1397">
        <v>-5.8255166501744338E-2</v>
      </c>
      <c r="H1397">
        <v>0.39365970325559801</v>
      </c>
      <c r="I1397">
        <v>1068.5159100000001</v>
      </c>
      <c r="J1397">
        <v>19.824042853246759</v>
      </c>
      <c r="K1397">
        <v>0.83243752010065131</v>
      </c>
      <c r="L1397">
        <v>1.007797744310472</v>
      </c>
      <c r="M1397">
        <v>11.97</v>
      </c>
      <c r="N1397">
        <v>5.91</v>
      </c>
    </row>
    <row r="1398" spans="1:14" x14ac:dyDescent="0.25">
      <c r="A1398" s="1" t="s">
        <v>1410</v>
      </c>
      <c r="B1398" t="str">
        <f>HYPERLINK("https://www.suredividend.com/sure-analysis-research-database/","Scansource, Inc.")</f>
        <v>Scansource, Inc.</v>
      </c>
      <c r="C1398" t="s">
        <v>1803</v>
      </c>
      <c r="D1398">
        <v>32.03</v>
      </c>
      <c r="E1398">
        <v>0</v>
      </c>
      <c r="F1398" t="s">
        <v>1797</v>
      </c>
      <c r="G1398" t="s">
        <v>1797</v>
      </c>
      <c r="H1398">
        <v>0</v>
      </c>
      <c r="I1398">
        <v>799.69079999999997</v>
      </c>
      <c r="J1398">
        <v>8.9043503427273443</v>
      </c>
      <c r="K1398">
        <v>0</v>
      </c>
      <c r="L1398">
        <v>0.83163125616101707</v>
      </c>
      <c r="M1398">
        <v>35.5</v>
      </c>
      <c r="N1398">
        <v>26.14</v>
      </c>
    </row>
    <row r="1399" spans="1:14" x14ac:dyDescent="0.25">
      <c r="A1399" s="1" t="s">
        <v>1411</v>
      </c>
      <c r="B1399" t="str">
        <f>HYPERLINK("https://www.suredividend.com/sure-analysis-research-database/","Sculptor Capital Management Inc")</f>
        <v>Sculptor Capital Management Inc</v>
      </c>
      <c r="C1399" t="s">
        <v>1800</v>
      </c>
      <c r="D1399">
        <v>12.57</v>
      </c>
      <c r="E1399">
        <v>2.1338110012400002E-2</v>
      </c>
      <c r="F1399" t="s">
        <v>1797</v>
      </c>
      <c r="G1399" t="s">
        <v>1797</v>
      </c>
      <c r="H1399">
        <v>0.26822004285588003</v>
      </c>
      <c r="I1399">
        <v>314.209361</v>
      </c>
      <c r="J1399" t="s">
        <v>1797</v>
      </c>
      <c r="K1399" t="s">
        <v>1797</v>
      </c>
      <c r="L1399">
        <v>0.98435591630965502</v>
      </c>
      <c r="M1399">
        <v>12.7</v>
      </c>
      <c r="N1399">
        <v>7.76</v>
      </c>
    </row>
    <row r="1400" spans="1:14" x14ac:dyDescent="0.25">
      <c r="A1400" s="1" t="s">
        <v>1412</v>
      </c>
      <c r="B1400" t="str">
        <f>HYPERLINK("https://www.suredividend.com/sure-analysis-research-database/","Shoe Carnival, Inc.")</f>
        <v>Shoe Carnival, Inc.</v>
      </c>
      <c r="C1400" t="s">
        <v>1801</v>
      </c>
      <c r="D1400">
        <v>24.4</v>
      </c>
      <c r="E1400">
        <v>2.0211845152007E-2</v>
      </c>
      <c r="F1400">
        <v>0.33333333333333331</v>
      </c>
      <c r="G1400">
        <v>8.4471771197698553E-2</v>
      </c>
      <c r="H1400">
        <v>0.49316902170898502</v>
      </c>
      <c r="I1400">
        <v>667.57660699999997</v>
      </c>
      <c r="J1400">
        <v>7.3986922918352196</v>
      </c>
      <c r="K1400">
        <v>0.15035640905761741</v>
      </c>
      <c r="L1400">
        <v>1.28793814590764</v>
      </c>
      <c r="M1400">
        <v>28.82</v>
      </c>
      <c r="N1400">
        <v>18.89</v>
      </c>
    </row>
    <row r="1401" spans="1:14" x14ac:dyDescent="0.25">
      <c r="A1401" s="1" t="s">
        <v>1413</v>
      </c>
      <c r="B1401" t="str">
        <f>HYPERLINK("https://www.suredividend.com/sure-analysis-research-database/","SecureWorks Corp")</f>
        <v>SecureWorks Corp</v>
      </c>
      <c r="C1401" t="s">
        <v>1803</v>
      </c>
      <c r="D1401">
        <v>5.9</v>
      </c>
      <c r="E1401">
        <v>0</v>
      </c>
      <c r="F1401" t="s">
        <v>1797</v>
      </c>
      <c r="G1401" t="s">
        <v>1797</v>
      </c>
      <c r="H1401">
        <v>0</v>
      </c>
      <c r="I1401">
        <v>95.788329000000004</v>
      </c>
      <c r="J1401" t="s">
        <v>1797</v>
      </c>
      <c r="K1401">
        <v>0</v>
      </c>
      <c r="L1401">
        <v>1.2909915962474541</v>
      </c>
      <c r="M1401">
        <v>10.06</v>
      </c>
      <c r="N1401">
        <v>5.28</v>
      </c>
    </row>
    <row r="1402" spans="1:14" x14ac:dyDescent="0.25">
      <c r="A1402" s="1" t="s">
        <v>1414</v>
      </c>
      <c r="B1402" t="str">
        <f>HYPERLINK("https://www.suredividend.com/sure-analysis-research-database/","Sandridge Energy Inc")</f>
        <v>Sandridge Energy Inc</v>
      </c>
      <c r="C1402" t="s">
        <v>1807</v>
      </c>
      <c r="D1402">
        <v>16.12</v>
      </c>
      <c r="E1402">
        <v>6.2034740378480004E-3</v>
      </c>
      <c r="F1402" t="s">
        <v>1797</v>
      </c>
      <c r="G1402" t="s">
        <v>1797</v>
      </c>
      <c r="H1402">
        <v>0.10000000149011599</v>
      </c>
      <c r="I1402">
        <v>595.88689099999999</v>
      </c>
      <c r="J1402">
        <v>0</v>
      </c>
      <c r="K1402" t="s">
        <v>1797</v>
      </c>
      <c r="L1402">
        <v>1.137342544653841</v>
      </c>
      <c r="M1402">
        <v>19.420000000000002</v>
      </c>
      <c r="N1402">
        <v>11.11</v>
      </c>
    </row>
    <row r="1403" spans="1:14" x14ac:dyDescent="0.25">
      <c r="A1403" s="1" t="s">
        <v>1415</v>
      </c>
      <c r="B1403" t="str">
        <f>HYPERLINK("https://www.suredividend.com/sure-analysis-research-database/","Schrodinger Inc")</f>
        <v>Schrodinger Inc</v>
      </c>
      <c r="C1403" t="s">
        <v>1802</v>
      </c>
      <c r="D1403">
        <v>28.34</v>
      </c>
      <c r="E1403">
        <v>0</v>
      </c>
      <c r="F1403" t="s">
        <v>1797</v>
      </c>
      <c r="G1403" t="s">
        <v>1797</v>
      </c>
      <c r="H1403">
        <v>0</v>
      </c>
      <c r="I1403">
        <v>1777.375691</v>
      </c>
      <c r="J1403">
        <v>40.227591856596433</v>
      </c>
      <c r="K1403">
        <v>0</v>
      </c>
      <c r="L1403">
        <v>2.0398691893730301</v>
      </c>
      <c r="M1403">
        <v>59.24</v>
      </c>
      <c r="N1403">
        <v>15.85</v>
      </c>
    </row>
    <row r="1404" spans="1:14" x14ac:dyDescent="0.25">
      <c r="A1404" s="1" t="s">
        <v>1416</v>
      </c>
      <c r="B1404" t="str">
        <f>HYPERLINK("https://www.suredividend.com/sure-analysis-research-database/","SeaWorld Entertainment Inc")</f>
        <v>SeaWorld Entertainment Inc</v>
      </c>
      <c r="C1404" t="s">
        <v>1801</v>
      </c>
      <c r="D1404">
        <v>47.27</v>
      </c>
      <c r="E1404">
        <v>0</v>
      </c>
      <c r="F1404" t="s">
        <v>1797</v>
      </c>
      <c r="G1404" t="s">
        <v>1797</v>
      </c>
      <c r="H1404">
        <v>0</v>
      </c>
      <c r="I1404">
        <v>3023.9271330000001</v>
      </c>
      <c r="J1404">
        <v>11.897964362692059</v>
      </c>
      <c r="K1404">
        <v>0</v>
      </c>
      <c r="L1404">
        <v>1.4562106495007381</v>
      </c>
      <c r="M1404">
        <v>68.19</v>
      </c>
      <c r="N1404">
        <v>40.869999999999997</v>
      </c>
    </row>
    <row r="1405" spans="1:14" x14ac:dyDescent="0.25">
      <c r="A1405" s="1" t="s">
        <v>1417</v>
      </c>
      <c r="B1405" t="str">
        <f>HYPERLINK("https://www.suredividend.com/sure-analysis-research-database/","Vivid Seats Inc")</f>
        <v>Vivid Seats Inc</v>
      </c>
      <c r="C1405" t="s">
        <v>1797</v>
      </c>
      <c r="D1405">
        <v>6.21</v>
      </c>
      <c r="E1405">
        <v>0</v>
      </c>
      <c r="F1405" t="s">
        <v>1797</v>
      </c>
      <c r="G1405" t="s">
        <v>1797</v>
      </c>
      <c r="H1405">
        <v>0</v>
      </c>
      <c r="I1405">
        <v>598.54584499999999</v>
      </c>
      <c r="J1405">
        <v>9.8701534372217274</v>
      </c>
      <c r="K1405">
        <v>0</v>
      </c>
      <c r="L1405">
        <v>1.0634412367538659</v>
      </c>
      <c r="M1405">
        <v>9.89</v>
      </c>
      <c r="N1405">
        <v>5.59</v>
      </c>
    </row>
    <row r="1406" spans="1:14" x14ac:dyDescent="0.25">
      <c r="A1406" s="1" t="s">
        <v>1418</v>
      </c>
      <c r="B1406" t="str">
        <f>HYPERLINK("https://www.suredividend.com/sure-analysis-research-database/","Seer Inc")</f>
        <v>Seer Inc</v>
      </c>
      <c r="C1406" t="s">
        <v>1797</v>
      </c>
      <c r="D1406">
        <v>1.82</v>
      </c>
      <c r="E1406">
        <v>0</v>
      </c>
      <c r="F1406" t="s">
        <v>1797</v>
      </c>
      <c r="G1406" t="s">
        <v>1797</v>
      </c>
      <c r="H1406">
        <v>0</v>
      </c>
      <c r="I1406">
        <v>109.008904</v>
      </c>
      <c r="J1406" t="s">
        <v>1797</v>
      </c>
      <c r="K1406">
        <v>0</v>
      </c>
      <c r="L1406">
        <v>2.4622081156527869</v>
      </c>
      <c r="M1406">
        <v>8.74</v>
      </c>
      <c r="N1406">
        <v>1.58</v>
      </c>
    </row>
    <row r="1407" spans="1:14" x14ac:dyDescent="0.25">
      <c r="A1407" s="1" t="s">
        <v>1419</v>
      </c>
      <c r="B1407" t="str">
        <f>HYPERLINK("https://www.suredividend.com/sure-analysis-research-database/","Select Medical Holdings Corporation")</f>
        <v>Select Medical Holdings Corporation</v>
      </c>
      <c r="C1407" t="s">
        <v>1802</v>
      </c>
      <c r="D1407">
        <v>22.31</v>
      </c>
      <c r="E1407">
        <v>2.2262957978565999E-2</v>
      </c>
      <c r="F1407" t="s">
        <v>1797</v>
      </c>
      <c r="G1407" t="s">
        <v>1797</v>
      </c>
      <c r="H1407">
        <v>0.49668659250181002</v>
      </c>
      <c r="I1407">
        <v>2836.5696330000001</v>
      </c>
      <c r="J1407">
        <v>13.10193825990762</v>
      </c>
      <c r="K1407">
        <v>0.28710207659064158</v>
      </c>
      <c r="L1407">
        <v>1.1994408339163269</v>
      </c>
      <c r="M1407">
        <v>33.369999999999997</v>
      </c>
      <c r="N1407">
        <v>20.8</v>
      </c>
    </row>
    <row r="1408" spans="1:14" x14ac:dyDescent="0.25">
      <c r="A1408" s="1" t="s">
        <v>1420</v>
      </c>
      <c r="B1408" t="str">
        <f>HYPERLINK("https://www.suredividend.com/sure-analysis-research-database/","Seneca Foods Corp.")</f>
        <v>Seneca Foods Corp.</v>
      </c>
      <c r="C1408" t="s">
        <v>1804</v>
      </c>
      <c r="D1408">
        <v>55</v>
      </c>
      <c r="E1408">
        <v>0</v>
      </c>
      <c r="F1408" t="s">
        <v>1797</v>
      </c>
      <c r="G1408" t="s">
        <v>1797</v>
      </c>
      <c r="H1408">
        <v>0</v>
      </c>
      <c r="I1408">
        <v>416.62471099999999</v>
      </c>
      <c r="J1408">
        <v>15.327791891394719</v>
      </c>
      <c r="K1408">
        <v>0</v>
      </c>
      <c r="L1408">
        <v>0.55290045320709302</v>
      </c>
      <c r="M1408">
        <v>68.739999999999995</v>
      </c>
      <c r="N1408">
        <v>32.5</v>
      </c>
    </row>
    <row r="1409" spans="1:14" x14ac:dyDescent="0.25">
      <c r="A1409" s="1" t="s">
        <v>1421</v>
      </c>
      <c r="B1409" t="str">
        <f>HYPERLINK("https://www.suredividend.com/sure-analysis-research-database/","Senseonics Holdings Inc")</f>
        <v>Senseonics Holdings Inc</v>
      </c>
      <c r="C1409" t="s">
        <v>1802</v>
      </c>
      <c r="D1409">
        <v>0.53610000000000002</v>
      </c>
      <c r="E1409">
        <v>0</v>
      </c>
      <c r="F1409" t="s">
        <v>1797</v>
      </c>
      <c r="G1409" t="s">
        <v>1797</v>
      </c>
      <c r="H1409">
        <v>0</v>
      </c>
      <c r="I1409">
        <v>283.15530000000001</v>
      </c>
      <c r="J1409">
        <v>0</v>
      </c>
      <c r="K1409" t="s">
        <v>1797</v>
      </c>
      <c r="L1409">
        <v>2.2760451057029898</v>
      </c>
      <c r="M1409">
        <v>1.29</v>
      </c>
      <c r="N1409">
        <v>0.46060000000000001</v>
      </c>
    </row>
    <row r="1410" spans="1:14" x14ac:dyDescent="0.25">
      <c r="A1410" s="1" t="s">
        <v>1422</v>
      </c>
      <c r="B1410" t="str">
        <f>HYPERLINK("https://www.suredividend.com/sure-analysis-research-database/","ServisFirst Bancshares Inc")</f>
        <v>ServisFirst Bancshares Inc</v>
      </c>
      <c r="C1410" t="s">
        <v>1800</v>
      </c>
      <c r="D1410">
        <v>52.26</v>
      </c>
      <c r="E1410">
        <v>2.1247035093861999E-2</v>
      </c>
      <c r="F1410">
        <v>0.21739130434782619</v>
      </c>
      <c r="G1410">
        <v>0.13295681060117071</v>
      </c>
      <c r="H1410">
        <v>1.110370054005275</v>
      </c>
      <c r="I1410">
        <v>2844.1638010000001</v>
      </c>
      <c r="J1410">
        <v>11.698023298701941</v>
      </c>
      <c r="K1410">
        <v>0.24896189551687781</v>
      </c>
      <c r="L1410">
        <v>1.19323004251723</v>
      </c>
      <c r="M1410">
        <v>77.72</v>
      </c>
      <c r="N1410">
        <v>39.06</v>
      </c>
    </row>
    <row r="1411" spans="1:14" x14ac:dyDescent="0.25">
      <c r="A1411" s="1" t="s">
        <v>1423</v>
      </c>
      <c r="B1411" t="str">
        <f>HYPERLINK("https://www.suredividend.com/sure-analysis-research-database/","Stitch Fix Inc")</f>
        <v>Stitch Fix Inc</v>
      </c>
      <c r="C1411" t="s">
        <v>1801</v>
      </c>
      <c r="D1411">
        <v>3.61</v>
      </c>
      <c r="E1411">
        <v>0</v>
      </c>
      <c r="F1411" t="s">
        <v>1797</v>
      </c>
      <c r="G1411" t="s">
        <v>1797</v>
      </c>
      <c r="H1411">
        <v>0</v>
      </c>
      <c r="I1411">
        <v>333.87411700000001</v>
      </c>
      <c r="J1411" t="s">
        <v>1797</v>
      </c>
      <c r="K1411">
        <v>0</v>
      </c>
      <c r="L1411">
        <v>3.2529181861714491</v>
      </c>
      <c r="M1411">
        <v>6.03</v>
      </c>
      <c r="N1411">
        <v>2.63</v>
      </c>
    </row>
    <row r="1412" spans="1:14" x14ac:dyDescent="0.25">
      <c r="A1412" s="1" t="s">
        <v>1424</v>
      </c>
      <c r="B1412" t="str">
        <f>HYPERLINK("https://www.suredividend.com/sure-analysis-SFL/","SFL Corporation Ltd")</f>
        <v>SFL Corporation Ltd</v>
      </c>
      <c r="C1412" t="s">
        <v>1798</v>
      </c>
      <c r="D1412">
        <v>11.2</v>
      </c>
      <c r="E1412">
        <v>8.5714285714285715E-2</v>
      </c>
      <c r="F1412">
        <v>4.3478260869565188E-2</v>
      </c>
      <c r="G1412">
        <v>-7.2682107622416336E-2</v>
      </c>
      <c r="H1412">
        <v>0.91763714686199604</v>
      </c>
      <c r="I1412">
        <v>1551.896338</v>
      </c>
      <c r="J1412">
        <v>12.761990556154039</v>
      </c>
      <c r="K1412">
        <v>1.0366438622480749</v>
      </c>
      <c r="L1412">
        <v>0.70699644168587206</v>
      </c>
      <c r="M1412">
        <v>11.37</v>
      </c>
      <c r="N1412">
        <v>8.0399999999999991</v>
      </c>
    </row>
    <row r="1413" spans="1:14" x14ac:dyDescent="0.25">
      <c r="A1413" s="1" t="s">
        <v>1425</v>
      </c>
      <c r="B1413" t="str">
        <f>HYPERLINK("https://www.suredividend.com/sure-analysis-research-database/","Sprouts Farmers Market Inc")</f>
        <v>Sprouts Farmers Market Inc</v>
      </c>
      <c r="C1413" t="s">
        <v>1804</v>
      </c>
      <c r="D1413">
        <v>41.64</v>
      </c>
      <c r="E1413">
        <v>0</v>
      </c>
      <c r="F1413" t="s">
        <v>1797</v>
      </c>
      <c r="G1413" t="s">
        <v>1797</v>
      </c>
      <c r="H1413">
        <v>0</v>
      </c>
      <c r="I1413">
        <v>4228.9917949999999</v>
      </c>
      <c r="J1413">
        <v>16.654360486596541</v>
      </c>
      <c r="K1413">
        <v>0</v>
      </c>
      <c r="L1413">
        <v>0.50601059543226401</v>
      </c>
      <c r="M1413">
        <v>44.43</v>
      </c>
      <c r="N1413">
        <v>28.4</v>
      </c>
    </row>
    <row r="1414" spans="1:14" x14ac:dyDescent="0.25">
      <c r="A1414" s="1" t="s">
        <v>1426</v>
      </c>
      <c r="B1414" t="str">
        <f>HYPERLINK("https://www.suredividend.com/sure-analysis-research-database/","Simmons First National Corp.")</f>
        <v>Simmons First National Corp.</v>
      </c>
      <c r="C1414" t="s">
        <v>1800</v>
      </c>
      <c r="D1414">
        <v>15.71</v>
      </c>
      <c r="E1414">
        <v>4.9039778426640007E-2</v>
      </c>
      <c r="F1414">
        <v>5.2631578947368363E-2</v>
      </c>
      <c r="G1414">
        <v>5.9223841048812183E-2</v>
      </c>
      <c r="H1414">
        <v>0.77041491908252901</v>
      </c>
      <c r="I1414">
        <v>1983.569532</v>
      </c>
      <c r="J1414">
        <v>7.4078468953115779</v>
      </c>
      <c r="K1414">
        <v>0.36686424718215671</v>
      </c>
      <c r="L1414">
        <v>1.244205495525982</v>
      </c>
      <c r="M1414">
        <v>23.55</v>
      </c>
      <c r="N1414">
        <v>13.36</v>
      </c>
    </row>
    <row r="1415" spans="1:14" x14ac:dyDescent="0.25">
      <c r="A1415" s="1" t="s">
        <v>1427</v>
      </c>
      <c r="B1415" t="str">
        <f>HYPERLINK("https://www.suredividend.com/sure-analysis-research-database/","Southern First Bancshares Inc")</f>
        <v>Southern First Bancshares Inc</v>
      </c>
      <c r="C1415" t="s">
        <v>1800</v>
      </c>
      <c r="D1415">
        <v>28.74</v>
      </c>
      <c r="E1415">
        <v>0</v>
      </c>
      <c r="F1415" t="s">
        <v>1797</v>
      </c>
      <c r="G1415" t="s">
        <v>1797</v>
      </c>
      <c r="H1415">
        <v>0</v>
      </c>
      <c r="I1415">
        <v>232.467456</v>
      </c>
      <c r="J1415">
        <v>0</v>
      </c>
      <c r="K1415" t="s">
        <v>1797</v>
      </c>
      <c r="L1415">
        <v>0.89743302422539206</v>
      </c>
      <c r="M1415">
        <v>49.96</v>
      </c>
      <c r="N1415">
        <v>20.75</v>
      </c>
    </row>
    <row r="1416" spans="1:14" x14ac:dyDescent="0.25">
      <c r="A1416" s="1" t="s">
        <v>1428</v>
      </c>
      <c r="B1416" t="str">
        <f>HYPERLINK("https://www.suredividend.com/sure-analysis-research-database/","Sweetgreen Inc")</f>
        <v>Sweetgreen Inc</v>
      </c>
      <c r="C1416" t="s">
        <v>1800</v>
      </c>
      <c r="D1416">
        <v>9.73</v>
      </c>
      <c r="E1416">
        <v>0</v>
      </c>
      <c r="F1416" t="s">
        <v>1797</v>
      </c>
      <c r="G1416" t="s">
        <v>1797</v>
      </c>
      <c r="H1416">
        <v>0</v>
      </c>
      <c r="I1416">
        <v>960.68388300000004</v>
      </c>
      <c r="J1416" t="s">
        <v>1797</v>
      </c>
      <c r="K1416">
        <v>0</v>
      </c>
      <c r="L1416">
        <v>1.962061898797008</v>
      </c>
      <c r="M1416">
        <v>18.239999999999998</v>
      </c>
      <c r="N1416">
        <v>6.1</v>
      </c>
    </row>
    <row r="1417" spans="1:14" x14ac:dyDescent="0.25">
      <c r="A1417" s="1" t="s">
        <v>1429</v>
      </c>
      <c r="B1417" t="str">
        <f>HYPERLINK("https://www.suredividend.com/sure-analysis-research-database/","Superior Group of Companies Inc..")</f>
        <v>Superior Group of Companies Inc..</v>
      </c>
      <c r="C1417" t="s">
        <v>1801</v>
      </c>
      <c r="D1417">
        <v>8.08</v>
      </c>
      <c r="E1417">
        <v>6.6596432326581009E-2</v>
      </c>
      <c r="F1417">
        <v>0</v>
      </c>
      <c r="G1417">
        <v>6.9610375725068785E-2</v>
      </c>
      <c r="H1417">
        <v>0.53809917319877509</v>
      </c>
      <c r="I1417">
        <v>133.35484099999999</v>
      </c>
      <c r="J1417">
        <v>0</v>
      </c>
      <c r="K1417" t="s">
        <v>1797</v>
      </c>
      <c r="L1417">
        <v>0.6537682350658941</v>
      </c>
      <c r="M1417">
        <v>11.96</v>
      </c>
      <c r="N1417">
        <v>6.79</v>
      </c>
    </row>
    <row r="1418" spans="1:14" x14ac:dyDescent="0.25">
      <c r="A1418" s="1" t="s">
        <v>1430</v>
      </c>
      <c r="B1418" t="str">
        <f>HYPERLINK("https://www.suredividend.com/sure-analysis-research-database/","SMART Global Holdings Inc")</f>
        <v>SMART Global Holdings Inc</v>
      </c>
      <c r="C1418" t="s">
        <v>1803</v>
      </c>
      <c r="D1418">
        <v>14.64</v>
      </c>
      <c r="E1418">
        <v>0</v>
      </c>
      <c r="F1418" t="s">
        <v>1797</v>
      </c>
      <c r="G1418" t="s">
        <v>1797</v>
      </c>
      <c r="H1418">
        <v>0</v>
      </c>
      <c r="I1418">
        <v>760.09108600000002</v>
      </c>
      <c r="J1418" t="s">
        <v>1797</v>
      </c>
      <c r="K1418">
        <v>0</v>
      </c>
      <c r="L1418">
        <v>1.8638702094351181</v>
      </c>
      <c r="M1418">
        <v>29.99</v>
      </c>
      <c r="N1418">
        <v>12.66</v>
      </c>
    </row>
    <row r="1419" spans="1:14" x14ac:dyDescent="0.25">
      <c r="A1419" s="1" t="s">
        <v>1431</v>
      </c>
      <c r="B1419" t="str">
        <f>HYPERLINK("https://www.suredividend.com/sure-analysis-research-database/","Sight Sciences Inc")</f>
        <v>Sight Sciences Inc</v>
      </c>
      <c r="C1419" t="s">
        <v>1797</v>
      </c>
      <c r="D1419">
        <v>1.82</v>
      </c>
      <c r="E1419">
        <v>0</v>
      </c>
      <c r="F1419" t="s">
        <v>1797</v>
      </c>
      <c r="G1419" t="s">
        <v>1797</v>
      </c>
      <c r="H1419">
        <v>0</v>
      </c>
      <c r="I1419">
        <v>88.544955000000002</v>
      </c>
      <c r="J1419" t="s">
        <v>1797</v>
      </c>
      <c r="K1419">
        <v>0</v>
      </c>
      <c r="L1419">
        <v>2.279859783621907</v>
      </c>
      <c r="M1419">
        <v>15.3</v>
      </c>
      <c r="N1419">
        <v>1.04</v>
      </c>
    </row>
    <row r="1420" spans="1:14" x14ac:dyDescent="0.25">
      <c r="A1420" s="1" t="s">
        <v>1432</v>
      </c>
      <c r="B1420" t="str">
        <f>HYPERLINK("https://www.suredividend.com/sure-analysis-research-database/","Sangamo Therapeutics Inc")</f>
        <v>Sangamo Therapeutics Inc</v>
      </c>
      <c r="C1420" t="s">
        <v>1802</v>
      </c>
      <c r="D1420">
        <v>0.46</v>
      </c>
      <c r="E1420">
        <v>0</v>
      </c>
      <c r="F1420" t="s">
        <v>1797</v>
      </c>
      <c r="G1420" t="s">
        <v>1797</v>
      </c>
      <c r="H1420">
        <v>0</v>
      </c>
      <c r="I1420">
        <v>81.579611</v>
      </c>
      <c r="J1420" t="s">
        <v>1797</v>
      </c>
      <c r="K1420">
        <v>0</v>
      </c>
      <c r="L1420">
        <v>1.671117486281706</v>
      </c>
      <c r="M1420">
        <v>4.22</v>
      </c>
      <c r="N1420">
        <v>0.4446</v>
      </c>
    </row>
    <row r="1421" spans="1:14" x14ac:dyDescent="0.25">
      <c r="A1421" s="1" t="s">
        <v>1433</v>
      </c>
      <c r="B1421" t="str">
        <f>HYPERLINK("https://www.suredividend.com/sure-analysis-research-database/","Surgery Partners Inc")</f>
        <v>Surgery Partners Inc</v>
      </c>
      <c r="C1421" t="s">
        <v>1802</v>
      </c>
      <c r="D1421">
        <v>24.89</v>
      </c>
      <c r="E1421">
        <v>0</v>
      </c>
      <c r="F1421" t="s">
        <v>1797</v>
      </c>
      <c r="G1421" t="s">
        <v>1797</v>
      </c>
      <c r="H1421">
        <v>0</v>
      </c>
      <c r="I1421">
        <v>3148.5581189999998</v>
      </c>
      <c r="J1421" t="s">
        <v>1797</v>
      </c>
      <c r="K1421">
        <v>0</v>
      </c>
      <c r="L1421">
        <v>2.369209002355404</v>
      </c>
      <c r="M1421">
        <v>45.79</v>
      </c>
      <c r="N1421">
        <v>22.03</v>
      </c>
    </row>
    <row r="1422" spans="1:14" x14ac:dyDescent="0.25">
      <c r="A1422" s="1" t="s">
        <v>1434</v>
      </c>
      <c r="B1422" t="str">
        <f>HYPERLINK("https://www.suredividend.com/sure-analysis-research-database/","Shake Shack Inc")</f>
        <v>Shake Shack Inc</v>
      </c>
      <c r="C1422" t="s">
        <v>1801</v>
      </c>
      <c r="D1422">
        <v>59.51</v>
      </c>
      <c r="E1422">
        <v>0</v>
      </c>
      <c r="F1422" t="s">
        <v>1797</v>
      </c>
      <c r="G1422" t="s">
        <v>1797</v>
      </c>
      <c r="H1422">
        <v>0</v>
      </c>
      <c r="I1422">
        <v>2348.4123629999999</v>
      </c>
      <c r="J1422" t="s">
        <v>1797</v>
      </c>
      <c r="K1422">
        <v>0</v>
      </c>
      <c r="L1422">
        <v>1.1686669637463529</v>
      </c>
      <c r="M1422">
        <v>80.58</v>
      </c>
      <c r="N1422">
        <v>40.83</v>
      </c>
    </row>
    <row r="1423" spans="1:14" x14ac:dyDescent="0.25">
      <c r="A1423" s="1" t="s">
        <v>1435</v>
      </c>
      <c r="B1423" t="str">
        <f>HYPERLINK("https://www.suredividend.com/sure-analysis-research-database/","Shore Bancshares Inc.")</f>
        <v>Shore Bancshares Inc.</v>
      </c>
      <c r="C1423" t="s">
        <v>1800</v>
      </c>
      <c r="D1423">
        <v>11.82</v>
      </c>
      <c r="E1423">
        <v>3.9700208466536997E-2</v>
      </c>
      <c r="F1423">
        <v>0</v>
      </c>
      <c r="G1423">
        <v>3.7137289336648172E-2</v>
      </c>
      <c r="H1423">
        <v>0.46925646407447502</v>
      </c>
      <c r="I1423">
        <v>391.514096</v>
      </c>
      <c r="J1423">
        <v>13.718083265592149</v>
      </c>
      <c r="K1423">
        <v>0.32587254449616321</v>
      </c>
      <c r="L1423">
        <v>0.94633872434383104</v>
      </c>
      <c r="M1423">
        <v>20.059999999999999</v>
      </c>
      <c r="N1423">
        <v>9.66</v>
      </c>
    </row>
    <row r="1424" spans="1:14" x14ac:dyDescent="0.25">
      <c r="A1424" s="1" t="s">
        <v>1436</v>
      </c>
      <c r="B1424" t="str">
        <f>HYPERLINK("https://www.suredividend.com/sure-analysis-research-database/","Sharecare Inc")</f>
        <v>Sharecare Inc</v>
      </c>
      <c r="C1424" t="s">
        <v>1797</v>
      </c>
      <c r="D1424">
        <v>1.1399999999999999</v>
      </c>
      <c r="E1424">
        <v>0</v>
      </c>
      <c r="F1424" t="s">
        <v>1797</v>
      </c>
      <c r="G1424" t="s">
        <v>1797</v>
      </c>
      <c r="H1424">
        <v>0</v>
      </c>
      <c r="I1424">
        <v>407.12290000000002</v>
      </c>
      <c r="J1424" t="s">
        <v>1797</v>
      </c>
      <c r="K1424">
        <v>0</v>
      </c>
      <c r="L1424">
        <v>1.648615112689563</v>
      </c>
      <c r="M1424">
        <v>2.71</v>
      </c>
      <c r="N1424">
        <v>0.76950000000000007</v>
      </c>
    </row>
    <row r="1425" spans="1:14" x14ac:dyDescent="0.25">
      <c r="A1425" s="1" t="s">
        <v>1437</v>
      </c>
      <c r="B1425" t="str">
        <f>HYPERLINK("https://www.suredividend.com/sure-analysis-research-database/","Shenandoah Telecommunications Co.")</f>
        <v>Shenandoah Telecommunications Co.</v>
      </c>
      <c r="C1425" t="s">
        <v>1806</v>
      </c>
      <c r="D1425">
        <v>24.74</v>
      </c>
      <c r="E1425">
        <v>0</v>
      </c>
      <c r="F1425" t="s">
        <v>1797</v>
      </c>
      <c r="G1425" t="s">
        <v>1797</v>
      </c>
      <c r="H1425">
        <v>0</v>
      </c>
      <c r="I1425">
        <v>1243.530197</v>
      </c>
      <c r="J1425" t="s">
        <v>1797</v>
      </c>
      <c r="K1425">
        <v>0</v>
      </c>
      <c r="L1425">
        <v>0.97827574178745602</v>
      </c>
      <c r="M1425">
        <v>25.51</v>
      </c>
      <c r="N1425">
        <v>15.62</v>
      </c>
    </row>
    <row r="1426" spans="1:14" x14ac:dyDescent="0.25">
      <c r="A1426" s="1" t="s">
        <v>1438</v>
      </c>
      <c r="B1426" t="str">
        <f>HYPERLINK("https://www.suredividend.com/sure-analysis-research-database/","Shoals Technologies Group Inc")</f>
        <v>Shoals Technologies Group Inc</v>
      </c>
      <c r="C1426" t="s">
        <v>1797</v>
      </c>
      <c r="D1426">
        <v>15.85</v>
      </c>
      <c r="E1426">
        <v>0</v>
      </c>
      <c r="F1426" t="s">
        <v>1797</v>
      </c>
      <c r="G1426" t="s">
        <v>1797</v>
      </c>
      <c r="H1426">
        <v>0</v>
      </c>
      <c r="I1426">
        <v>2693.5410910000001</v>
      </c>
      <c r="J1426">
        <v>17.514523736092961</v>
      </c>
      <c r="K1426">
        <v>0</v>
      </c>
      <c r="L1426">
        <v>1.635043152298874</v>
      </c>
      <c r="M1426">
        <v>32.43</v>
      </c>
      <c r="N1426">
        <v>14.31</v>
      </c>
    </row>
    <row r="1427" spans="1:14" x14ac:dyDescent="0.25">
      <c r="A1427" s="1" t="s">
        <v>1439</v>
      </c>
      <c r="B1427" t="str">
        <f>HYPERLINK("https://www.suredividend.com/sure-analysis-research-database/","Sunstone Hotel Investors Inc")</f>
        <v>Sunstone Hotel Investors Inc</v>
      </c>
      <c r="C1427" t="s">
        <v>1799</v>
      </c>
      <c r="D1427">
        <v>9.7899999999999991</v>
      </c>
      <c r="E1427">
        <v>2.2278158219004002E-2</v>
      </c>
      <c r="F1427" t="s">
        <v>1797</v>
      </c>
      <c r="G1427" t="s">
        <v>1797</v>
      </c>
      <c r="H1427">
        <v>0.21810316896405699</v>
      </c>
      <c r="I1427">
        <v>2028.338125</v>
      </c>
      <c r="J1427">
        <v>23.188162345981041</v>
      </c>
      <c r="K1427">
        <v>0.52003616825001675</v>
      </c>
      <c r="L1427">
        <v>1.1373198015490349</v>
      </c>
      <c r="M1427">
        <v>11.17</v>
      </c>
      <c r="N1427">
        <v>8.4499999999999993</v>
      </c>
    </row>
    <row r="1428" spans="1:14" x14ac:dyDescent="0.25">
      <c r="A1428" s="1" t="s">
        <v>1440</v>
      </c>
      <c r="B1428" t="str">
        <f>HYPERLINK("https://www.suredividend.com/sure-analysis-research-database/","Steven Madden Ltd.")</f>
        <v>Steven Madden Ltd.</v>
      </c>
      <c r="C1428" t="s">
        <v>1801</v>
      </c>
      <c r="D1428">
        <v>34.700000000000003</v>
      </c>
      <c r="E1428">
        <v>2.3782143729287001E-2</v>
      </c>
      <c r="F1428" t="s">
        <v>1797</v>
      </c>
      <c r="G1428" t="s">
        <v>1797</v>
      </c>
      <c r="H1428">
        <v>0.82524038740628702</v>
      </c>
      <c r="I1428">
        <v>2613.4148500000001</v>
      </c>
      <c r="J1428">
        <v>15.90181050034378</v>
      </c>
      <c r="K1428">
        <v>0.38205573491031802</v>
      </c>
      <c r="L1428">
        <v>1.2343769802779829</v>
      </c>
      <c r="M1428">
        <v>36.67</v>
      </c>
      <c r="N1428">
        <v>28.52</v>
      </c>
    </row>
    <row r="1429" spans="1:14" x14ac:dyDescent="0.25">
      <c r="A1429" s="1" t="s">
        <v>1441</v>
      </c>
      <c r="B1429" t="str">
        <f>HYPERLINK("https://www.suredividend.com/sure-analysis-research-database/","Shyft Group Inc (The)")</f>
        <v>Shyft Group Inc (The)</v>
      </c>
      <c r="C1429" t="s">
        <v>1797</v>
      </c>
      <c r="D1429">
        <v>11.38</v>
      </c>
      <c r="E1429">
        <v>1.7486777819558E-2</v>
      </c>
      <c r="F1429" t="s">
        <v>1797</v>
      </c>
      <c r="G1429" t="s">
        <v>1797</v>
      </c>
      <c r="H1429">
        <v>0.19899953158657599</v>
      </c>
      <c r="I1429">
        <v>390.218368</v>
      </c>
      <c r="J1429">
        <v>13.570924665090081</v>
      </c>
      <c r="K1429">
        <v>0.24435109477722991</v>
      </c>
      <c r="L1429">
        <v>1.4805663421580859</v>
      </c>
      <c r="M1429">
        <v>33.79</v>
      </c>
      <c r="N1429">
        <v>10.39</v>
      </c>
    </row>
    <row r="1430" spans="1:14" x14ac:dyDescent="0.25">
      <c r="A1430" s="1" t="s">
        <v>1442</v>
      </c>
      <c r="B1430" t="str">
        <f>HYPERLINK("https://www.suredividend.com/sure-analysis-research-database/","SI-BONE Inc")</f>
        <v>SI-BONE Inc</v>
      </c>
      <c r="C1430" t="s">
        <v>1802</v>
      </c>
      <c r="D1430">
        <v>17.97</v>
      </c>
      <c r="E1430">
        <v>0</v>
      </c>
      <c r="F1430" t="s">
        <v>1797</v>
      </c>
      <c r="G1430" t="s">
        <v>1797</v>
      </c>
      <c r="H1430">
        <v>0</v>
      </c>
      <c r="I1430">
        <v>695.19273899999996</v>
      </c>
      <c r="J1430" t="s">
        <v>1797</v>
      </c>
      <c r="K1430">
        <v>0</v>
      </c>
      <c r="L1430">
        <v>1.1763888485422671</v>
      </c>
      <c r="M1430">
        <v>29.51</v>
      </c>
      <c r="N1430">
        <v>11.14</v>
      </c>
    </row>
    <row r="1431" spans="1:14" x14ac:dyDescent="0.25">
      <c r="A1431" s="1" t="s">
        <v>1443</v>
      </c>
      <c r="B1431" t="str">
        <f>HYPERLINK("https://www.suredividend.com/sure-analysis-research-database/","Signet Jewelers Ltd")</f>
        <v>Signet Jewelers Ltd</v>
      </c>
      <c r="C1431" t="s">
        <v>1801</v>
      </c>
      <c r="D1431">
        <v>75.81</v>
      </c>
      <c r="E1431">
        <v>1.1686127112253E-2</v>
      </c>
      <c r="F1431" t="s">
        <v>1797</v>
      </c>
      <c r="G1431" t="s">
        <v>1797</v>
      </c>
      <c r="H1431">
        <v>0.8859252963799501</v>
      </c>
      <c r="I1431">
        <v>3402.821003</v>
      </c>
      <c r="J1431">
        <v>7.5150640515901053</v>
      </c>
      <c r="K1431">
        <v>0.11271314203307251</v>
      </c>
      <c r="L1431">
        <v>1.3172111184497859</v>
      </c>
      <c r="M1431">
        <v>83.09</v>
      </c>
      <c r="N1431">
        <v>56.74</v>
      </c>
    </row>
    <row r="1432" spans="1:14" x14ac:dyDescent="0.25">
      <c r="A1432" s="1" t="s">
        <v>1444</v>
      </c>
      <c r="B1432" t="str">
        <f>HYPERLINK("https://www.suredividend.com/sure-analysis-research-database/","SIGA Technologies Inc")</f>
        <v>SIGA Technologies Inc</v>
      </c>
      <c r="C1432" t="s">
        <v>1802</v>
      </c>
      <c r="D1432">
        <v>5.12</v>
      </c>
      <c r="E1432">
        <v>0</v>
      </c>
      <c r="F1432" t="s">
        <v>1797</v>
      </c>
      <c r="G1432" t="s">
        <v>1797</v>
      </c>
      <c r="H1432">
        <v>0</v>
      </c>
      <c r="I1432">
        <v>363.94467300000002</v>
      </c>
      <c r="J1432">
        <v>12.79915174020018</v>
      </c>
      <c r="K1432">
        <v>0</v>
      </c>
      <c r="L1432">
        <v>1.056216696716793</v>
      </c>
      <c r="M1432">
        <v>8.7100000000000009</v>
      </c>
      <c r="N1432">
        <v>4.22</v>
      </c>
    </row>
    <row r="1433" spans="1:14" x14ac:dyDescent="0.25">
      <c r="A1433" s="1" t="s">
        <v>1445</v>
      </c>
      <c r="B1433" t="str">
        <f>HYPERLINK("https://www.suredividend.com/sure-analysis-research-database/","Selective Insurance Group Inc.")</f>
        <v>Selective Insurance Group Inc.</v>
      </c>
      <c r="C1433" t="s">
        <v>1800</v>
      </c>
      <c r="D1433">
        <v>103.61</v>
      </c>
      <c r="E1433">
        <v>1.1504618186607999E-2</v>
      </c>
      <c r="F1433">
        <v>7.1428571428571397E-2</v>
      </c>
      <c r="G1433">
        <v>8.4471771197698553E-2</v>
      </c>
      <c r="H1433">
        <v>1.1919934903145559</v>
      </c>
      <c r="I1433">
        <v>6275.3319499999998</v>
      </c>
      <c r="J1433">
        <v>19.752320421276611</v>
      </c>
      <c r="K1433">
        <v>0.22878953748839839</v>
      </c>
      <c r="L1433">
        <v>0.48360543968613912</v>
      </c>
      <c r="M1433">
        <v>108.18</v>
      </c>
      <c r="N1433">
        <v>83.47</v>
      </c>
    </row>
    <row r="1434" spans="1:14" x14ac:dyDescent="0.25">
      <c r="A1434" s="1" t="s">
        <v>1446</v>
      </c>
      <c r="B1434" t="str">
        <f>HYPERLINK("https://www.suredividend.com/sure-analysis-research-database/","Silk Road Medical Inc")</f>
        <v>Silk Road Medical Inc</v>
      </c>
      <c r="C1434" t="s">
        <v>1802</v>
      </c>
      <c r="D1434">
        <v>8.76</v>
      </c>
      <c r="E1434">
        <v>0</v>
      </c>
      <c r="F1434" t="s">
        <v>1797</v>
      </c>
      <c r="G1434" t="s">
        <v>1797</v>
      </c>
      <c r="H1434">
        <v>0</v>
      </c>
      <c r="I1434">
        <v>340.17701</v>
      </c>
      <c r="J1434" t="s">
        <v>1797</v>
      </c>
      <c r="K1434">
        <v>0</v>
      </c>
      <c r="L1434">
        <v>0.74655095860386711</v>
      </c>
      <c r="M1434">
        <v>58.04</v>
      </c>
      <c r="N1434">
        <v>6.08</v>
      </c>
    </row>
    <row r="1435" spans="1:14" x14ac:dyDescent="0.25">
      <c r="A1435" s="1" t="s">
        <v>1447</v>
      </c>
      <c r="B1435" t="str">
        <f>HYPERLINK("https://www.suredividend.com/sure-analysis-research-database/","SITE Centers Corp")</f>
        <v>SITE Centers Corp</v>
      </c>
      <c r="C1435" t="s">
        <v>1799</v>
      </c>
      <c r="D1435">
        <v>12.75</v>
      </c>
      <c r="E1435">
        <v>4.0164599638618001E-2</v>
      </c>
      <c r="F1435" t="s">
        <v>1797</v>
      </c>
      <c r="G1435" t="s">
        <v>1797</v>
      </c>
      <c r="H1435">
        <v>0.51209864539238303</v>
      </c>
      <c r="I1435">
        <v>2668.7988009999999</v>
      </c>
      <c r="J1435">
        <v>31.06541573932882</v>
      </c>
      <c r="K1435">
        <v>1.2551437387068209</v>
      </c>
      <c r="L1435">
        <v>1.125876527376837</v>
      </c>
      <c r="M1435">
        <v>14.47</v>
      </c>
      <c r="N1435">
        <v>10.88</v>
      </c>
    </row>
    <row r="1436" spans="1:14" x14ac:dyDescent="0.25">
      <c r="A1436" s="1" t="s">
        <v>1448</v>
      </c>
      <c r="B1436" t="str">
        <f>HYPERLINK("https://www.suredividend.com/sure-analysis-research-database/","SiTime Corp")</f>
        <v>SiTime Corp</v>
      </c>
      <c r="C1436" t="s">
        <v>1803</v>
      </c>
      <c r="D1436">
        <v>112.11</v>
      </c>
      <c r="E1436">
        <v>0</v>
      </c>
      <c r="F1436" t="s">
        <v>1797</v>
      </c>
      <c r="G1436" t="s">
        <v>1797</v>
      </c>
      <c r="H1436">
        <v>0</v>
      </c>
      <c r="I1436">
        <v>2489.9630999999999</v>
      </c>
      <c r="J1436" t="s">
        <v>1797</v>
      </c>
      <c r="K1436">
        <v>0</v>
      </c>
      <c r="L1436">
        <v>2.4243038183725729</v>
      </c>
      <c r="M1436">
        <v>142.88</v>
      </c>
      <c r="N1436">
        <v>81.09</v>
      </c>
    </row>
    <row r="1437" spans="1:14" x14ac:dyDescent="0.25">
      <c r="A1437" s="1" t="s">
        <v>1449</v>
      </c>
      <c r="B1437" t="str">
        <f>HYPERLINK("https://www.suredividend.com/sure-analysis-SJW/","SJW Group")</f>
        <v>SJW Group</v>
      </c>
      <c r="C1437" t="s">
        <v>1805</v>
      </c>
      <c r="D1437">
        <v>65</v>
      </c>
      <c r="E1437">
        <v>2.3384615384615389E-2</v>
      </c>
      <c r="F1437">
        <v>5.555555555555558E-2</v>
      </c>
      <c r="G1437">
        <v>4.8413171284721328E-2</v>
      </c>
      <c r="H1437">
        <v>1.507152313493469</v>
      </c>
      <c r="I1437">
        <v>2075.6451950000001</v>
      </c>
      <c r="J1437">
        <v>20.853001346233061</v>
      </c>
      <c r="K1437">
        <v>0.47394726839417262</v>
      </c>
      <c r="L1437">
        <v>0.46418384964650111</v>
      </c>
      <c r="M1437">
        <v>82.12</v>
      </c>
      <c r="N1437">
        <v>56.62</v>
      </c>
    </row>
    <row r="1438" spans="1:14" x14ac:dyDescent="0.25">
      <c r="A1438" s="1" t="s">
        <v>1450</v>
      </c>
      <c r="B1438" t="str">
        <f>HYPERLINK("https://www.suredividend.com/sure-analysis-research-database/","Skillsoft Corp.")</f>
        <v>Skillsoft Corp.</v>
      </c>
      <c r="C1438" t="s">
        <v>1797</v>
      </c>
      <c r="D1438">
        <v>18.579999999999998</v>
      </c>
      <c r="E1438">
        <v>0</v>
      </c>
      <c r="F1438" t="s">
        <v>1797</v>
      </c>
      <c r="G1438" t="s">
        <v>1797</v>
      </c>
      <c r="H1438">
        <v>0</v>
      </c>
      <c r="I1438">
        <v>2988.8270889999999</v>
      </c>
      <c r="J1438">
        <v>0</v>
      </c>
      <c r="K1438" t="s">
        <v>1797</v>
      </c>
      <c r="L1438">
        <v>1.657724141725194</v>
      </c>
      <c r="M1438">
        <v>43.4</v>
      </c>
      <c r="N1438">
        <v>13.85</v>
      </c>
    </row>
    <row r="1439" spans="1:14" x14ac:dyDescent="0.25">
      <c r="A1439" s="1" t="s">
        <v>1451</v>
      </c>
      <c r="B1439" t="str">
        <f>HYPERLINK("https://www.suredividend.com/sure-analysis-research-database/","Beauty Health Company (The)")</f>
        <v>Beauty Health Company (The)</v>
      </c>
      <c r="C1439" t="s">
        <v>1797</v>
      </c>
      <c r="D1439">
        <v>4.38</v>
      </c>
      <c r="E1439">
        <v>0</v>
      </c>
      <c r="F1439" t="s">
        <v>1797</v>
      </c>
      <c r="G1439" t="s">
        <v>1797</v>
      </c>
      <c r="H1439">
        <v>0</v>
      </c>
      <c r="I1439">
        <v>582.03965900000003</v>
      </c>
      <c r="J1439">
        <v>0</v>
      </c>
      <c r="K1439" t="s">
        <v>1797</v>
      </c>
      <c r="L1439">
        <v>1.791630230273477</v>
      </c>
      <c r="M1439">
        <v>13.9</v>
      </c>
      <c r="N1439">
        <v>3.9</v>
      </c>
    </row>
    <row r="1440" spans="1:14" x14ac:dyDescent="0.25">
      <c r="A1440" s="1" t="s">
        <v>1452</v>
      </c>
      <c r="B1440" t="str">
        <f>HYPERLINK("https://www.suredividend.com/sure-analysis-research-database/","Skillz Inc")</f>
        <v>Skillz Inc</v>
      </c>
      <c r="C1440" t="s">
        <v>1797</v>
      </c>
      <c r="D1440">
        <v>6</v>
      </c>
      <c r="E1440">
        <v>0</v>
      </c>
      <c r="F1440" t="s">
        <v>1797</v>
      </c>
      <c r="G1440" t="s">
        <v>1797</v>
      </c>
      <c r="H1440">
        <v>0</v>
      </c>
      <c r="I1440">
        <v>106.453356</v>
      </c>
      <c r="J1440" t="s">
        <v>1797</v>
      </c>
      <c r="K1440">
        <v>0</v>
      </c>
      <c r="L1440">
        <v>3.744436640184706</v>
      </c>
      <c r="M1440">
        <v>24.8</v>
      </c>
      <c r="N1440">
        <v>3.96</v>
      </c>
    </row>
    <row r="1441" spans="1:14" x14ac:dyDescent="0.25">
      <c r="A1441" s="1" t="s">
        <v>1453</v>
      </c>
      <c r="B1441" t="str">
        <f>HYPERLINK("https://www.suredividend.com/sure-analysis-SKT/","Tanger Factory Outlet Centers, Inc.")</f>
        <v>Tanger Factory Outlet Centers, Inc.</v>
      </c>
      <c r="C1441" t="s">
        <v>1799</v>
      </c>
      <c r="D1441">
        <v>23.92</v>
      </c>
      <c r="E1441">
        <v>4.3478260869565223E-2</v>
      </c>
      <c r="F1441" t="s">
        <v>1797</v>
      </c>
      <c r="G1441" t="s">
        <v>1797</v>
      </c>
      <c r="H1441">
        <v>0.95375339288458105</v>
      </c>
      <c r="I1441">
        <v>2515.912202</v>
      </c>
      <c r="J1441">
        <v>28.4299926766484</v>
      </c>
      <c r="K1441">
        <v>1.142767065521904</v>
      </c>
      <c r="L1441">
        <v>1.108942670375932</v>
      </c>
      <c r="M1441">
        <v>24.93</v>
      </c>
      <c r="N1441">
        <v>16.61</v>
      </c>
    </row>
    <row r="1442" spans="1:14" x14ac:dyDescent="0.25">
      <c r="A1442" s="1" t="s">
        <v>1454</v>
      </c>
      <c r="B1442" t="str">
        <f>HYPERLINK("https://www.suredividend.com/sure-analysis-research-database/","Skyward Specialty Insurance Group Inc")</f>
        <v>Skyward Specialty Insurance Group Inc</v>
      </c>
      <c r="C1442" t="s">
        <v>1797</v>
      </c>
      <c r="D1442">
        <v>27.92</v>
      </c>
      <c r="E1442">
        <v>0</v>
      </c>
      <c r="F1442" t="s">
        <v>1797</v>
      </c>
      <c r="G1442" t="s">
        <v>1797</v>
      </c>
      <c r="H1442">
        <v>0</v>
      </c>
      <c r="I1442">
        <v>1051.859839</v>
      </c>
      <c r="J1442">
        <v>0</v>
      </c>
      <c r="K1442" t="s">
        <v>1797</v>
      </c>
      <c r="L1442">
        <v>0.49583558764117502</v>
      </c>
      <c r="M1442">
        <v>29.59</v>
      </c>
      <c r="N1442">
        <v>17.5</v>
      </c>
    </row>
    <row r="1443" spans="1:14" x14ac:dyDescent="0.25">
      <c r="A1443" s="1" t="s">
        <v>1455</v>
      </c>
      <c r="B1443" t="str">
        <f>HYPERLINK("https://www.suredividend.com/sure-analysis-research-database/","Skyline Champion Corp")</f>
        <v>Skyline Champion Corp</v>
      </c>
      <c r="C1443" t="s">
        <v>1801</v>
      </c>
      <c r="D1443">
        <v>59.49</v>
      </c>
      <c r="E1443">
        <v>0</v>
      </c>
      <c r="F1443" t="s">
        <v>1797</v>
      </c>
      <c r="G1443" t="s">
        <v>1797</v>
      </c>
      <c r="H1443">
        <v>0</v>
      </c>
      <c r="I1443">
        <v>3427.6757240000002</v>
      </c>
      <c r="J1443">
        <v>14.43250114195126</v>
      </c>
      <c r="K1443">
        <v>0</v>
      </c>
      <c r="L1443">
        <v>1.5697921376233159</v>
      </c>
      <c r="M1443">
        <v>76.819999999999993</v>
      </c>
      <c r="N1443">
        <v>45.66</v>
      </c>
    </row>
    <row r="1444" spans="1:14" x14ac:dyDescent="0.25">
      <c r="A1444" s="1" t="s">
        <v>1456</v>
      </c>
      <c r="B1444" t="str">
        <f>HYPERLINK("https://www.suredividend.com/sure-analysis-research-database/","SkyWater Technology Inc")</f>
        <v>SkyWater Technology Inc</v>
      </c>
      <c r="C1444" t="s">
        <v>1797</v>
      </c>
      <c r="D1444">
        <v>5.59</v>
      </c>
      <c r="E1444">
        <v>0</v>
      </c>
      <c r="F1444" t="s">
        <v>1797</v>
      </c>
      <c r="G1444" t="s">
        <v>1797</v>
      </c>
      <c r="H1444">
        <v>0</v>
      </c>
      <c r="I1444">
        <v>258.725056</v>
      </c>
      <c r="J1444" t="s">
        <v>1797</v>
      </c>
      <c r="K1444">
        <v>0</v>
      </c>
      <c r="L1444">
        <v>2.0056188831918629</v>
      </c>
      <c r="M1444">
        <v>15.99</v>
      </c>
      <c r="N1444">
        <v>4.7300000000000004</v>
      </c>
    </row>
    <row r="1445" spans="1:14" x14ac:dyDescent="0.25">
      <c r="A1445" s="1" t="s">
        <v>1457</v>
      </c>
      <c r="B1445" t="str">
        <f>HYPERLINK("https://www.suredividend.com/sure-analysis-research-database/","Skywest Inc.")</f>
        <v>Skywest Inc.</v>
      </c>
      <c r="C1445" t="s">
        <v>1798</v>
      </c>
      <c r="D1445">
        <v>44.51</v>
      </c>
      <c r="E1445">
        <v>0</v>
      </c>
      <c r="F1445" t="s">
        <v>1797</v>
      </c>
      <c r="G1445" t="s">
        <v>1797</v>
      </c>
      <c r="H1445">
        <v>0</v>
      </c>
      <c r="I1445">
        <v>1822.403286</v>
      </c>
      <c r="J1445" t="s">
        <v>1797</v>
      </c>
      <c r="K1445">
        <v>0</v>
      </c>
      <c r="L1445">
        <v>1.4299985633642101</v>
      </c>
      <c r="M1445">
        <v>46.07</v>
      </c>
      <c r="N1445">
        <v>14.76</v>
      </c>
    </row>
    <row r="1446" spans="1:14" x14ac:dyDescent="0.25">
      <c r="A1446" s="1" t="s">
        <v>1458</v>
      </c>
      <c r="B1446" t="str">
        <f>HYPERLINK("https://www.suredividend.com/sure-analysis-research-database/","Silicon Laboratories Inc")</f>
        <v>Silicon Laboratories Inc</v>
      </c>
      <c r="C1446" t="s">
        <v>1803</v>
      </c>
      <c r="D1446">
        <v>91.54</v>
      </c>
      <c r="E1446">
        <v>0</v>
      </c>
      <c r="F1446" t="s">
        <v>1797</v>
      </c>
      <c r="G1446" t="s">
        <v>1797</v>
      </c>
      <c r="H1446">
        <v>0</v>
      </c>
      <c r="I1446">
        <v>2909.0803259999998</v>
      </c>
      <c r="J1446">
        <v>47.979290241126797</v>
      </c>
      <c r="K1446">
        <v>0</v>
      </c>
      <c r="L1446">
        <v>1.6930155412427681</v>
      </c>
      <c r="M1446">
        <v>194.68</v>
      </c>
      <c r="N1446">
        <v>74.56</v>
      </c>
    </row>
    <row r="1447" spans="1:14" x14ac:dyDescent="0.25">
      <c r="A1447" s="1" t="s">
        <v>1459</v>
      </c>
      <c r="B1447" t="str">
        <f>HYPERLINK("https://www.suredividend.com/sure-analysis-research-database/","U.S. Silica Holdings Inc")</f>
        <v>U.S. Silica Holdings Inc</v>
      </c>
      <c r="C1447" t="s">
        <v>1807</v>
      </c>
      <c r="D1447">
        <v>11.95</v>
      </c>
      <c r="E1447">
        <v>0</v>
      </c>
      <c r="F1447" t="s">
        <v>1797</v>
      </c>
      <c r="G1447" t="s">
        <v>1797</v>
      </c>
      <c r="H1447">
        <v>0</v>
      </c>
      <c r="I1447">
        <v>921.54511500000001</v>
      </c>
      <c r="J1447">
        <v>5.9620692167848448</v>
      </c>
      <c r="K1447">
        <v>0</v>
      </c>
      <c r="L1447">
        <v>1.2698530207435641</v>
      </c>
      <c r="M1447">
        <v>14.9</v>
      </c>
      <c r="N1447">
        <v>10.38</v>
      </c>
    </row>
    <row r="1448" spans="1:14" x14ac:dyDescent="0.25">
      <c r="A1448" s="1" t="s">
        <v>1460</v>
      </c>
      <c r="B1448" t="str">
        <f>HYPERLINK("https://www.suredividend.com/sure-analysis-research-database/","Solid Power Inc")</f>
        <v>Solid Power Inc</v>
      </c>
      <c r="C1448" t="s">
        <v>1797</v>
      </c>
      <c r="D1448">
        <v>1.4</v>
      </c>
      <c r="E1448">
        <v>0</v>
      </c>
      <c r="F1448" t="s">
        <v>1797</v>
      </c>
      <c r="G1448" t="s">
        <v>1797</v>
      </c>
      <c r="H1448">
        <v>0</v>
      </c>
      <c r="I1448">
        <v>249.74662000000001</v>
      </c>
      <c r="J1448" t="s">
        <v>1797</v>
      </c>
      <c r="K1448">
        <v>0</v>
      </c>
      <c r="L1448">
        <v>1.6469163868859631</v>
      </c>
      <c r="M1448">
        <v>5.97</v>
      </c>
      <c r="N1448">
        <v>1.2</v>
      </c>
    </row>
    <row r="1449" spans="1:14" x14ac:dyDescent="0.25">
      <c r="A1449" s="1" t="s">
        <v>1461</v>
      </c>
      <c r="B1449" t="str">
        <f>HYPERLINK("https://www.suredividend.com/sure-analysis-research-database/","SomaLogic Inc")</f>
        <v>SomaLogic Inc</v>
      </c>
      <c r="C1449" t="s">
        <v>1797</v>
      </c>
      <c r="D1449">
        <v>2.2599999999999998</v>
      </c>
      <c r="E1449">
        <v>0</v>
      </c>
      <c r="F1449" t="s">
        <v>1797</v>
      </c>
      <c r="G1449" t="s">
        <v>1797</v>
      </c>
      <c r="H1449">
        <v>0</v>
      </c>
      <c r="I1449">
        <v>425.04169400000001</v>
      </c>
      <c r="J1449" t="s">
        <v>1797</v>
      </c>
      <c r="K1449">
        <v>0</v>
      </c>
      <c r="L1449">
        <v>1.4850205502184439</v>
      </c>
      <c r="M1449">
        <v>3.79</v>
      </c>
      <c r="N1449">
        <v>1.73</v>
      </c>
    </row>
    <row r="1450" spans="1:14" x14ac:dyDescent="0.25">
      <c r="A1450" s="1" t="s">
        <v>1462</v>
      </c>
      <c r="B1450" t="str">
        <f>HYPERLINK("https://www.suredividend.com/sure-analysis-research-database/","Simulations Plus Inc.")</f>
        <v>Simulations Plus Inc.</v>
      </c>
      <c r="C1450" t="s">
        <v>1802</v>
      </c>
      <c r="D1450">
        <v>36.49</v>
      </c>
      <c r="E1450">
        <v>6.5469286608460008E-3</v>
      </c>
      <c r="F1450">
        <v>0</v>
      </c>
      <c r="G1450">
        <v>0</v>
      </c>
      <c r="H1450">
        <v>0.23889742683427301</v>
      </c>
      <c r="I1450">
        <v>727.53761999999995</v>
      </c>
      <c r="J1450">
        <v>73.038612589097482</v>
      </c>
      <c r="K1450">
        <v>0.49085150366606328</v>
      </c>
      <c r="L1450">
        <v>1.184465862908652</v>
      </c>
      <c r="M1450">
        <v>52.5</v>
      </c>
      <c r="N1450">
        <v>32.24</v>
      </c>
    </row>
    <row r="1451" spans="1:14" x14ac:dyDescent="0.25">
      <c r="A1451" s="1" t="s">
        <v>1463</v>
      </c>
      <c r="B1451" t="str">
        <f>HYPERLINK("https://www.suredividend.com/sure-analysis-research-database/","SelectQuote Inc")</f>
        <v>SelectQuote Inc</v>
      </c>
      <c r="C1451" t="s">
        <v>1797</v>
      </c>
      <c r="D1451">
        <v>1.32</v>
      </c>
      <c r="E1451">
        <v>0</v>
      </c>
      <c r="F1451" t="s">
        <v>1797</v>
      </c>
      <c r="G1451" t="s">
        <v>1797</v>
      </c>
      <c r="H1451">
        <v>0</v>
      </c>
      <c r="I1451">
        <v>221.39648500000001</v>
      </c>
      <c r="J1451" t="s">
        <v>1797</v>
      </c>
      <c r="K1451">
        <v>0</v>
      </c>
      <c r="L1451">
        <v>3.598405936547814</v>
      </c>
      <c r="M1451">
        <v>2.94</v>
      </c>
      <c r="N1451">
        <v>0.52</v>
      </c>
    </row>
    <row r="1452" spans="1:14" x14ac:dyDescent="0.25">
      <c r="A1452" s="1" t="s">
        <v>1464</v>
      </c>
      <c r="B1452" t="str">
        <f>HYPERLINK("https://www.suredividend.com/sure-analysis-research-database/","Sylvamo Corp")</f>
        <v>Sylvamo Corp</v>
      </c>
      <c r="C1452" t="s">
        <v>1797</v>
      </c>
      <c r="D1452">
        <v>45.74</v>
      </c>
      <c r="E1452">
        <v>2.27476960463E-2</v>
      </c>
      <c r="F1452" t="s">
        <v>1797</v>
      </c>
      <c r="G1452" t="s">
        <v>1797</v>
      </c>
      <c r="H1452">
        <v>1.040479617157791</v>
      </c>
      <c r="I1452">
        <v>1914.8844260000001</v>
      </c>
      <c r="J1452">
        <v>6.4474223081481483</v>
      </c>
      <c r="K1452">
        <v>0.1530117084055575</v>
      </c>
      <c r="L1452">
        <v>0.84029597256993405</v>
      </c>
      <c r="M1452">
        <v>56.03</v>
      </c>
      <c r="N1452">
        <v>37.33</v>
      </c>
    </row>
    <row r="1453" spans="1:14" x14ac:dyDescent="0.25">
      <c r="A1453" s="1" t="s">
        <v>1465</v>
      </c>
      <c r="B1453" t="str">
        <f>HYPERLINK("https://www.suredividend.com/sure-analysis-research-database/","SM Energy Co")</f>
        <v>SM Energy Co</v>
      </c>
      <c r="C1453" t="s">
        <v>1807</v>
      </c>
      <c r="D1453">
        <v>40.47</v>
      </c>
      <c r="E1453">
        <v>1.4736001843991001E-2</v>
      </c>
      <c r="F1453" t="s">
        <v>1797</v>
      </c>
      <c r="G1453" t="s">
        <v>1797</v>
      </c>
      <c r="H1453">
        <v>0.596365994626325</v>
      </c>
      <c r="I1453">
        <v>4803.7889999999998</v>
      </c>
      <c r="J1453">
        <v>4.4147238057252398</v>
      </c>
      <c r="K1453">
        <v>6.7158332728189746E-2</v>
      </c>
      <c r="L1453">
        <v>1.293323487043184</v>
      </c>
      <c r="M1453">
        <v>47.71</v>
      </c>
      <c r="N1453">
        <v>24.34</v>
      </c>
    </row>
    <row r="1454" spans="1:14" x14ac:dyDescent="0.25">
      <c r="A1454" s="1" t="s">
        <v>1466</v>
      </c>
      <c r="B1454" t="str">
        <f>HYPERLINK("https://www.suredividend.com/sure-analysis-research-database/","Southern Missouri Bancorp, Inc.")</f>
        <v>Southern Missouri Bancorp, Inc.</v>
      </c>
      <c r="C1454" t="s">
        <v>1800</v>
      </c>
      <c r="D1454">
        <v>44.21</v>
      </c>
      <c r="E1454">
        <v>1.8787272756575001E-2</v>
      </c>
      <c r="F1454">
        <v>0</v>
      </c>
      <c r="G1454">
        <v>0.10066508085209661</v>
      </c>
      <c r="H1454">
        <v>0.83058532856819411</v>
      </c>
      <c r="I1454">
        <v>501.18498499999998</v>
      </c>
      <c r="J1454">
        <v>0</v>
      </c>
      <c r="K1454" t="s">
        <v>1797</v>
      </c>
      <c r="L1454">
        <v>1.1140023519673561</v>
      </c>
      <c r="M1454">
        <v>53.03</v>
      </c>
      <c r="N1454">
        <v>29.8</v>
      </c>
    </row>
    <row r="1455" spans="1:14" x14ac:dyDescent="0.25">
      <c r="A1455" s="1" t="s">
        <v>1467</v>
      </c>
      <c r="B1455" t="str">
        <f>HYPERLINK("https://www.suredividend.com/sure-analysis-research-database/","SmartFinancial Inc")</f>
        <v>SmartFinancial Inc</v>
      </c>
      <c r="C1455" t="s">
        <v>1800</v>
      </c>
      <c r="D1455">
        <v>21.8</v>
      </c>
      <c r="E1455">
        <v>1.4108511007273001E-2</v>
      </c>
      <c r="F1455" t="s">
        <v>1797</v>
      </c>
      <c r="G1455" t="s">
        <v>1797</v>
      </c>
      <c r="H1455">
        <v>0.307565539958567</v>
      </c>
      <c r="I1455">
        <v>370.68920600000001</v>
      </c>
      <c r="J1455">
        <v>0</v>
      </c>
      <c r="K1455" t="s">
        <v>1797</v>
      </c>
      <c r="L1455">
        <v>0.87967253789074107</v>
      </c>
      <c r="M1455">
        <v>30.1</v>
      </c>
      <c r="N1455">
        <v>18.670000000000002</v>
      </c>
    </row>
    <row r="1456" spans="1:14" x14ac:dyDescent="0.25">
      <c r="A1456" s="1" t="s">
        <v>1468</v>
      </c>
      <c r="B1456" t="str">
        <f>HYPERLINK("https://www.suredividend.com/sure-analysis-research-database/","Super Micro Computer Inc")</f>
        <v>Super Micro Computer Inc</v>
      </c>
      <c r="C1456" t="s">
        <v>1803</v>
      </c>
      <c r="D1456">
        <v>255</v>
      </c>
      <c r="E1456">
        <v>0</v>
      </c>
      <c r="F1456" t="s">
        <v>1797</v>
      </c>
      <c r="G1456" t="s">
        <v>1797</v>
      </c>
      <c r="H1456">
        <v>0</v>
      </c>
      <c r="I1456">
        <v>13489.5</v>
      </c>
      <c r="J1456">
        <v>21.077409616905051</v>
      </c>
      <c r="K1456">
        <v>0</v>
      </c>
      <c r="L1456">
        <v>1.7165790348842671</v>
      </c>
      <c r="M1456">
        <v>357</v>
      </c>
      <c r="N1456">
        <v>69.02</v>
      </c>
    </row>
    <row r="1457" spans="1:14" x14ac:dyDescent="0.25">
      <c r="A1457" s="1" t="s">
        <v>1469</v>
      </c>
      <c r="B1457" t="str">
        <f>HYPERLINK("https://www.suredividend.com/sure-analysis-research-database/","Summit Financial Group Inc")</f>
        <v>Summit Financial Group Inc</v>
      </c>
      <c r="C1457" t="s">
        <v>1800</v>
      </c>
      <c r="D1457">
        <v>21.73</v>
      </c>
      <c r="E1457">
        <v>3.6812597627941999E-2</v>
      </c>
      <c r="F1457">
        <v>9.9999999999999867E-2</v>
      </c>
      <c r="G1457">
        <v>9.4608784223157549E-2</v>
      </c>
      <c r="H1457">
        <v>0.79993774645518301</v>
      </c>
      <c r="I1457">
        <v>318.82575400000002</v>
      </c>
      <c r="J1457">
        <v>0</v>
      </c>
      <c r="K1457" t="s">
        <v>1797</v>
      </c>
      <c r="L1457">
        <v>0.75528849404627407</v>
      </c>
      <c r="M1457">
        <v>27.7</v>
      </c>
      <c r="N1457">
        <v>16.440000000000001</v>
      </c>
    </row>
    <row r="1458" spans="1:14" x14ac:dyDescent="0.25">
      <c r="A1458" s="1" t="s">
        <v>1470</v>
      </c>
      <c r="B1458" t="str">
        <f>HYPERLINK("https://www.suredividend.com/sure-analysis-research-database/","Standard Motor Products, Inc.")</f>
        <v>Standard Motor Products, Inc.</v>
      </c>
      <c r="C1458" t="s">
        <v>1801</v>
      </c>
      <c r="D1458">
        <v>35.9</v>
      </c>
      <c r="E1458">
        <v>3.1393497306958999E-2</v>
      </c>
      <c r="F1458" t="s">
        <v>1797</v>
      </c>
      <c r="G1458" t="s">
        <v>1797</v>
      </c>
      <c r="H1458">
        <v>1.1270265533198389</v>
      </c>
      <c r="I1458">
        <v>780.08158300000002</v>
      </c>
      <c r="J1458">
        <v>21.883512856621881</v>
      </c>
      <c r="K1458">
        <v>0.70001649274524158</v>
      </c>
      <c r="L1458">
        <v>0.89137202293879603</v>
      </c>
      <c r="M1458">
        <v>41.46</v>
      </c>
      <c r="N1458">
        <v>30.15</v>
      </c>
    </row>
    <row r="1459" spans="1:14" x14ac:dyDescent="0.25">
      <c r="A1459" s="1" t="s">
        <v>1471</v>
      </c>
      <c r="B1459" t="str">
        <f>HYPERLINK("https://www.suredividend.com/sure-analysis-research-database/","Simply Good Foods Co")</f>
        <v>Simply Good Foods Co</v>
      </c>
      <c r="C1459" t="s">
        <v>1804</v>
      </c>
      <c r="D1459">
        <v>37.54</v>
      </c>
      <c r="E1459">
        <v>0</v>
      </c>
      <c r="F1459" t="s">
        <v>1797</v>
      </c>
      <c r="G1459" t="s">
        <v>1797</v>
      </c>
      <c r="H1459">
        <v>0</v>
      </c>
      <c r="I1459">
        <v>3739.1296550000002</v>
      </c>
      <c r="J1459">
        <v>27.99273558075987</v>
      </c>
      <c r="K1459">
        <v>0</v>
      </c>
      <c r="L1459">
        <v>0.68871869529339502</v>
      </c>
      <c r="M1459">
        <v>40.159999999999997</v>
      </c>
      <c r="N1459">
        <v>31.06</v>
      </c>
    </row>
    <row r="1460" spans="1:14" x14ac:dyDescent="0.25">
      <c r="A1460" s="1" t="s">
        <v>1472</v>
      </c>
      <c r="B1460" t="str">
        <f>HYPERLINK("https://www.suredividend.com/sure-analysis-research-database/","NuScale Power Corporation")</f>
        <v>NuScale Power Corporation</v>
      </c>
      <c r="C1460" t="s">
        <v>1797</v>
      </c>
      <c r="D1460">
        <v>3.45</v>
      </c>
      <c r="E1460">
        <v>0</v>
      </c>
      <c r="F1460" t="s">
        <v>1797</v>
      </c>
      <c r="G1460" t="s">
        <v>1797</v>
      </c>
      <c r="H1460">
        <v>0</v>
      </c>
      <c r="I1460">
        <v>256.96708799999999</v>
      </c>
      <c r="J1460" t="s">
        <v>1797</v>
      </c>
      <c r="K1460">
        <v>0</v>
      </c>
      <c r="L1460">
        <v>1.088097138344748</v>
      </c>
      <c r="M1460">
        <v>12.14</v>
      </c>
      <c r="N1460">
        <v>3.01</v>
      </c>
    </row>
    <row r="1461" spans="1:14" x14ac:dyDescent="0.25">
      <c r="A1461" s="1" t="s">
        <v>1473</v>
      </c>
      <c r="B1461" t="str">
        <f>HYPERLINK("https://www.suredividend.com/sure-analysis-research-database/","SmartRent Inc")</f>
        <v>SmartRent Inc</v>
      </c>
      <c r="C1461" t="s">
        <v>1801</v>
      </c>
      <c r="D1461">
        <v>2.66</v>
      </c>
      <c r="E1461">
        <v>0</v>
      </c>
      <c r="F1461" t="s">
        <v>1797</v>
      </c>
      <c r="G1461" t="s">
        <v>1797</v>
      </c>
      <c r="H1461">
        <v>0</v>
      </c>
      <c r="I1461">
        <v>532.62430700000004</v>
      </c>
      <c r="J1461" t="s">
        <v>1797</v>
      </c>
      <c r="K1461">
        <v>0</v>
      </c>
      <c r="L1461">
        <v>1.551372659056514</v>
      </c>
      <c r="M1461">
        <v>4.12</v>
      </c>
      <c r="N1461">
        <v>2.0299999999999998</v>
      </c>
    </row>
    <row r="1462" spans="1:14" x14ac:dyDescent="0.25">
      <c r="A1462" s="1" t="s">
        <v>1474</v>
      </c>
      <c r="B1462" t="str">
        <f>HYPERLINK("https://www.suredividend.com/sure-analysis-research-database/","Semtech Corp.")</f>
        <v>Semtech Corp.</v>
      </c>
      <c r="C1462" t="s">
        <v>1803</v>
      </c>
      <c r="D1462">
        <v>14.72</v>
      </c>
      <c r="E1462">
        <v>0</v>
      </c>
      <c r="F1462" t="s">
        <v>1797</v>
      </c>
      <c r="G1462" t="s">
        <v>1797</v>
      </c>
      <c r="H1462">
        <v>0</v>
      </c>
      <c r="I1462">
        <v>944.58240000000001</v>
      </c>
      <c r="J1462" t="s">
        <v>1797</v>
      </c>
      <c r="K1462">
        <v>0</v>
      </c>
      <c r="L1462">
        <v>1.518112108303322</v>
      </c>
      <c r="M1462">
        <v>35.18</v>
      </c>
      <c r="N1462">
        <v>13.13</v>
      </c>
    </row>
    <row r="1463" spans="1:14" x14ac:dyDescent="0.25">
      <c r="A1463" s="1" t="s">
        <v>1475</v>
      </c>
      <c r="B1463" t="str">
        <f>HYPERLINK("https://www.suredividend.com/sure-analysis-research-database/","Sleep Number Corp")</f>
        <v>Sleep Number Corp</v>
      </c>
      <c r="C1463" t="s">
        <v>1801</v>
      </c>
      <c r="D1463">
        <v>16.73</v>
      </c>
      <c r="E1463">
        <v>0</v>
      </c>
      <c r="F1463" t="s">
        <v>1797</v>
      </c>
      <c r="G1463" t="s">
        <v>1797</v>
      </c>
      <c r="H1463">
        <v>0</v>
      </c>
      <c r="I1463">
        <v>371.64022</v>
      </c>
      <c r="J1463">
        <v>31.436323803079009</v>
      </c>
      <c r="K1463">
        <v>0</v>
      </c>
      <c r="L1463">
        <v>1.61488190435255</v>
      </c>
      <c r="M1463">
        <v>41.61</v>
      </c>
      <c r="N1463">
        <v>15.05</v>
      </c>
    </row>
    <row r="1464" spans="1:14" x14ac:dyDescent="0.25">
      <c r="A1464" s="1" t="s">
        <v>1476</v>
      </c>
      <c r="B1464" t="str">
        <f>HYPERLINK("https://www.suredividend.com/sure-analysis-research-database/","Science 37 Holdings Inc")</f>
        <v>Science 37 Holdings Inc</v>
      </c>
      <c r="C1464" t="s">
        <v>1797</v>
      </c>
      <c r="D1464">
        <v>0.39750000000000002</v>
      </c>
      <c r="E1464">
        <v>0</v>
      </c>
      <c r="F1464" t="s">
        <v>1797</v>
      </c>
      <c r="G1464" t="s">
        <v>1797</v>
      </c>
      <c r="H1464">
        <v>0</v>
      </c>
      <c r="I1464">
        <v>47.437432000000001</v>
      </c>
      <c r="J1464" t="s">
        <v>1797</v>
      </c>
      <c r="K1464">
        <v>0</v>
      </c>
      <c r="L1464">
        <v>-0.219726687314588</v>
      </c>
      <c r="M1464">
        <v>1.44</v>
      </c>
      <c r="N1464">
        <v>0.19</v>
      </c>
    </row>
    <row r="1465" spans="1:14" x14ac:dyDescent="0.25">
      <c r="A1465" s="1" t="s">
        <v>1477</v>
      </c>
      <c r="B1465" t="str">
        <f>HYPERLINK("https://www.suredividend.com/sure-analysis-research-database/","Sun Country Airlines Holdings Inc")</f>
        <v>Sun Country Airlines Holdings Inc</v>
      </c>
      <c r="C1465" t="s">
        <v>1797</v>
      </c>
      <c r="D1465">
        <v>13.75</v>
      </c>
      <c r="E1465">
        <v>0</v>
      </c>
      <c r="F1465" t="s">
        <v>1797</v>
      </c>
      <c r="G1465" t="s">
        <v>1797</v>
      </c>
      <c r="H1465">
        <v>0</v>
      </c>
      <c r="I1465">
        <v>770.16814899999997</v>
      </c>
      <c r="J1465">
        <v>10.014278918043869</v>
      </c>
      <c r="K1465">
        <v>0</v>
      </c>
      <c r="L1465">
        <v>1.26111635909894</v>
      </c>
      <c r="M1465">
        <v>23.8</v>
      </c>
      <c r="N1465">
        <v>12.57</v>
      </c>
    </row>
    <row r="1466" spans="1:14" x14ac:dyDescent="0.25">
      <c r="A1466" s="1" t="s">
        <v>1478</v>
      </c>
      <c r="B1466" t="str">
        <f>HYPERLINK("https://www.suredividend.com/sure-analysis-research-database/","Syndax Pharmaceuticals Inc")</f>
        <v>Syndax Pharmaceuticals Inc</v>
      </c>
      <c r="C1466" t="s">
        <v>1802</v>
      </c>
      <c r="D1466">
        <v>14.8</v>
      </c>
      <c r="E1466">
        <v>0</v>
      </c>
      <c r="F1466" t="s">
        <v>1797</v>
      </c>
      <c r="G1466" t="s">
        <v>1797</v>
      </c>
      <c r="H1466">
        <v>0</v>
      </c>
      <c r="I1466">
        <v>1028.3639840000001</v>
      </c>
      <c r="J1466" t="s">
        <v>1797</v>
      </c>
      <c r="K1466">
        <v>0</v>
      </c>
      <c r="L1466">
        <v>0.85423297392328101</v>
      </c>
      <c r="M1466">
        <v>29.86</v>
      </c>
      <c r="N1466">
        <v>11.22</v>
      </c>
    </row>
    <row r="1467" spans="1:14" x14ac:dyDescent="0.25">
      <c r="A1467" s="1" t="s">
        <v>1479</v>
      </c>
      <c r="B1467" t="str">
        <f>HYPERLINK("https://www.suredividend.com/sure-analysis-research-database/","StoneX Group Inc")</f>
        <v>StoneX Group Inc</v>
      </c>
      <c r="C1467" t="s">
        <v>1797</v>
      </c>
      <c r="D1467">
        <v>97.42</v>
      </c>
      <c r="E1467">
        <v>0</v>
      </c>
      <c r="F1467" t="s">
        <v>1797</v>
      </c>
      <c r="G1467" t="s">
        <v>1797</v>
      </c>
      <c r="H1467">
        <v>0</v>
      </c>
      <c r="I1467">
        <v>2025.8259089999999</v>
      </c>
      <c r="J1467">
        <v>8.7244871183462536</v>
      </c>
      <c r="K1467">
        <v>0</v>
      </c>
      <c r="L1467">
        <v>0.75494894223729803</v>
      </c>
      <c r="M1467">
        <v>106.35</v>
      </c>
      <c r="N1467">
        <v>74.430000000000007</v>
      </c>
    </row>
    <row r="1468" spans="1:14" x14ac:dyDescent="0.25">
      <c r="A1468" s="1" t="s">
        <v>1480</v>
      </c>
      <c r="B1468" t="str">
        <f>HYPERLINK("https://www.suredividend.com/sure-analysis-research-database/","Snap One Holdings Corp")</f>
        <v>Snap One Holdings Corp</v>
      </c>
      <c r="C1468" t="s">
        <v>1797</v>
      </c>
      <c r="D1468">
        <v>8.0500000000000007</v>
      </c>
      <c r="E1468">
        <v>0</v>
      </c>
      <c r="F1468" t="s">
        <v>1797</v>
      </c>
      <c r="G1468" t="s">
        <v>1797</v>
      </c>
      <c r="H1468">
        <v>0</v>
      </c>
      <c r="I1468">
        <v>615.29059299999994</v>
      </c>
      <c r="J1468" t="s">
        <v>1797</v>
      </c>
      <c r="K1468">
        <v>0</v>
      </c>
      <c r="L1468">
        <v>0.9858541818680191</v>
      </c>
      <c r="M1468">
        <v>12.38</v>
      </c>
      <c r="N1468">
        <v>7.02</v>
      </c>
    </row>
    <row r="1469" spans="1:14" x14ac:dyDescent="0.25">
      <c r="A1469" s="1" t="s">
        <v>1481</v>
      </c>
      <c r="B1469" t="str">
        <f>HYPERLINK("https://www.suredividend.com/sure-analysis-research-database/","Solaris Oilfield Infrastructure Inc")</f>
        <v>Solaris Oilfield Infrastructure Inc</v>
      </c>
      <c r="C1469" t="s">
        <v>1807</v>
      </c>
      <c r="D1469">
        <v>9.31</v>
      </c>
      <c r="E1469">
        <v>4.6228823440042997E-2</v>
      </c>
      <c r="F1469" t="s">
        <v>1797</v>
      </c>
      <c r="G1469" t="s">
        <v>1797</v>
      </c>
      <c r="H1469">
        <v>0.43039034622680011</v>
      </c>
      <c r="I1469">
        <v>284.71157699999998</v>
      </c>
      <c r="J1469">
        <v>11.870401382113821</v>
      </c>
      <c r="K1469">
        <v>0.54472895358410334</v>
      </c>
      <c r="L1469">
        <v>1.198165240627624</v>
      </c>
      <c r="M1469">
        <v>12.31</v>
      </c>
      <c r="N1469">
        <v>7.08</v>
      </c>
    </row>
    <row r="1470" spans="1:14" x14ac:dyDescent="0.25">
      <c r="A1470" s="1" t="s">
        <v>1482</v>
      </c>
      <c r="B1470" t="str">
        <f>HYPERLINK("https://www.suredividend.com/sure-analysis-research-database/","Sonder Holdings Inc")</f>
        <v>Sonder Holdings Inc</v>
      </c>
      <c r="C1470" t="s">
        <v>1797</v>
      </c>
      <c r="D1470">
        <v>9.14</v>
      </c>
      <c r="E1470">
        <v>0</v>
      </c>
      <c r="F1470" t="s">
        <v>1797</v>
      </c>
      <c r="G1470" t="s">
        <v>1797</v>
      </c>
      <c r="H1470">
        <v>0</v>
      </c>
      <c r="I1470">
        <v>2013.1028140000001</v>
      </c>
      <c r="J1470">
        <v>0</v>
      </c>
      <c r="K1470" t="s">
        <v>1797</v>
      </c>
      <c r="L1470">
        <v>2.8101898595859902</v>
      </c>
      <c r="M1470">
        <v>48.2</v>
      </c>
      <c r="N1470">
        <v>5.4</v>
      </c>
    </row>
    <row r="1471" spans="1:14" x14ac:dyDescent="0.25">
      <c r="A1471" s="1" t="s">
        <v>1483</v>
      </c>
      <c r="B1471" t="str">
        <f>HYPERLINK("https://www.suredividend.com/sure-analysis-research-database/","Sonos Inc")</f>
        <v>Sonos Inc</v>
      </c>
      <c r="C1471" t="s">
        <v>1803</v>
      </c>
      <c r="D1471">
        <v>11.34</v>
      </c>
      <c r="E1471">
        <v>0</v>
      </c>
      <c r="F1471" t="s">
        <v>1797</v>
      </c>
      <c r="G1471" t="s">
        <v>1797</v>
      </c>
      <c r="H1471">
        <v>0</v>
      </c>
      <c r="I1471">
        <v>1454.4475</v>
      </c>
      <c r="J1471" t="s">
        <v>1797</v>
      </c>
      <c r="K1471">
        <v>0</v>
      </c>
      <c r="L1471">
        <v>1.196078958884097</v>
      </c>
      <c r="M1471">
        <v>21.98</v>
      </c>
      <c r="N1471">
        <v>9.7799999999999994</v>
      </c>
    </row>
    <row r="1472" spans="1:14" x14ac:dyDescent="0.25">
      <c r="A1472" s="1" t="s">
        <v>1484</v>
      </c>
      <c r="B1472" t="str">
        <f>HYPERLINK("https://www.suredividend.com/sure-analysis-research-database/","Sovos Brands Inc")</f>
        <v>Sovos Brands Inc</v>
      </c>
      <c r="C1472" t="s">
        <v>1797</v>
      </c>
      <c r="D1472">
        <v>21.62</v>
      </c>
      <c r="E1472">
        <v>0</v>
      </c>
      <c r="F1472" t="s">
        <v>1797</v>
      </c>
      <c r="G1472" t="s">
        <v>1797</v>
      </c>
      <c r="H1472">
        <v>0</v>
      </c>
      <c r="I1472">
        <v>2190.7352500000002</v>
      </c>
      <c r="J1472">
        <v>0</v>
      </c>
      <c r="K1472" t="s">
        <v>1797</v>
      </c>
      <c r="L1472">
        <v>0.52774106665325804</v>
      </c>
      <c r="M1472">
        <v>22.73</v>
      </c>
      <c r="N1472">
        <v>12.74</v>
      </c>
    </row>
    <row r="1473" spans="1:14" x14ac:dyDescent="0.25">
      <c r="A1473" s="1" t="s">
        <v>1485</v>
      </c>
      <c r="B1473" t="str">
        <f>HYPERLINK("https://www.suredividend.com/sure-analysis-research-database/","SP Plus Corp")</f>
        <v>SP Plus Corp</v>
      </c>
      <c r="C1473" t="s">
        <v>1798</v>
      </c>
      <c r="D1473">
        <v>51.51</v>
      </c>
      <c r="E1473">
        <v>0</v>
      </c>
      <c r="F1473" t="s">
        <v>1797</v>
      </c>
      <c r="G1473" t="s">
        <v>1797</v>
      </c>
      <c r="H1473">
        <v>0</v>
      </c>
      <c r="I1473">
        <v>1012.151463</v>
      </c>
      <c r="J1473">
        <v>29.168630046397691</v>
      </c>
      <c r="K1473">
        <v>0</v>
      </c>
      <c r="L1473">
        <v>0.58387552576813007</v>
      </c>
      <c r="M1473">
        <v>52.4</v>
      </c>
      <c r="N1473">
        <v>31.52</v>
      </c>
    </row>
    <row r="1474" spans="1:14" x14ac:dyDescent="0.25">
      <c r="A1474" s="1" t="s">
        <v>1486</v>
      </c>
      <c r="B1474" t="str">
        <f>HYPERLINK("https://www.suredividend.com/sure-analysis-research-database/","Virgin Galactic Holdings Inc")</f>
        <v>Virgin Galactic Holdings Inc</v>
      </c>
      <c r="C1474" t="s">
        <v>1798</v>
      </c>
      <c r="D1474">
        <v>1.85</v>
      </c>
      <c r="E1474">
        <v>0</v>
      </c>
      <c r="F1474" t="s">
        <v>1797</v>
      </c>
      <c r="G1474" t="s">
        <v>1797</v>
      </c>
      <c r="H1474">
        <v>0</v>
      </c>
      <c r="I1474">
        <v>679.20270600000003</v>
      </c>
      <c r="J1474" t="s">
        <v>1797</v>
      </c>
      <c r="K1474">
        <v>0</v>
      </c>
      <c r="L1474">
        <v>2.497322737266825</v>
      </c>
      <c r="M1474">
        <v>6.61</v>
      </c>
      <c r="N1474">
        <v>1.38</v>
      </c>
    </row>
    <row r="1475" spans="1:14" x14ac:dyDescent="0.25">
      <c r="A1475" s="1" t="s">
        <v>1487</v>
      </c>
      <c r="B1475" t="str">
        <f>HYPERLINK("https://www.suredividend.com/sure-analysis-research-database/","South Plains Financial Inc")</f>
        <v>South Plains Financial Inc</v>
      </c>
      <c r="C1475" t="s">
        <v>1800</v>
      </c>
      <c r="D1475">
        <v>27.04</v>
      </c>
      <c r="E1475">
        <v>1.8935735734718E-2</v>
      </c>
      <c r="F1475" t="s">
        <v>1797</v>
      </c>
      <c r="G1475" t="s">
        <v>1797</v>
      </c>
      <c r="H1475">
        <v>0.51202229426678603</v>
      </c>
      <c r="I1475">
        <v>457.346069</v>
      </c>
      <c r="J1475">
        <v>6.8254495036265403</v>
      </c>
      <c r="K1475">
        <v>0.13474270901757529</v>
      </c>
      <c r="L1475">
        <v>0.78074152084207504</v>
      </c>
      <c r="M1475">
        <v>30.79</v>
      </c>
      <c r="N1475">
        <v>18.38</v>
      </c>
    </row>
    <row r="1476" spans="1:14" x14ac:dyDescent="0.25">
      <c r="A1476" s="1" t="s">
        <v>1488</v>
      </c>
      <c r="B1476" t="str">
        <f>HYPERLINK("https://www.suredividend.com/sure-analysis-research-database/","Sphere Entertainment Co")</f>
        <v>Sphere Entertainment Co</v>
      </c>
      <c r="C1476" t="s">
        <v>1797</v>
      </c>
      <c r="D1476">
        <v>36.49</v>
      </c>
      <c r="E1476">
        <v>0</v>
      </c>
      <c r="F1476" t="s">
        <v>1797</v>
      </c>
      <c r="G1476" t="s">
        <v>1797</v>
      </c>
      <c r="H1476">
        <v>0</v>
      </c>
      <c r="I1476">
        <v>1030.6097299999999</v>
      </c>
      <c r="J1476">
        <v>2.0498550641046038</v>
      </c>
      <c r="K1476">
        <v>0</v>
      </c>
      <c r="L1476">
        <v>1.1886903673692939</v>
      </c>
      <c r="M1476">
        <v>62.79</v>
      </c>
      <c r="N1476">
        <v>20.69</v>
      </c>
    </row>
    <row r="1477" spans="1:14" x14ac:dyDescent="0.25">
      <c r="A1477" s="1" t="s">
        <v>1489</v>
      </c>
      <c r="B1477" t="str">
        <f>HYPERLINK("https://www.suredividend.com/sure-analysis-research-database/","Spire Global Inc")</f>
        <v>Spire Global Inc</v>
      </c>
      <c r="C1477" t="s">
        <v>1803</v>
      </c>
      <c r="D1477">
        <v>4.1399999999999997</v>
      </c>
      <c r="E1477">
        <v>0</v>
      </c>
      <c r="F1477" t="s">
        <v>1797</v>
      </c>
      <c r="G1477" t="s">
        <v>1797</v>
      </c>
      <c r="H1477">
        <v>0</v>
      </c>
      <c r="I1477">
        <v>684.99233200000003</v>
      </c>
      <c r="J1477" t="s">
        <v>1797</v>
      </c>
      <c r="K1477">
        <v>0</v>
      </c>
      <c r="L1477">
        <v>2.2848288114806712</v>
      </c>
      <c r="M1477">
        <v>12.64</v>
      </c>
      <c r="N1477">
        <v>2.8</v>
      </c>
    </row>
    <row r="1478" spans="1:14" x14ac:dyDescent="0.25">
      <c r="A1478" s="1" t="s">
        <v>1490</v>
      </c>
      <c r="B1478" t="str">
        <f>HYPERLINK("https://www.suredividend.com/sure-analysis-research-database/","Sapiens International Corp NV")</f>
        <v>Sapiens International Corp NV</v>
      </c>
      <c r="C1478" t="s">
        <v>1803</v>
      </c>
      <c r="D1478">
        <v>28.27</v>
      </c>
      <c r="E1478">
        <v>1.7889790087104E-2</v>
      </c>
      <c r="F1478" t="s">
        <v>1797</v>
      </c>
      <c r="G1478" t="s">
        <v>1797</v>
      </c>
      <c r="H1478">
        <v>0.50574436576244308</v>
      </c>
      <c r="I1478">
        <v>1558.8137369999999</v>
      </c>
      <c r="J1478">
        <v>27.659138661769401</v>
      </c>
      <c r="K1478">
        <v>0.50073699580439912</v>
      </c>
      <c r="L1478">
        <v>1.070698202403767</v>
      </c>
      <c r="M1478">
        <v>30.8</v>
      </c>
      <c r="N1478">
        <v>16.52</v>
      </c>
    </row>
    <row r="1479" spans="1:14" x14ac:dyDescent="0.25">
      <c r="A1479" s="1" t="s">
        <v>1491</v>
      </c>
      <c r="B1479" t="str">
        <f>HYPERLINK("https://www.suredividend.com/sure-analysis-research-database/","SiriusPoint Ltd")</f>
        <v>SiriusPoint Ltd</v>
      </c>
      <c r="C1479" t="s">
        <v>1797</v>
      </c>
      <c r="D1479">
        <v>10.33</v>
      </c>
      <c r="E1479">
        <v>0</v>
      </c>
      <c r="F1479" t="s">
        <v>1797</v>
      </c>
      <c r="G1479" t="s">
        <v>1797</v>
      </c>
      <c r="H1479">
        <v>0</v>
      </c>
      <c r="I1479">
        <v>1699.296198</v>
      </c>
      <c r="J1479">
        <v>26.30489470154799</v>
      </c>
      <c r="K1479">
        <v>0</v>
      </c>
      <c r="L1479">
        <v>0.68001052046993504</v>
      </c>
      <c r="M1479">
        <v>11.34</v>
      </c>
      <c r="N1479">
        <v>5.66</v>
      </c>
    </row>
    <row r="1480" spans="1:14" x14ac:dyDescent="0.25">
      <c r="A1480" s="1" t="s">
        <v>1492</v>
      </c>
      <c r="B1480" t="str">
        <f>HYPERLINK("https://www.suredividend.com/sure-analysis-research-database/","SPS Commerce Inc.")</f>
        <v>SPS Commerce Inc.</v>
      </c>
      <c r="C1480" t="s">
        <v>1803</v>
      </c>
      <c r="D1480">
        <v>166.62</v>
      </c>
      <c r="E1480">
        <v>0</v>
      </c>
      <c r="F1480" t="s">
        <v>1797</v>
      </c>
      <c r="G1480" t="s">
        <v>1797</v>
      </c>
      <c r="H1480">
        <v>0</v>
      </c>
      <c r="I1480">
        <v>6114.555445</v>
      </c>
      <c r="J1480">
        <v>97.477289965565646</v>
      </c>
      <c r="K1480">
        <v>0</v>
      </c>
      <c r="L1480">
        <v>1.46146931580673</v>
      </c>
      <c r="M1480">
        <v>196.39</v>
      </c>
      <c r="N1480">
        <v>116.73</v>
      </c>
    </row>
    <row r="1481" spans="1:14" x14ac:dyDescent="0.25">
      <c r="A1481" s="1" t="s">
        <v>1493</v>
      </c>
      <c r="B1481" t="str">
        <f>HYPERLINK("https://www.suredividend.com/sure-analysis-research-database/","Sprout Social Inc")</f>
        <v>Sprout Social Inc</v>
      </c>
      <c r="C1481" t="s">
        <v>1803</v>
      </c>
      <c r="D1481">
        <v>46.78</v>
      </c>
      <c r="E1481">
        <v>0</v>
      </c>
      <c r="F1481" t="s">
        <v>1797</v>
      </c>
      <c r="G1481" t="s">
        <v>1797</v>
      </c>
      <c r="H1481">
        <v>0</v>
      </c>
      <c r="I1481">
        <v>2266.1063749999998</v>
      </c>
      <c r="J1481" t="s">
        <v>1797</v>
      </c>
      <c r="K1481">
        <v>0</v>
      </c>
      <c r="L1481">
        <v>2.2567899902806889</v>
      </c>
      <c r="M1481">
        <v>74.069999999999993</v>
      </c>
      <c r="N1481">
        <v>37</v>
      </c>
    </row>
    <row r="1482" spans="1:14" x14ac:dyDescent="0.25">
      <c r="A1482" s="1" t="s">
        <v>1494</v>
      </c>
      <c r="B1482" t="str">
        <f>HYPERLINK("https://www.suredividend.com/sure-analysis-SPTN/","SpartanNash Co")</f>
        <v>SpartanNash Co</v>
      </c>
      <c r="C1482" t="s">
        <v>1804</v>
      </c>
      <c r="D1482">
        <v>23.48</v>
      </c>
      <c r="E1482">
        <v>3.6626916524701868E-2</v>
      </c>
      <c r="F1482">
        <v>2.3809523809523721E-2</v>
      </c>
      <c r="G1482">
        <v>3.6175193719643062E-2</v>
      </c>
      <c r="H1482">
        <v>0.83205658815636308</v>
      </c>
      <c r="I1482">
        <v>812.79297799999995</v>
      </c>
      <c r="J1482">
        <v>20.061532224608172</v>
      </c>
      <c r="K1482">
        <v>0.7363332638551886</v>
      </c>
      <c r="L1482">
        <v>0.33678288814380197</v>
      </c>
      <c r="M1482">
        <v>35.71</v>
      </c>
      <c r="N1482">
        <v>19.79</v>
      </c>
    </row>
    <row r="1483" spans="1:14" x14ac:dyDescent="0.25">
      <c r="A1483" s="1" t="s">
        <v>1495</v>
      </c>
      <c r="B1483" t="str">
        <f>HYPERLINK("https://www.suredividend.com/sure-analysis-research-database/","Sportsman`s Warehouse Holdings Inc")</f>
        <v>Sportsman`s Warehouse Holdings Inc</v>
      </c>
      <c r="C1483" t="s">
        <v>1801</v>
      </c>
      <c r="D1483">
        <v>5.18</v>
      </c>
      <c r="E1483">
        <v>0</v>
      </c>
      <c r="F1483" t="s">
        <v>1797</v>
      </c>
      <c r="G1483" t="s">
        <v>1797</v>
      </c>
      <c r="H1483">
        <v>0</v>
      </c>
      <c r="I1483">
        <v>193.656812</v>
      </c>
      <c r="J1483">
        <v>0</v>
      </c>
      <c r="K1483" t="s">
        <v>1797</v>
      </c>
      <c r="L1483">
        <v>0.72243071229441802</v>
      </c>
      <c r="M1483">
        <v>10.62</v>
      </c>
      <c r="N1483">
        <v>2.98</v>
      </c>
    </row>
    <row r="1484" spans="1:14" x14ac:dyDescent="0.25">
      <c r="A1484" s="1" t="s">
        <v>1496</v>
      </c>
      <c r="B1484" t="str">
        <f>HYPERLINK("https://www.suredividend.com/sure-analysis-research-database/","Sunpower Corp")</f>
        <v>Sunpower Corp</v>
      </c>
      <c r="C1484" t="s">
        <v>1803</v>
      </c>
      <c r="D1484">
        <v>4.57</v>
      </c>
      <c r="E1484">
        <v>0</v>
      </c>
      <c r="F1484" t="s">
        <v>1797</v>
      </c>
      <c r="G1484" t="s">
        <v>1797</v>
      </c>
      <c r="H1484">
        <v>0</v>
      </c>
      <c r="I1484">
        <v>800.62610099999995</v>
      </c>
      <c r="J1484">
        <v>12.65451888774736</v>
      </c>
      <c r="K1484">
        <v>0</v>
      </c>
      <c r="L1484">
        <v>2.3486510094181128</v>
      </c>
      <c r="M1484">
        <v>24.97</v>
      </c>
      <c r="N1484">
        <v>3.75</v>
      </c>
    </row>
    <row r="1485" spans="1:14" x14ac:dyDescent="0.25">
      <c r="A1485" s="1" t="s">
        <v>1497</v>
      </c>
      <c r="B1485" t="str">
        <f>HYPERLINK("https://www.suredividend.com/sure-analysis-research-database/","SPX Technologies Inc")</f>
        <v>SPX Technologies Inc</v>
      </c>
      <c r="C1485" t="s">
        <v>1798</v>
      </c>
      <c r="D1485">
        <v>82.51</v>
      </c>
      <c r="E1485">
        <v>0</v>
      </c>
      <c r="F1485" t="s">
        <v>1797</v>
      </c>
      <c r="G1485" t="s">
        <v>1797</v>
      </c>
      <c r="H1485">
        <v>0</v>
      </c>
      <c r="I1485">
        <v>3761.6689369999999</v>
      </c>
      <c r="J1485">
        <v>0</v>
      </c>
      <c r="K1485" t="s">
        <v>1797</v>
      </c>
      <c r="L1485">
        <v>1.1509491459978309</v>
      </c>
      <c r="M1485">
        <v>91.94</v>
      </c>
      <c r="N1485">
        <v>61.09</v>
      </c>
    </row>
    <row r="1486" spans="1:14" x14ac:dyDescent="0.25">
      <c r="A1486" s="1" t="s">
        <v>1498</v>
      </c>
      <c r="B1486" t="str">
        <f>HYPERLINK("https://www.suredividend.com/sure-analysis-research-database/","Squarespace Inc")</f>
        <v>Squarespace Inc</v>
      </c>
      <c r="C1486" t="s">
        <v>1797</v>
      </c>
      <c r="D1486">
        <v>29.9</v>
      </c>
      <c r="E1486">
        <v>0</v>
      </c>
      <c r="F1486" t="s">
        <v>1797</v>
      </c>
      <c r="G1486" t="s">
        <v>1797</v>
      </c>
      <c r="H1486">
        <v>0</v>
      </c>
      <c r="I1486">
        <v>2634.8135349999998</v>
      </c>
      <c r="J1486" t="s">
        <v>1797</v>
      </c>
      <c r="K1486">
        <v>0</v>
      </c>
      <c r="L1486">
        <v>0.75875266543073305</v>
      </c>
      <c r="M1486">
        <v>34.380000000000003</v>
      </c>
      <c r="N1486">
        <v>16.86</v>
      </c>
    </row>
    <row r="1487" spans="1:14" x14ac:dyDescent="0.25">
      <c r="A1487" s="1" t="s">
        <v>1499</v>
      </c>
      <c r="B1487" t="str">
        <f>HYPERLINK("https://www.suredividend.com/sure-analysis-SR/","Spire Inc.")</f>
        <v>Spire Inc.</v>
      </c>
      <c r="C1487" t="s">
        <v>1805</v>
      </c>
      <c r="D1487">
        <v>59.39</v>
      </c>
      <c r="E1487">
        <v>4.8493012291631589E-2</v>
      </c>
      <c r="F1487">
        <v>5.1094890510948732E-2</v>
      </c>
      <c r="G1487">
        <v>3.9749758943638192E-2</v>
      </c>
      <c r="H1487">
        <v>2.8311828100382921</v>
      </c>
      <c r="I1487">
        <v>3124.1003660000001</v>
      </c>
      <c r="J1487">
        <v>13.805127555545729</v>
      </c>
      <c r="K1487">
        <v>0.65688696288591475</v>
      </c>
      <c r="L1487">
        <v>0.58947055579516705</v>
      </c>
      <c r="M1487">
        <v>73.33</v>
      </c>
      <c r="N1487">
        <v>53.77</v>
      </c>
    </row>
    <row r="1488" spans="1:14" x14ac:dyDescent="0.25">
      <c r="A1488" s="1" t="s">
        <v>1500</v>
      </c>
      <c r="B1488" t="str">
        <f>HYPERLINK("https://www.suredividend.com/sure-analysis-SRCE/","1st Source Corp.")</f>
        <v>1st Source Corp.</v>
      </c>
      <c r="C1488" t="s">
        <v>1800</v>
      </c>
      <c r="D1488">
        <v>47.15</v>
      </c>
      <c r="E1488">
        <v>2.8844114528101809E-2</v>
      </c>
      <c r="F1488">
        <v>6.25E-2</v>
      </c>
      <c r="G1488">
        <v>4.7184078606183233E-2</v>
      </c>
      <c r="H1488">
        <v>1.2727669413514771</v>
      </c>
      <c r="I1488">
        <v>1151.831263</v>
      </c>
      <c r="J1488">
        <v>9.1138148599890805</v>
      </c>
      <c r="K1488">
        <v>0.24858729323271039</v>
      </c>
      <c r="L1488">
        <v>0.70964019192611005</v>
      </c>
      <c r="M1488">
        <v>56.52</v>
      </c>
      <c r="N1488">
        <v>37.69</v>
      </c>
    </row>
    <row r="1489" spans="1:14" x14ac:dyDescent="0.25">
      <c r="A1489" s="1" t="s">
        <v>1501</v>
      </c>
      <c r="B1489" t="str">
        <f>HYPERLINK("https://www.suredividend.com/sure-analysis-research-database/","Surmodics, Inc.")</f>
        <v>Surmodics, Inc.</v>
      </c>
      <c r="C1489" t="s">
        <v>1802</v>
      </c>
      <c r="D1489">
        <v>31.05</v>
      </c>
      <c r="E1489">
        <v>0</v>
      </c>
      <c r="F1489" t="s">
        <v>1797</v>
      </c>
      <c r="G1489" t="s">
        <v>1797</v>
      </c>
      <c r="H1489">
        <v>0</v>
      </c>
      <c r="I1489">
        <v>438.86070000000001</v>
      </c>
      <c r="J1489" t="s">
        <v>1797</v>
      </c>
      <c r="K1489">
        <v>0</v>
      </c>
      <c r="L1489">
        <v>0.96638794141086204</v>
      </c>
      <c r="M1489">
        <v>39.409999999999997</v>
      </c>
      <c r="N1489">
        <v>16</v>
      </c>
    </row>
    <row r="1490" spans="1:14" x14ac:dyDescent="0.25">
      <c r="A1490" s="1" t="s">
        <v>1502</v>
      </c>
      <c r="B1490" t="str">
        <f>HYPERLINK("https://www.suredividend.com/sure-analysis-research-database/","Stoneridge Inc.")</f>
        <v>Stoneridge Inc.</v>
      </c>
      <c r="C1490" t="s">
        <v>1801</v>
      </c>
      <c r="D1490">
        <v>16.88</v>
      </c>
      <c r="E1490">
        <v>0</v>
      </c>
      <c r="F1490" t="s">
        <v>1797</v>
      </c>
      <c r="G1490" t="s">
        <v>1797</v>
      </c>
      <c r="H1490">
        <v>0</v>
      </c>
      <c r="I1490">
        <v>464.56854099999998</v>
      </c>
      <c r="J1490" t="s">
        <v>1797</v>
      </c>
      <c r="K1490">
        <v>0</v>
      </c>
      <c r="L1490">
        <v>0.99985062075046505</v>
      </c>
      <c r="M1490">
        <v>25.87</v>
      </c>
      <c r="N1490">
        <v>14.18</v>
      </c>
    </row>
    <row r="1491" spans="1:14" x14ac:dyDescent="0.25">
      <c r="A1491" s="1" t="s">
        <v>1503</v>
      </c>
      <c r="B1491" t="str">
        <f>HYPERLINK("https://www.suredividend.com/sure-analysis-research-database/","SouthState Corporation")</f>
        <v>SouthState Corporation</v>
      </c>
      <c r="C1491" t="s">
        <v>1800</v>
      </c>
      <c r="D1491">
        <v>72.88</v>
      </c>
      <c r="E1491">
        <v>2.7251926067072999E-2</v>
      </c>
      <c r="F1491">
        <v>4.0000000000000042E-2</v>
      </c>
      <c r="G1491">
        <v>6.4740930444701084E-2</v>
      </c>
      <c r="H1491">
        <v>1.9861203717683491</v>
      </c>
      <c r="I1491">
        <v>5539.3529909999997</v>
      </c>
      <c r="J1491">
        <v>10.259619036964869</v>
      </c>
      <c r="K1491">
        <v>0.28092225909028978</v>
      </c>
      <c r="L1491">
        <v>1.1945088409471649</v>
      </c>
      <c r="M1491">
        <v>88.94</v>
      </c>
      <c r="N1491">
        <v>58.24</v>
      </c>
    </row>
    <row r="1492" spans="1:14" x14ac:dyDescent="0.25">
      <c r="A1492" s="1" t="s">
        <v>1504</v>
      </c>
      <c r="B1492" t="str">
        <f>HYPERLINK("https://www.suredividend.com/sure-analysis-research-database/","Simpson Manufacturing Co., Inc.")</f>
        <v>Simpson Manufacturing Co., Inc.</v>
      </c>
      <c r="C1492" t="s">
        <v>1798</v>
      </c>
      <c r="D1492">
        <v>143.44999999999999</v>
      </c>
      <c r="E1492">
        <v>7.3675023338160006E-3</v>
      </c>
      <c r="F1492">
        <v>3.8461538461538547E-2</v>
      </c>
      <c r="G1492">
        <v>4.1809268102644292E-2</v>
      </c>
      <c r="H1492">
        <v>1.0568682097859581</v>
      </c>
      <c r="I1492">
        <v>6121.4200460000002</v>
      </c>
      <c r="J1492">
        <v>17.95064145636249</v>
      </c>
      <c r="K1492">
        <v>0.13260579796561581</v>
      </c>
      <c r="L1492">
        <v>1.2183252439832231</v>
      </c>
      <c r="M1492">
        <v>165.72</v>
      </c>
      <c r="N1492">
        <v>82.55</v>
      </c>
    </row>
    <row r="1493" spans="1:14" x14ac:dyDescent="0.25">
      <c r="A1493" s="1" t="s">
        <v>1505</v>
      </c>
      <c r="B1493" t="str">
        <f>HYPERLINK("https://www.suredividend.com/sure-analysis-research-database/","E.W. Scripps Co.")</f>
        <v>E.W. Scripps Co.</v>
      </c>
      <c r="C1493" t="s">
        <v>1806</v>
      </c>
      <c r="D1493">
        <v>7.2</v>
      </c>
      <c r="E1493">
        <v>0</v>
      </c>
      <c r="F1493" t="s">
        <v>1797</v>
      </c>
      <c r="G1493" t="s">
        <v>1797</v>
      </c>
      <c r="H1493">
        <v>0</v>
      </c>
      <c r="I1493">
        <v>522.32941400000004</v>
      </c>
      <c r="J1493" t="s">
        <v>1797</v>
      </c>
      <c r="K1493">
        <v>0</v>
      </c>
      <c r="L1493">
        <v>2.2744688249227418</v>
      </c>
      <c r="M1493">
        <v>16.13</v>
      </c>
      <c r="N1493">
        <v>4.8499999999999996</v>
      </c>
    </row>
    <row r="1494" spans="1:14" x14ac:dyDescent="0.25">
      <c r="A1494" s="1" t="s">
        <v>1506</v>
      </c>
      <c r="B1494" t="str">
        <f>HYPERLINK("https://www.suredividend.com/sure-analysis-research-database/","SoundThinking Inc")</f>
        <v>SoundThinking Inc</v>
      </c>
      <c r="C1494" t="s">
        <v>1803</v>
      </c>
      <c r="D1494">
        <v>16.22</v>
      </c>
      <c r="E1494">
        <v>0</v>
      </c>
      <c r="F1494" t="s">
        <v>1797</v>
      </c>
      <c r="G1494" t="s">
        <v>1797</v>
      </c>
      <c r="H1494">
        <v>0</v>
      </c>
      <c r="I1494">
        <v>198.35976500000001</v>
      </c>
      <c r="J1494" t="s">
        <v>1797</v>
      </c>
      <c r="K1494">
        <v>0</v>
      </c>
      <c r="L1494">
        <v>0.88109365278805807</v>
      </c>
      <c r="M1494">
        <v>39.46</v>
      </c>
      <c r="N1494">
        <v>14.39</v>
      </c>
    </row>
    <row r="1495" spans="1:14" x14ac:dyDescent="0.25">
      <c r="A1495" s="1" t="s">
        <v>1507</v>
      </c>
      <c r="B1495" t="str">
        <f>HYPERLINK("https://www.suredividend.com/sure-analysis-research-database/","Shutterstock Inc")</f>
        <v>Shutterstock Inc</v>
      </c>
      <c r="C1495" t="s">
        <v>1806</v>
      </c>
      <c r="D1495">
        <v>41.71</v>
      </c>
      <c r="E1495">
        <v>2.4964208482066999E-2</v>
      </c>
      <c r="F1495" t="s">
        <v>1797</v>
      </c>
      <c r="G1495" t="s">
        <v>1797</v>
      </c>
      <c r="H1495">
        <v>1.0412571357870191</v>
      </c>
      <c r="I1495">
        <v>1489.572838</v>
      </c>
      <c r="J1495">
        <v>12.589251594983139</v>
      </c>
      <c r="K1495">
        <v>0.31940402938252122</v>
      </c>
      <c r="L1495">
        <v>1.434122250100621</v>
      </c>
      <c r="M1495">
        <v>79.959999999999994</v>
      </c>
      <c r="N1495">
        <v>33.799999999999997</v>
      </c>
    </row>
    <row r="1496" spans="1:14" x14ac:dyDescent="0.25">
      <c r="A1496" s="1" t="s">
        <v>1508</v>
      </c>
      <c r="B1496" t="str">
        <f>HYPERLINK("https://www.suredividend.com/sure-analysis-research-database/","Staar Surgical Co.")</f>
        <v>Staar Surgical Co.</v>
      </c>
      <c r="C1496" t="s">
        <v>1802</v>
      </c>
      <c r="D1496">
        <v>37.81</v>
      </c>
      <c r="E1496">
        <v>0</v>
      </c>
      <c r="F1496" t="s">
        <v>1797</v>
      </c>
      <c r="G1496" t="s">
        <v>1797</v>
      </c>
      <c r="H1496">
        <v>0</v>
      </c>
      <c r="I1496">
        <v>1833.780917</v>
      </c>
      <c r="J1496">
        <v>73.67836861746153</v>
      </c>
      <c r="K1496">
        <v>0</v>
      </c>
      <c r="L1496">
        <v>1.6939344659515061</v>
      </c>
      <c r="M1496">
        <v>81.81</v>
      </c>
      <c r="N1496">
        <v>34.31</v>
      </c>
    </row>
    <row r="1497" spans="1:14" x14ac:dyDescent="0.25">
      <c r="A1497" s="1" t="s">
        <v>1509</v>
      </c>
      <c r="B1497" t="str">
        <f>HYPERLINK("https://www.suredividend.com/sure-analysis-STAG/","STAG Industrial Inc")</f>
        <v>STAG Industrial Inc</v>
      </c>
      <c r="C1497" t="s">
        <v>1799</v>
      </c>
      <c r="D1497">
        <v>35.36</v>
      </c>
      <c r="E1497">
        <v>4.1572398190045247E-2</v>
      </c>
      <c r="F1497">
        <v>0</v>
      </c>
      <c r="G1497">
        <v>1.3655766214057949E-3</v>
      </c>
      <c r="H1497">
        <v>1.4400135740696549</v>
      </c>
      <c r="I1497">
        <v>6420.3470950000001</v>
      </c>
      <c r="J1497">
        <v>35.532387485306323</v>
      </c>
      <c r="K1497">
        <v>1.4400135740696549</v>
      </c>
      <c r="L1497">
        <v>1.1416279438431871</v>
      </c>
      <c r="M1497">
        <v>38.29</v>
      </c>
      <c r="N1497">
        <v>29.7</v>
      </c>
    </row>
    <row r="1498" spans="1:14" x14ac:dyDescent="0.25">
      <c r="A1498" s="1" t="s">
        <v>1510</v>
      </c>
      <c r="B1498" t="str">
        <f>HYPERLINK("https://www.suredividend.com/sure-analysis-research-database/","S &amp; T Bancorp, Inc.")</f>
        <v>S &amp; T Bancorp, Inc.</v>
      </c>
      <c r="C1498" t="s">
        <v>1800</v>
      </c>
      <c r="D1498">
        <v>28.54</v>
      </c>
      <c r="E1498">
        <v>3.3139830793520002E-2</v>
      </c>
      <c r="F1498" t="s">
        <v>1797</v>
      </c>
      <c r="G1498" t="s">
        <v>1797</v>
      </c>
      <c r="H1498">
        <v>0.9458107708470751</v>
      </c>
      <c r="I1498">
        <v>1091.42434</v>
      </c>
      <c r="J1498">
        <v>7.2036931120923509</v>
      </c>
      <c r="K1498">
        <v>0.2425155822684808</v>
      </c>
      <c r="L1498">
        <v>0.96856266552637904</v>
      </c>
      <c r="M1498">
        <v>37.119999999999997</v>
      </c>
      <c r="N1498">
        <v>24.08</v>
      </c>
    </row>
    <row r="1499" spans="1:14" x14ac:dyDescent="0.25">
      <c r="A1499" s="1" t="s">
        <v>1511</v>
      </c>
      <c r="B1499" t="str">
        <f>HYPERLINK("https://www.suredividend.com/sure-analysis-research-database/","Stewart Information Services Corp.")</f>
        <v>Stewart Information Services Corp.</v>
      </c>
      <c r="C1499" t="s">
        <v>1800</v>
      </c>
      <c r="D1499">
        <v>46.97</v>
      </c>
      <c r="E1499">
        <v>3.8245670884402998E-2</v>
      </c>
      <c r="F1499">
        <v>5.555555555555558E-2</v>
      </c>
      <c r="G1499">
        <v>9.6262279352954172E-2</v>
      </c>
      <c r="H1499">
        <v>1.7963991614404511</v>
      </c>
      <c r="I1499">
        <v>1284.4605489999999</v>
      </c>
      <c r="J1499">
        <v>25.498988523812361</v>
      </c>
      <c r="K1499">
        <v>0.97630389208720181</v>
      </c>
      <c r="L1499">
        <v>0.97716609746235306</v>
      </c>
      <c r="M1499">
        <v>50.05</v>
      </c>
      <c r="N1499">
        <v>34.44</v>
      </c>
    </row>
    <row r="1500" spans="1:14" x14ac:dyDescent="0.25">
      <c r="A1500" s="1" t="s">
        <v>1512</v>
      </c>
      <c r="B1500" t="str">
        <f>HYPERLINK("https://www.suredividend.com/sure-analysis-research-database/","Stellar Bancorp Inc")</f>
        <v>Stellar Bancorp Inc</v>
      </c>
      <c r="C1500" t="s">
        <v>1797</v>
      </c>
      <c r="D1500">
        <v>23.61</v>
      </c>
      <c r="E1500">
        <v>1.0978954722426999E-2</v>
      </c>
      <c r="F1500" t="s">
        <v>1797</v>
      </c>
      <c r="G1500" t="s">
        <v>1797</v>
      </c>
      <c r="H1500">
        <v>0.259213120996522</v>
      </c>
      <c r="I1500">
        <v>1258.6076410000001</v>
      </c>
      <c r="J1500">
        <v>12.40581984603708</v>
      </c>
      <c r="K1500">
        <v>0.12583161213423399</v>
      </c>
      <c r="L1500">
        <v>0.93645048611383608</v>
      </c>
      <c r="M1500">
        <v>35.090000000000003</v>
      </c>
      <c r="N1500">
        <v>19.920000000000002</v>
      </c>
    </row>
    <row r="1501" spans="1:14" x14ac:dyDescent="0.25">
      <c r="A1501" s="1" t="s">
        <v>1513</v>
      </c>
      <c r="B1501" t="str">
        <f>HYPERLINK("https://www.suredividend.com/sure-analysis-research-database/","Stem Inc")</f>
        <v>Stem Inc</v>
      </c>
      <c r="C1501" t="s">
        <v>1797</v>
      </c>
      <c r="D1501">
        <v>3.67</v>
      </c>
      <c r="E1501">
        <v>0</v>
      </c>
      <c r="F1501" t="s">
        <v>1797</v>
      </c>
      <c r="G1501" t="s">
        <v>1797</v>
      </c>
      <c r="H1501">
        <v>0</v>
      </c>
      <c r="I1501">
        <v>571.794848</v>
      </c>
      <c r="J1501" t="s">
        <v>1797</v>
      </c>
      <c r="K1501">
        <v>0</v>
      </c>
      <c r="L1501">
        <v>2.3952147502330909</v>
      </c>
      <c r="M1501">
        <v>14.83</v>
      </c>
      <c r="N1501">
        <v>3</v>
      </c>
    </row>
    <row r="1502" spans="1:14" x14ac:dyDescent="0.25">
      <c r="A1502" s="1" t="s">
        <v>1514</v>
      </c>
      <c r="B1502" t="str">
        <f>HYPERLINK("https://www.suredividend.com/sure-analysis-research-database/","StepStone Group Inc")</f>
        <v>StepStone Group Inc</v>
      </c>
      <c r="C1502" t="s">
        <v>1797</v>
      </c>
      <c r="D1502">
        <v>29</v>
      </c>
      <c r="E1502">
        <v>2.7381698034112001E-2</v>
      </c>
      <c r="F1502" t="s">
        <v>1797</v>
      </c>
      <c r="G1502" t="s">
        <v>1797</v>
      </c>
      <c r="H1502">
        <v>0.79406924298927606</v>
      </c>
      <c r="I1502">
        <v>1822.2112589999999</v>
      </c>
      <c r="J1502">
        <v>130.99067349579471</v>
      </c>
      <c r="K1502">
        <v>3.5979576030325151</v>
      </c>
      <c r="L1502">
        <v>1.23279066417157</v>
      </c>
      <c r="M1502">
        <v>32.39</v>
      </c>
      <c r="N1502">
        <v>19.239999999999998</v>
      </c>
    </row>
    <row r="1503" spans="1:14" x14ac:dyDescent="0.25">
      <c r="A1503" s="1" t="s">
        <v>1515</v>
      </c>
      <c r="B1503" t="str">
        <f>HYPERLINK("https://www.suredividend.com/sure-analysis-research-database/","Sterling Check Corp")</f>
        <v>Sterling Check Corp</v>
      </c>
      <c r="C1503" t="s">
        <v>1797</v>
      </c>
      <c r="D1503">
        <v>11.42</v>
      </c>
      <c r="E1503">
        <v>0</v>
      </c>
      <c r="F1503" t="s">
        <v>1797</v>
      </c>
      <c r="G1503" t="s">
        <v>1797</v>
      </c>
      <c r="H1503">
        <v>0</v>
      </c>
      <c r="I1503">
        <v>1100.0988090000001</v>
      </c>
      <c r="J1503">
        <v>0</v>
      </c>
      <c r="K1503" t="s">
        <v>1797</v>
      </c>
      <c r="L1503">
        <v>1.756735097057379</v>
      </c>
      <c r="M1503">
        <v>16.84</v>
      </c>
      <c r="N1503">
        <v>10.58</v>
      </c>
    </row>
    <row r="1504" spans="1:14" x14ac:dyDescent="0.25">
      <c r="A1504" s="1" t="s">
        <v>1516</v>
      </c>
      <c r="B1504" t="str">
        <f>HYPERLINK("https://www.suredividend.com/sure-analysis-research-database/","Stagwell Inc")</f>
        <v>Stagwell Inc</v>
      </c>
      <c r="C1504" t="s">
        <v>1797</v>
      </c>
      <c r="D1504">
        <v>4.74</v>
      </c>
      <c r="E1504">
        <v>0</v>
      </c>
      <c r="F1504" t="s">
        <v>1797</v>
      </c>
      <c r="G1504" t="s">
        <v>1797</v>
      </c>
      <c r="H1504">
        <v>0</v>
      </c>
      <c r="I1504">
        <v>551.97815700000001</v>
      </c>
      <c r="J1504" t="s">
        <v>1797</v>
      </c>
      <c r="K1504">
        <v>0</v>
      </c>
      <c r="L1504">
        <v>1.589687887477131</v>
      </c>
      <c r="M1504">
        <v>9.23</v>
      </c>
      <c r="N1504">
        <v>3.83</v>
      </c>
    </row>
    <row r="1505" spans="1:14" x14ac:dyDescent="0.25">
      <c r="A1505" s="1" t="s">
        <v>1517</v>
      </c>
      <c r="B1505" t="str">
        <f>HYPERLINK("https://www.suredividend.com/sure-analysis-research-database/","Star Holdings")</f>
        <v>Star Holdings</v>
      </c>
      <c r="C1505" t="s">
        <v>1797</v>
      </c>
      <c r="D1505">
        <v>12.355</v>
      </c>
      <c r="E1505">
        <v>0</v>
      </c>
      <c r="F1505" t="s">
        <v>1797</v>
      </c>
      <c r="G1505" t="s">
        <v>1797</v>
      </c>
      <c r="H1505">
        <v>0</v>
      </c>
      <c r="I1505">
        <v>164.56306499999999</v>
      </c>
      <c r="J1505">
        <v>0</v>
      </c>
      <c r="K1505" t="s">
        <v>1797</v>
      </c>
      <c r="L1505">
        <v>0.7961774006859661</v>
      </c>
      <c r="M1505">
        <v>19.579999999999998</v>
      </c>
      <c r="N1505">
        <v>10.76</v>
      </c>
    </row>
    <row r="1506" spans="1:14" x14ac:dyDescent="0.25">
      <c r="A1506" s="1" t="s">
        <v>1518</v>
      </c>
      <c r="B1506" t="str">
        <f>HYPERLINK("https://www.suredividend.com/sure-analysis-research-database/","Sunopta, Inc.")</f>
        <v>Sunopta, Inc.</v>
      </c>
      <c r="C1506" t="s">
        <v>1804</v>
      </c>
      <c r="D1506">
        <v>3.94</v>
      </c>
      <c r="E1506">
        <v>0</v>
      </c>
      <c r="F1506" t="s">
        <v>1797</v>
      </c>
      <c r="G1506" t="s">
        <v>1797</v>
      </c>
      <c r="H1506">
        <v>0</v>
      </c>
      <c r="I1506">
        <v>465.60946799999999</v>
      </c>
      <c r="J1506" t="s">
        <v>1797</v>
      </c>
      <c r="K1506">
        <v>0</v>
      </c>
      <c r="L1506">
        <v>0.37787099773596511</v>
      </c>
      <c r="M1506">
        <v>11.25</v>
      </c>
      <c r="N1506">
        <v>2.79</v>
      </c>
    </row>
    <row r="1507" spans="1:14" x14ac:dyDescent="0.25">
      <c r="A1507" s="1" t="s">
        <v>1519</v>
      </c>
      <c r="B1507" t="str">
        <f>HYPERLINK("https://www.suredividend.com/sure-analysis-research-database/","ONE Group Hospitality Inc")</f>
        <v>ONE Group Hospitality Inc</v>
      </c>
      <c r="C1507" t="s">
        <v>1801</v>
      </c>
      <c r="D1507">
        <v>4.55</v>
      </c>
      <c r="E1507">
        <v>0</v>
      </c>
      <c r="F1507" t="s">
        <v>1797</v>
      </c>
      <c r="G1507" t="s">
        <v>1797</v>
      </c>
      <c r="H1507">
        <v>0</v>
      </c>
      <c r="I1507">
        <v>143.88116500000001</v>
      </c>
      <c r="J1507">
        <v>0</v>
      </c>
      <c r="K1507" t="s">
        <v>1797</v>
      </c>
      <c r="L1507">
        <v>1.745869003034253</v>
      </c>
      <c r="M1507">
        <v>9.4</v>
      </c>
      <c r="N1507">
        <v>4.18</v>
      </c>
    </row>
    <row r="1508" spans="1:14" x14ac:dyDescent="0.25">
      <c r="A1508" s="1" t="s">
        <v>1520</v>
      </c>
      <c r="B1508" t="str">
        <f>HYPERLINK("https://www.suredividend.com/sure-analysis-research-database/","StoneCo Ltd")</f>
        <v>StoneCo Ltd</v>
      </c>
      <c r="C1508" t="s">
        <v>1803</v>
      </c>
      <c r="D1508">
        <v>10.94</v>
      </c>
      <c r="E1508">
        <v>0</v>
      </c>
      <c r="F1508" t="s">
        <v>1797</v>
      </c>
      <c r="G1508" t="s">
        <v>1797</v>
      </c>
      <c r="H1508">
        <v>0</v>
      </c>
      <c r="I1508">
        <v>2915.4012889999999</v>
      </c>
      <c r="J1508">
        <v>17.271758705705</v>
      </c>
      <c r="K1508">
        <v>0</v>
      </c>
      <c r="L1508">
        <v>1.5299451112450759</v>
      </c>
      <c r="M1508">
        <v>14.83</v>
      </c>
      <c r="N1508">
        <v>8.09</v>
      </c>
    </row>
    <row r="1509" spans="1:14" x14ac:dyDescent="0.25">
      <c r="A1509" s="1" t="s">
        <v>1521</v>
      </c>
      <c r="B1509" t="str">
        <f>HYPERLINK("https://www.suredividend.com/sure-analysis-research-database/","Scorpio Tankers Inc")</f>
        <v>Scorpio Tankers Inc</v>
      </c>
      <c r="C1509" t="s">
        <v>1807</v>
      </c>
      <c r="D1509">
        <v>58.55</v>
      </c>
      <c r="E1509">
        <v>1.3582970896712E-2</v>
      </c>
      <c r="F1509">
        <v>1.5</v>
      </c>
      <c r="G1509">
        <v>0.90365393871587862</v>
      </c>
      <c r="H1509">
        <v>0.79528294600252503</v>
      </c>
      <c r="I1509">
        <v>3190.6034420000001</v>
      </c>
      <c r="J1509">
        <v>0</v>
      </c>
      <c r="K1509" t="s">
        <v>1797</v>
      </c>
      <c r="L1509">
        <v>0.46207424598704799</v>
      </c>
      <c r="M1509">
        <v>63.31</v>
      </c>
      <c r="N1509">
        <v>40.14</v>
      </c>
    </row>
    <row r="1510" spans="1:14" x14ac:dyDescent="0.25">
      <c r="A1510" s="1" t="s">
        <v>1522</v>
      </c>
      <c r="B1510" t="str">
        <f>HYPERLINK("https://www.suredividend.com/sure-analysis-research-database/","Stoke Therapeutics Inc")</f>
        <v>Stoke Therapeutics Inc</v>
      </c>
      <c r="C1510" t="s">
        <v>1802</v>
      </c>
      <c r="D1510">
        <v>4.26</v>
      </c>
      <c r="E1510">
        <v>0</v>
      </c>
      <c r="F1510" t="s">
        <v>1797</v>
      </c>
      <c r="G1510" t="s">
        <v>1797</v>
      </c>
      <c r="H1510">
        <v>0</v>
      </c>
      <c r="I1510">
        <v>188.68867</v>
      </c>
      <c r="J1510" t="s">
        <v>1797</v>
      </c>
      <c r="K1510">
        <v>0</v>
      </c>
      <c r="L1510">
        <v>1.352179543697988</v>
      </c>
      <c r="M1510">
        <v>14</v>
      </c>
      <c r="N1510">
        <v>3.35</v>
      </c>
    </row>
    <row r="1511" spans="1:14" x14ac:dyDescent="0.25">
      <c r="A1511" s="1" t="s">
        <v>1523</v>
      </c>
      <c r="B1511" t="str">
        <f>HYPERLINK("https://www.suredividend.com/sure-analysis-research-database/","Sitio Royalties Corp")</f>
        <v>Sitio Royalties Corp</v>
      </c>
      <c r="C1511" t="s">
        <v>1797</v>
      </c>
      <c r="D1511">
        <v>25.33</v>
      </c>
      <c r="E1511">
        <v>5.8050842456886013E-2</v>
      </c>
      <c r="F1511" t="s">
        <v>1797</v>
      </c>
      <c r="G1511" t="s">
        <v>1797</v>
      </c>
      <c r="H1511">
        <v>1.470427839432922</v>
      </c>
      <c r="I1511">
        <v>3981.3134709999999</v>
      </c>
      <c r="J1511">
        <v>0</v>
      </c>
      <c r="K1511" t="s">
        <v>1797</v>
      </c>
      <c r="L1511">
        <v>0.83300663458939406</v>
      </c>
      <c r="M1511">
        <v>28.75</v>
      </c>
      <c r="N1511">
        <v>18.489999999999998</v>
      </c>
    </row>
    <row r="1512" spans="1:14" x14ac:dyDescent="0.25">
      <c r="A1512" s="1" t="s">
        <v>1524</v>
      </c>
      <c r="B1512" t="str">
        <f>HYPERLINK("https://www.suredividend.com/sure-analysis-research-database/","Strategic Education Inc")</f>
        <v>Strategic Education Inc</v>
      </c>
      <c r="C1512" t="s">
        <v>1804</v>
      </c>
      <c r="D1512">
        <v>87.06</v>
      </c>
      <c r="E1512">
        <v>2.6999304557851E-2</v>
      </c>
      <c r="F1512">
        <v>0</v>
      </c>
      <c r="G1512">
        <v>3.7137289336648172E-2</v>
      </c>
      <c r="H1512">
        <v>2.3505594548065338</v>
      </c>
      <c r="I1512">
        <v>2129.2649879999999</v>
      </c>
      <c r="J1512">
        <v>43.462370385989267</v>
      </c>
      <c r="K1512">
        <v>1.141048279032298</v>
      </c>
      <c r="L1512">
        <v>0.44682589182626498</v>
      </c>
      <c r="M1512">
        <v>94.58</v>
      </c>
      <c r="N1512">
        <v>63.54</v>
      </c>
    </row>
    <row r="1513" spans="1:14" x14ac:dyDescent="0.25">
      <c r="A1513" s="1" t="s">
        <v>1525</v>
      </c>
      <c r="B1513" t="str">
        <f>HYPERLINK("https://www.suredividend.com/sure-analysis-research-database/","Sarcos Technology and Robotics Corporation")</f>
        <v>Sarcos Technology and Robotics Corporation</v>
      </c>
      <c r="C1513" t="s">
        <v>1797</v>
      </c>
      <c r="D1513">
        <v>0.54170000000000007</v>
      </c>
      <c r="E1513">
        <v>0</v>
      </c>
      <c r="F1513" t="s">
        <v>1797</v>
      </c>
      <c r="G1513" t="s">
        <v>1797</v>
      </c>
      <c r="H1513">
        <v>0</v>
      </c>
      <c r="I1513">
        <v>13.975860000000001</v>
      </c>
      <c r="J1513" t="s">
        <v>1797</v>
      </c>
      <c r="K1513">
        <v>0</v>
      </c>
      <c r="L1513">
        <v>1.227270408958067</v>
      </c>
      <c r="M1513">
        <v>12.18</v>
      </c>
      <c r="N1513">
        <v>0.3982</v>
      </c>
    </row>
    <row r="1514" spans="1:14" x14ac:dyDescent="0.25">
      <c r="A1514" s="1" t="s">
        <v>1526</v>
      </c>
      <c r="B1514" t="str">
        <f>HYPERLINK("https://www.suredividend.com/sure-analysis-research-database/","Sterling Infrastructure Inc")</f>
        <v>Sterling Infrastructure Inc</v>
      </c>
      <c r="C1514" t="s">
        <v>1798</v>
      </c>
      <c r="D1514">
        <v>75.959999999999994</v>
      </c>
      <c r="E1514">
        <v>0</v>
      </c>
      <c r="F1514" t="s">
        <v>1797</v>
      </c>
      <c r="G1514" t="s">
        <v>1797</v>
      </c>
      <c r="H1514">
        <v>0</v>
      </c>
      <c r="I1514">
        <v>2340.9405969999998</v>
      </c>
      <c r="J1514">
        <v>19.446743125347862</v>
      </c>
      <c r="K1514">
        <v>0</v>
      </c>
      <c r="L1514">
        <v>0.93729824790630112</v>
      </c>
      <c r="M1514">
        <v>84</v>
      </c>
      <c r="N1514">
        <v>30.19</v>
      </c>
    </row>
    <row r="1515" spans="1:14" x14ac:dyDescent="0.25">
      <c r="A1515" s="1" t="s">
        <v>1527</v>
      </c>
      <c r="B1515" t="str">
        <f>HYPERLINK("https://www.suredividend.com/sure-analysis-research-database/","Sutro Biopharma Inc")</f>
        <v>Sutro Biopharma Inc</v>
      </c>
      <c r="C1515" t="s">
        <v>1802</v>
      </c>
      <c r="D1515">
        <v>2.85</v>
      </c>
      <c r="E1515">
        <v>0</v>
      </c>
      <c r="F1515" t="s">
        <v>1797</v>
      </c>
      <c r="G1515" t="s">
        <v>1797</v>
      </c>
      <c r="H1515">
        <v>0</v>
      </c>
      <c r="I1515">
        <v>172.42500000000001</v>
      </c>
      <c r="J1515" t="s">
        <v>1797</v>
      </c>
      <c r="K1515">
        <v>0</v>
      </c>
      <c r="L1515">
        <v>0.6916064244124851</v>
      </c>
      <c r="M1515">
        <v>8.7200000000000006</v>
      </c>
      <c r="N1515">
        <v>2.4700000000000002</v>
      </c>
    </row>
    <row r="1516" spans="1:14" x14ac:dyDescent="0.25">
      <c r="A1516" s="1" t="s">
        <v>1528</v>
      </c>
      <c r="B1516" t="str">
        <f>HYPERLINK("https://www.suredividend.com/sure-analysis-research-database/","Stratus Properties Inc.")</f>
        <v>Stratus Properties Inc.</v>
      </c>
      <c r="C1516" t="s">
        <v>1799</v>
      </c>
      <c r="D1516">
        <v>27</v>
      </c>
      <c r="E1516">
        <v>0</v>
      </c>
      <c r="F1516" t="s">
        <v>1797</v>
      </c>
      <c r="G1516" t="s">
        <v>1797</v>
      </c>
      <c r="H1516">
        <v>0</v>
      </c>
      <c r="I1516">
        <v>215.92480499999999</v>
      </c>
      <c r="J1516">
        <v>0</v>
      </c>
      <c r="K1516" t="s">
        <v>1797</v>
      </c>
      <c r="L1516">
        <v>0.91349075828015902</v>
      </c>
      <c r="M1516">
        <v>29.84</v>
      </c>
      <c r="N1516">
        <v>18.510000000000002</v>
      </c>
    </row>
    <row r="1517" spans="1:14" x14ac:dyDescent="0.25">
      <c r="A1517" s="1" t="s">
        <v>1529</v>
      </c>
      <c r="B1517" t="str">
        <f>HYPERLINK("https://www.suredividend.com/sure-analysis-research-database/","Summit Materials Inc")</f>
        <v>Summit Materials Inc</v>
      </c>
      <c r="C1517" t="s">
        <v>1808</v>
      </c>
      <c r="D1517">
        <v>34.340000000000003</v>
      </c>
      <c r="E1517">
        <v>0</v>
      </c>
      <c r="F1517" t="s">
        <v>1797</v>
      </c>
      <c r="G1517" t="s">
        <v>1797</v>
      </c>
      <c r="H1517">
        <v>0</v>
      </c>
      <c r="I1517">
        <v>4084.036008</v>
      </c>
      <c r="J1517">
        <v>13.06001352064033</v>
      </c>
      <c r="K1517">
        <v>0</v>
      </c>
      <c r="L1517">
        <v>1.3006456087098619</v>
      </c>
      <c r="M1517">
        <v>39.56</v>
      </c>
      <c r="N1517">
        <v>25.43</v>
      </c>
    </row>
    <row r="1518" spans="1:14" x14ac:dyDescent="0.25">
      <c r="A1518" s="1" t="s">
        <v>1530</v>
      </c>
      <c r="B1518" t="str">
        <f>HYPERLINK("https://www.suredividend.com/sure-analysis-research-database/","Sunlight Financial Holdings Inc")</f>
        <v>Sunlight Financial Holdings Inc</v>
      </c>
      <c r="C1518" t="s">
        <v>1797</v>
      </c>
      <c r="D1518">
        <v>1.25</v>
      </c>
      <c r="E1518">
        <v>0</v>
      </c>
      <c r="F1518" t="s">
        <v>1797</v>
      </c>
      <c r="G1518" t="s">
        <v>1797</v>
      </c>
      <c r="H1518">
        <v>0</v>
      </c>
      <c r="I1518">
        <v>0</v>
      </c>
      <c r="J1518">
        <v>0</v>
      </c>
      <c r="K1518" t="s">
        <v>1797</v>
      </c>
    </row>
    <row r="1519" spans="1:14" x14ac:dyDescent="0.25">
      <c r="A1519" s="1" t="s">
        <v>1531</v>
      </c>
      <c r="B1519" t="str">
        <f>HYPERLINK("https://www.suredividend.com/sure-analysis-research-database/","Supernus Pharmaceuticals Inc")</f>
        <v>Supernus Pharmaceuticals Inc</v>
      </c>
      <c r="C1519" t="s">
        <v>1802</v>
      </c>
      <c r="D1519">
        <v>24.48</v>
      </c>
      <c r="E1519">
        <v>0</v>
      </c>
      <c r="F1519" t="s">
        <v>1797</v>
      </c>
      <c r="G1519" t="s">
        <v>1797</v>
      </c>
      <c r="H1519">
        <v>0</v>
      </c>
      <c r="I1519">
        <v>1336.4709359999999</v>
      </c>
      <c r="J1519">
        <v>30.83191308464254</v>
      </c>
      <c r="K1519">
        <v>0</v>
      </c>
      <c r="L1519">
        <v>0.66232781926650508</v>
      </c>
      <c r="M1519">
        <v>42.09</v>
      </c>
      <c r="N1519">
        <v>21.99</v>
      </c>
    </row>
    <row r="1520" spans="1:14" x14ac:dyDescent="0.25">
      <c r="A1520" s="1" t="s">
        <v>1532</v>
      </c>
      <c r="B1520" t="str">
        <f>HYPERLINK("https://www.suredividend.com/sure-analysis-research-database/","Service Properties Trust")</f>
        <v>Service Properties Trust</v>
      </c>
      <c r="C1520" t="s">
        <v>1799</v>
      </c>
      <c r="D1520">
        <v>7.76</v>
      </c>
      <c r="E1520">
        <v>9.6840178573336003E-2</v>
      </c>
      <c r="F1520">
        <v>0</v>
      </c>
      <c r="G1520">
        <v>-0.17709287005834459</v>
      </c>
      <c r="H1520">
        <v>0.75147978572908902</v>
      </c>
      <c r="I1520">
        <v>1284.005482</v>
      </c>
      <c r="J1520" t="s">
        <v>1797</v>
      </c>
      <c r="K1520" t="s">
        <v>1797</v>
      </c>
      <c r="L1520">
        <v>1.273069960929812</v>
      </c>
      <c r="M1520">
        <v>10.25</v>
      </c>
      <c r="N1520">
        <v>5.97</v>
      </c>
    </row>
    <row r="1521" spans="1:14" x14ac:dyDescent="0.25">
      <c r="A1521" s="1" t="s">
        <v>1533</v>
      </c>
      <c r="B1521" t="str">
        <f>HYPERLINK("https://www.suredividend.com/sure-analysis-research-database/","ShockWave Medical Inc")</f>
        <v>ShockWave Medical Inc</v>
      </c>
      <c r="C1521" t="s">
        <v>1802</v>
      </c>
      <c r="D1521">
        <v>215.69</v>
      </c>
      <c r="E1521">
        <v>0</v>
      </c>
      <c r="F1521" t="s">
        <v>1797</v>
      </c>
      <c r="G1521" t="s">
        <v>1797</v>
      </c>
      <c r="H1521">
        <v>0</v>
      </c>
      <c r="I1521">
        <v>7926.6931290000002</v>
      </c>
      <c r="J1521">
        <v>32.499633576451103</v>
      </c>
      <c r="K1521">
        <v>0</v>
      </c>
      <c r="L1521">
        <v>1.198523905207928</v>
      </c>
      <c r="M1521">
        <v>315.95</v>
      </c>
      <c r="N1521">
        <v>172.5</v>
      </c>
    </row>
    <row r="1522" spans="1:14" x14ac:dyDescent="0.25">
      <c r="A1522" s="1" t="s">
        <v>1534</v>
      </c>
      <c r="B1522" t="str">
        <f>HYPERLINK("https://www.suredividend.com/sure-analysis-research-database/","Smith &amp; Wesson Brands Inc")</f>
        <v>Smith &amp; Wesson Brands Inc</v>
      </c>
      <c r="C1522" t="s">
        <v>1797</v>
      </c>
      <c r="D1522">
        <v>14.48</v>
      </c>
      <c r="E1522">
        <v>2.9854181561807001E-2</v>
      </c>
      <c r="F1522" t="s">
        <v>1797</v>
      </c>
      <c r="G1522" t="s">
        <v>1797</v>
      </c>
      <c r="H1522">
        <v>0.43228854901496899</v>
      </c>
      <c r="I1522">
        <v>668.22956999999997</v>
      </c>
      <c r="J1522">
        <v>18.216824886320271</v>
      </c>
      <c r="K1522">
        <v>0.54540568889095253</v>
      </c>
      <c r="L1522">
        <v>0.70053416866919704</v>
      </c>
      <c r="M1522">
        <v>14.86</v>
      </c>
      <c r="N1522">
        <v>7.9</v>
      </c>
    </row>
    <row r="1523" spans="1:14" x14ac:dyDescent="0.25">
      <c r="A1523" s="1" t="s">
        <v>1535</v>
      </c>
      <c r="B1523" t="str">
        <f>HYPERLINK("https://www.suredividend.com/sure-analysis-research-database/","SolarWinds Corp")</f>
        <v>SolarWinds Corp</v>
      </c>
      <c r="C1523" t="s">
        <v>1803</v>
      </c>
      <c r="D1523">
        <v>10.5</v>
      </c>
      <c r="E1523">
        <v>0</v>
      </c>
      <c r="F1523" t="s">
        <v>1797</v>
      </c>
      <c r="G1523" t="s">
        <v>1797</v>
      </c>
      <c r="H1523">
        <v>0</v>
      </c>
      <c r="I1523">
        <v>1729.35</v>
      </c>
      <c r="J1523" t="s">
        <v>1797</v>
      </c>
      <c r="K1523">
        <v>0</v>
      </c>
      <c r="L1523">
        <v>1.4617432925310361</v>
      </c>
      <c r="M1523">
        <v>12.22</v>
      </c>
      <c r="N1523">
        <v>8.07</v>
      </c>
    </row>
    <row r="1524" spans="1:14" x14ac:dyDescent="0.25">
      <c r="A1524" s="1" t="s">
        <v>1536</v>
      </c>
      <c r="B1524" t="str">
        <f>HYPERLINK("https://www.suredividend.com/sure-analysis-research-database/","Latham Group Inc")</f>
        <v>Latham Group Inc</v>
      </c>
      <c r="C1524" t="s">
        <v>1797</v>
      </c>
      <c r="D1524">
        <v>2.5</v>
      </c>
      <c r="E1524">
        <v>0</v>
      </c>
      <c r="F1524" t="s">
        <v>1797</v>
      </c>
      <c r="G1524" t="s">
        <v>1797</v>
      </c>
      <c r="H1524">
        <v>0</v>
      </c>
      <c r="I1524">
        <v>287.10340500000001</v>
      </c>
      <c r="J1524" t="s">
        <v>1797</v>
      </c>
      <c r="K1524">
        <v>0</v>
      </c>
      <c r="L1524">
        <v>1.9686414952971609</v>
      </c>
      <c r="M1524">
        <v>4.7699999999999996</v>
      </c>
      <c r="N1524">
        <v>2.04</v>
      </c>
    </row>
    <row r="1525" spans="1:14" x14ac:dyDescent="0.25">
      <c r="A1525" s="1" t="s">
        <v>1537</v>
      </c>
      <c r="B1525" t="str">
        <f>HYPERLINK("https://www.suredividend.com/sure-analysis-research-database/","Swk Holdings Corp")</f>
        <v>Swk Holdings Corp</v>
      </c>
      <c r="C1525" t="s">
        <v>1800</v>
      </c>
      <c r="D1525">
        <v>16.28</v>
      </c>
      <c r="E1525">
        <v>0</v>
      </c>
      <c r="F1525" t="s">
        <v>1797</v>
      </c>
      <c r="G1525" t="s">
        <v>1797</v>
      </c>
      <c r="H1525">
        <v>0</v>
      </c>
      <c r="I1525">
        <v>204.159063</v>
      </c>
      <c r="J1525">
        <v>11.331468237775439</v>
      </c>
      <c r="K1525">
        <v>0</v>
      </c>
      <c r="L1525">
        <v>0.24068367883866601</v>
      </c>
      <c r="M1525">
        <v>19.989999999999998</v>
      </c>
      <c r="N1525">
        <v>15.26</v>
      </c>
    </row>
    <row r="1526" spans="1:14" x14ac:dyDescent="0.25">
      <c r="A1526" s="1" t="s">
        <v>1538</v>
      </c>
      <c r="B1526" t="str">
        <f>HYPERLINK("https://www.suredividend.com/sure-analysis-research-database/","SpringWorks Therapeutics Inc")</f>
        <v>SpringWorks Therapeutics Inc</v>
      </c>
      <c r="C1526" t="s">
        <v>1802</v>
      </c>
      <c r="D1526">
        <v>24.31</v>
      </c>
      <c r="E1526">
        <v>0</v>
      </c>
      <c r="F1526" t="s">
        <v>1797</v>
      </c>
      <c r="G1526" t="s">
        <v>1797</v>
      </c>
      <c r="H1526">
        <v>0</v>
      </c>
      <c r="I1526">
        <v>1521.0722029999999</v>
      </c>
      <c r="J1526">
        <v>0</v>
      </c>
      <c r="K1526" t="s">
        <v>1797</v>
      </c>
      <c r="L1526">
        <v>1.194098412860225</v>
      </c>
      <c r="M1526">
        <v>34.159999999999997</v>
      </c>
      <c r="N1526">
        <v>20.96</v>
      </c>
    </row>
    <row r="1527" spans="1:14" x14ac:dyDescent="0.25">
      <c r="A1527" s="1" t="s">
        <v>1539</v>
      </c>
      <c r="B1527" t="str">
        <f>HYPERLINK("https://www.suredividend.com/sure-analysis-SWX/","Southwest Gas Holdings Inc")</f>
        <v>Southwest Gas Holdings Inc</v>
      </c>
      <c r="C1527" t="s">
        <v>1805</v>
      </c>
      <c r="D1527">
        <v>61.52</v>
      </c>
      <c r="E1527">
        <v>4.0312093628088422E-2</v>
      </c>
      <c r="F1527">
        <v>0</v>
      </c>
      <c r="G1527">
        <v>3.5804203580214189E-2</v>
      </c>
      <c r="H1527">
        <v>2.4432099822025091</v>
      </c>
      <c r="I1527">
        <v>4397.240863</v>
      </c>
      <c r="J1527" t="s">
        <v>1797</v>
      </c>
      <c r="K1527" t="s">
        <v>1797</v>
      </c>
      <c r="L1527">
        <v>0.77622261553947602</v>
      </c>
      <c r="M1527">
        <v>71.239999999999995</v>
      </c>
      <c r="N1527">
        <v>52.69</v>
      </c>
    </row>
    <row r="1528" spans="1:14" x14ac:dyDescent="0.25">
      <c r="A1528" s="1" t="s">
        <v>1540</v>
      </c>
      <c r="B1528" t="str">
        <f>HYPERLINK("https://www.suredividend.com/sure-analysis-research-database/","SunCoke Energy Inc")</f>
        <v>SunCoke Energy Inc</v>
      </c>
      <c r="C1528" t="s">
        <v>1808</v>
      </c>
      <c r="D1528">
        <v>9.17</v>
      </c>
      <c r="E1528">
        <v>3.6533899921879012E-2</v>
      </c>
      <c r="F1528" t="s">
        <v>1797</v>
      </c>
      <c r="G1528" t="s">
        <v>1797</v>
      </c>
      <c r="H1528">
        <v>0.335015862283639</v>
      </c>
      <c r="I1528">
        <v>768.04450999999995</v>
      </c>
      <c r="J1528">
        <v>13.838639817837841</v>
      </c>
      <c r="K1528">
        <v>0.51280554459457983</v>
      </c>
      <c r="L1528">
        <v>0.92881909423050102</v>
      </c>
      <c r="M1528">
        <v>10.37</v>
      </c>
      <c r="N1528">
        <v>6.64</v>
      </c>
    </row>
    <row r="1529" spans="1:14" x14ac:dyDescent="0.25">
      <c r="A1529" s="1" t="s">
        <v>1541</v>
      </c>
      <c r="B1529" t="str">
        <f>HYPERLINK("https://www.suredividend.com/sure-analysis-SXI/","Standex International Corp.")</f>
        <v>Standex International Corp.</v>
      </c>
      <c r="C1529" t="s">
        <v>1798</v>
      </c>
      <c r="D1529">
        <v>135.44999999999999</v>
      </c>
      <c r="E1529">
        <v>8.8593576965669985E-3</v>
      </c>
      <c r="F1529">
        <v>7.6923076923077094E-2</v>
      </c>
      <c r="G1529">
        <v>6.9610375725068785E-2</v>
      </c>
      <c r="H1529">
        <v>1.116698160305255</v>
      </c>
      <c r="I1529">
        <v>1602.3942239999999</v>
      </c>
      <c r="J1529">
        <v>11.528679520044321</v>
      </c>
      <c r="K1529">
        <v>9.6516694926988333E-2</v>
      </c>
      <c r="L1529">
        <v>0.95829967285585405</v>
      </c>
      <c r="M1529">
        <v>168.81</v>
      </c>
      <c r="N1529">
        <v>95.73</v>
      </c>
    </row>
    <row r="1530" spans="1:14" x14ac:dyDescent="0.25">
      <c r="A1530" s="1" t="s">
        <v>1542</v>
      </c>
      <c r="B1530" t="str">
        <f>HYPERLINK("https://www.suredividend.com/sure-analysis-SXT/","Sensient Technologies Corp.")</f>
        <v>Sensient Technologies Corp.</v>
      </c>
      <c r="C1530" t="s">
        <v>1808</v>
      </c>
      <c r="D1530">
        <v>58.68</v>
      </c>
      <c r="E1530">
        <v>2.7948193592365372E-2</v>
      </c>
      <c r="F1530">
        <v>0</v>
      </c>
      <c r="G1530">
        <v>2.635185407071083E-2</v>
      </c>
      <c r="H1530">
        <v>1.6236176283930801</v>
      </c>
      <c r="I1530">
        <v>2479.2243669999998</v>
      </c>
      <c r="J1530">
        <v>18.66141048166018</v>
      </c>
      <c r="K1530">
        <v>0.51707567783219111</v>
      </c>
      <c r="L1530">
        <v>0.90635869828535309</v>
      </c>
      <c r="M1530">
        <v>77.680000000000007</v>
      </c>
      <c r="N1530">
        <v>52.52</v>
      </c>
    </row>
    <row r="1531" spans="1:14" x14ac:dyDescent="0.25">
      <c r="A1531" s="1" t="s">
        <v>1543</v>
      </c>
      <c r="B1531" t="str">
        <f>HYPERLINK("https://www.suredividend.com/sure-analysis-SYBT/","Stock Yards Bancorp Inc")</f>
        <v>Stock Yards Bancorp Inc</v>
      </c>
      <c r="C1531" t="s">
        <v>1800</v>
      </c>
      <c r="D1531">
        <v>42.77</v>
      </c>
      <c r="E1531">
        <v>2.805704933364507E-2</v>
      </c>
      <c r="F1531">
        <v>3.4482758620689953E-2</v>
      </c>
      <c r="G1531">
        <v>3.7137289336648172E-2</v>
      </c>
      <c r="H1531">
        <v>1.1499960419503279</v>
      </c>
      <c r="I1531">
        <v>1254.1302109999999</v>
      </c>
      <c r="J1531">
        <v>10.90699759070827</v>
      </c>
      <c r="K1531">
        <v>0.29411663476990479</v>
      </c>
      <c r="L1531">
        <v>0.9122111492030851</v>
      </c>
      <c r="M1531">
        <v>73.77</v>
      </c>
      <c r="N1531">
        <v>36.93</v>
      </c>
    </row>
    <row r="1532" spans="1:14" x14ac:dyDescent="0.25">
      <c r="A1532" s="1" t="s">
        <v>1544</v>
      </c>
      <c r="B1532" t="str">
        <f>HYPERLINK("https://www.suredividend.com/sure-analysis-research-database/","Synaptics Inc")</f>
        <v>Synaptics Inc</v>
      </c>
      <c r="C1532" t="s">
        <v>1803</v>
      </c>
      <c r="D1532">
        <v>90.33</v>
      </c>
      <c r="E1532">
        <v>0</v>
      </c>
      <c r="F1532" t="s">
        <v>1797</v>
      </c>
      <c r="G1532" t="s">
        <v>1797</v>
      </c>
      <c r="H1532">
        <v>0</v>
      </c>
      <c r="I1532">
        <v>3486.7379999999998</v>
      </c>
      <c r="J1532">
        <v>47.374157608695647</v>
      </c>
      <c r="K1532">
        <v>0</v>
      </c>
      <c r="L1532">
        <v>2.2210363881218931</v>
      </c>
      <c r="M1532">
        <v>142.13999999999999</v>
      </c>
      <c r="N1532">
        <v>67.73</v>
      </c>
    </row>
    <row r="1533" spans="1:14" x14ac:dyDescent="0.25">
      <c r="A1533" s="1" t="s">
        <v>1545</v>
      </c>
      <c r="B1533" t="str">
        <f>HYPERLINK("https://www.suredividend.com/sure-analysis-research-database/","Talos Energy Inc")</f>
        <v>Talos Energy Inc</v>
      </c>
      <c r="C1533" t="s">
        <v>1807</v>
      </c>
      <c r="D1533">
        <v>15.46</v>
      </c>
      <c r="E1533">
        <v>0</v>
      </c>
      <c r="F1533" t="s">
        <v>1797</v>
      </c>
      <c r="G1533" t="s">
        <v>1797</v>
      </c>
      <c r="H1533">
        <v>0</v>
      </c>
      <c r="I1533">
        <v>1917.905219</v>
      </c>
      <c r="J1533">
        <v>5.3760181271583622</v>
      </c>
      <c r="K1533">
        <v>0</v>
      </c>
      <c r="L1533">
        <v>1.473056359804477</v>
      </c>
      <c r="M1533">
        <v>22.24</v>
      </c>
      <c r="N1533">
        <v>10.69</v>
      </c>
    </row>
    <row r="1534" spans="1:14" x14ac:dyDescent="0.25">
      <c r="A1534" s="1" t="s">
        <v>1546</v>
      </c>
      <c r="B1534" t="str">
        <f>HYPERLINK("https://www.suredividend.com/sure-analysis-research-database/","Tarsus Pharmaceuticals Inc")</f>
        <v>Tarsus Pharmaceuticals Inc</v>
      </c>
      <c r="C1534" t="s">
        <v>1797</v>
      </c>
      <c r="D1534">
        <v>16</v>
      </c>
      <c r="E1534">
        <v>0</v>
      </c>
      <c r="F1534" t="s">
        <v>1797</v>
      </c>
      <c r="G1534" t="s">
        <v>1797</v>
      </c>
      <c r="H1534">
        <v>0</v>
      </c>
      <c r="I1534">
        <v>521.86427200000003</v>
      </c>
      <c r="J1534" t="s">
        <v>1797</v>
      </c>
      <c r="K1534">
        <v>0</v>
      </c>
      <c r="L1534">
        <v>0.64747236049313905</v>
      </c>
      <c r="M1534">
        <v>25.25</v>
      </c>
      <c r="N1534">
        <v>11.33</v>
      </c>
    </row>
    <row r="1535" spans="1:14" x14ac:dyDescent="0.25">
      <c r="A1535" s="1" t="s">
        <v>1547</v>
      </c>
      <c r="B1535" t="str">
        <f>HYPERLINK("https://www.suredividend.com/sure-analysis-research-database/","Bancorp Inc. (The)")</f>
        <v>Bancorp Inc. (The)</v>
      </c>
      <c r="C1535" t="s">
        <v>1800</v>
      </c>
      <c r="D1535">
        <v>39.270000000000003</v>
      </c>
      <c r="E1535">
        <v>0</v>
      </c>
      <c r="F1535" t="s">
        <v>1797</v>
      </c>
      <c r="G1535" t="s">
        <v>1797</v>
      </c>
      <c r="H1535">
        <v>0</v>
      </c>
      <c r="I1535">
        <v>2131.6563780000001</v>
      </c>
      <c r="J1535">
        <v>12.615142850996589</v>
      </c>
      <c r="K1535">
        <v>0</v>
      </c>
      <c r="L1535">
        <v>1.470326636532882</v>
      </c>
      <c r="M1535">
        <v>41.52</v>
      </c>
      <c r="N1535">
        <v>25.13</v>
      </c>
    </row>
    <row r="1536" spans="1:14" x14ac:dyDescent="0.25">
      <c r="A1536" s="1" t="s">
        <v>1548</v>
      </c>
      <c r="B1536" t="str">
        <f>HYPERLINK("https://www.suredividend.com/sure-analysis-research-database/","TrueBlue Inc")</f>
        <v>TrueBlue Inc</v>
      </c>
      <c r="C1536" t="s">
        <v>1798</v>
      </c>
      <c r="D1536">
        <v>11.89</v>
      </c>
      <c r="E1536">
        <v>0</v>
      </c>
      <c r="F1536" t="s">
        <v>1797</v>
      </c>
      <c r="G1536" t="s">
        <v>1797</v>
      </c>
      <c r="H1536">
        <v>0</v>
      </c>
      <c r="I1536">
        <v>370.25157999999999</v>
      </c>
      <c r="J1536" t="s">
        <v>1797</v>
      </c>
      <c r="K1536">
        <v>0</v>
      </c>
      <c r="L1536">
        <v>0.76997529254034802</v>
      </c>
      <c r="M1536">
        <v>22.01</v>
      </c>
      <c r="N1536">
        <v>10.15</v>
      </c>
    </row>
    <row r="1537" spans="1:14" x14ac:dyDescent="0.25">
      <c r="A1537" s="1" t="s">
        <v>1549</v>
      </c>
      <c r="B1537" t="str">
        <f>HYPERLINK("https://www.suredividend.com/sure-analysis-research-database/","Theravance Biopharma Inc")</f>
        <v>Theravance Biopharma Inc</v>
      </c>
      <c r="C1537" t="s">
        <v>1802</v>
      </c>
      <c r="D1537">
        <v>9.85</v>
      </c>
      <c r="E1537">
        <v>0</v>
      </c>
      <c r="F1537" t="s">
        <v>1797</v>
      </c>
      <c r="G1537" t="s">
        <v>1797</v>
      </c>
      <c r="H1537">
        <v>0</v>
      </c>
      <c r="I1537">
        <v>520.20907399999999</v>
      </c>
      <c r="J1537">
        <v>0.598949352013042</v>
      </c>
      <c r="K1537">
        <v>0</v>
      </c>
      <c r="L1537">
        <v>0.62351776627400302</v>
      </c>
      <c r="M1537">
        <v>12.03</v>
      </c>
      <c r="N1537">
        <v>8.25</v>
      </c>
    </row>
    <row r="1538" spans="1:14" x14ac:dyDescent="0.25">
      <c r="A1538" s="1" t="s">
        <v>1550</v>
      </c>
      <c r="B1538" t="str">
        <f>HYPERLINK("https://www.suredividend.com/sure-analysis-research-database/","Texas Capital Bancshares, Inc.")</f>
        <v>Texas Capital Bancshares, Inc.</v>
      </c>
      <c r="C1538" t="s">
        <v>1800</v>
      </c>
      <c r="D1538">
        <v>57.77</v>
      </c>
      <c r="E1538">
        <v>0</v>
      </c>
      <c r="F1538" t="s">
        <v>1797</v>
      </c>
      <c r="G1538" t="s">
        <v>1797</v>
      </c>
      <c r="H1538">
        <v>0</v>
      </c>
      <c r="I1538">
        <v>2774.1412810000002</v>
      </c>
      <c r="J1538">
        <v>7.5181610467435611</v>
      </c>
      <c r="K1538">
        <v>0</v>
      </c>
      <c r="L1538">
        <v>1.360019369692095</v>
      </c>
      <c r="M1538">
        <v>69.27</v>
      </c>
      <c r="N1538">
        <v>42.79</v>
      </c>
    </row>
    <row r="1539" spans="1:14" x14ac:dyDescent="0.25">
      <c r="A1539" s="1" t="s">
        <v>1551</v>
      </c>
      <c r="B1539" t="str">
        <f>HYPERLINK("https://www.suredividend.com/sure-analysis-research-database/","Trico Bancshares")</f>
        <v>Trico Bancshares</v>
      </c>
      <c r="C1539" t="s">
        <v>1800</v>
      </c>
      <c r="D1539">
        <v>35.42</v>
      </c>
      <c r="E1539">
        <v>3.3110887310791003E-2</v>
      </c>
      <c r="F1539">
        <v>0</v>
      </c>
      <c r="G1539">
        <v>9.5654257747853855E-2</v>
      </c>
      <c r="H1539">
        <v>1.1727876285482399</v>
      </c>
      <c r="I1539">
        <v>1178.18768</v>
      </c>
      <c r="J1539">
        <v>8.7658860460098502</v>
      </c>
      <c r="K1539">
        <v>0.29173821605677608</v>
      </c>
      <c r="L1539">
        <v>1.0385988034646969</v>
      </c>
      <c r="M1539">
        <v>55.95</v>
      </c>
      <c r="N1539">
        <v>27.71</v>
      </c>
    </row>
    <row r="1540" spans="1:14" x14ac:dyDescent="0.25">
      <c r="A1540" s="1" t="s">
        <v>1552</v>
      </c>
      <c r="B1540" t="str">
        <f>HYPERLINK("https://www.suredividend.com/sure-analysis-research-database/","Third Coast Bancshares Inc")</f>
        <v>Third Coast Bancshares Inc</v>
      </c>
      <c r="C1540" t="s">
        <v>1797</v>
      </c>
      <c r="D1540">
        <v>16.899999999999999</v>
      </c>
      <c r="E1540">
        <v>0</v>
      </c>
      <c r="F1540" t="s">
        <v>1797</v>
      </c>
      <c r="G1540" t="s">
        <v>1797</v>
      </c>
      <c r="H1540">
        <v>0</v>
      </c>
      <c r="I1540">
        <v>229.95926299999999</v>
      </c>
      <c r="J1540">
        <v>8.024820746091569</v>
      </c>
      <c r="K1540">
        <v>0</v>
      </c>
      <c r="L1540">
        <v>0.94198765751675106</v>
      </c>
      <c r="M1540">
        <v>21.5</v>
      </c>
      <c r="N1540">
        <v>12.31</v>
      </c>
    </row>
    <row r="1541" spans="1:14" x14ac:dyDescent="0.25">
      <c r="A1541" s="1" t="s">
        <v>1553</v>
      </c>
      <c r="B1541" t="str">
        <f>HYPERLINK("https://www.suredividend.com/sure-analysis-research-database/","Transcontinental Realty Investors, Inc.")</f>
        <v>Transcontinental Realty Investors, Inc.</v>
      </c>
      <c r="C1541" t="s">
        <v>1799</v>
      </c>
      <c r="D1541">
        <v>30.73</v>
      </c>
      <c r="E1541">
        <v>0</v>
      </c>
      <c r="F1541" t="s">
        <v>1797</v>
      </c>
      <c r="G1541" t="s">
        <v>1797</v>
      </c>
      <c r="H1541">
        <v>0</v>
      </c>
      <c r="I1541">
        <v>265.48618099999999</v>
      </c>
      <c r="J1541">
        <v>0.60153752538824401</v>
      </c>
      <c r="K1541">
        <v>0</v>
      </c>
      <c r="L1541">
        <v>0.56101599833253202</v>
      </c>
      <c r="M1541">
        <v>47.35</v>
      </c>
      <c r="N1541">
        <v>27.23</v>
      </c>
    </row>
    <row r="1542" spans="1:14" x14ac:dyDescent="0.25">
      <c r="A1542" s="1" t="s">
        <v>1554</v>
      </c>
      <c r="B1542" t="str">
        <f>HYPERLINK("https://www.suredividend.com/sure-analysis-research-database/","Tactile Systems Technology Inc")</f>
        <v>Tactile Systems Technology Inc</v>
      </c>
      <c r="C1542" t="s">
        <v>1802</v>
      </c>
      <c r="D1542">
        <v>12.89</v>
      </c>
      <c r="E1542">
        <v>0</v>
      </c>
      <c r="F1542" t="s">
        <v>1797</v>
      </c>
      <c r="G1542" t="s">
        <v>1797</v>
      </c>
      <c r="H1542">
        <v>0</v>
      </c>
      <c r="I1542">
        <v>302.411787</v>
      </c>
      <c r="J1542">
        <v>849.47131261235961</v>
      </c>
      <c r="K1542">
        <v>0</v>
      </c>
      <c r="L1542">
        <v>0.9770779923856111</v>
      </c>
      <c r="M1542">
        <v>26.11</v>
      </c>
      <c r="N1542">
        <v>6.72</v>
      </c>
    </row>
    <row r="1543" spans="1:14" x14ac:dyDescent="0.25">
      <c r="A1543" s="1" t="s">
        <v>1555</v>
      </c>
      <c r="B1543" t="str">
        <f>HYPERLINK("https://www.suredividend.com/sure-analysis-research-database/","Container Store Group Inc")</f>
        <v>Container Store Group Inc</v>
      </c>
      <c r="C1543" t="s">
        <v>1801</v>
      </c>
      <c r="D1543">
        <v>1.91</v>
      </c>
      <c r="E1543">
        <v>0</v>
      </c>
      <c r="F1543" t="s">
        <v>1797</v>
      </c>
      <c r="G1543" t="s">
        <v>1797</v>
      </c>
      <c r="H1543">
        <v>0</v>
      </c>
      <c r="I1543">
        <v>98.789270000000002</v>
      </c>
      <c r="J1543" t="s">
        <v>1797</v>
      </c>
      <c r="K1543">
        <v>0</v>
      </c>
      <c r="L1543">
        <v>1.480270046445409</v>
      </c>
      <c r="M1543">
        <v>5.8</v>
      </c>
      <c r="N1543">
        <v>1.56</v>
      </c>
    </row>
    <row r="1544" spans="1:14" x14ac:dyDescent="0.25">
      <c r="A1544" s="1" t="s">
        <v>1556</v>
      </c>
      <c r="B1544" t="str">
        <f>HYPERLINK("https://www.suredividend.com/sure-analysis-research-database/","Tucows, Inc.")</f>
        <v>Tucows, Inc.</v>
      </c>
      <c r="C1544" t="s">
        <v>1803</v>
      </c>
      <c r="D1544">
        <v>19.445</v>
      </c>
      <c r="E1544">
        <v>0</v>
      </c>
      <c r="F1544" t="s">
        <v>1797</v>
      </c>
      <c r="G1544" t="s">
        <v>1797</v>
      </c>
      <c r="H1544">
        <v>0</v>
      </c>
      <c r="I1544">
        <v>209.80313000000001</v>
      </c>
      <c r="J1544" t="s">
        <v>1797</v>
      </c>
      <c r="K1544">
        <v>0</v>
      </c>
      <c r="L1544">
        <v>1.962827525468684</v>
      </c>
      <c r="M1544">
        <v>38</v>
      </c>
      <c r="N1544">
        <v>15.65</v>
      </c>
    </row>
    <row r="1545" spans="1:14" x14ac:dyDescent="0.25">
      <c r="A1545" s="1" t="s">
        <v>1557</v>
      </c>
      <c r="B1545" t="str">
        <f>HYPERLINK("https://www.suredividend.com/sure-analysis-TDS/","Telephone And Data Systems, Inc.")</f>
        <v>Telephone And Data Systems, Inc.</v>
      </c>
      <c r="C1545" t="s">
        <v>1806</v>
      </c>
      <c r="D1545">
        <v>19.45</v>
      </c>
      <c r="E1545">
        <v>3.8046272493573258E-2</v>
      </c>
      <c r="F1545">
        <v>2.7777777777777901E-2</v>
      </c>
      <c r="G1545">
        <v>2.9462068239258569E-2</v>
      </c>
      <c r="H1545">
        <v>0.71735948394733307</v>
      </c>
      <c r="I1545">
        <v>2047.60653</v>
      </c>
      <c r="J1545" t="s">
        <v>1797</v>
      </c>
      <c r="K1545" t="s">
        <v>1797</v>
      </c>
      <c r="L1545">
        <v>0.60153575244672908</v>
      </c>
      <c r="M1545">
        <v>21.52</v>
      </c>
      <c r="N1545">
        <v>6.21</v>
      </c>
    </row>
    <row r="1546" spans="1:14" x14ac:dyDescent="0.25">
      <c r="A1546" s="1" t="s">
        <v>1558</v>
      </c>
      <c r="B1546" t="str">
        <f>HYPERLINK("https://www.suredividend.com/sure-analysis-research-database/","ThredUp Inc")</f>
        <v>ThredUp Inc</v>
      </c>
      <c r="C1546" t="s">
        <v>1797</v>
      </c>
      <c r="D1546">
        <v>3.7</v>
      </c>
      <c r="E1546">
        <v>0</v>
      </c>
      <c r="F1546" t="s">
        <v>1797</v>
      </c>
      <c r="G1546" t="s">
        <v>1797</v>
      </c>
      <c r="H1546">
        <v>0</v>
      </c>
      <c r="I1546">
        <v>278.38060000000002</v>
      </c>
      <c r="J1546" t="s">
        <v>1797</v>
      </c>
      <c r="K1546">
        <v>0</v>
      </c>
      <c r="L1546">
        <v>1.626602991231993</v>
      </c>
      <c r="M1546">
        <v>4.3899999999999997</v>
      </c>
      <c r="N1546">
        <v>0.73050000000000004</v>
      </c>
    </row>
    <row r="1547" spans="1:14" x14ac:dyDescent="0.25">
      <c r="A1547" s="1" t="s">
        <v>1559</v>
      </c>
      <c r="B1547" t="str">
        <f>HYPERLINK("https://www.suredividend.com/sure-analysis-research-database/","Tidewater Inc.")</f>
        <v>Tidewater Inc.</v>
      </c>
      <c r="C1547" t="s">
        <v>1807</v>
      </c>
      <c r="D1547">
        <v>70.42</v>
      </c>
      <c r="E1547">
        <v>0</v>
      </c>
      <c r="F1547" t="s">
        <v>1797</v>
      </c>
      <c r="G1547" t="s">
        <v>1797</v>
      </c>
      <c r="H1547">
        <v>0</v>
      </c>
      <c r="I1547">
        <v>3708.8065489999999</v>
      </c>
      <c r="J1547">
        <v>75.195785827419812</v>
      </c>
      <c r="K1547">
        <v>0</v>
      </c>
      <c r="L1547">
        <v>0.91528849127003609</v>
      </c>
      <c r="M1547">
        <v>73.55</v>
      </c>
      <c r="N1547">
        <v>28.14</v>
      </c>
    </row>
    <row r="1548" spans="1:14" x14ac:dyDescent="0.25">
      <c r="A1548" s="1" t="s">
        <v>1560</v>
      </c>
      <c r="B1548" t="str">
        <f>HYPERLINK("https://www.suredividend.com/sure-analysis-research-database/","Tellurian Inc")</f>
        <v>Tellurian Inc</v>
      </c>
      <c r="C1548" t="s">
        <v>1807</v>
      </c>
      <c r="D1548">
        <v>0.60570000000000002</v>
      </c>
      <c r="E1548">
        <v>0</v>
      </c>
      <c r="F1548" t="s">
        <v>1797</v>
      </c>
      <c r="G1548" t="s">
        <v>1797</v>
      </c>
      <c r="H1548">
        <v>0</v>
      </c>
      <c r="I1548">
        <v>352.408208</v>
      </c>
      <c r="J1548" t="s">
        <v>1797</v>
      </c>
      <c r="K1548">
        <v>0</v>
      </c>
      <c r="L1548">
        <v>1.9977684696004061</v>
      </c>
      <c r="M1548">
        <v>3.14</v>
      </c>
      <c r="N1548">
        <v>0.49</v>
      </c>
    </row>
    <row r="1549" spans="1:14" x14ac:dyDescent="0.25">
      <c r="A1549" s="1" t="s">
        <v>1561</v>
      </c>
      <c r="B1549" t="str">
        <f>HYPERLINK("https://www.suredividend.com/sure-analysis-research-database/","Tenable Holdings Inc")</f>
        <v>Tenable Holdings Inc</v>
      </c>
      <c r="C1549" t="s">
        <v>1803</v>
      </c>
      <c r="D1549">
        <v>37.1</v>
      </c>
      <c r="E1549">
        <v>0</v>
      </c>
      <c r="F1549" t="s">
        <v>1797</v>
      </c>
      <c r="G1549" t="s">
        <v>1797</v>
      </c>
      <c r="H1549">
        <v>0</v>
      </c>
      <c r="I1549">
        <v>4290.2074570000004</v>
      </c>
      <c r="J1549" t="s">
        <v>1797</v>
      </c>
      <c r="K1549">
        <v>0</v>
      </c>
      <c r="L1549">
        <v>1.4643844445672689</v>
      </c>
      <c r="M1549">
        <v>49.77</v>
      </c>
      <c r="N1549">
        <v>33.770000000000003</v>
      </c>
    </row>
    <row r="1550" spans="1:14" x14ac:dyDescent="0.25">
      <c r="A1550" s="1" t="s">
        <v>1562</v>
      </c>
      <c r="B1550" t="str">
        <f>HYPERLINK("https://www.suredividend.com/sure-analysis-research-database/","Terex Corp.")</f>
        <v>Terex Corp.</v>
      </c>
      <c r="C1550" t="s">
        <v>1798</v>
      </c>
      <c r="D1550">
        <v>50.27</v>
      </c>
      <c r="E1550">
        <v>1.1905047170299001E-2</v>
      </c>
      <c r="F1550" t="s">
        <v>1797</v>
      </c>
      <c r="G1550" t="s">
        <v>1797</v>
      </c>
      <c r="H1550">
        <v>0.598466721250972</v>
      </c>
      <c r="I1550">
        <v>3383.1709999999998</v>
      </c>
      <c r="J1550">
        <v>6.9986988001654948</v>
      </c>
      <c r="K1550">
        <v>8.4888896631343552E-2</v>
      </c>
      <c r="L1550">
        <v>1.4011688129378641</v>
      </c>
      <c r="M1550">
        <v>65.459999999999994</v>
      </c>
      <c r="N1550">
        <v>40.29</v>
      </c>
    </row>
    <row r="1551" spans="1:14" x14ac:dyDescent="0.25">
      <c r="A1551" s="1" t="s">
        <v>1563</v>
      </c>
      <c r="B1551" t="str">
        <f>HYPERLINK("https://www.suredividend.com/sure-analysis-research-database/","Triumph Financial Inc")</f>
        <v>Triumph Financial Inc</v>
      </c>
      <c r="C1551" t="s">
        <v>1797</v>
      </c>
      <c r="D1551">
        <v>67.44</v>
      </c>
      <c r="E1551">
        <v>0</v>
      </c>
      <c r="F1551" t="s">
        <v>1797</v>
      </c>
      <c r="G1551" t="s">
        <v>1797</v>
      </c>
      <c r="H1551">
        <v>0</v>
      </c>
      <c r="I1551">
        <v>1570.7929899999999</v>
      </c>
      <c r="J1551">
        <v>34.290051951363267</v>
      </c>
      <c r="K1551">
        <v>0</v>
      </c>
      <c r="L1551">
        <v>1.4704196958456719</v>
      </c>
      <c r="M1551">
        <v>72.62</v>
      </c>
      <c r="N1551">
        <v>45.08</v>
      </c>
    </row>
    <row r="1552" spans="1:14" x14ac:dyDescent="0.25">
      <c r="A1552" s="1" t="s">
        <v>1564</v>
      </c>
      <c r="B1552" t="str">
        <f>HYPERLINK("https://www.suredividend.com/sure-analysis-research-database/","Fresh Market Holdings Inc (The)")</f>
        <v>Fresh Market Holdings Inc (The)</v>
      </c>
      <c r="C1552" t="s">
        <v>1797</v>
      </c>
      <c r="E1552">
        <v>0</v>
      </c>
      <c r="F1552" t="s">
        <v>1797</v>
      </c>
      <c r="G1552" t="s">
        <v>1797</v>
      </c>
      <c r="H1552">
        <v>0</v>
      </c>
      <c r="I1552">
        <v>0</v>
      </c>
      <c r="J1552">
        <v>0</v>
      </c>
      <c r="K1552" t="s">
        <v>1797</v>
      </c>
    </row>
    <row r="1553" spans="1:14" x14ac:dyDescent="0.25">
      <c r="A1553" s="1" t="s">
        <v>1565</v>
      </c>
      <c r="B1553" t="str">
        <f>HYPERLINK("https://www.suredividend.com/sure-analysis-research-database/","Tredegar Corp.")</f>
        <v>Tredegar Corp.</v>
      </c>
      <c r="C1553" t="s">
        <v>1808</v>
      </c>
      <c r="D1553">
        <v>4.78</v>
      </c>
      <c r="E1553">
        <v>8.0098169945861011E-2</v>
      </c>
      <c r="F1553">
        <v>8.3333333333333481E-2</v>
      </c>
      <c r="G1553">
        <v>3.3975226531950183E-2</v>
      </c>
      <c r="H1553">
        <v>0.38286925234121699</v>
      </c>
      <c r="I1553">
        <v>164.358756</v>
      </c>
      <c r="J1553" t="s">
        <v>1797</v>
      </c>
      <c r="K1553" t="s">
        <v>1797</v>
      </c>
      <c r="L1553">
        <v>0.86033637293217602</v>
      </c>
      <c r="M1553">
        <v>12.08</v>
      </c>
      <c r="N1553">
        <v>4.3499999999999996</v>
      </c>
    </row>
    <row r="1554" spans="1:14" x14ac:dyDescent="0.25">
      <c r="A1554" s="1" t="s">
        <v>1566</v>
      </c>
      <c r="B1554" t="str">
        <f>HYPERLINK("https://www.suredividend.com/sure-analysis-research-database/","Transphorm Inc")</f>
        <v>Transphorm Inc</v>
      </c>
      <c r="C1554" t="s">
        <v>1797</v>
      </c>
      <c r="D1554">
        <v>2.66</v>
      </c>
      <c r="E1554">
        <v>0</v>
      </c>
      <c r="F1554" t="s">
        <v>1797</v>
      </c>
      <c r="G1554" t="s">
        <v>1797</v>
      </c>
      <c r="H1554">
        <v>0</v>
      </c>
      <c r="I1554">
        <v>164.815302</v>
      </c>
      <c r="J1554">
        <v>0</v>
      </c>
      <c r="K1554" t="s">
        <v>1797</v>
      </c>
      <c r="L1554">
        <v>1.7882087976208629</v>
      </c>
      <c r="M1554">
        <v>7.67</v>
      </c>
      <c r="N1554">
        <v>1.94</v>
      </c>
    </row>
    <row r="1555" spans="1:14" x14ac:dyDescent="0.25">
      <c r="A1555" s="1" t="s">
        <v>1567</v>
      </c>
      <c r="B1555" t="str">
        <f>HYPERLINK("https://www.suredividend.com/sure-analysis-research-database/","Textainer Group Holdings Limited")</f>
        <v>Textainer Group Holdings Limited</v>
      </c>
      <c r="C1555" t="s">
        <v>1798</v>
      </c>
      <c r="D1555">
        <v>49.2</v>
      </c>
      <c r="E1555">
        <v>2.3105732663292002E-2</v>
      </c>
      <c r="F1555" t="s">
        <v>1797</v>
      </c>
      <c r="G1555" t="s">
        <v>1797</v>
      </c>
      <c r="H1555">
        <v>1.136802047033991</v>
      </c>
      <c r="I1555">
        <v>2085.945635</v>
      </c>
      <c r="J1555">
        <v>9.8631400914468355</v>
      </c>
      <c r="K1555">
        <v>0.23295123914630961</v>
      </c>
      <c r="L1555">
        <v>0.61032375519350401</v>
      </c>
      <c r="M1555">
        <v>49.6</v>
      </c>
      <c r="N1555">
        <v>27.95</v>
      </c>
    </row>
    <row r="1556" spans="1:14" x14ac:dyDescent="0.25">
      <c r="A1556" s="1" t="s">
        <v>1568</v>
      </c>
      <c r="B1556" t="str">
        <f>HYPERLINK("https://www.suredividend.com/sure-analysis-research-database/","Triumph Group Inc.")</f>
        <v>Triumph Group Inc.</v>
      </c>
      <c r="C1556" t="s">
        <v>1798</v>
      </c>
      <c r="D1556">
        <v>8.1</v>
      </c>
      <c r="E1556">
        <v>0</v>
      </c>
      <c r="F1556" t="s">
        <v>1797</v>
      </c>
      <c r="G1556" t="s">
        <v>1797</v>
      </c>
      <c r="H1556">
        <v>0</v>
      </c>
      <c r="I1556">
        <v>621.37757599999998</v>
      </c>
      <c r="J1556">
        <v>7.5989039781343237</v>
      </c>
      <c r="K1556">
        <v>0</v>
      </c>
      <c r="M1556">
        <v>13.33</v>
      </c>
      <c r="N1556">
        <v>7</v>
      </c>
    </row>
    <row r="1557" spans="1:14" x14ac:dyDescent="0.25">
      <c r="A1557" s="1" t="s">
        <v>1569</v>
      </c>
      <c r="B1557" t="str">
        <f>HYPERLINK("https://www.suredividend.com/sure-analysis-research-database/","TEGNA Inc")</f>
        <v>TEGNA Inc</v>
      </c>
      <c r="C1557" t="s">
        <v>1806</v>
      </c>
      <c r="D1557">
        <v>15.53</v>
      </c>
      <c r="E1557">
        <v>2.5439808093080999E-2</v>
      </c>
      <c r="F1557">
        <v>0.19736842105263161</v>
      </c>
      <c r="G1557">
        <v>0.10197228772148011</v>
      </c>
      <c r="H1557">
        <v>0.39508021968554902</v>
      </c>
      <c r="I1557">
        <v>3129.6367380000002</v>
      </c>
      <c r="J1557">
        <v>4.6775644213495067</v>
      </c>
      <c r="K1557">
        <v>0.13169340656184969</v>
      </c>
      <c r="L1557">
        <v>0.45501717334167802</v>
      </c>
      <c r="M1557">
        <v>21.88</v>
      </c>
      <c r="N1557">
        <v>13.66</v>
      </c>
    </row>
    <row r="1558" spans="1:14" x14ac:dyDescent="0.25">
      <c r="A1558" s="1" t="s">
        <v>1570</v>
      </c>
      <c r="B1558" t="str">
        <f>HYPERLINK("https://www.suredividend.com/sure-analysis-research-database/","TG Therapeutics Inc")</f>
        <v>TG Therapeutics Inc</v>
      </c>
      <c r="C1558" t="s">
        <v>1802</v>
      </c>
      <c r="D1558">
        <v>11.06</v>
      </c>
      <c r="E1558">
        <v>0</v>
      </c>
      <c r="F1558" t="s">
        <v>1797</v>
      </c>
      <c r="G1558" t="s">
        <v>1797</v>
      </c>
      <c r="H1558">
        <v>0</v>
      </c>
      <c r="I1558">
        <v>1669.811858</v>
      </c>
      <c r="J1558" t="s">
        <v>1797</v>
      </c>
      <c r="K1558">
        <v>0</v>
      </c>
      <c r="L1558">
        <v>3.3620173011099408</v>
      </c>
      <c r="M1558">
        <v>35.67</v>
      </c>
      <c r="N1558">
        <v>5.16</v>
      </c>
    </row>
    <row r="1559" spans="1:14" x14ac:dyDescent="0.25">
      <c r="A1559" s="1" t="s">
        <v>1571</v>
      </c>
      <c r="B1559" t="str">
        <f>HYPERLINK("https://www.suredividend.com/sure-analysis-research-database/","Target Hospitality Corp")</f>
        <v>Target Hospitality Corp</v>
      </c>
      <c r="C1559" t="s">
        <v>1807</v>
      </c>
      <c r="D1559">
        <v>13.65</v>
      </c>
      <c r="E1559">
        <v>0</v>
      </c>
      <c r="F1559" t="s">
        <v>1797</v>
      </c>
      <c r="G1559" t="s">
        <v>1797</v>
      </c>
      <c r="H1559">
        <v>0</v>
      </c>
      <c r="I1559">
        <v>1386.7861640000001</v>
      </c>
      <c r="J1559">
        <v>9.844299537168494</v>
      </c>
      <c r="K1559">
        <v>0</v>
      </c>
      <c r="L1559">
        <v>0.200792525939886</v>
      </c>
      <c r="M1559">
        <v>18.48</v>
      </c>
      <c r="N1559">
        <v>10.4</v>
      </c>
    </row>
    <row r="1560" spans="1:14" x14ac:dyDescent="0.25">
      <c r="A1560" s="1" t="s">
        <v>1572</v>
      </c>
      <c r="B1560" t="str">
        <f>HYPERLINK("https://www.suredividend.com/sure-analysis-THFF/","First Financial Corp. - Indiana")</f>
        <v>First Financial Corp. - Indiana</v>
      </c>
      <c r="C1560" t="s">
        <v>1800</v>
      </c>
      <c r="D1560">
        <v>35.71</v>
      </c>
      <c r="E1560">
        <v>3.024362923550826E-2</v>
      </c>
      <c r="F1560" t="s">
        <v>1797</v>
      </c>
      <c r="G1560" t="s">
        <v>1797</v>
      </c>
      <c r="H1560">
        <v>1.0635774982663351</v>
      </c>
      <c r="I1560">
        <v>427.647783</v>
      </c>
      <c r="J1560">
        <v>6.4270245006687814</v>
      </c>
      <c r="K1560">
        <v>0.1923286615309828</v>
      </c>
      <c r="L1560">
        <v>0.707549809826297</v>
      </c>
      <c r="M1560">
        <v>47.81</v>
      </c>
      <c r="N1560">
        <v>30.06</v>
      </c>
    </row>
    <row r="1561" spans="1:14" x14ac:dyDescent="0.25">
      <c r="A1561" s="1" t="s">
        <v>1573</v>
      </c>
      <c r="B1561" t="str">
        <f>HYPERLINK("https://www.suredividend.com/sure-analysis-research-database/","Thermon Group Holdings Inc")</f>
        <v>Thermon Group Holdings Inc</v>
      </c>
      <c r="C1561" t="s">
        <v>1798</v>
      </c>
      <c r="D1561">
        <v>30.21</v>
      </c>
      <c r="E1561">
        <v>0</v>
      </c>
      <c r="F1561" t="s">
        <v>1797</v>
      </c>
      <c r="G1561" t="s">
        <v>1797</v>
      </c>
      <c r="H1561">
        <v>0</v>
      </c>
      <c r="I1561">
        <v>1017.6905839999999</v>
      </c>
      <c r="J1561">
        <v>24.350159924630329</v>
      </c>
      <c r="K1561">
        <v>0</v>
      </c>
      <c r="L1561">
        <v>0.93281827243360704</v>
      </c>
      <c r="M1561">
        <v>30.81</v>
      </c>
      <c r="N1561">
        <v>17.78</v>
      </c>
    </row>
    <row r="1562" spans="1:14" x14ac:dyDescent="0.25">
      <c r="A1562" s="1" t="s">
        <v>1574</v>
      </c>
      <c r="B1562" t="str">
        <f>HYPERLINK("https://www.suredividend.com/sure-analysis-research-database/","Third Harmonic Bio Inc")</f>
        <v>Third Harmonic Bio Inc</v>
      </c>
      <c r="C1562" t="s">
        <v>1797</v>
      </c>
      <c r="D1562">
        <v>6.51</v>
      </c>
      <c r="E1562">
        <v>0</v>
      </c>
      <c r="F1562" t="s">
        <v>1797</v>
      </c>
      <c r="G1562" t="s">
        <v>1797</v>
      </c>
      <c r="H1562">
        <v>0</v>
      </c>
      <c r="I1562">
        <v>262.87043399999999</v>
      </c>
      <c r="J1562">
        <v>0</v>
      </c>
      <c r="K1562" t="s">
        <v>1797</v>
      </c>
      <c r="L1562">
        <v>1.116448680365508</v>
      </c>
      <c r="M1562">
        <v>23.43</v>
      </c>
      <c r="N1562">
        <v>3.75</v>
      </c>
    </row>
    <row r="1563" spans="1:14" x14ac:dyDescent="0.25">
      <c r="A1563" s="1" t="s">
        <v>1575</v>
      </c>
      <c r="B1563" t="str">
        <f>HYPERLINK("https://www.suredividend.com/sure-analysis-research-database/","Gentherm Inc")</f>
        <v>Gentherm Inc</v>
      </c>
      <c r="C1563" t="s">
        <v>1801</v>
      </c>
      <c r="D1563">
        <v>44.23</v>
      </c>
      <c r="E1563">
        <v>0</v>
      </c>
      <c r="F1563" t="s">
        <v>1797</v>
      </c>
      <c r="G1563" t="s">
        <v>1797</v>
      </c>
      <c r="H1563">
        <v>0</v>
      </c>
      <c r="I1563">
        <v>1450.5802160000001</v>
      </c>
      <c r="J1563">
        <v>80.360102836961943</v>
      </c>
      <c r="K1563">
        <v>0</v>
      </c>
      <c r="L1563">
        <v>1.3466413753090101</v>
      </c>
      <c r="M1563">
        <v>76.13</v>
      </c>
      <c r="N1563">
        <v>38.21</v>
      </c>
    </row>
    <row r="1564" spans="1:14" x14ac:dyDescent="0.25">
      <c r="A1564" s="1" t="s">
        <v>1576</v>
      </c>
      <c r="B1564" t="str">
        <f>HYPERLINK("https://www.suredividend.com/sure-analysis-research-database/","Thorne Healthtech Inc")</f>
        <v>Thorne Healthtech Inc</v>
      </c>
      <c r="C1564" t="s">
        <v>1797</v>
      </c>
      <c r="D1564">
        <v>10.19</v>
      </c>
      <c r="E1564">
        <v>0</v>
      </c>
      <c r="F1564" t="s">
        <v>1797</v>
      </c>
      <c r="G1564" t="s">
        <v>1797</v>
      </c>
      <c r="H1564">
        <v>0</v>
      </c>
      <c r="I1564">
        <v>0</v>
      </c>
      <c r="J1564">
        <v>0</v>
      </c>
      <c r="K1564" t="s">
        <v>1797</v>
      </c>
    </row>
    <row r="1565" spans="1:14" x14ac:dyDescent="0.25">
      <c r="A1565" s="1" t="s">
        <v>1577</v>
      </c>
      <c r="B1565" t="str">
        <f>HYPERLINK("https://www.suredividend.com/sure-analysis-research-database/","Theseus Pharmaceuticals Inc")</f>
        <v>Theseus Pharmaceuticals Inc</v>
      </c>
      <c r="C1565" t="s">
        <v>1797</v>
      </c>
      <c r="D1565">
        <v>2.44</v>
      </c>
      <c r="E1565">
        <v>0</v>
      </c>
      <c r="F1565" t="s">
        <v>1797</v>
      </c>
      <c r="G1565" t="s">
        <v>1797</v>
      </c>
      <c r="H1565">
        <v>0</v>
      </c>
      <c r="I1565">
        <v>106.39221999999999</v>
      </c>
      <c r="J1565">
        <v>0</v>
      </c>
      <c r="K1565" t="s">
        <v>1797</v>
      </c>
      <c r="L1565">
        <v>1.8618424978670669</v>
      </c>
      <c r="M1565">
        <v>14.77</v>
      </c>
      <c r="N1565">
        <v>2.12</v>
      </c>
    </row>
    <row r="1566" spans="1:14" x14ac:dyDescent="0.25">
      <c r="A1566" s="1" t="s">
        <v>1578</v>
      </c>
      <c r="B1566" t="str">
        <f>HYPERLINK("https://www.suredividend.com/sure-analysis-research-database/","Thryv Holdings Inc")</f>
        <v>Thryv Holdings Inc</v>
      </c>
      <c r="C1566" t="s">
        <v>1797</v>
      </c>
      <c r="D1566">
        <v>18.53</v>
      </c>
      <c r="E1566">
        <v>0</v>
      </c>
      <c r="F1566" t="s">
        <v>1797</v>
      </c>
      <c r="G1566" t="s">
        <v>1797</v>
      </c>
      <c r="H1566">
        <v>0</v>
      </c>
      <c r="I1566">
        <v>641.20971099999997</v>
      </c>
      <c r="J1566" t="s">
        <v>1797</v>
      </c>
      <c r="K1566">
        <v>0</v>
      </c>
      <c r="L1566">
        <v>1.090030166088523</v>
      </c>
      <c r="M1566">
        <v>26.01</v>
      </c>
      <c r="N1566">
        <v>15.99</v>
      </c>
    </row>
    <row r="1567" spans="1:14" x14ac:dyDescent="0.25">
      <c r="A1567" s="1" t="s">
        <v>1579</v>
      </c>
      <c r="B1567" t="str">
        <f>HYPERLINK("https://www.suredividend.com/sure-analysis-research-database/","Treehouse Foods Inc")</f>
        <v>Treehouse Foods Inc</v>
      </c>
      <c r="C1567" t="s">
        <v>1804</v>
      </c>
      <c r="D1567">
        <v>42.5</v>
      </c>
      <c r="E1567">
        <v>0</v>
      </c>
      <c r="F1567" t="s">
        <v>1797</v>
      </c>
      <c r="G1567" t="s">
        <v>1797</v>
      </c>
      <c r="H1567">
        <v>0</v>
      </c>
      <c r="I1567">
        <v>2396.08727</v>
      </c>
      <c r="J1567" t="s">
        <v>1797</v>
      </c>
      <c r="K1567">
        <v>0</v>
      </c>
      <c r="L1567">
        <v>0.31060899867533098</v>
      </c>
      <c r="M1567">
        <v>55.3</v>
      </c>
      <c r="N1567">
        <v>38.18</v>
      </c>
    </row>
    <row r="1568" spans="1:14" x14ac:dyDescent="0.25">
      <c r="A1568" s="1" t="s">
        <v>1580</v>
      </c>
      <c r="B1568" t="str">
        <f>HYPERLINK("https://www.suredividend.com/sure-analysis-research-database/","Instil Bio Inc")</f>
        <v>Instil Bio Inc</v>
      </c>
      <c r="C1568" t="s">
        <v>1797</v>
      </c>
      <c r="D1568">
        <v>0.375</v>
      </c>
      <c r="E1568">
        <v>0</v>
      </c>
      <c r="F1568" t="s">
        <v>1797</v>
      </c>
      <c r="G1568" t="s">
        <v>1797</v>
      </c>
      <c r="H1568">
        <v>0</v>
      </c>
      <c r="I1568">
        <v>48.779660999999997</v>
      </c>
      <c r="J1568">
        <v>0</v>
      </c>
      <c r="K1568" t="s">
        <v>1797</v>
      </c>
      <c r="L1568">
        <v>1.0118855360590859</v>
      </c>
      <c r="M1568">
        <v>2.61</v>
      </c>
      <c r="N1568">
        <v>0.34439999999999998</v>
      </c>
    </row>
    <row r="1569" spans="1:14" x14ac:dyDescent="0.25">
      <c r="A1569" s="1" t="s">
        <v>1581</v>
      </c>
      <c r="B1569" t="str">
        <f>HYPERLINK("https://www.suredividend.com/sure-analysis-research-database/","Interface Inc.")</f>
        <v>Interface Inc.</v>
      </c>
      <c r="C1569" t="s">
        <v>1801</v>
      </c>
      <c r="D1569">
        <v>9.58</v>
      </c>
      <c r="E1569">
        <v>4.1619226748730014E-3</v>
      </c>
      <c r="F1569">
        <v>0</v>
      </c>
      <c r="G1569">
        <v>-0.312271014707454</v>
      </c>
      <c r="H1569">
        <v>3.9871219225291001E-2</v>
      </c>
      <c r="I1569">
        <v>556.66482099999996</v>
      </c>
      <c r="J1569">
        <v>115.7307319126819</v>
      </c>
      <c r="K1569">
        <v>0.48328750576110302</v>
      </c>
      <c r="L1569">
        <v>1.217509305923403</v>
      </c>
      <c r="M1569">
        <v>12.22</v>
      </c>
      <c r="N1569">
        <v>6.48</v>
      </c>
    </row>
    <row r="1570" spans="1:14" x14ac:dyDescent="0.25">
      <c r="A1570" s="1" t="s">
        <v>1582</v>
      </c>
      <c r="B1570" t="str">
        <f>HYPERLINK("https://www.suredividend.com/sure-analysis-research-database/","Tiptree Inc")</f>
        <v>Tiptree Inc</v>
      </c>
      <c r="C1570" t="s">
        <v>1800</v>
      </c>
      <c r="D1570">
        <v>17.48</v>
      </c>
      <c r="E1570">
        <v>1.0798651961557E-2</v>
      </c>
      <c r="F1570">
        <v>0.25</v>
      </c>
      <c r="G1570">
        <v>7.3940923785779322E-2</v>
      </c>
      <c r="H1570">
        <v>0.188760436288018</v>
      </c>
      <c r="I1570">
        <v>642.38594499999999</v>
      </c>
      <c r="J1570">
        <v>0</v>
      </c>
      <c r="K1570" t="s">
        <v>1797</v>
      </c>
      <c r="L1570">
        <v>0.5473783670916651</v>
      </c>
      <c r="M1570">
        <v>18</v>
      </c>
      <c r="N1570">
        <v>11.81</v>
      </c>
    </row>
    <row r="1571" spans="1:14" x14ac:dyDescent="0.25">
      <c r="A1571" s="1" t="s">
        <v>1583</v>
      </c>
      <c r="B1571" t="str">
        <f>HYPERLINK("https://www.suredividend.com/sure-analysis-research-database/","Titan Machinery Inc")</f>
        <v>Titan Machinery Inc</v>
      </c>
      <c r="C1571" t="s">
        <v>1798</v>
      </c>
      <c r="D1571">
        <v>26.08</v>
      </c>
      <c r="E1571">
        <v>0</v>
      </c>
      <c r="F1571" t="s">
        <v>1797</v>
      </c>
      <c r="G1571" t="s">
        <v>1797</v>
      </c>
      <c r="H1571">
        <v>0</v>
      </c>
      <c r="I1571">
        <v>596.29079899999999</v>
      </c>
      <c r="J1571">
        <v>5.1330922893101247</v>
      </c>
      <c r="K1571">
        <v>0</v>
      </c>
      <c r="L1571">
        <v>1.1446990365875811</v>
      </c>
      <c r="M1571">
        <v>47.87</v>
      </c>
      <c r="N1571">
        <v>23.04</v>
      </c>
    </row>
    <row r="1572" spans="1:14" x14ac:dyDescent="0.25">
      <c r="A1572" s="1" t="s">
        <v>1584</v>
      </c>
      <c r="B1572" t="str">
        <f>HYPERLINK("https://www.suredividend.com/sure-analysis-research-database/","Teekay Corp")</f>
        <v>Teekay Corp</v>
      </c>
      <c r="C1572" t="s">
        <v>1807</v>
      </c>
      <c r="D1572">
        <v>7.46</v>
      </c>
      <c r="E1572">
        <v>0</v>
      </c>
      <c r="F1572" t="s">
        <v>1797</v>
      </c>
      <c r="G1572" t="s">
        <v>1797</v>
      </c>
      <c r="H1572">
        <v>0</v>
      </c>
      <c r="I1572">
        <v>681.65682100000004</v>
      </c>
      <c r="J1572">
        <v>4.415934007113103</v>
      </c>
      <c r="K1572">
        <v>0</v>
      </c>
      <c r="L1572">
        <v>0.6289538039129241</v>
      </c>
      <c r="M1572">
        <v>7.67</v>
      </c>
      <c r="N1572">
        <v>3.95</v>
      </c>
    </row>
    <row r="1573" spans="1:14" x14ac:dyDescent="0.25">
      <c r="A1573" s="1" t="s">
        <v>1585</v>
      </c>
      <c r="B1573" t="str">
        <f>HYPERLINK("https://www.suredividend.com/sure-analysis-research-database/","Alpha Teknova Inc")</f>
        <v>Alpha Teknova Inc</v>
      </c>
      <c r="C1573" t="s">
        <v>1797</v>
      </c>
      <c r="D1573">
        <v>1.98</v>
      </c>
      <c r="E1573">
        <v>0</v>
      </c>
      <c r="F1573" t="s">
        <v>1797</v>
      </c>
      <c r="G1573" t="s">
        <v>1797</v>
      </c>
      <c r="H1573">
        <v>0</v>
      </c>
      <c r="I1573">
        <v>80.641003999999995</v>
      </c>
      <c r="J1573" t="s">
        <v>1797</v>
      </c>
      <c r="K1573">
        <v>0</v>
      </c>
      <c r="L1573">
        <v>1.4027989546696329</v>
      </c>
      <c r="M1573">
        <v>6.48</v>
      </c>
      <c r="N1573">
        <v>1.62</v>
      </c>
    </row>
    <row r="1574" spans="1:14" x14ac:dyDescent="0.25">
      <c r="A1574" s="1" t="s">
        <v>1586</v>
      </c>
      <c r="B1574" t="str">
        <f>HYPERLINK("https://www.suredividend.com/sure-analysis-research-database/","Telos Corp")</f>
        <v>Telos Corp</v>
      </c>
      <c r="C1574" t="s">
        <v>1797</v>
      </c>
      <c r="D1574">
        <v>2.66</v>
      </c>
      <c r="E1574">
        <v>0</v>
      </c>
      <c r="F1574" t="s">
        <v>1797</v>
      </c>
      <c r="G1574" t="s">
        <v>1797</v>
      </c>
      <c r="H1574">
        <v>0</v>
      </c>
      <c r="I1574">
        <v>185.090272</v>
      </c>
      <c r="J1574">
        <v>0</v>
      </c>
      <c r="K1574" t="s">
        <v>1797</v>
      </c>
      <c r="L1574">
        <v>1.777076714471995</v>
      </c>
      <c r="M1574">
        <v>11.24</v>
      </c>
      <c r="N1574">
        <v>1.53</v>
      </c>
    </row>
    <row r="1575" spans="1:14" x14ac:dyDescent="0.25">
      <c r="A1575" s="1" t="s">
        <v>1587</v>
      </c>
      <c r="B1575" t="str">
        <f>HYPERLINK("https://www.suredividend.com/sure-analysis-research-database/","Tillys Inc")</f>
        <v>Tillys Inc</v>
      </c>
      <c r="C1575" t="s">
        <v>1801</v>
      </c>
      <c r="D1575">
        <v>8.35</v>
      </c>
      <c r="E1575">
        <v>0</v>
      </c>
      <c r="F1575" t="s">
        <v>1797</v>
      </c>
      <c r="G1575" t="s">
        <v>1797</v>
      </c>
      <c r="H1575">
        <v>0</v>
      </c>
      <c r="I1575">
        <v>189.161902</v>
      </c>
      <c r="J1575" t="s">
        <v>1797</v>
      </c>
      <c r="K1575">
        <v>0</v>
      </c>
      <c r="L1575">
        <v>0.97193428429889805</v>
      </c>
      <c r="M1575">
        <v>10.35</v>
      </c>
      <c r="N1575">
        <v>6.05</v>
      </c>
    </row>
    <row r="1576" spans="1:14" x14ac:dyDescent="0.25">
      <c r="A1576" s="1" t="s">
        <v>1588</v>
      </c>
      <c r="B1576" t="str">
        <f>HYPERLINK("https://www.suredividend.com/sure-analysis-research-database/","Treace Medical Concepts Inc")</f>
        <v>Treace Medical Concepts Inc</v>
      </c>
      <c r="C1576" t="s">
        <v>1797</v>
      </c>
      <c r="D1576">
        <v>11.04</v>
      </c>
      <c r="E1576">
        <v>0</v>
      </c>
      <c r="F1576" t="s">
        <v>1797</v>
      </c>
      <c r="G1576" t="s">
        <v>1797</v>
      </c>
      <c r="H1576">
        <v>0</v>
      </c>
      <c r="I1576">
        <v>679.45317899999998</v>
      </c>
      <c r="J1576" t="s">
        <v>1797</v>
      </c>
      <c r="K1576">
        <v>0</v>
      </c>
      <c r="L1576">
        <v>1.0600504958913239</v>
      </c>
      <c r="M1576">
        <v>27.97</v>
      </c>
      <c r="N1576">
        <v>9.23</v>
      </c>
    </row>
    <row r="1577" spans="1:14" x14ac:dyDescent="0.25">
      <c r="A1577" s="1" t="s">
        <v>1589</v>
      </c>
      <c r="B1577" t="str">
        <f>HYPERLINK("https://www.suredividend.com/sure-analysis-research-database/","Transmedics Group Inc")</f>
        <v>Transmedics Group Inc</v>
      </c>
      <c r="C1577" t="s">
        <v>1802</v>
      </c>
      <c r="D1577">
        <v>42.62</v>
      </c>
      <c r="E1577">
        <v>0</v>
      </c>
      <c r="F1577" t="s">
        <v>1797</v>
      </c>
      <c r="G1577" t="s">
        <v>1797</v>
      </c>
      <c r="H1577">
        <v>0</v>
      </c>
      <c r="I1577">
        <v>1389.412</v>
      </c>
      <c r="J1577" t="s">
        <v>1797</v>
      </c>
      <c r="K1577">
        <v>0</v>
      </c>
      <c r="L1577">
        <v>1.436945720399553</v>
      </c>
      <c r="M1577">
        <v>99.63</v>
      </c>
      <c r="N1577">
        <v>36.42</v>
      </c>
    </row>
    <row r="1578" spans="1:14" x14ac:dyDescent="0.25">
      <c r="A1578" s="1" t="s">
        <v>1590</v>
      </c>
      <c r="B1578" t="str">
        <f>HYPERLINK("https://www.suredividend.com/sure-analysis-research-database/","Taylor Morrison Home Corp.")</f>
        <v>Taylor Morrison Home Corp.</v>
      </c>
      <c r="C1578" t="s">
        <v>1801</v>
      </c>
      <c r="D1578">
        <v>43.73</v>
      </c>
      <c r="E1578">
        <v>0</v>
      </c>
      <c r="F1578" t="s">
        <v>1797</v>
      </c>
      <c r="G1578" t="s">
        <v>1797</v>
      </c>
      <c r="H1578">
        <v>0</v>
      </c>
      <c r="I1578">
        <v>4698.7245229999999</v>
      </c>
      <c r="J1578">
        <v>5.3904546109616538</v>
      </c>
      <c r="K1578">
        <v>0</v>
      </c>
      <c r="L1578">
        <v>1.398508243985402</v>
      </c>
      <c r="M1578">
        <v>52.09</v>
      </c>
      <c r="N1578">
        <v>25.36</v>
      </c>
    </row>
    <row r="1579" spans="1:14" x14ac:dyDescent="0.25">
      <c r="A1579" s="1" t="s">
        <v>1591</v>
      </c>
      <c r="B1579" t="str">
        <f>HYPERLINK("https://www.suredividend.com/sure-analysis-TMP/","Tompkins Financial Corp")</f>
        <v>Tompkins Financial Corp</v>
      </c>
      <c r="C1579" t="s">
        <v>1800</v>
      </c>
      <c r="D1579">
        <v>54.25</v>
      </c>
      <c r="E1579">
        <v>4.423963133640553E-2</v>
      </c>
      <c r="F1579">
        <v>5.2631578947368363E-2</v>
      </c>
      <c r="G1579">
        <v>3.7137289336648172E-2</v>
      </c>
      <c r="H1579">
        <v>2.334893604152763</v>
      </c>
      <c r="I1579">
        <v>779.20544500000005</v>
      </c>
      <c r="J1579">
        <v>11.35685887831397</v>
      </c>
      <c r="K1579">
        <v>0.48949551449743472</v>
      </c>
      <c r="L1579">
        <v>0.94966779745688712</v>
      </c>
      <c r="M1579">
        <v>80.91</v>
      </c>
      <c r="N1579">
        <v>46.69</v>
      </c>
    </row>
    <row r="1580" spans="1:14" x14ac:dyDescent="0.25">
      <c r="A1580" s="1" t="s">
        <v>1592</v>
      </c>
      <c r="B1580" t="str">
        <f>HYPERLINK("https://www.suredividend.com/sure-analysis-research-database/","TimkenSteel Corp")</f>
        <v>TimkenSteel Corp</v>
      </c>
      <c r="C1580" t="s">
        <v>1808</v>
      </c>
      <c r="D1580">
        <v>19.91</v>
      </c>
      <c r="E1580">
        <v>0</v>
      </c>
      <c r="F1580" t="s">
        <v>1797</v>
      </c>
      <c r="G1580" t="s">
        <v>1797</v>
      </c>
      <c r="H1580">
        <v>0</v>
      </c>
      <c r="I1580">
        <v>865.18630199999996</v>
      </c>
      <c r="J1580">
        <v>24.790438464756448</v>
      </c>
      <c r="K1580">
        <v>0</v>
      </c>
      <c r="L1580">
        <v>1.4726195474924439</v>
      </c>
      <c r="M1580">
        <v>23.49</v>
      </c>
      <c r="N1580">
        <v>15.59</v>
      </c>
    </row>
    <row r="1581" spans="1:14" x14ac:dyDescent="0.25">
      <c r="A1581" s="1" t="s">
        <v>1593</v>
      </c>
      <c r="B1581" t="str">
        <f>HYPERLINK("https://www.suredividend.com/sure-analysis-TNC/","Tennant Co.")</f>
        <v>Tennant Co.</v>
      </c>
      <c r="C1581" t="s">
        <v>1798</v>
      </c>
      <c r="D1581">
        <v>82.33</v>
      </c>
      <c r="E1581">
        <v>1.360378962711041E-2</v>
      </c>
      <c r="F1581">
        <v>6.0000000000000053E-2</v>
      </c>
      <c r="G1581">
        <v>3.7921811632987579E-2</v>
      </c>
      <c r="H1581">
        <v>1.0546056349977659</v>
      </c>
      <c r="I1581">
        <v>1537.942348</v>
      </c>
      <c r="J1581">
        <v>15.03364953998045</v>
      </c>
      <c r="K1581">
        <v>0.19315121520105599</v>
      </c>
      <c r="L1581">
        <v>0.96995098618605913</v>
      </c>
      <c r="M1581">
        <v>87.25</v>
      </c>
      <c r="N1581">
        <v>57.98</v>
      </c>
    </row>
    <row r="1582" spans="1:14" x14ac:dyDescent="0.25">
      <c r="A1582" s="1" t="s">
        <v>1594</v>
      </c>
      <c r="B1582" t="str">
        <f>HYPERLINK("https://www.suredividend.com/sure-analysis-research-database/","TriNet Group Inc")</f>
        <v>TriNet Group Inc</v>
      </c>
      <c r="C1582" t="s">
        <v>1798</v>
      </c>
      <c r="D1582">
        <v>104.23</v>
      </c>
      <c r="E1582">
        <v>0</v>
      </c>
      <c r="F1582" t="s">
        <v>1797</v>
      </c>
      <c r="G1582" t="s">
        <v>1797</v>
      </c>
      <c r="H1582">
        <v>0</v>
      </c>
      <c r="I1582">
        <v>5264.4783369999996</v>
      </c>
      <c r="J1582">
        <v>14.829516442507041</v>
      </c>
      <c r="K1582">
        <v>0</v>
      </c>
      <c r="L1582">
        <v>0.85532315778239409</v>
      </c>
      <c r="M1582">
        <v>121.6</v>
      </c>
      <c r="N1582">
        <v>61.93</v>
      </c>
    </row>
    <row r="1583" spans="1:14" x14ac:dyDescent="0.25">
      <c r="A1583" s="1" t="s">
        <v>1595</v>
      </c>
      <c r="B1583" t="str">
        <f>HYPERLINK("https://www.suredividend.com/sure-analysis-research-database/","Tango Therapeutics Inc")</f>
        <v>Tango Therapeutics Inc</v>
      </c>
      <c r="C1583" t="s">
        <v>1797</v>
      </c>
      <c r="D1583">
        <v>8.4</v>
      </c>
      <c r="E1583">
        <v>0</v>
      </c>
      <c r="F1583" t="s">
        <v>1797</v>
      </c>
      <c r="G1583" t="s">
        <v>1797</v>
      </c>
      <c r="H1583">
        <v>0</v>
      </c>
      <c r="I1583">
        <v>854.60293000000001</v>
      </c>
      <c r="J1583" t="s">
        <v>1797</v>
      </c>
      <c r="K1583">
        <v>0</v>
      </c>
      <c r="L1583">
        <v>0.76067057410467609</v>
      </c>
      <c r="M1583">
        <v>13.03</v>
      </c>
      <c r="N1583">
        <v>2.4700000000000002</v>
      </c>
    </row>
    <row r="1584" spans="1:14" x14ac:dyDescent="0.25">
      <c r="A1584" s="1" t="s">
        <v>1596</v>
      </c>
      <c r="B1584" t="str">
        <f>HYPERLINK("https://www.suredividend.com/sure-analysis-research-database/","Teekay Tankers Ltd")</f>
        <v>Teekay Tankers Ltd</v>
      </c>
      <c r="C1584" t="s">
        <v>1807</v>
      </c>
      <c r="D1584">
        <v>52.99</v>
      </c>
      <c r="E1584">
        <v>4.7178712964710007E-3</v>
      </c>
      <c r="F1584" t="s">
        <v>1797</v>
      </c>
      <c r="G1584" t="s">
        <v>1797</v>
      </c>
      <c r="H1584">
        <v>0.25</v>
      </c>
      <c r="I1584">
        <v>1559.0187900000001</v>
      </c>
      <c r="J1584">
        <v>2.8428289910358049</v>
      </c>
      <c r="K1584">
        <v>1.576292559899117E-2</v>
      </c>
      <c r="L1584">
        <v>0.41258242913599003</v>
      </c>
      <c r="M1584">
        <v>54.11</v>
      </c>
      <c r="N1584">
        <v>26.09</v>
      </c>
    </row>
    <row r="1585" spans="1:14" x14ac:dyDescent="0.25">
      <c r="A1585" s="1" t="s">
        <v>1597</v>
      </c>
      <c r="B1585" t="str">
        <f>HYPERLINK("https://www.suredividend.com/sure-analysis-research-database/","Tenaya Therapeutics Inc")</f>
        <v>Tenaya Therapeutics Inc</v>
      </c>
      <c r="C1585" t="s">
        <v>1797</v>
      </c>
      <c r="D1585">
        <v>2.25</v>
      </c>
      <c r="E1585">
        <v>0</v>
      </c>
      <c r="F1585" t="s">
        <v>1797</v>
      </c>
      <c r="G1585" t="s">
        <v>1797</v>
      </c>
      <c r="H1585">
        <v>0</v>
      </c>
      <c r="I1585">
        <v>152.69624999999999</v>
      </c>
      <c r="J1585">
        <v>0</v>
      </c>
      <c r="K1585" t="s">
        <v>1797</v>
      </c>
      <c r="L1585">
        <v>1.787441545239534</v>
      </c>
      <c r="M1585">
        <v>8.09</v>
      </c>
      <c r="N1585">
        <v>1.64</v>
      </c>
    </row>
    <row r="1586" spans="1:14" x14ac:dyDescent="0.25">
      <c r="A1586" s="1" t="s">
        <v>1598</v>
      </c>
      <c r="B1586" t="str">
        <f>HYPERLINK("https://www.suredividend.com/sure-analysis-research-database/","Oncology Institute Inc (The)")</f>
        <v>Oncology Institute Inc (The)</v>
      </c>
      <c r="C1586" t="s">
        <v>1797</v>
      </c>
      <c r="D1586">
        <v>2.02</v>
      </c>
      <c r="E1586">
        <v>0</v>
      </c>
      <c r="F1586" t="s">
        <v>1797</v>
      </c>
      <c r="G1586" t="s">
        <v>1797</v>
      </c>
      <c r="H1586">
        <v>0</v>
      </c>
      <c r="I1586">
        <v>147.36927800000001</v>
      </c>
      <c r="J1586" t="s">
        <v>1797</v>
      </c>
      <c r="K1586">
        <v>0</v>
      </c>
      <c r="L1586">
        <v>1.293739027798908</v>
      </c>
      <c r="M1586">
        <v>3.46</v>
      </c>
      <c r="N1586">
        <v>0.33</v>
      </c>
    </row>
    <row r="1587" spans="1:14" x14ac:dyDescent="0.25">
      <c r="A1587" s="1" t="s">
        <v>1599</v>
      </c>
      <c r="B1587" t="str">
        <f>HYPERLINK("https://www.suredividend.com/sure-analysis-research-database/","Townebank Portsmouth VA")</f>
        <v>Townebank Portsmouth VA</v>
      </c>
      <c r="C1587" t="s">
        <v>1800</v>
      </c>
      <c r="D1587">
        <v>26.06</v>
      </c>
      <c r="E1587">
        <v>3.5808163463562012E-2</v>
      </c>
      <c r="F1587">
        <v>8.6956521739130377E-2</v>
      </c>
      <c r="G1587">
        <v>9.3362073943278112E-2</v>
      </c>
      <c r="H1587">
        <v>0.93316073986043913</v>
      </c>
      <c r="I1587">
        <v>1346.7460619999999</v>
      </c>
      <c r="J1587">
        <v>0</v>
      </c>
      <c r="K1587" t="s">
        <v>1797</v>
      </c>
      <c r="L1587">
        <v>0.93582450526636607</v>
      </c>
      <c r="M1587">
        <v>31.35</v>
      </c>
      <c r="N1587">
        <v>20.32</v>
      </c>
    </row>
    <row r="1588" spans="1:14" x14ac:dyDescent="0.25">
      <c r="A1588" s="1" t="s">
        <v>1600</v>
      </c>
      <c r="B1588" t="str">
        <f>HYPERLINK("https://www.suredividend.com/sure-analysis-research-database/","Turning Point Brands Inc")</f>
        <v>Turning Point Brands Inc</v>
      </c>
      <c r="C1588" t="s">
        <v>1804</v>
      </c>
      <c r="D1588">
        <v>21.08</v>
      </c>
      <c r="E1588">
        <v>1.204708072575E-2</v>
      </c>
      <c r="F1588">
        <v>8.3333333333333481E-2</v>
      </c>
      <c r="G1588">
        <v>7.6316922514810814E-2</v>
      </c>
      <c r="H1588">
        <v>0.25395246169882502</v>
      </c>
      <c r="I1588">
        <v>370.914805</v>
      </c>
      <c r="J1588">
        <v>0</v>
      </c>
      <c r="K1588" t="s">
        <v>1797</v>
      </c>
      <c r="L1588">
        <v>0.60503610281176801</v>
      </c>
      <c r="M1588">
        <v>26.24</v>
      </c>
      <c r="N1588">
        <v>18.8</v>
      </c>
    </row>
    <row r="1589" spans="1:14" x14ac:dyDescent="0.25">
      <c r="A1589" s="1" t="s">
        <v>1601</v>
      </c>
      <c r="B1589" t="str">
        <f>HYPERLINK("https://www.suredividend.com/sure-analysis-research-database/","Tutor Perini Corp")</f>
        <v>Tutor Perini Corp</v>
      </c>
      <c r="C1589" t="s">
        <v>1798</v>
      </c>
      <c r="D1589">
        <v>7.31</v>
      </c>
      <c r="E1589">
        <v>0</v>
      </c>
      <c r="F1589" t="s">
        <v>1797</v>
      </c>
      <c r="G1589" t="s">
        <v>1797</v>
      </c>
      <c r="H1589">
        <v>0</v>
      </c>
      <c r="I1589">
        <v>379.94298800000001</v>
      </c>
      <c r="J1589" t="s">
        <v>1797</v>
      </c>
      <c r="K1589">
        <v>0</v>
      </c>
      <c r="L1589">
        <v>1.216518214861557</v>
      </c>
      <c r="M1589">
        <v>9.6</v>
      </c>
      <c r="N1589">
        <v>4.9000000000000004</v>
      </c>
    </row>
    <row r="1590" spans="1:14" x14ac:dyDescent="0.25">
      <c r="A1590" s="1" t="s">
        <v>1602</v>
      </c>
      <c r="B1590" t="str">
        <f>HYPERLINK("https://www.suredividend.com/sure-analysis-research-database/","Tri Pointe Homes Inc.")</f>
        <v>Tri Pointe Homes Inc.</v>
      </c>
      <c r="C1590" t="s">
        <v>1801</v>
      </c>
      <c r="D1590">
        <v>28.33</v>
      </c>
      <c r="E1590">
        <v>0</v>
      </c>
      <c r="F1590" t="s">
        <v>1797</v>
      </c>
      <c r="G1590" t="s">
        <v>1797</v>
      </c>
      <c r="H1590">
        <v>0</v>
      </c>
      <c r="I1590">
        <v>2749.4875510000002</v>
      </c>
      <c r="J1590">
        <v>6.6438258924321172</v>
      </c>
      <c r="K1590">
        <v>0</v>
      </c>
      <c r="L1590">
        <v>1.342606134486857</v>
      </c>
      <c r="M1590">
        <v>34.04</v>
      </c>
      <c r="N1590">
        <v>16.18</v>
      </c>
    </row>
    <row r="1591" spans="1:14" x14ac:dyDescent="0.25">
      <c r="A1591" s="1" t="s">
        <v>1603</v>
      </c>
      <c r="B1591" t="str">
        <f>HYPERLINK("https://www.suredividend.com/sure-analysis-research-database/","TPI Composites Inc")</f>
        <v>TPI Composites Inc</v>
      </c>
      <c r="C1591" t="s">
        <v>1798</v>
      </c>
      <c r="D1591">
        <v>2.0249999999999999</v>
      </c>
      <c r="E1591">
        <v>0</v>
      </c>
      <c r="F1591" t="s">
        <v>1797</v>
      </c>
      <c r="G1591" t="s">
        <v>1797</v>
      </c>
      <c r="H1591">
        <v>0</v>
      </c>
      <c r="I1591">
        <v>86.201995999999994</v>
      </c>
      <c r="J1591" t="s">
        <v>1797</v>
      </c>
      <c r="K1591">
        <v>0</v>
      </c>
      <c r="L1591">
        <v>2.8680804328288172</v>
      </c>
      <c r="M1591">
        <v>14.8</v>
      </c>
      <c r="N1591">
        <v>1.9</v>
      </c>
    </row>
    <row r="1592" spans="1:14" x14ac:dyDescent="0.25">
      <c r="A1592" s="1" t="s">
        <v>1604</v>
      </c>
      <c r="B1592" t="str">
        <f>HYPERLINK("https://www.suredividend.com/sure-analysis-TR/","Tootsie Roll Industries, Inc.")</f>
        <v>Tootsie Roll Industries, Inc.</v>
      </c>
      <c r="C1592" t="s">
        <v>1804</v>
      </c>
      <c r="D1592">
        <v>30.68</v>
      </c>
      <c r="E1592">
        <v>1.1734028683181231E-2</v>
      </c>
      <c r="F1592">
        <v>0</v>
      </c>
      <c r="G1592">
        <v>0</v>
      </c>
      <c r="H1592">
        <v>0.35600541661072799</v>
      </c>
      <c r="I1592">
        <v>1242.2330159999999</v>
      </c>
      <c r="J1592">
        <v>15.518601538077149</v>
      </c>
      <c r="K1592">
        <v>0.31228545316730533</v>
      </c>
      <c r="L1592">
        <v>0.33485984129510699</v>
      </c>
      <c r="M1592">
        <v>45.77</v>
      </c>
      <c r="N1592">
        <v>29.07</v>
      </c>
    </row>
    <row r="1593" spans="1:14" x14ac:dyDescent="0.25">
      <c r="A1593" s="1" t="s">
        <v>1605</v>
      </c>
      <c r="B1593" t="str">
        <f>HYPERLINK("https://www.suredividend.com/sure-analysis-research-database/","Tejon Ranch Co.")</f>
        <v>Tejon Ranch Co.</v>
      </c>
      <c r="C1593" t="s">
        <v>1798</v>
      </c>
      <c r="D1593">
        <v>16.329999999999998</v>
      </c>
      <c r="E1593">
        <v>0</v>
      </c>
      <c r="F1593" t="s">
        <v>1797</v>
      </c>
      <c r="G1593" t="s">
        <v>1797</v>
      </c>
      <c r="H1593">
        <v>0</v>
      </c>
      <c r="I1593">
        <v>436.44315699999999</v>
      </c>
      <c r="J1593">
        <v>30.715965734393691</v>
      </c>
      <c r="K1593">
        <v>0</v>
      </c>
      <c r="L1593">
        <v>0.88749173492986411</v>
      </c>
      <c r="M1593">
        <v>20.65</v>
      </c>
      <c r="N1593">
        <v>15.25</v>
      </c>
    </row>
    <row r="1594" spans="1:14" x14ac:dyDescent="0.25">
      <c r="A1594" s="1" t="s">
        <v>1606</v>
      </c>
      <c r="B1594" t="str">
        <f>HYPERLINK("https://www.suredividend.com/sure-analysis-research-database/","LendingTree Inc.")</f>
        <v>LendingTree Inc.</v>
      </c>
      <c r="C1594" t="s">
        <v>1800</v>
      </c>
      <c r="D1594">
        <v>16.079999999999998</v>
      </c>
      <c r="E1594">
        <v>0</v>
      </c>
      <c r="F1594" t="s">
        <v>1797</v>
      </c>
      <c r="G1594" t="s">
        <v>1797</v>
      </c>
      <c r="H1594">
        <v>0</v>
      </c>
      <c r="I1594">
        <v>209.084799</v>
      </c>
      <c r="J1594" t="s">
        <v>1797</v>
      </c>
      <c r="K1594">
        <v>0</v>
      </c>
      <c r="L1594">
        <v>2.9503475897900331</v>
      </c>
      <c r="M1594">
        <v>47.82</v>
      </c>
      <c r="N1594">
        <v>10.119999999999999</v>
      </c>
    </row>
    <row r="1595" spans="1:14" x14ac:dyDescent="0.25">
      <c r="A1595" s="1" t="s">
        <v>1607</v>
      </c>
      <c r="B1595" t="str">
        <f>HYPERLINK("https://www.suredividend.com/sure-analysis-research-database/","Trustmark Corp.")</f>
        <v>Trustmark Corp.</v>
      </c>
      <c r="C1595" t="s">
        <v>1800</v>
      </c>
      <c r="D1595">
        <v>22.08</v>
      </c>
      <c r="E1595">
        <v>4.0546955533142012E-2</v>
      </c>
      <c r="F1595">
        <v>0</v>
      </c>
      <c r="G1595">
        <v>0</v>
      </c>
      <c r="H1595">
        <v>0.89527677817177609</v>
      </c>
      <c r="I1595">
        <v>1348.427698</v>
      </c>
      <c r="J1595">
        <v>12.99952469993926</v>
      </c>
      <c r="K1595">
        <v>0.52974957288270774</v>
      </c>
      <c r="L1595">
        <v>0.92096162146380212</v>
      </c>
      <c r="M1595">
        <v>36.4</v>
      </c>
      <c r="N1595">
        <v>18.96</v>
      </c>
    </row>
    <row r="1596" spans="1:14" x14ac:dyDescent="0.25">
      <c r="A1596" s="1" t="s">
        <v>1608</v>
      </c>
      <c r="B1596" t="str">
        <f>HYPERLINK("https://www.suredividend.com/sure-analysis-TRN/","Trinity Industries, Inc.")</f>
        <v>Trinity Industries, Inc.</v>
      </c>
      <c r="C1596" t="s">
        <v>1798</v>
      </c>
      <c r="D1596">
        <v>24</v>
      </c>
      <c r="E1596">
        <v>4.3333333333333328E-2</v>
      </c>
      <c r="F1596">
        <v>0.13043478260869559</v>
      </c>
      <c r="G1596">
        <v>0.1486983549970351</v>
      </c>
      <c r="H1596">
        <v>1.0231262056842001</v>
      </c>
      <c r="I1596">
        <v>1964.485224</v>
      </c>
      <c r="J1596">
        <v>26.368929181208049</v>
      </c>
      <c r="K1596">
        <v>1.1457180354806269</v>
      </c>
      <c r="L1596">
        <v>1.1320133334502109</v>
      </c>
      <c r="M1596">
        <v>30.38</v>
      </c>
      <c r="N1596">
        <v>19.64</v>
      </c>
    </row>
    <row r="1597" spans="1:14" x14ac:dyDescent="0.25">
      <c r="A1597" s="1" t="s">
        <v>1609</v>
      </c>
      <c r="B1597" t="str">
        <f>HYPERLINK("https://www.suredividend.com/sure-analysis-research-database/","Terreno Realty Corp")</f>
        <v>Terreno Realty Corp</v>
      </c>
      <c r="C1597" t="s">
        <v>1799</v>
      </c>
      <c r="D1597">
        <v>55.96</v>
      </c>
      <c r="E1597">
        <v>2.9174881479839002E-2</v>
      </c>
      <c r="F1597">
        <v>0.125</v>
      </c>
      <c r="G1597">
        <v>0.13396657763302719</v>
      </c>
      <c r="H1597">
        <v>1.6326263676118249</v>
      </c>
      <c r="I1597">
        <v>4778.1952439999995</v>
      </c>
      <c r="J1597">
        <v>31.422884525289192</v>
      </c>
      <c r="K1597">
        <v>0.86841828064458793</v>
      </c>
      <c r="L1597">
        <v>0.99314380274653513</v>
      </c>
      <c r="M1597">
        <v>65.63</v>
      </c>
      <c r="N1597">
        <v>50.42</v>
      </c>
    </row>
    <row r="1598" spans="1:14" x14ac:dyDescent="0.25">
      <c r="A1598" s="1" t="s">
        <v>1610</v>
      </c>
      <c r="B1598" t="str">
        <f>HYPERLINK("https://www.suredividend.com/sure-analysis-research-database/","Transcat Inc")</f>
        <v>Transcat Inc</v>
      </c>
      <c r="C1598" t="s">
        <v>1798</v>
      </c>
      <c r="D1598">
        <v>86.61</v>
      </c>
      <c r="E1598">
        <v>0</v>
      </c>
      <c r="F1598" t="s">
        <v>1797</v>
      </c>
      <c r="G1598" t="s">
        <v>1797</v>
      </c>
      <c r="H1598">
        <v>0</v>
      </c>
      <c r="I1598">
        <v>764.44792199999995</v>
      </c>
      <c r="J1598">
        <v>0</v>
      </c>
      <c r="K1598" t="s">
        <v>1797</v>
      </c>
      <c r="L1598">
        <v>0.95769083660700105</v>
      </c>
      <c r="M1598">
        <v>115.41</v>
      </c>
      <c r="N1598">
        <v>65.599999999999994</v>
      </c>
    </row>
    <row r="1599" spans="1:14" x14ac:dyDescent="0.25">
      <c r="A1599" s="1" t="s">
        <v>1611</v>
      </c>
      <c r="B1599" t="str">
        <f>HYPERLINK("https://www.suredividend.com/sure-analysis-research-database/","Tronox Holdings plc")</f>
        <v>Tronox Holdings plc</v>
      </c>
      <c r="C1599" t="s">
        <v>1808</v>
      </c>
      <c r="D1599">
        <v>11.67</v>
      </c>
      <c r="E1599">
        <v>4.2135072427713013E-2</v>
      </c>
      <c r="F1599">
        <v>0</v>
      </c>
      <c r="G1599">
        <v>0.2267032046963888</v>
      </c>
      <c r="H1599">
        <v>0.49171629523141702</v>
      </c>
      <c r="I1599">
        <v>1829.7831209999999</v>
      </c>
      <c r="J1599">
        <v>0</v>
      </c>
      <c r="K1599" t="s">
        <v>1797</v>
      </c>
      <c r="L1599">
        <v>1.8070347196976519</v>
      </c>
      <c r="M1599">
        <v>17.12</v>
      </c>
      <c r="N1599">
        <v>10.08</v>
      </c>
    </row>
    <row r="1600" spans="1:14" x14ac:dyDescent="0.25">
      <c r="A1600" s="1" t="s">
        <v>1612</v>
      </c>
      <c r="B1600" t="str">
        <f>HYPERLINK("https://www.suredividend.com/sure-analysis-research-database/","Trimas Corporation")</f>
        <v>Trimas Corporation</v>
      </c>
      <c r="C1600" t="s">
        <v>1798</v>
      </c>
      <c r="D1600">
        <v>24.61</v>
      </c>
      <c r="E1600">
        <v>6.4702229964190014E-3</v>
      </c>
      <c r="F1600" t="s">
        <v>1797</v>
      </c>
      <c r="G1600" t="s">
        <v>1797</v>
      </c>
      <c r="H1600">
        <v>0.15923218794187199</v>
      </c>
      <c r="I1600">
        <v>1019.208876</v>
      </c>
      <c r="J1600">
        <v>19.883122828716349</v>
      </c>
      <c r="K1600">
        <v>0.12945706336737561</v>
      </c>
      <c r="L1600">
        <v>0.64558668552743004</v>
      </c>
      <c r="M1600">
        <v>31.54</v>
      </c>
      <c r="N1600">
        <v>22.52</v>
      </c>
    </row>
    <row r="1601" spans="1:14" x14ac:dyDescent="0.25">
      <c r="A1601" s="1" t="s">
        <v>1613</v>
      </c>
      <c r="B1601" t="str">
        <f>HYPERLINK("https://www.suredividend.com/sure-analysis-TRST/","Trustco Bank Corp.")</f>
        <v>Trustco Bank Corp.</v>
      </c>
      <c r="C1601" t="s">
        <v>1800</v>
      </c>
      <c r="D1601">
        <v>27.74</v>
      </c>
      <c r="E1601">
        <v>5.191059841384283E-2</v>
      </c>
      <c r="F1601">
        <v>2.857142857142847E-2</v>
      </c>
      <c r="G1601">
        <v>0.39508027119532563</v>
      </c>
      <c r="H1601">
        <v>1.391725945538961</v>
      </c>
      <c r="I1601">
        <v>527.73777099999995</v>
      </c>
      <c r="J1601">
        <v>7.0940124128938589</v>
      </c>
      <c r="K1601">
        <v>0.35685280654845147</v>
      </c>
      <c r="L1601">
        <v>0.7577168830242671</v>
      </c>
      <c r="M1601">
        <v>36.69</v>
      </c>
      <c r="N1601">
        <v>23.78</v>
      </c>
    </row>
    <row r="1602" spans="1:14" x14ac:dyDescent="0.25">
      <c r="A1602" s="1" t="s">
        <v>1614</v>
      </c>
      <c r="B1602" t="str">
        <f>HYPERLINK("https://www.suredividend.com/sure-analysis-research-database/","Triton International Ltd")</f>
        <v>Triton International Ltd</v>
      </c>
      <c r="C1602" t="s">
        <v>1798</v>
      </c>
      <c r="D1602">
        <v>79.55</v>
      </c>
      <c r="E1602">
        <v>3.4738928593399013E-2</v>
      </c>
      <c r="F1602">
        <v>7.6923076923077094E-2</v>
      </c>
      <c r="G1602">
        <v>6.1253020375036993E-2</v>
      </c>
      <c r="H1602">
        <v>2.763481769604919</v>
      </c>
      <c r="I1602">
        <v>4380.1152780000002</v>
      </c>
      <c r="J1602">
        <v>7.3676305079157887</v>
      </c>
      <c r="K1602">
        <v>0.26803896892385248</v>
      </c>
      <c r="L1602">
        <v>0.57600958577738903</v>
      </c>
      <c r="M1602">
        <v>84</v>
      </c>
      <c r="N1602">
        <v>51.32</v>
      </c>
    </row>
    <row r="1603" spans="1:14" x14ac:dyDescent="0.25">
      <c r="A1603" s="1" t="s">
        <v>1615</v>
      </c>
      <c r="B1603" t="str">
        <f>HYPERLINK("https://www.suredividend.com/sure-analysis-research-database/","TPG RE Finance Trust Inc")</f>
        <v>TPG RE Finance Trust Inc</v>
      </c>
      <c r="C1603" t="s">
        <v>1799</v>
      </c>
      <c r="D1603">
        <v>5.47</v>
      </c>
      <c r="E1603">
        <v>0.16688391599570801</v>
      </c>
      <c r="F1603">
        <v>0</v>
      </c>
      <c r="G1603">
        <v>-0.11008493827036971</v>
      </c>
      <c r="H1603">
        <v>0.91285502049652212</v>
      </c>
      <c r="I1603">
        <v>425.20927899999998</v>
      </c>
      <c r="J1603" t="s">
        <v>1797</v>
      </c>
      <c r="K1603" t="s">
        <v>1797</v>
      </c>
      <c r="L1603">
        <v>1.516588042934597</v>
      </c>
      <c r="M1603">
        <v>8.34</v>
      </c>
      <c r="N1603">
        <v>4.6399999999999997</v>
      </c>
    </row>
    <row r="1604" spans="1:14" x14ac:dyDescent="0.25">
      <c r="A1604" s="1" t="s">
        <v>1616</v>
      </c>
      <c r="B1604" t="str">
        <f>HYPERLINK("https://www.suredividend.com/sure-analysis-research-database/","Truecar Inc")</f>
        <v>Truecar Inc</v>
      </c>
      <c r="C1604" t="s">
        <v>1806</v>
      </c>
      <c r="D1604">
        <v>2.13</v>
      </c>
      <c r="E1604">
        <v>0</v>
      </c>
      <c r="F1604" t="s">
        <v>1797</v>
      </c>
      <c r="G1604" t="s">
        <v>1797</v>
      </c>
      <c r="H1604">
        <v>0</v>
      </c>
      <c r="I1604">
        <v>191.82925299999999</v>
      </c>
      <c r="J1604" t="s">
        <v>1797</v>
      </c>
      <c r="K1604">
        <v>0</v>
      </c>
      <c r="L1604">
        <v>1.7137254232641519</v>
      </c>
      <c r="M1604">
        <v>3.49</v>
      </c>
      <c r="N1604">
        <v>1.66</v>
      </c>
    </row>
    <row r="1605" spans="1:14" x14ac:dyDescent="0.25">
      <c r="A1605" s="1" t="s">
        <v>1617</v>
      </c>
      <c r="B1605" t="str">
        <f>HYPERLINK("https://www.suredividend.com/sure-analysis-research-database/","Trupanion Inc")</f>
        <v>Trupanion Inc</v>
      </c>
      <c r="C1605" t="s">
        <v>1800</v>
      </c>
      <c r="D1605">
        <v>26.14</v>
      </c>
      <c r="E1605">
        <v>0</v>
      </c>
      <c r="F1605" t="s">
        <v>1797</v>
      </c>
      <c r="G1605" t="s">
        <v>1797</v>
      </c>
      <c r="H1605">
        <v>0</v>
      </c>
      <c r="I1605">
        <v>1082.1959999999999</v>
      </c>
      <c r="J1605" t="s">
        <v>1797</v>
      </c>
      <c r="K1605">
        <v>0</v>
      </c>
      <c r="L1605">
        <v>2.4310582988454499</v>
      </c>
      <c r="M1605">
        <v>69.150000000000006</v>
      </c>
      <c r="N1605">
        <v>18.45</v>
      </c>
    </row>
    <row r="1606" spans="1:14" x14ac:dyDescent="0.25">
      <c r="A1606" s="1" t="s">
        <v>1618</v>
      </c>
      <c r="B1606" t="str">
        <f>HYPERLINK("https://www.suredividend.com/sure-analysis-research-database/","Trinseo PLC")</f>
        <v>Trinseo PLC</v>
      </c>
      <c r="C1606" t="s">
        <v>1808</v>
      </c>
      <c r="D1606">
        <v>6.63</v>
      </c>
      <c r="E1606">
        <v>7.1939480118144009E-2</v>
      </c>
      <c r="F1606">
        <v>-0.96875</v>
      </c>
      <c r="G1606">
        <v>-0.52182375010498161</v>
      </c>
      <c r="H1606">
        <v>0.47695875318330011</v>
      </c>
      <c r="I1606">
        <v>233.30395200000001</v>
      </c>
      <c r="J1606" t="s">
        <v>1797</v>
      </c>
      <c r="K1606" t="s">
        <v>1797</v>
      </c>
      <c r="L1606">
        <v>2.0185532890182198</v>
      </c>
      <c r="M1606">
        <v>30.27</v>
      </c>
      <c r="N1606">
        <v>5.48</v>
      </c>
    </row>
    <row r="1607" spans="1:14" x14ac:dyDescent="0.25">
      <c r="A1607" s="1" t="s">
        <v>1619</v>
      </c>
      <c r="B1607" t="str">
        <f>HYPERLINK("https://www.suredividend.com/sure-analysis-research-database/","TuSimple Holdings Inc")</f>
        <v>TuSimple Holdings Inc</v>
      </c>
      <c r="C1607" t="s">
        <v>1797</v>
      </c>
      <c r="D1607">
        <v>1.19</v>
      </c>
      <c r="E1607">
        <v>0</v>
      </c>
      <c r="F1607" t="s">
        <v>1797</v>
      </c>
      <c r="G1607" t="s">
        <v>1797</v>
      </c>
      <c r="H1607">
        <v>0</v>
      </c>
      <c r="I1607">
        <v>244.072789</v>
      </c>
      <c r="J1607" t="s">
        <v>1797</v>
      </c>
      <c r="K1607">
        <v>0</v>
      </c>
      <c r="L1607">
        <v>3.1666446599703342</v>
      </c>
      <c r="M1607">
        <v>2.89</v>
      </c>
      <c r="N1607">
        <v>0.75</v>
      </c>
    </row>
    <row r="1608" spans="1:14" x14ac:dyDescent="0.25">
      <c r="A1608" s="1" t="s">
        <v>1620</v>
      </c>
      <c r="B1608" t="str">
        <f>HYPERLINK("https://www.suredividend.com/sure-analysis-research-database/","2seventy bio Inc")</f>
        <v>2seventy bio Inc</v>
      </c>
      <c r="C1608" t="s">
        <v>1797</v>
      </c>
      <c r="D1608">
        <v>2.5</v>
      </c>
      <c r="E1608">
        <v>0</v>
      </c>
      <c r="F1608" t="s">
        <v>1797</v>
      </c>
      <c r="G1608" t="s">
        <v>1797</v>
      </c>
      <c r="H1608">
        <v>0</v>
      </c>
      <c r="I1608">
        <v>126.161445</v>
      </c>
      <c r="J1608" t="s">
        <v>1797</v>
      </c>
      <c r="K1608">
        <v>0</v>
      </c>
      <c r="L1608">
        <v>1.563688163177007</v>
      </c>
      <c r="M1608">
        <v>17.559999999999999</v>
      </c>
      <c r="N1608">
        <v>1.86</v>
      </c>
    </row>
    <row r="1609" spans="1:14" x14ac:dyDescent="0.25">
      <c r="A1609" s="1" t="s">
        <v>1621</v>
      </c>
      <c r="B1609" t="str">
        <f>HYPERLINK("https://www.suredividend.com/sure-analysis-research-database/","Tattooed Chef Inc")</f>
        <v>Tattooed Chef Inc</v>
      </c>
      <c r="C1609" t="s">
        <v>1797</v>
      </c>
      <c r="D1609">
        <v>0.158</v>
      </c>
      <c r="E1609">
        <v>0</v>
      </c>
      <c r="F1609" t="s">
        <v>1797</v>
      </c>
      <c r="G1609" t="s">
        <v>1797</v>
      </c>
      <c r="H1609">
        <v>0</v>
      </c>
      <c r="I1609">
        <v>0</v>
      </c>
      <c r="J1609">
        <v>0</v>
      </c>
      <c r="K1609">
        <v>0</v>
      </c>
    </row>
    <row r="1610" spans="1:14" x14ac:dyDescent="0.25">
      <c r="A1610" s="1" t="s">
        <v>1622</v>
      </c>
      <c r="B1610" t="str">
        <f>HYPERLINK("https://www.suredividend.com/sure-analysis-research-database/","TTEC Holdings Inc")</f>
        <v>TTEC Holdings Inc</v>
      </c>
      <c r="C1610" t="s">
        <v>1803</v>
      </c>
      <c r="D1610">
        <v>21.58</v>
      </c>
      <c r="E1610">
        <v>4.7140186420767012E-2</v>
      </c>
      <c r="F1610" t="s">
        <v>1797</v>
      </c>
      <c r="G1610" t="s">
        <v>1797</v>
      </c>
      <c r="H1610">
        <v>1.017285222960171</v>
      </c>
      <c r="I1610">
        <v>1023.270945</v>
      </c>
      <c r="J1610">
        <v>15.8745104685076</v>
      </c>
      <c r="K1610">
        <v>0.7480038404118905</v>
      </c>
      <c r="L1610">
        <v>1.4308594754113739</v>
      </c>
      <c r="M1610">
        <v>51.1</v>
      </c>
      <c r="N1610">
        <v>19.86</v>
      </c>
    </row>
    <row r="1611" spans="1:14" x14ac:dyDescent="0.25">
      <c r="A1611" s="1" t="s">
        <v>1623</v>
      </c>
      <c r="B1611" t="str">
        <f>HYPERLINK("https://www.suredividend.com/sure-analysis-research-database/","Techtarget Inc.")</f>
        <v>Techtarget Inc.</v>
      </c>
      <c r="C1611" t="s">
        <v>1806</v>
      </c>
      <c r="D1611">
        <v>25.58</v>
      </c>
      <c r="E1611">
        <v>0</v>
      </c>
      <c r="F1611" t="s">
        <v>1797</v>
      </c>
      <c r="G1611" t="s">
        <v>1797</v>
      </c>
      <c r="H1611">
        <v>0</v>
      </c>
      <c r="I1611">
        <v>711.65473399999996</v>
      </c>
      <c r="J1611">
        <v>27.00776978519924</v>
      </c>
      <c r="K1611">
        <v>0</v>
      </c>
      <c r="L1611">
        <v>0.88203551957413706</v>
      </c>
      <c r="M1611">
        <v>56.61</v>
      </c>
      <c r="N1611">
        <v>23.43</v>
      </c>
    </row>
    <row r="1612" spans="1:14" x14ac:dyDescent="0.25">
      <c r="A1612" s="1" t="s">
        <v>1624</v>
      </c>
      <c r="B1612" t="str">
        <f>HYPERLINK("https://www.suredividend.com/sure-analysis-research-database/","Tetra Technologies, Inc.")</f>
        <v>Tetra Technologies, Inc.</v>
      </c>
      <c r="C1612" t="s">
        <v>1807</v>
      </c>
      <c r="D1612">
        <v>4.5599999999999996</v>
      </c>
      <c r="E1612">
        <v>0</v>
      </c>
      <c r="F1612" t="s">
        <v>1797</v>
      </c>
      <c r="G1612" t="s">
        <v>1797</v>
      </c>
      <c r="H1612">
        <v>0</v>
      </c>
      <c r="I1612">
        <v>593.16102899999998</v>
      </c>
      <c r="J1612">
        <v>21.359008637787621</v>
      </c>
      <c r="K1612">
        <v>0</v>
      </c>
      <c r="L1612">
        <v>1.3017571135413051</v>
      </c>
      <c r="M1612">
        <v>6.77</v>
      </c>
      <c r="N1612">
        <v>2.4300000000000002</v>
      </c>
    </row>
    <row r="1613" spans="1:14" x14ac:dyDescent="0.25">
      <c r="A1613" s="1" t="s">
        <v>1625</v>
      </c>
      <c r="B1613" t="str">
        <f>HYPERLINK("https://www.suredividend.com/sure-analysis-research-database/","TTM Technologies Inc")</f>
        <v>TTM Technologies Inc</v>
      </c>
      <c r="C1613" t="s">
        <v>1803</v>
      </c>
      <c r="D1613">
        <v>14.64</v>
      </c>
      <c r="E1613">
        <v>0</v>
      </c>
      <c r="F1613" t="s">
        <v>1797</v>
      </c>
      <c r="G1613" t="s">
        <v>1797</v>
      </c>
      <c r="H1613">
        <v>0</v>
      </c>
      <c r="I1613">
        <v>1520.6747339999999</v>
      </c>
      <c r="J1613">
        <v>30.079610997923051</v>
      </c>
      <c r="K1613">
        <v>0</v>
      </c>
      <c r="L1613">
        <v>1.413943987507055</v>
      </c>
      <c r="M1613">
        <v>17.46</v>
      </c>
      <c r="N1613">
        <v>11.13</v>
      </c>
    </row>
    <row r="1614" spans="1:14" x14ac:dyDescent="0.25">
      <c r="A1614" s="1" t="s">
        <v>1626</v>
      </c>
      <c r="B1614" t="str">
        <f>HYPERLINK("https://www.suredividend.com/sure-analysis-research-database/","Tile Shop Hldgs Inc")</f>
        <v>Tile Shop Hldgs Inc</v>
      </c>
      <c r="C1614" t="s">
        <v>1801</v>
      </c>
      <c r="D1614">
        <v>5.35</v>
      </c>
      <c r="E1614">
        <v>0</v>
      </c>
      <c r="F1614" t="s">
        <v>1797</v>
      </c>
      <c r="G1614" t="s">
        <v>1797</v>
      </c>
      <c r="H1614">
        <v>0</v>
      </c>
      <c r="I1614">
        <v>238.404314</v>
      </c>
      <c r="J1614">
        <v>18.52835267739178</v>
      </c>
      <c r="K1614">
        <v>0</v>
      </c>
      <c r="L1614">
        <v>1.118427754478073</v>
      </c>
      <c r="M1614">
        <v>6.51</v>
      </c>
      <c r="N1614">
        <v>3.74</v>
      </c>
    </row>
    <row r="1615" spans="1:14" x14ac:dyDescent="0.25">
      <c r="A1615" s="1" t="s">
        <v>1627</v>
      </c>
      <c r="B1615" t="str">
        <f>HYPERLINK("https://www.suredividend.com/sure-analysis-research-database/","Tupperware Brands Corporation")</f>
        <v>Tupperware Brands Corporation</v>
      </c>
      <c r="C1615" t="s">
        <v>1801</v>
      </c>
      <c r="D1615">
        <v>1.88</v>
      </c>
      <c r="E1615">
        <v>0</v>
      </c>
      <c r="F1615" t="s">
        <v>1797</v>
      </c>
      <c r="G1615" t="s">
        <v>1797</v>
      </c>
      <c r="H1615">
        <v>0</v>
      </c>
      <c r="I1615">
        <v>86.986322000000001</v>
      </c>
      <c r="J1615" t="s">
        <v>1797</v>
      </c>
      <c r="K1615">
        <v>0</v>
      </c>
      <c r="L1615">
        <v>2.5505216026518358</v>
      </c>
      <c r="M1615">
        <v>5.91</v>
      </c>
      <c r="N1615">
        <v>0.61</v>
      </c>
    </row>
    <row r="1616" spans="1:14" x14ac:dyDescent="0.25">
      <c r="A1616" s="1" t="s">
        <v>1628</v>
      </c>
      <c r="B1616" t="str">
        <f>HYPERLINK("https://www.suredividend.com/sure-analysis-research-database/","Travere Therapeutics Inc")</f>
        <v>Travere Therapeutics Inc</v>
      </c>
      <c r="C1616" t="s">
        <v>1797</v>
      </c>
      <c r="D1616">
        <v>6.97</v>
      </c>
      <c r="E1616">
        <v>0</v>
      </c>
      <c r="F1616" t="s">
        <v>1797</v>
      </c>
      <c r="G1616" t="s">
        <v>1797</v>
      </c>
      <c r="H1616">
        <v>0</v>
      </c>
      <c r="I1616">
        <v>522.82572900000002</v>
      </c>
      <c r="J1616">
        <v>0</v>
      </c>
      <c r="K1616" t="s">
        <v>1797</v>
      </c>
      <c r="L1616">
        <v>1.0631294002897791</v>
      </c>
      <c r="M1616">
        <v>23.18</v>
      </c>
      <c r="N1616">
        <v>6.35</v>
      </c>
    </row>
    <row r="1617" spans="1:14" x14ac:dyDescent="0.25">
      <c r="A1617" s="1" t="s">
        <v>1629</v>
      </c>
      <c r="B1617" t="str">
        <f>HYPERLINK("https://www.suredividend.com/sure-analysis-research-database/","Titan International, Inc.")</f>
        <v>Titan International, Inc.</v>
      </c>
      <c r="C1617" t="s">
        <v>1798</v>
      </c>
      <c r="D1617">
        <v>12.15</v>
      </c>
      <c r="E1617">
        <v>0</v>
      </c>
      <c r="F1617" t="s">
        <v>1797</v>
      </c>
      <c r="G1617" t="s">
        <v>1797</v>
      </c>
      <c r="H1617">
        <v>0</v>
      </c>
      <c r="I1617">
        <v>751.96080300000006</v>
      </c>
      <c r="J1617">
        <v>6.0954144425080052</v>
      </c>
      <c r="K1617">
        <v>0</v>
      </c>
      <c r="L1617">
        <v>1.0917627736824309</v>
      </c>
      <c r="M1617">
        <v>17.29</v>
      </c>
      <c r="N1617">
        <v>9.23</v>
      </c>
    </row>
    <row r="1618" spans="1:14" x14ac:dyDescent="0.25">
      <c r="A1618" s="1" t="s">
        <v>1630</v>
      </c>
      <c r="B1618" t="str">
        <f>HYPERLINK("https://www.suredividend.com/sure-analysis-research-database/","Hostess Brands Inc")</f>
        <v>Hostess Brands Inc</v>
      </c>
      <c r="C1618" t="s">
        <v>1804</v>
      </c>
      <c r="D1618">
        <v>33.35</v>
      </c>
      <c r="E1618">
        <v>0</v>
      </c>
      <c r="F1618" t="s">
        <v>1797</v>
      </c>
      <c r="G1618" t="s">
        <v>1797</v>
      </c>
      <c r="H1618">
        <v>0</v>
      </c>
      <c r="I1618">
        <v>4431.5945570000003</v>
      </c>
      <c r="J1618">
        <v>26.0780208819791</v>
      </c>
      <c r="K1618">
        <v>0</v>
      </c>
      <c r="L1618">
        <v>0.41721219334091098</v>
      </c>
      <c r="M1618">
        <v>33.74</v>
      </c>
      <c r="N1618">
        <v>21.59</v>
      </c>
    </row>
    <row r="1619" spans="1:14" x14ac:dyDescent="0.25">
      <c r="A1619" s="1" t="s">
        <v>1631</v>
      </c>
      <c r="B1619" t="str">
        <f>HYPERLINK("https://www.suredividend.com/sure-analysis-TWO/","Two Harbors Investment Corp")</f>
        <v>Two Harbors Investment Corp</v>
      </c>
      <c r="C1619" t="s">
        <v>1799</v>
      </c>
      <c r="D1619">
        <v>13.21</v>
      </c>
      <c r="E1619">
        <v>0.13626040878122631</v>
      </c>
      <c r="F1619">
        <v>1.6470588235294119</v>
      </c>
      <c r="G1619">
        <v>-8.6593126886237437E-3</v>
      </c>
      <c r="H1619">
        <v>1.983461797643532</v>
      </c>
      <c r="I1619">
        <v>1270.641789</v>
      </c>
      <c r="J1619">
        <v>44.580793948494843</v>
      </c>
      <c r="K1619">
        <v>7.1347546677824889</v>
      </c>
      <c r="L1619">
        <v>1.1758309390574559</v>
      </c>
      <c r="M1619">
        <v>16.739999999999998</v>
      </c>
      <c r="N1619">
        <v>9.83</v>
      </c>
    </row>
    <row r="1620" spans="1:14" x14ac:dyDescent="0.25">
      <c r="A1620" s="1" t="s">
        <v>1632</v>
      </c>
      <c r="B1620" t="str">
        <f>HYPERLINK("https://www.suredividend.com/sure-analysis-research-database/","2U Inc")</f>
        <v>2U Inc</v>
      </c>
      <c r="C1620" t="s">
        <v>1804</v>
      </c>
      <c r="D1620">
        <v>2.4</v>
      </c>
      <c r="E1620">
        <v>0</v>
      </c>
      <c r="F1620" t="s">
        <v>1797</v>
      </c>
      <c r="G1620" t="s">
        <v>1797</v>
      </c>
      <c r="H1620">
        <v>0</v>
      </c>
      <c r="I1620">
        <v>195.40792300000001</v>
      </c>
      <c r="J1620" t="s">
        <v>1797</v>
      </c>
      <c r="K1620">
        <v>0</v>
      </c>
      <c r="L1620">
        <v>3.401485647565607</v>
      </c>
      <c r="M1620">
        <v>13.15</v>
      </c>
      <c r="N1620">
        <v>1.85</v>
      </c>
    </row>
    <row r="1621" spans="1:14" x14ac:dyDescent="0.25">
      <c r="A1621" s="1" t="s">
        <v>1633</v>
      </c>
      <c r="B1621" t="str">
        <f>HYPERLINK("https://www.suredividend.com/sure-analysis-research-database/","Twist Bioscience Corp")</f>
        <v>Twist Bioscience Corp</v>
      </c>
      <c r="C1621" t="s">
        <v>1802</v>
      </c>
      <c r="D1621">
        <v>18.66</v>
      </c>
      <c r="E1621">
        <v>0</v>
      </c>
      <c r="F1621" t="s">
        <v>1797</v>
      </c>
      <c r="G1621" t="s">
        <v>1797</v>
      </c>
      <c r="H1621">
        <v>0</v>
      </c>
      <c r="I1621">
        <v>1071.011804</v>
      </c>
      <c r="J1621" t="s">
        <v>1797</v>
      </c>
      <c r="K1621">
        <v>0</v>
      </c>
      <c r="L1621">
        <v>2.8031180787826488</v>
      </c>
      <c r="M1621">
        <v>40.5</v>
      </c>
      <c r="N1621">
        <v>11.46</v>
      </c>
    </row>
    <row r="1622" spans="1:14" x14ac:dyDescent="0.25">
      <c r="A1622" s="1" t="s">
        <v>1634</v>
      </c>
      <c r="B1622" t="str">
        <f>HYPERLINK("https://www.suredividend.com/sure-analysis-research-database/","Texas Roadhouse Inc")</f>
        <v>Texas Roadhouse Inc</v>
      </c>
      <c r="C1622" t="s">
        <v>1801</v>
      </c>
      <c r="D1622">
        <v>104.28</v>
      </c>
      <c r="E1622">
        <v>2.0007058001651999E-2</v>
      </c>
      <c r="F1622" t="s">
        <v>1797</v>
      </c>
      <c r="G1622" t="s">
        <v>1797</v>
      </c>
      <c r="H1622">
        <v>2.0863360084123581</v>
      </c>
      <c r="I1622">
        <v>6955.4759999999997</v>
      </c>
      <c r="J1622">
        <v>23.913895239896171</v>
      </c>
      <c r="K1622">
        <v>0.4818327964000827</v>
      </c>
      <c r="L1622">
        <v>0.49822913171224698</v>
      </c>
      <c r="M1622">
        <v>116.92</v>
      </c>
      <c r="N1622">
        <v>88.52</v>
      </c>
    </row>
    <row r="1623" spans="1:14" x14ac:dyDescent="0.25">
      <c r="A1623" s="1" t="s">
        <v>1635</v>
      </c>
      <c r="B1623" t="str">
        <f>HYPERLINK("https://www.suredividend.com/sure-analysis-research-database/","Tyra Biosciences Inc")</f>
        <v>Tyra Biosciences Inc</v>
      </c>
      <c r="C1623" t="s">
        <v>1797</v>
      </c>
      <c r="D1623">
        <v>13.58</v>
      </c>
      <c r="E1623">
        <v>0</v>
      </c>
      <c r="F1623" t="s">
        <v>1797</v>
      </c>
      <c r="G1623" t="s">
        <v>1797</v>
      </c>
      <c r="H1623">
        <v>0</v>
      </c>
      <c r="I1623">
        <v>584.08519699999999</v>
      </c>
      <c r="J1623">
        <v>0</v>
      </c>
      <c r="K1623" t="s">
        <v>1797</v>
      </c>
      <c r="L1623">
        <v>1.7217517188879461</v>
      </c>
      <c r="M1623">
        <v>19.739999999999998</v>
      </c>
      <c r="N1623">
        <v>6.25</v>
      </c>
    </row>
    <row r="1624" spans="1:14" x14ac:dyDescent="0.25">
      <c r="A1624" s="1" t="s">
        <v>1636</v>
      </c>
      <c r="B1624" t="str">
        <f>HYPERLINK("https://www.suredividend.com/sure-analysis-research-database/","Urstadt Biddle Properties, Inc.")</f>
        <v>Urstadt Biddle Properties, Inc.</v>
      </c>
      <c r="C1624" t="s">
        <v>1799</v>
      </c>
      <c r="D1624">
        <v>21.14</v>
      </c>
      <c r="E1624">
        <v>5.5464129916136001E-2</v>
      </c>
      <c r="F1624" t="s">
        <v>1797</v>
      </c>
      <c r="G1624" t="s">
        <v>1797</v>
      </c>
      <c r="H1624">
        <v>1.1725117064271331</v>
      </c>
      <c r="I1624">
        <v>832.17413299999998</v>
      </c>
      <c r="J1624">
        <v>32.572965921011431</v>
      </c>
      <c r="K1624">
        <v>1.743771127940412</v>
      </c>
      <c r="L1624">
        <v>0.81191969794392305</v>
      </c>
      <c r="M1624">
        <v>23.16</v>
      </c>
      <c r="N1624">
        <v>14.51</v>
      </c>
    </row>
    <row r="1625" spans="1:14" x14ac:dyDescent="0.25">
      <c r="A1625" s="1" t="s">
        <v>1637</v>
      </c>
      <c r="B1625" t="str">
        <f>HYPERLINK("https://www.suredividend.com/sure-analysis-UBSI/","United Bankshares, Inc.")</f>
        <v>United Bankshares, Inc.</v>
      </c>
      <c r="C1625" t="s">
        <v>1800</v>
      </c>
      <c r="D1625">
        <v>30.84</v>
      </c>
      <c r="E1625">
        <v>4.6692607003891051E-2</v>
      </c>
      <c r="F1625">
        <v>0</v>
      </c>
      <c r="G1625">
        <v>1.1497274155136241E-2</v>
      </c>
      <c r="H1625">
        <v>1.3954033493399309</v>
      </c>
      <c r="I1625">
        <v>4161.3969109999998</v>
      </c>
      <c r="J1625">
        <v>10.585671687644361</v>
      </c>
      <c r="K1625">
        <v>0.47787785936299021</v>
      </c>
      <c r="L1625">
        <v>1.086493581773107</v>
      </c>
      <c r="M1625">
        <v>41.4</v>
      </c>
      <c r="N1625">
        <v>25.35</v>
      </c>
    </row>
    <row r="1626" spans="1:14" x14ac:dyDescent="0.25">
      <c r="A1626" s="1" t="s">
        <v>1638</v>
      </c>
      <c r="B1626" t="str">
        <f>HYPERLINK("https://www.suredividend.com/sure-analysis-research-database/","United Community Banks Inc")</f>
        <v>United Community Banks Inc</v>
      </c>
      <c r="C1626" t="s">
        <v>1800</v>
      </c>
      <c r="D1626">
        <v>24</v>
      </c>
      <c r="E1626">
        <v>3.7175489519014997E-2</v>
      </c>
      <c r="F1626">
        <v>4.5454545454545407E-2</v>
      </c>
      <c r="G1626">
        <v>7.5280006405569644E-2</v>
      </c>
      <c r="H1626">
        <v>0.89221174845636309</v>
      </c>
      <c r="I1626">
        <v>2852.4806640000002</v>
      </c>
      <c r="J1626">
        <v>10.195405206214859</v>
      </c>
      <c r="K1626">
        <v>0.35546284799058292</v>
      </c>
      <c r="L1626">
        <v>1.313270904675413</v>
      </c>
      <c r="M1626">
        <v>37.89</v>
      </c>
      <c r="N1626">
        <v>19.829999999999998</v>
      </c>
    </row>
    <row r="1627" spans="1:14" x14ac:dyDescent="0.25">
      <c r="A1627" s="1" t="s">
        <v>1639</v>
      </c>
      <c r="B1627" t="str">
        <f>HYPERLINK("https://www.suredividend.com/sure-analysis-research-database/","Ultra Clean Hldgs Inc")</f>
        <v>Ultra Clean Hldgs Inc</v>
      </c>
      <c r="C1627" t="s">
        <v>1803</v>
      </c>
      <c r="D1627">
        <v>25.81</v>
      </c>
      <c r="E1627">
        <v>0</v>
      </c>
      <c r="F1627" t="s">
        <v>1797</v>
      </c>
      <c r="G1627" t="s">
        <v>1797</v>
      </c>
      <c r="H1627">
        <v>0</v>
      </c>
      <c r="I1627">
        <v>1156.381122</v>
      </c>
      <c r="J1627">
        <v>46.628271067741927</v>
      </c>
      <c r="K1627">
        <v>0</v>
      </c>
      <c r="L1627">
        <v>1.6695693847591311</v>
      </c>
      <c r="M1627">
        <v>40.799999999999997</v>
      </c>
      <c r="N1627">
        <v>22.15</v>
      </c>
    </row>
    <row r="1628" spans="1:14" x14ac:dyDescent="0.25">
      <c r="A1628" s="1" t="s">
        <v>1640</v>
      </c>
      <c r="B1628" t="str">
        <f>HYPERLINK("https://www.suredividend.com/sure-analysis-research-database/","Udemy Inc")</f>
        <v>Udemy Inc</v>
      </c>
      <c r="C1628" t="s">
        <v>1797</v>
      </c>
      <c r="D1628">
        <v>12.45</v>
      </c>
      <c r="E1628">
        <v>0</v>
      </c>
      <c r="F1628" t="s">
        <v>1797</v>
      </c>
      <c r="G1628" t="s">
        <v>1797</v>
      </c>
      <c r="H1628">
        <v>0</v>
      </c>
      <c r="I1628">
        <v>1872.312635</v>
      </c>
      <c r="J1628" t="s">
        <v>1797</v>
      </c>
      <c r="K1628">
        <v>0</v>
      </c>
      <c r="L1628">
        <v>1.4636674563505629</v>
      </c>
      <c r="M1628">
        <v>17.260000000000002</v>
      </c>
      <c r="N1628">
        <v>8.17</v>
      </c>
    </row>
    <row r="1629" spans="1:14" x14ac:dyDescent="0.25">
      <c r="A1629" s="1" t="s">
        <v>1641</v>
      </c>
      <c r="B1629" t="str">
        <f>HYPERLINK("https://www.suredividend.com/sure-analysis-UE/","Urban Edge Properties")</f>
        <v>Urban Edge Properties</v>
      </c>
      <c r="C1629" t="s">
        <v>1799</v>
      </c>
      <c r="D1629">
        <v>16.989999999999998</v>
      </c>
      <c r="E1629">
        <v>3.7669217186580353E-2</v>
      </c>
      <c r="F1629" t="s">
        <v>1797</v>
      </c>
      <c r="G1629" t="s">
        <v>1797</v>
      </c>
      <c r="H1629">
        <v>0.63011094125715505</v>
      </c>
      <c r="I1629">
        <v>1998.7457690000001</v>
      </c>
      <c r="J1629">
        <v>48.861921702928662</v>
      </c>
      <c r="K1629">
        <v>1.8764471151195801</v>
      </c>
      <c r="L1629">
        <v>1.121018417151092</v>
      </c>
      <c r="M1629">
        <v>17.510000000000002</v>
      </c>
      <c r="N1629">
        <v>12.86</v>
      </c>
    </row>
    <row r="1630" spans="1:14" x14ac:dyDescent="0.25">
      <c r="A1630" s="1" t="s">
        <v>1642</v>
      </c>
      <c r="B1630" t="str">
        <f>HYPERLINK("https://www.suredividend.com/sure-analysis-research-database/","Uranium Energy Corp")</f>
        <v>Uranium Energy Corp</v>
      </c>
      <c r="C1630" t="s">
        <v>1807</v>
      </c>
      <c r="D1630">
        <v>5.78</v>
      </c>
      <c r="E1630">
        <v>0</v>
      </c>
      <c r="F1630" t="s">
        <v>1797</v>
      </c>
      <c r="G1630" t="s">
        <v>1797</v>
      </c>
      <c r="H1630">
        <v>0</v>
      </c>
      <c r="I1630">
        <v>2230.2040010000001</v>
      </c>
      <c r="J1630" t="s">
        <v>1797</v>
      </c>
      <c r="K1630">
        <v>0</v>
      </c>
      <c r="L1630">
        <v>1.572648474906452</v>
      </c>
      <c r="M1630">
        <v>6.05</v>
      </c>
      <c r="N1630">
        <v>2.2999999999999998</v>
      </c>
    </row>
    <row r="1631" spans="1:14" x14ac:dyDescent="0.25">
      <c r="A1631" s="1" t="s">
        <v>1643</v>
      </c>
      <c r="B1631" t="str">
        <f>HYPERLINK("https://www.suredividend.com/sure-analysis-research-database/","Universal Electronics Inc.")</f>
        <v>Universal Electronics Inc.</v>
      </c>
      <c r="C1631" t="s">
        <v>1803</v>
      </c>
      <c r="D1631">
        <v>8.68</v>
      </c>
      <c r="E1631">
        <v>0</v>
      </c>
      <c r="F1631" t="s">
        <v>1797</v>
      </c>
      <c r="G1631" t="s">
        <v>1797</v>
      </c>
      <c r="H1631">
        <v>0</v>
      </c>
      <c r="I1631">
        <v>112.047646</v>
      </c>
      <c r="J1631" t="s">
        <v>1797</v>
      </c>
      <c r="K1631">
        <v>0</v>
      </c>
      <c r="L1631">
        <v>1.0025883364520041</v>
      </c>
      <c r="M1631">
        <v>25.91</v>
      </c>
      <c r="N1631">
        <v>7.02</v>
      </c>
    </row>
    <row r="1632" spans="1:14" x14ac:dyDescent="0.25">
      <c r="A1632" s="1" t="s">
        <v>1644</v>
      </c>
      <c r="B1632" t="str">
        <f>HYPERLINK("https://www.suredividend.com/sure-analysis-research-database/","United Fire Group Inc")</f>
        <v>United Fire Group Inc</v>
      </c>
      <c r="C1632" t="s">
        <v>1800</v>
      </c>
      <c r="D1632">
        <v>19.79</v>
      </c>
      <c r="E1632">
        <v>3.1676246903336001E-2</v>
      </c>
      <c r="F1632">
        <v>0</v>
      </c>
      <c r="G1632">
        <v>-0.1239040801101997</v>
      </c>
      <c r="H1632">
        <v>0.62687292621703206</v>
      </c>
      <c r="I1632">
        <v>499.98560300000003</v>
      </c>
      <c r="J1632" t="s">
        <v>1797</v>
      </c>
      <c r="K1632" t="s">
        <v>1797</v>
      </c>
      <c r="L1632">
        <v>0.51988839591787805</v>
      </c>
      <c r="M1632">
        <v>31.37</v>
      </c>
      <c r="N1632">
        <v>18.41</v>
      </c>
    </row>
    <row r="1633" spans="1:14" x14ac:dyDescent="0.25">
      <c r="A1633" s="1" t="s">
        <v>1645</v>
      </c>
      <c r="B1633" t="str">
        <f>HYPERLINK("https://www.suredividend.com/sure-analysis-research-database/","UNIFI, Inc.")</f>
        <v>UNIFI, Inc.</v>
      </c>
      <c r="C1633" t="s">
        <v>1801</v>
      </c>
      <c r="D1633">
        <v>6.61</v>
      </c>
      <c r="E1633">
        <v>0</v>
      </c>
      <c r="F1633" t="s">
        <v>1797</v>
      </c>
      <c r="G1633" t="s">
        <v>1797</v>
      </c>
      <c r="H1633">
        <v>0</v>
      </c>
      <c r="I1633">
        <v>119.53869</v>
      </c>
      <c r="J1633" t="s">
        <v>1797</v>
      </c>
      <c r="K1633">
        <v>0</v>
      </c>
      <c r="L1633">
        <v>1.3327227071414609</v>
      </c>
      <c r="M1633">
        <v>10.54</v>
      </c>
      <c r="N1633">
        <v>5.85</v>
      </c>
    </row>
    <row r="1634" spans="1:14" x14ac:dyDescent="0.25">
      <c r="A1634" s="1" t="s">
        <v>1646</v>
      </c>
      <c r="B1634" t="str">
        <f>HYPERLINK("https://www.suredividend.com/sure-analysis-research-database/","UFP Industries Inc")</f>
        <v>UFP Industries Inc</v>
      </c>
      <c r="C1634" t="s">
        <v>1808</v>
      </c>
      <c r="D1634">
        <v>103.59</v>
      </c>
      <c r="E1634">
        <v>1.0072752568461E-2</v>
      </c>
      <c r="F1634" t="s">
        <v>1797</v>
      </c>
      <c r="G1634" t="s">
        <v>1797</v>
      </c>
      <c r="H1634">
        <v>1.043436438566876</v>
      </c>
      <c r="I1634">
        <v>6432.9390000000003</v>
      </c>
      <c r="J1634">
        <v>11.673351733599</v>
      </c>
      <c r="K1634">
        <v>0.1147894871910755</v>
      </c>
      <c r="L1634">
        <v>1.3896488542923819</v>
      </c>
      <c r="M1634">
        <v>107.57</v>
      </c>
      <c r="N1634">
        <v>67.680000000000007</v>
      </c>
    </row>
    <row r="1635" spans="1:14" x14ac:dyDescent="0.25">
      <c r="A1635" s="1" t="s">
        <v>1647</v>
      </c>
      <c r="B1635" t="str">
        <f>HYPERLINK("https://www.suredividend.com/sure-analysis-research-database/","UFP Technologies Inc.")</f>
        <v>UFP Technologies Inc.</v>
      </c>
      <c r="C1635" t="s">
        <v>1801</v>
      </c>
      <c r="D1635">
        <v>143.16999999999999</v>
      </c>
      <c r="E1635">
        <v>0</v>
      </c>
      <c r="F1635" t="s">
        <v>1797</v>
      </c>
      <c r="G1635" t="s">
        <v>1797</v>
      </c>
      <c r="H1635">
        <v>0</v>
      </c>
      <c r="I1635">
        <v>1093.6487139999999</v>
      </c>
      <c r="J1635">
        <v>22.038705344994359</v>
      </c>
      <c r="K1635">
        <v>0</v>
      </c>
      <c r="L1635">
        <v>0.85376566702162704</v>
      </c>
      <c r="M1635">
        <v>205.08</v>
      </c>
      <c r="N1635">
        <v>103.64</v>
      </c>
    </row>
    <row r="1636" spans="1:14" x14ac:dyDescent="0.25">
      <c r="A1636" s="1" t="s">
        <v>1648</v>
      </c>
      <c r="B1636" t="str">
        <f>HYPERLINK("https://www.suredividend.com/sure-analysis-UHT/","Universal Health Realty Income Trust")</f>
        <v>Universal Health Realty Income Trust</v>
      </c>
      <c r="C1636" t="s">
        <v>1799</v>
      </c>
      <c r="D1636">
        <v>40.700000000000003</v>
      </c>
      <c r="E1636">
        <v>7.0761670761670753E-2</v>
      </c>
      <c r="F1636">
        <v>1.4084507042253501E-2</v>
      </c>
      <c r="G1636">
        <v>1.299136822423641E-2</v>
      </c>
      <c r="H1636">
        <v>2.8050605880423678</v>
      </c>
      <c r="I1636">
        <v>562.55955100000006</v>
      </c>
      <c r="J1636">
        <v>30.550643608124251</v>
      </c>
      <c r="K1636">
        <v>2.1090681113100511</v>
      </c>
      <c r="L1636">
        <v>0.77009874449918603</v>
      </c>
      <c r="M1636">
        <v>54.97</v>
      </c>
      <c r="N1636">
        <v>37</v>
      </c>
    </row>
    <row r="1637" spans="1:14" x14ac:dyDescent="0.25">
      <c r="A1637" s="1" t="s">
        <v>1649</v>
      </c>
      <c r="B1637" t="str">
        <f>HYPERLINK("https://www.suredividend.com/sure-analysis-research-database/","Unisys Corp.")</f>
        <v>Unisys Corp.</v>
      </c>
      <c r="C1637" t="s">
        <v>1803</v>
      </c>
      <c r="D1637">
        <v>2.9</v>
      </c>
      <c r="E1637">
        <v>0</v>
      </c>
      <c r="F1637" t="s">
        <v>1797</v>
      </c>
      <c r="G1637" t="s">
        <v>1797</v>
      </c>
      <c r="H1637">
        <v>0</v>
      </c>
      <c r="I1637">
        <v>198.07142999999999</v>
      </c>
      <c r="J1637" t="s">
        <v>1797</v>
      </c>
      <c r="K1637">
        <v>0</v>
      </c>
      <c r="L1637">
        <v>1.677236263734375</v>
      </c>
      <c r="M1637">
        <v>9.18</v>
      </c>
      <c r="N1637">
        <v>2.6</v>
      </c>
    </row>
    <row r="1638" spans="1:14" x14ac:dyDescent="0.25">
      <c r="A1638" s="1" t="s">
        <v>1650</v>
      </c>
      <c r="B1638" t="str">
        <f>HYPERLINK("https://www.suredividend.com/sure-analysis-research-database/","Frontier Group Holdings Inc")</f>
        <v>Frontier Group Holdings Inc</v>
      </c>
      <c r="C1638" t="s">
        <v>1797</v>
      </c>
      <c r="D1638">
        <v>3.92</v>
      </c>
      <c r="E1638">
        <v>0</v>
      </c>
      <c r="F1638" t="s">
        <v>1797</v>
      </c>
      <c r="G1638" t="s">
        <v>1797</v>
      </c>
      <c r="H1638">
        <v>0</v>
      </c>
      <c r="I1638">
        <v>866.56978600000002</v>
      </c>
      <c r="J1638">
        <v>13.12984524727273</v>
      </c>
      <c r="K1638">
        <v>0</v>
      </c>
      <c r="L1638">
        <v>1.361801278229875</v>
      </c>
      <c r="M1638">
        <v>14.34</v>
      </c>
      <c r="N1638">
        <v>3.19</v>
      </c>
    </row>
    <row r="1639" spans="1:14" x14ac:dyDescent="0.25">
      <c r="A1639" s="1" t="s">
        <v>1651</v>
      </c>
      <c r="B1639" t="str">
        <f>HYPERLINK("https://www.suredividend.com/sure-analysis-research-database/","Universal Logistics Holdings Inc")</f>
        <v>Universal Logistics Holdings Inc</v>
      </c>
      <c r="C1639" t="s">
        <v>1798</v>
      </c>
      <c r="D1639">
        <v>23.555</v>
      </c>
      <c r="E1639">
        <v>1.7645260379892998E-2</v>
      </c>
      <c r="F1639">
        <v>0</v>
      </c>
      <c r="G1639">
        <v>-9.2608548109296418E-3</v>
      </c>
      <c r="H1639">
        <v>0.41563410824839297</v>
      </c>
      <c r="I1639">
        <v>619.21320400000002</v>
      </c>
      <c r="J1639">
        <v>4.7497695276795504</v>
      </c>
      <c r="K1639">
        <v>8.3966486514826869E-2</v>
      </c>
      <c r="L1639">
        <v>1.0854735037869421</v>
      </c>
      <c r="M1639">
        <v>44.16</v>
      </c>
      <c r="N1639">
        <v>20.85</v>
      </c>
    </row>
    <row r="1640" spans="1:14" x14ac:dyDescent="0.25">
      <c r="A1640" s="1" t="s">
        <v>1652</v>
      </c>
      <c r="B1640" t="str">
        <f>HYPERLINK("https://www.suredividend.com/sure-analysis-UMBF/","UMB Financial Corp.")</f>
        <v>UMB Financial Corp.</v>
      </c>
      <c r="C1640" t="s">
        <v>1800</v>
      </c>
      <c r="D1640">
        <v>69.319999999999993</v>
      </c>
      <c r="E1640">
        <v>2.2504327755337571E-2</v>
      </c>
      <c r="F1640">
        <v>2.702702702702697E-2</v>
      </c>
      <c r="G1640">
        <v>4.8413171284721328E-2</v>
      </c>
      <c r="H1640">
        <v>1.4956918121128731</v>
      </c>
      <c r="I1640">
        <v>3364.0987679999998</v>
      </c>
      <c r="J1640">
        <v>8.8698375532200995</v>
      </c>
      <c r="K1640">
        <v>0.19224830489882691</v>
      </c>
      <c r="L1640">
        <v>1.227560772680403</v>
      </c>
      <c r="M1640">
        <v>90.09</v>
      </c>
      <c r="N1640">
        <v>49.48</v>
      </c>
    </row>
    <row r="1641" spans="1:14" x14ac:dyDescent="0.25">
      <c r="A1641" s="1" t="s">
        <v>1653</v>
      </c>
      <c r="B1641" t="str">
        <f>HYPERLINK("https://www.suredividend.com/sure-analysis-UMH/","UMH Properties Inc")</f>
        <v>UMH Properties Inc</v>
      </c>
      <c r="C1641" t="s">
        <v>1799</v>
      </c>
      <c r="D1641">
        <v>14.92</v>
      </c>
      <c r="E1641">
        <v>5.4959785522788199E-2</v>
      </c>
      <c r="F1641">
        <v>2.4999999999999911E-2</v>
      </c>
      <c r="G1641">
        <v>2.635185407071083E-2</v>
      </c>
      <c r="H1641">
        <v>0.79985114279567104</v>
      </c>
      <c r="I1641">
        <v>973.81722500000001</v>
      </c>
      <c r="J1641" t="s">
        <v>1797</v>
      </c>
      <c r="K1641" t="s">
        <v>1797</v>
      </c>
      <c r="L1641">
        <v>1.070937224031679</v>
      </c>
      <c r="M1641">
        <v>18.18</v>
      </c>
      <c r="N1641">
        <v>13.26</v>
      </c>
    </row>
    <row r="1642" spans="1:14" x14ac:dyDescent="0.25">
      <c r="A1642" s="1" t="s">
        <v>1654</v>
      </c>
      <c r="B1642" t="str">
        <f>HYPERLINK("https://www.suredividend.com/sure-analysis-UNF/","Unifirst Corp.")</f>
        <v>Unifirst Corp.</v>
      </c>
      <c r="C1642" t="s">
        <v>1798</v>
      </c>
      <c r="D1642">
        <v>169.35</v>
      </c>
      <c r="E1642">
        <v>7.7945084145261299E-3</v>
      </c>
      <c r="F1642">
        <v>3.3333333333333208E-2</v>
      </c>
      <c r="G1642">
        <v>0.22473416853114969</v>
      </c>
      <c r="H1642">
        <v>1.2367786064589441</v>
      </c>
      <c r="I1642">
        <v>2557.9609620000001</v>
      </c>
      <c r="J1642">
        <v>24.673119216968569</v>
      </c>
      <c r="K1642">
        <v>0.22364893426020691</v>
      </c>
      <c r="L1642">
        <v>0.69692347843880509</v>
      </c>
      <c r="M1642">
        <v>204.54</v>
      </c>
      <c r="N1642">
        <v>150.22999999999999</v>
      </c>
    </row>
    <row r="1643" spans="1:14" x14ac:dyDescent="0.25">
      <c r="A1643" s="1" t="s">
        <v>1655</v>
      </c>
      <c r="B1643" t="str">
        <f>HYPERLINK("https://www.suredividend.com/sure-analysis-research-database/","United Natural Foods Inc.")</f>
        <v>United Natural Foods Inc.</v>
      </c>
      <c r="C1643" t="s">
        <v>1804</v>
      </c>
      <c r="D1643">
        <v>15.71</v>
      </c>
      <c r="E1643">
        <v>0</v>
      </c>
      <c r="F1643" t="s">
        <v>1797</v>
      </c>
      <c r="G1643" t="s">
        <v>1797</v>
      </c>
      <c r="H1643">
        <v>0</v>
      </c>
      <c r="I1643">
        <v>919.03402600000004</v>
      </c>
      <c r="J1643">
        <v>38.293084415833327</v>
      </c>
      <c r="K1643">
        <v>0</v>
      </c>
      <c r="L1643">
        <v>1.1490592190434901</v>
      </c>
      <c r="M1643">
        <v>47.88</v>
      </c>
      <c r="N1643">
        <v>12.88</v>
      </c>
    </row>
    <row r="1644" spans="1:14" x14ac:dyDescent="0.25">
      <c r="A1644" s="1" t="s">
        <v>1656</v>
      </c>
      <c r="B1644" t="str">
        <f>HYPERLINK("https://www.suredividend.com/sure-analysis-UNIT/","Uniti Group Inc")</f>
        <v>Uniti Group Inc</v>
      </c>
      <c r="C1644" t="s">
        <v>1799</v>
      </c>
      <c r="D1644">
        <v>5.2</v>
      </c>
      <c r="E1644">
        <v>0.1153846153846154</v>
      </c>
      <c r="F1644">
        <v>0</v>
      </c>
      <c r="G1644">
        <v>-0.24214171674480101</v>
      </c>
      <c r="H1644">
        <v>0.562851550861724</v>
      </c>
      <c r="I1644">
        <v>1241.1807409999999</v>
      </c>
      <c r="J1644" t="s">
        <v>1797</v>
      </c>
      <c r="K1644" t="s">
        <v>1797</v>
      </c>
      <c r="L1644">
        <v>1.9682811938829849</v>
      </c>
      <c r="M1644">
        <v>6.83</v>
      </c>
      <c r="N1644">
        <v>2.67</v>
      </c>
    </row>
    <row r="1645" spans="1:14" x14ac:dyDescent="0.25">
      <c r="A1645" s="1" t="s">
        <v>1657</v>
      </c>
      <c r="B1645" t="str">
        <f>HYPERLINK("https://www.suredividend.com/sure-analysis-research-database/","Unity Bancorp, Inc.")</f>
        <v>Unity Bancorp, Inc.</v>
      </c>
      <c r="C1645" t="s">
        <v>1800</v>
      </c>
      <c r="D1645">
        <v>25.39</v>
      </c>
      <c r="E1645">
        <v>1.8262821472988001E-2</v>
      </c>
      <c r="F1645">
        <v>9.0909090909090828E-2</v>
      </c>
      <c r="G1645">
        <v>0.1138241786028789</v>
      </c>
      <c r="H1645">
        <v>0.46369303719917798</v>
      </c>
      <c r="I1645">
        <v>257.33694300000002</v>
      </c>
      <c r="J1645">
        <v>0</v>
      </c>
      <c r="K1645" t="s">
        <v>1797</v>
      </c>
      <c r="L1645">
        <v>0.62835257391584709</v>
      </c>
      <c r="M1645">
        <v>29.03</v>
      </c>
      <c r="N1645">
        <v>19.61</v>
      </c>
    </row>
    <row r="1646" spans="1:14" x14ac:dyDescent="0.25">
      <c r="A1646" s="1" t="s">
        <v>1658</v>
      </c>
      <c r="B1646" t="str">
        <f>HYPERLINK("https://www.suredividend.com/sure-analysis-research-database/","Urban One Inc")</f>
        <v>Urban One Inc</v>
      </c>
      <c r="C1646" t="s">
        <v>1806</v>
      </c>
      <c r="D1646">
        <v>5.9</v>
      </c>
      <c r="E1646">
        <v>0</v>
      </c>
      <c r="F1646" t="s">
        <v>1797</v>
      </c>
      <c r="G1646" t="s">
        <v>1797</v>
      </c>
      <c r="H1646">
        <v>0</v>
      </c>
      <c r="I1646">
        <v>255.20621700000001</v>
      </c>
      <c r="J1646">
        <v>6.8366743507728573</v>
      </c>
      <c r="K1646">
        <v>0</v>
      </c>
      <c r="L1646">
        <v>0.98424209369605109</v>
      </c>
      <c r="M1646">
        <v>8.0399999999999991</v>
      </c>
      <c r="N1646">
        <v>4.33</v>
      </c>
    </row>
    <row r="1647" spans="1:14" x14ac:dyDescent="0.25">
      <c r="A1647" s="1" t="s">
        <v>1659</v>
      </c>
      <c r="B1647" t="str">
        <f>HYPERLINK("https://www.suredividend.com/sure-analysis-research-database/","Urban One Inc")</f>
        <v>Urban One Inc</v>
      </c>
      <c r="C1647" t="s">
        <v>1806</v>
      </c>
      <c r="D1647">
        <v>5.78</v>
      </c>
      <c r="E1647">
        <v>0</v>
      </c>
      <c r="F1647" t="s">
        <v>1797</v>
      </c>
      <c r="G1647" t="s">
        <v>1797</v>
      </c>
      <c r="H1647">
        <v>0</v>
      </c>
      <c r="I1647">
        <v>255.20621700000001</v>
      </c>
      <c r="J1647">
        <v>6.8366743507728582</v>
      </c>
      <c r="K1647">
        <v>0</v>
      </c>
      <c r="L1647">
        <v>0.9319294012366921</v>
      </c>
      <c r="M1647">
        <v>6.34</v>
      </c>
      <c r="N1647">
        <v>3.67</v>
      </c>
    </row>
    <row r="1648" spans="1:14" x14ac:dyDescent="0.25">
      <c r="A1648" s="1" t="s">
        <v>1660</v>
      </c>
      <c r="B1648" t="str">
        <f>HYPERLINK("https://www.suredividend.com/sure-analysis-research-database/","Wheels Up Experience Inc")</f>
        <v>Wheels Up Experience Inc</v>
      </c>
      <c r="C1648" t="s">
        <v>1797</v>
      </c>
      <c r="D1648">
        <v>1.44</v>
      </c>
      <c r="E1648">
        <v>0</v>
      </c>
      <c r="F1648" t="s">
        <v>1797</v>
      </c>
      <c r="G1648" t="s">
        <v>1797</v>
      </c>
      <c r="H1648">
        <v>0</v>
      </c>
      <c r="I1648">
        <v>240.200459</v>
      </c>
      <c r="J1648" t="s">
        <v>1797</v>
      </c>
      <c r="K1648">
        <v>0</v>
      </c>
      <c r="L1648">
        <v>2.4239845676864542</v>
      </c>
      <c r="M1648">
        <v>17.100000000000001</v>
      </c>
      <c r="N1648">
        <v>0.98</v>
      </c>
    </row>
    <row r="1649" spans="1:14" x14ac:dyDescent="0.25">
      <c r="A1649" s="1" t="s">
        <v>1661</v>
      </c>
      <c r="B1649" t="str">
        <f>HYPERLINK("https://www.suredividend.com/sure-analysis-research-database/","Upbound Group Inc")</f>
        <v>Upbound Group Inc</v>
      </c>
      <c r="C1649" t="s">
        <v>1797</v>
      </c>
      <c r="D1649">
        <v>28.57</v>
      </c>
      <c r="E1649">
        <v>4.6820422922842997E-2</v>
      </c>
      <c r="F1649" t="s">
        <v>1797</v>
      </c>
      <c r="G1649" t="s">
        <v>1797</v>
      </c>
      <c r="H1649">
        <v>1.3376594829056401</v>
      </c>
      <c r="I1649">
        <v>1599.3190589999999</v>
      </c>
      <c r="J1649">
        <v>0</v>
      </c>
      <c r="K1649" t="s">
        <v>1797</v>
      </c>
      <c r="L1649">
        <v>1.4487848283078431</v>
      </c>
      <c r="M1649">
        <v>35.340000000000003</v>
      </c>
      <c r="N1649">
        <v>20.02</v>
      </c>
    </row>
    <row r="1650" spans="1:14" x14ac:dyDescent="0.25">
      <c r="A1650" s="1" t="s">
        <v>1662</v>
      </c>
      <c r="B1650" t="str">
        <f>HYPERLINK("https://www.suredividend.com/sure-analysis-research-database/","Upland Software Inc")</f>
        <v>Upland Software Inc</v>
      </c>
      <c r="C1650" t="s">
        <v>1803</v>
      </c>
      <c r="D1650">
        <v>4.28</v>
      </c>
      <c r="E1650">
        <v>0</v>
      </c>
      <c r="F1650" t="s">
        <v>1797</v>
      </c>
      <c r="G1650" t="s">
        <v>1797</v>
      </c>
      <c r="H1650">
        <v>0</v>
      </c>
      <c r="I1650">
        <v>139.761752</v>
      </c>
      <c r="J1650" t="s">
        <v>1797</v>
      </c>
      <c r="K1650">
        <v>0</v>
      </c>
      <c r="L1650">
        <v>2.4204573589721612</v>
      </c>
      <c r="M1650">
        <v>9.7100000000000009</v>
      </c>
      <c r="N1650">
        <v>2.42</v>
      </c>
    </row>
    <row r="1651" spans="1:14" x14ac:dyDescent="0.25">
      <c r="A1651" s="1" t="s">
        <v>1663</v>
      </c>
      <c r="B1651" t="str">
        <f>HYPERLINK("https://www.suredividend.com/sure-analysis-research-database/","Upwork Inc")</f>
        <v>Upwork Inc</v>
      </c>
      <c r="C1651" t="s">
        <v>1798</v>
      </c>
      <c r="D1651">
        <v>11.27</v>
      </c>
      <c r="E1651">
        <v>0</v>
      </c>
      <c r="F1651" t="s">
        <v>1797</v>
      </c>
      <c r="G1651" t="s">
        <v>1797</v>
      </c>
      <c r="H1651">
        <v>0</v>
      </c>
      <c r="I1651">
        <v>1520.138138</v>
      </c>
      <c r="J1651" t="s">
        <v>1797</v>
      </c>
      <c r="K1651">
        <v>0</v>
      </c>
      <c r="L1651">
        <v>2.1596027050012561</v>
      </c>
      <c r="M1651">
        <v>15.88</v>
      </c>
      <c r="N1651">
        <v>6.56</v>
      </c>
    </row>
    <row r="1652" spans="1:14" x14ac:dyDescent="0.25">
      <c r="A1652" s="1" t="s">
        <v>1664</v>
      </c>
      <c r="B1652" t="str">
        <f>HYPERLINK("https://www.suredividend.com/sure-analysis-research-database/","Urban Outfitters, Inc.")</f>
        <v>Urban Outfitters, Inc.</v>
      </c>
      <c r="C1652" t="s">
        <v>1801</v>
      </c>
      <c r="D1652">
        <v>35.81</v>
      </c>
      <c r="E1652">
        <v>0</v>
      </c>
      <c r="F1652" t="s">
        <v>1797</v>
      </c>
      <c r="G1652" t="s">
        <v>1797</v>
      </c>
      <c r="H1652">
        <v>0</v>
      </c>
      <c r="I1652">
        <v>3322.2510849999999</v>
      </c>
      <c r="J1652">
        <v>14.7261597191071</v>
      </c>
      <c r="K1652">
        <v>0</v>
      </c>
      <c r="L1652">
        <v>1.1259304586396079</v>
      </c>
      <c r="M1652">
        <v>37.82</v>
      </c>
      <c r="N1652">
        <v>22.37</v>
      </c>
    </row>
    <row r="1653" spans="1:14" x14ac:dyDescent="0.25">
      <c r="A1653" s="1" t="s">
        <v>1665</v>
      </c>
      <c r="B1653" t="str">
        <f>HYPERLINK("https://www.suredividend.com/sure-analysis-research-database/","Ur-Energy Inc.")</f>
        <v>Ur-Energy Inc.</v>
      </c>
      <c r="C1653" t="s">
        <v>1807</v>
      </c>
      <c r="D1653">
        <v>1.58</v>
      </c>
      <c r="E1653">
        <v>0</v>
      </c>
      <c r="F1653" t="s">
        <v>1797</v>
      </c>
      <c r="G1653" t="s">
        <v>1797</v>
      </c>
      <c r="H1653">
        <v>0</v>
      </c>
      <c r="I1653">
        <v>420.239239</v>
      </c>
      <c r="J1653">
        <v>0</v>
      </c>
      <c r="K1653" t="s">
        <v>1797</v>
      </c>
      <c r="L1653">
        <v>1.4492258235843181</v>
      </c>
      <c r="M1653">
        <v>1.68</v>
      </c>
      <c r="N1653">
        <v>0.82010000000000005</v>
      </c>
    </row>
    <row r="1654" spans="1:14" x14ac:dyDescent="0.25">
      <c r="A1654" s="1" t="s">
        <v>1666</v>
      </c>
      <c r="B1654" t="str">
        <f>HYPERLINK("https://www.suredividend.com/sure-analysis-research-database/","USCB Financial Holdings Inc")</f>
        <v>USCB Financial Holdings Inc</v>
      </c>
      <c r="C1654" t="s">
        <v>1797</v>
      </c>
      <c r="D1654">
        <v>11.2</v>
      </c>
      <c r="E1654">
        <v>0</v>
      </c>
      <c r="F1654" t="s">
        <v>1797</v>
      </c>
      <c r="G1654" t="s">
        <v>1797</v>
      </c>
      <c r="H1654">
        <v>0</v>
      </c>
      <c r="I1654">
        <v>218.90150199999999</v>
      </c>
      <c r="J1654">
        <v>0</v>
      </c>
      <c r="K1654" t="s">
        <v>1797</v>
      </c>
      <c r="L1654">
        <v>0.38609179018354711</v>
      </c>
      <c r="M1654">
        <v>14.07</v>
      </c>
      <c r="N1654">
        <v>8.56</v>
      </c>
    </row>
    <row r="1655" spans="1:14" x14ac:dyDescent="0.25">
      <c r="A1655" s="1" t="s">
        <v>1667</v>
      </c>
      <c r="B1655" t="str">
        <f>HYPERLINK("https://www.suredividend.com/sure-analysis-research-database/","United States Lime &amp; Minerals Inc.")</f>
        <v>United States Lime &amp; Minerals Inc.</v>
      </c>
      <c r="C1655" t="s">
        <v>1808</v>
      </c>
      <c r="D1655">
        <v>204.26</v>
      </c>
      <c r="E1655">
        <v>3.9053824277399999E-3</v>
      </c>
      <c r="F1655">
        <v>0</v>
      </c>
      <c r="G1655">
        <v>8.1780741066402873E-2</v>
      </c>
      <c r="H1655">
        <v>0.79771341469027002</v>
      </c>
      <c r="I1655">
        <v>1162.2393999999999</v>
      </c>
      <c r="J1655">
        <v>17.005229274573491</v>
      </c>
      <c r="K1655">
        <v>6.6531560858237693E-2</v>
      </c>
      <c r="L1655">
        <v>0.74478978665651507</v>
      </c>
      <c r="M1655">
        <v>226.47</v>
      </c>
      <c r="N1655">
        <v>126.54</v>
      </c>
    </row>
    <row r="1656" spans="1:14" x14ac:dyDescent="0.25">
      <c r="A1656" s="1" t="s">
        <v>1668</v>
      </c>
      <c r="B1656" t="str">
        <f>HYPERLINK("https://www.suredividend.com/sure-analysis-research-database/","United States Cellular Corporation")</f>
        <v>United States Cellular Corporation</v>
      </c>
      <c r="C1656" t="s">
        <v>1806</v>
      </c>
      <c r="D1656">
        <v>45.03</v>
      </c>
      <c r="E1656">
        <v>0</v>
      </c>
      <c r="F1656" t="s">
        <v>1797</v>
      </c>
      <c r="G1656" t="s">
        <v>1797</v>
      </c>
      <c r="H1656">
        <v>0</v>
      </c>
      <c r="I1656">
        <v>2353.5604950000002</v>
      </c>
      <c r="J1656" t="s">
        <v>1797</v>
      </c>
      <c r="K1656">
        <v>0</v>
      </c>
      <c r="L1656">
        <v>0.45409758743652301</v>
      </c>
      <c r="M1656">
        <v>46.86</v>
      </c>
      <c r="N1656">
        <v>13.79</v>
      </c>
    </row>
    <row r="1657" spans="1:14" x14ac:dyDescent="0.25">
      <c r="A1657" s="1" t="s">
        <v>1669</v>
      </c>
      <c r="B1657" t="str">
        <f>HYPERLINK("https://www.suredividend.com/sure-analysis-research-database/","Usana Health Sciences Inc")</f>
        <v>Usana Health Sciences Inc</v>
      </c>
      <c r="C1657" t="s">
        <v>1804</v>
      </c>
      <c r="D1657">
        <v>46.34</v>
      </c>
      <c r="E1657">
        <v>0</v>
      </c>
      <c r="F1657" t="s">
        <v>1797</v>
      </c>
      <c r="G1657" t="s">
        <v>1797</v>
      </c>
      <c r="H1657">
        <v>0</v>
      </c>
      <c r="I1657">
        <v>894.44216800000004</v>
      </c>
      <c r="J1657">
        <v>14.108143159986749</v>
      </c>
      <c r="K1657">
        <v>0</v>
      </c>
      <c r="L1657">
        <v>0.70636827111610401</v>
      </c>
      <c r="M1657">
        <v>69.599999999999994</v>
      </c>
      <c r="N1657">
        <v>44.01</v>
      </c>
    </row>
    <row r="1658" spans="1:14" x14ac:dyDescent="0.25">
      <c r="A1658" s="1" t="s">
        <v>1670</v>
      </c>
      <c r="B1658" t="str">
        <f>HYPERLINK("https://www.suredividend.com/sure-analysis-research-database/","U.S. Physical Therapy, Inc.")</f>
        <v>U.S. Physical Therapy, Inc.</v>
      </c>
      <c r="C1658" t="s">
        <v>1802</v>
      </c>
      <c r="D1658">
        <v>84.51</v>
      </c>
      <c r="E1658">
        <v>1.9992249907399999E-2</v>
      </c>
      <c r="F1658" t="s">
        <v>1797</v>
      </c>
      <c r="G1658" t="s">
        <v>1797</v>
      </c>
      <c r="H1658">
        <v>1.6895450396743881</v>
      </c>
      <c r="I1658">
        <v>1266.5780749999999</v>
      </c>
      <c r="J1658">
        <v>49.64831151895261</v>
      </c>
      <c r="K1658">
        <v>0.87541193765512326</v>
      </c>
      <c r="L1658">
        <v>0.85297940599333311</v>
      </c>
      <c r="M1658">
        <v>123.58</v>
      </c>
      <c r="N1658">
        <v>77.19</v>
      </c>
    </row>
    <row r="1659" spans="1:14" x14ac:dyDescent="0.25">
      <c r="A1659" s="1" t="s">
        <v>1671</v>
      </c>
      <c r="B1659" t="str">
        <f>HYPERLINK("https://www.suredividend.com/sure-analysis-research-database/","Universal Technical Institute Inc")</f>
        <v>Universal Technical Institute Inc</v>
      </c>
      <c r="C1659" t="s">
        <v>1804</v>
      </c>
      <c r="D1659">
        <v>9.08</v>
      </c>
      <c r="E1659">
        <v>0</v>
      </c>
      <c r="F1659" t="s">
        <v>1797</v>
      </c>
      <c r="G1659" t="s">
        <v>1797</v>
      </c>
      <c r="H1659">
        <v>0</v>
      </c>
      <c r="I1659">
        <v>309.34842700000002</v>
      </c>
      <c r="J1659">
        <v>167.85047574606619</v>
      </c>
      <c r="K1659">
        <v>0</v>
      </c>
      <c r="L1659">
        <v>0.6932011751510081</v>
      </c>
      <c r="M1659">
        <v>9.49</v>
      </c>
      <c r="N1659">
        <v>5.57</v>
      </c>
    </row>
    <row r="1660" spans="1:14" x14ac:dyDescent="0.25">
      <c r="A1660" s="1" t="s">
        <v>1672</v>
      </c>
      <c r="B1660" t="str">
        <f>HYPERLINK("https://www.suredividend.com/sure-analysis-research-database/","Unitil Corp.")</f>
        <v>Unitil Corp.</v>
      </c>
      <c r="C1660" t="s">
        <v>1805</v>
      </c>
      <c r="D1660">
        <v>47.45</v>
      </c>
      <c r="E1660">
        <v>3.3380844749938E-2</v>
      </c>
      <c r="F1660">
        <v>3.8461538461538547E-2</v>
      </c>
      <c r="G1660">
        <v>1.824118682704667E-2</v>
      </c>
      <c r="H1660">
        <v>1.583921083384582</v>
      </c>
      <c r="I1660">
        <v>763.60155699999996</v>
      </c>
      <c r="J1660">
        <v>17.635139882217089</v>
      </c>
      <c r="K1660">
        <v>0.58447272449615573</v>
      </c>
      <c r="L1660">
        <v>0.61579461160563309</v>
      </c>
      <c r="M1660">
        <v>59.68</v>
      </c>
      <c r="N1660">
        <v>41.43</v>
      </c>
    </row>
    <row r="1661" spans="1:14" x14ac:dyDescent="0.25">
      <c r="A1661" s="1" t="s">
        <v>1673</v>
      </c>
      <c r="B1661" t="str">
        <f>HYPERLINK("https://www.suredividend.com/sure-analysis-research-database/","Utah Medical Products, Inc.")</f>
        <v>Utah Medical Products, Inc.</v>
      </c>
      <c r="C1661" t="s">
        <v>1802</v>
      </c>
      <c r="D1661">
        <v>80.98</v>
      </c>
      <c r="E1661">
        <v>1.4442567774826E-2</v>
      </c>
      <c r="F1661">
        <v>1.7241379310344751E-2</v>
      </c>
      <c r="G1661">
        <v>1.413988746585337E-2</v>
      </c>
      <c r="H1661">
        <v>1.169559138405488</v>
      </c>
      <c r="I1661">
        <v>293.91893499999998</v>
      </c>
      <c r="J1661">
        <v>0</v>
      </c>
      <c r="K1661" t="s">
        <v>1797</v>
      </c>
      <c r="L1661">
        <v>0.76961859551110401</v>
      </c>
      <c r="M1661">
        <v>107.41</v>
      </c>
      <c r="N1661">
        <v>75</v>
      </c>
    </row>
    <row r="1662" spans="1:14" x14ac:dyDescent="0.25">
      <c r="A1662" s="1" t="s">
        <v>1674</v>
      </c>
      <c r="B1662" t="str">
        <f>HYPERLINK("https://www.suredividend.com/sure-analysis-research-database/","Utz Brands Inc")</f>
        <v>Utz Brands Inc</v>
      </c>
      <c r="C1662" t="s">
        <v>1797</v>
      </c>
      <c r="D1662">
        <v>12.38</v>
      </c>
      <c r="E1662">
        <v>1.8316149630748998E-2</v>
      </c>
      <c r="F1662" t="s">
        <v>1797</v>
      </c>
      <c r="G1662" t="s">
        <v>1797</v>
      </c>
      <c r="H1662">
        <v>0.226753932428674</v>
      </c>
      <c r="I1662">
        <v>1004.530742</v>
      </c>
      <c r="J1662">
        <v>0</v>
      </c>
      <c r="K1662" t="s">
        <v>1797</v>
      </c>
      <c r="L1662">
        <v>0.49519011178638811</v>
      </c>
      <c r="M1662">
        <v>18.96</v>
      </c>
      <c r="N1662">
        <v>11.17</v>
      </c>
    </row>
    <row r="1663" spans="1:14" x14ac:dyDescent="0.25">
      <c r="A1663" s="1" t="s">
        <v>1675</v>
      </c>
      <c r="B1663" t="str">
        <f>HYPERLINK("https://www.suredividend.com/sure-analysis-research-database/","Energy Fuels Inc")</f>
        <v>Energy Fuels Inc</v>
      </c>
      <c r="C1663" t="s">
        <v>1807</v>
      </c>
      <c r="D1663">
        <v>7.94</v>
      </c>
      <c r="E1663">
        <v>0</v>
      </c>
      <c r="F1663" t="s">
        <v>1797</v>
      </c>
      <c r="G1663" t="s">
        <v>1797</v>
      </c>
      <c r="H1663">
        <v>0</v>
      </c>
      <c r="I1663">
        <v>1274.23074</v>
      </c>
      <c r="J1663">
        <v>0</v>
      </c>
      <c r="K1663" t="s">
        <v>1797</v>
      </c>
      <c r="L1663">
        <v>1.639593564081598</v>
      </c>
      <c r="M1663">
        <v>9.0299999999999994</v>
      </c>
      <c r="N1663">
        <v>4.8499999999999996</v>
      </c>
    </row>
    <row r="1664" spans="1:14" x14ac:dyDescent="0.25">
      <c r="A1664" s="1" t="s">
        <v>1676</v>
      </c>
      <c r="B1664" t="str">
        <f>HYPERLINK("https://www.suredividend.com/sure-analysis-research-database/","Universal Insurance Holdings Inc")</f>
        <v>Universal Insurance Holdings Inc</v>
      </c>
      <c r="C1664" t="s">
        <v>1800</v>
      </c>
      <c r="D1664">
        <v>16.149999999999999</v>
      </c>
      <c r="E1664">
        <v>3.9033222026401998E-2</v>
      </c>
      <c r="F1664">
        <v>0.23076923076923081</v>
      </c>
      <c r="G1664">
        <v>4.2402216277297899E-2</v>
      </c>
      <c r="H1664">
        <v>0.63038653572639203</v>
      </c>
      <c r="I1664">
        <v>471.35079899999999</v>
      </c>
      <c r="J1664">
        <v>6.5533652999652414</v>
      </c>
      <c r="K1664">
        <v>0.26598588005333001</v>
      </c>
      <c r="L1664">
        <v>0.72593540013231306</v>
      </c>
      <c r="M1664">
        <v>19.739999999999998</v>
      </c>
      <c r="N1664">
        <v>8.8699999999999992</v>
      </c>
    </row>
    <row r="1665" spans="1:14" x14ac:dyDescent="0.25">
      <c r="A1665" s="1" t="s">
        <v>1677</v>
      </c>
      <c r="B1665" t="str">
        <f>HYPERLINK("https://www.suredividend.com/sure-analysis-research-database/","Univest Financial Corp")</f>
        <v>Univest Financial Corp</v>
      </c>
      <c r="C1665" t="s">
        <v>1800</v>
      </c>
      <c r="D1665">
        <v>18.32</v>
      </c>
      <c r="E1665">
        <v>4.4519950938942003E-2</v>
      </c>
      <c r="F1665" t="s">
        <v>1797</v>
      </c>
      <c r="G1665" t="s">
        <v>1797</v>
      </c>
      <c r="H1665">
        <v>0.81560550120142605</v>
      </c>
      <c r="I1665">
        <v>540.58890499999995</v>
      </c>
      <c r="J1665">
        <v>6.8702044195917953</v>
      </c>
      <c r="K1665">
        <v>0.30547022516907352</v>
      </c>
      <c r="L1665">
        <v>0.98404767045290509</v>
      </c>
      <c r="M1665">
        <v>27.77</v>
      </c>
      <c r="N1665">
        <v>15.77</v>
      </c>
    </row>
    <row r="1666" spans="1:14" x14ac:dyDescent="0.25">
      <c r="A1666" s="1" t="s">
        <v>1678</v>
      </c>
      <c r="B1666" t="str">
        <f>HYPERLINK("https://www.suredividend.com/sure-analysis-UVV/","Universal Corp.")</f>
        <v>Universal Corp.</v>
      </c>
      <c r="C1666" t="s">
        <v>1804</v>
      </c>
      <c r="D1666">
        <v>50.61</v>
      </c>
      <c r="E1666">
        <v>6.3228610946453268E-2</v>
      </c>
      <c r="F1666">
        <v>1.265822784810133E-2</v>
      </c>
      <c r="G1666">
        <v>1.299136822423641E-2</v>
      </c>
      <c r="H1666">
        <v>3.10350393487363</v>
      </c>
      <c r="I1666">
        <v>1246.858326</v>
      </c>
      <c r="J1666">
        <v>10.268039676853521</v>
      </c>
      <c r="K1666">
        <v>0.63726980182210058</v>
      </c>
      <c r="L1666">
        <v>0.48572647349704912</v>
      </c>
      <c r="M1666">
        <v>54.29</v>
      </c>
      <c r="N1666">
        <v>44.4</v>
      </c>
    </row>
    <row r="1667" spans="1:14" x14ac:dyDescent="0.25">
      <c r="A1667" s="1" t="s">
        <v>1679</v>
      </c>
      <c r="B1667" t="str">
        <f>HYPERLINK("https://www.suredividend.com/sure-analysis-research-database/","Valaris Ltd")</f>
        <v>Valaris Ltd</v>
      </c>
      <c r="C1667" t="s">
        <v>1807</v>
      </c>
      <c r="D1667">
        <v>69.13</v>
      </c>
      <c r="E1667">
        <v>0</v>
      </c>
      <c r="F1667" t="s">
        <v>1797</v>
      </c>
      <c r="G1667" t="s">
        <v>1797</v>
      </c>
      <c r="H1667">
        <v>0</v>
      </c>
      <c r="I1667">
        <v>5114.7677649999996</v>
      </c>
      <c r="J1667">
        <v>42.340792759602643</v>
      </c>
      <c r="K1667">
        <v>0</v>
      </c>
      <c r="L1667">
        <v>1.1798523516993269</v>
      </c>
      <c r="M1667">
        <v>80</v>
      </c>
      <c r="N1667">
        <v>54.13</v>
      </c>
    </row>
    <row r="1668" spans="1:14" x14ac:dyDescent="0.25">
      <c r="A1668" s="1" t="s">
        <v>1680</v>
      </c>
      <c r="B1668" t="str">
        <f>HYPERLINK("https://www.suredividend.com/sure-analysis-research-database/","Value Line, Inc.")</f>
        <v>Value Line, Inc.</v>
      </c>
      <c r="C1668" t="s">
        <v>1800</v>
      </c>
      <c r="D1668">
        <v>41.3</v>
      </c>
      <c r="E1668">
        <v>2.5880269814991998E-2</v>
      </c>
      <c r="F1668">
        <v>0.12000000000000011</v>
      </c>
      <c r="G1668">
        <v>8.0639619600400225E-2</v>
      </c>
      <c r="H1668">
        <v>1.068855143359204</v>
      </c>
      <c r="I1668">
        <v>389.46379100000001</v>
      </c>
      <c r="J1668">
        <v>21.08629078505685</v>
      </c>
      <c r="K1668">
        <v>0.5453342568159204</v>
      </c>
      <c r="M1668">
        <v>66.94</v>
      </c>
      <c r="N1668">
        <v>31.57</v>
      </c>
    </row>
    <row r="1669" spans="1:14" x14ac:dyDescent="0.25">
      <c r="A1669" s="1" t="s">
        <v>1681</v>
      </c>
      <c r="B1669" t="str">
        <f>HYPERLINK("https://www.suredividend.com/sure-analysis-research-database/","VBI Vaccines Inc.")</f>
        <v>VBI Vaccines Inc.</v>
      </c>
      <c r="C1669" t="s">
        <v>1802</v>
      </c>
      <c r="D1669">
        <v>0.62070000000000003</v>
      </c>
      <c r="E1669">
        <v>0</v>
      </c>
      <c r="F1669" t="s">
        <v>1797</v>
      </c>
      <c r="G1669" t="s">
        <v>1797</v>
      </c>
      <c r="H1669">
        <v>0</v>
      </c>
      <c r="I1669">
        <v>14.196759</v>
      </c>
      <c r="J1669" t="s">
        <v>1797</v>
      </c>
      <c r="K1669">
        <v>0</v>
      </c>
      <c r="L1669">
        <v>1.840101837333989</v>
      </c>
      <c r="M1669">
        <v>21</v>
      </c>
      <c r="N1669">
        <v>0.45</v>
      </c>
    </row>
    <row r="1670" spans="1:14" x14ac:dyDescent="0.25">
      <c r="A1670" s="1" t="s">
        <v>1682</v>
      </c>
      <c r="B1670" t="str">
        <f>HYPERLINK("https://www.suredividend.com/sure-analysis-research-database/","Veritex Holdings Inc")</f>
        <v>Veritex Holdings Inc</v>
      </c>
      <c r="C1670" t="s">
        <v>1800</v>
      </c>
      <c r="D1670">
        <v>19.73</v>
      </c>
      <c r="E1670">
        <v>3.9636590098345997E-2</v>
      </c>
      <c r="F1670">
        <v>0</v>
      </c>
      <c r="G1670">
        <v>9.8560543306117854E-2</v>
      </c>
      <c r="H1670">
        <v>0.78202992264038007</v>
      </c>
      <c r="I1670">
        <v>1071.781504</v>
      </c>
      <c r="J1670">
        <v>7.40902055482203</v>
      </c>
      <c r="K1670">
        <v>0.29510563118504912</v>
      </c>
      <c r="L1670">
        <v>1.4685484141801219</v>
      </c>
      <c r="M1670">
        <v>31.78</v>
      </c>
      <c r="N1670">
        <v>14.61</v>
      </c>
    </row>
    <row r="1671" spans="1:14" x14ac:dyDescent="0.25">
      <c r="A1671" s="1" t="s">
        <v>1683</v>
      </c>
      <c r="B1671" t="str">
        <f>HYPERLINK("https://www.suredividend.com/sure-analysis-research-database/","Visteon Corp.")</f>
        <v>Visteon Corp.</v>
      </c>
      <c r="C1671" t="s">
        <v>1801</v>
      </c>
      <c r="D1671">
        <v>115.24</v>
      </c>
      <c r="E1671">
        <v>0</v>
      </c>
      <c r="F1671" t="s">
        <v>1797</v>
      </c>
      <c r="G1671" t="s">
        <v>1797</v>
      </c>
      <c r="H1671">
        <v>0</v>
      </c>
      <c r="I1671">
        <v>3204.9630339999999</v>
      </c>
      <c r="J1671">
        <v>20.811448270909089</v>
      </c>
      <c r="K1671">
        <v>0</v>
      </c>
      <c r="L1671">
        <v>1.1243174246463481</v>
      </c>
      <c r="M1671">
        <v>171.66</v>
      </c>
      <c r="N1671">
        <v>108.66</v>
      </c>
    </row>
    <row r="1672" spans="1:14" x14ac:dyDescent="0.25">
      <c r="A1672" s="1" t="s">
        <v>1684</v>
      </c>
      <c r="B1672" t="str">
        <f>HYPERLINK("https://www.suredividend.com/sure-analysis-research-database/","Vericel Corp")</f>
        <v>Vericel Corp</v>
      </c>
      <c r="C1672" t="s">
        <v>1802</v>
      </c>
      <c r="D1672">
        <v>36.86</v>
      </c>
      <c r="E1672">
        <v>0</v>
      </c>
      <c r="F1672" t="s">
        <v>1797</v>
      </c>
      <c r="G1672" t="s">
        <v>1797</v>
      </c>
      <c r="H1672">
        <v>0</v>
      </c>
      <c r="I1672">
        <v>1756.091271</v>
      </c>
      <c r="J1672" t="s">
        <v>1797</v>
      </c>
      <c r="K1672">
        <v>0</v>
      </c>
      <c r="L1672">
        <v>2.0553945768023651</v>
      </c>
      <c r="M1672">
        <v>39.9</v>
      </c>
      <c r="N1672">
        <v>17.3</v>
      </c>
    </row>
    <row r="1673" spans="1:14" x14ac:dyDescent="0.25">
      <c r="A1673" s="1" t="s">
        <v>1685</v>
      </c>
      <c r="B1673" t="str">
        <f>HYPERLINK("https://www.suredividend.com/sure-analysis-research-database/","Vacasa Inc")</f>
        <v>Vacasa Inc</v>
      </c>
      <c r="C1673" t="s">
        <v>1797</v>
      </c>
      <c r="D1673">
        <v>8.6999999999999993</v>
      </c>
      <c r="E1673">
        <v>0</v>
      </c>
      <c r="F1673" t="s">
        <v>1797</v>
      </c>
      <c r="G1673" t="s">
        <v>1797</v>
      </c>
      <c r="H1673">
        <v>0</v>
      </c>
      <c r="I1673">
        <v>2142.6867820000002</v>
      </c>
      <c r="J1673" t="s">
        <v>1797</v>
      </c>
      <c r="K1673">
        <v>0</v>
      </c>
      <c r="L1673">
        <v>1.26744668700425</v>
      </c>
      <c r="M1673">
        <v>81</v>
      </c>
      <c r="N1673">
        <v>6.86</v>
      </c>
    </row>
    <row r="1674" spans="1:14" x14ac:dyDescent="0.25">
      <c r="A1674" s="1" t="s">
        <v>1686</v>
      </c>
      <c r="B1674" t="str">
        <f>HYPERLINK("https://www.suredividend.com/sure-analysis-research-database/","Victory Capital Holdings Inc")</f>
        <v>Victory Capital Holdings Inc</v>
      </c>
      <c r="C1674" t="s">
        <v>1800</v>
      </c>
      <c r="D1674">
        <v>32.799999999999997</v>
      </c>
      <c r="E1674">
        <v>3.5974162199677001E-2</v>
      </c>
      <c r="F1674" t="s">
        <v>1797</v>
      </c>
      <c r="G1674" t="s">
        <v>1797</v>
      </c>
      <c r="H1674">
        <v>1.1799525201494361</v>
      </c>
      <c r="I1674">
        <v>2157.1745249999999</v>
      </c>
      <c r="J1674">
        <v>9.339347748044176</v>
      </c>
      <c r="K1674">
        <v>0.35864818241624202</v>
      </c>
      <c r="L1674">
        <v>1.063980631806597</v>
      </c>
      <c r="M1674">
        <v>34.46</v>
      </c>
      <c r="N1674">
        <v>24.9</v>
      </c>
    </row>
    <row r="1675" spans="1:14" x14ac:dyDescent="0.25">
      <c r="A1675" s="1" t="s">
        <v>1687</v>
      </c>
      <c r="B1675" t="str">
        <f>HYPERLINK("https://www.suredividend.com/sure-analysis-research-database/","Veracyte Inc")</f>
        <v>Veracyte Inc</v>
      </c>
      <c r="C1675" t="s">
        <v>1802</v>
      </c>
      <c r="D1675">
        <v>24.46</v>
      </c>
      <c r="E1675">
        <v>0</v>
      </c>
      <c r="F1675" t="s">
        <v>1797</v>
      </c>
      <c r="G1675" t="s">
        <v>1797</v>
      </c>
      <c r="H1675">
        <v>0</v>
      </c>
      <c r="I1675">
        <v>1779.478282</v>
      </c>
      <c r="J1675">
        <v>0</v>
      </c>
      <c r="K1675" t="s">
        <v>1797</v>
      </c>
      <c r="L1675">
        <v>2.4553312379158538</v>
      </c>
      <c r="M1675">
        <v>32.4</v>
      </c>
      <c r="N1675">
        <v>19.52</v>
      </c>
    </row>
    <row r="1676" spans="1:14" x14ac:dyDescent="0.25">
      <c r="A1676" s="1" t="s">
        <v>1688</v>
      </c>
      <c r="B1676" t="str">
        <f>HYPERLINK("https://www.suredividend.com/sure-analysis-research-database/","Veeco Instruments Inc")</f>
        <v>Veeco Instruments Inc</v>
      </c>
      <c r="C1676" t="s">
        <v>1803</v>
      </c>
      <c r="D1676">
        <v>25.32</v>
      </c>
      <c r="E1676">
        <v>0</v>
      </c>
      <c r="F1676" t="s">
        <v>1797</v>
      </c>
      <c r="G1676" t="s">
        <v>1797</v>
      </c>
      <c r="H1676">
        <v>0</v>
      </c>
      <c r="I1676">
        <v>1426.6686930000001</v>
      </c>
      <c r="J1676">
        <v>21.174102718988401</v>
      </c>
      <c r="K1676">
        <v>0</v>
      </c>
      <c r="L1676">
        <v>1.1718089980837481</v>
      </c>
      <c r="M1676">
        <v>31.09</v>
      </c>
      <c r="N1676">
        <v>17.53</v>
      </c>
    </row>
    <row r="1677" spans="1:14" x14ac:dyDescent="0.25">
      <c r="A1677" s="1" t="s">
        <v>1689</v>
      </c>
      <c r="B1677" t="str">
        <f>HYPERLINK("https://www.suredividend.com/sure-analysis-research-database/","Velocity Financial Inc")</f>
        <v>Velocity Financial Inc</v>
      </c>
      <c r="C1677" t="s">
        <v>1800</v>
      </c>
      <c r="D1677">
        <v>12.86</v>
      </c>
      <c r="E1677">
        <v>0</v>
      </c>
      <c r="F1677" t="s">
        <v>1797</v>
      </c>
      <c r="G1677" t="s">
        <v>1797</v>
      </c>
      <c r="H1677">
        <v>0</v>
      </c>
      <c r="I1677">
        <v>421.34645499999999</v>
      </c>
      <c r="J1677">
        <v>0</v>
      </c>
      <c r="K1677" t="s">
        <v>1797</v>
      </c>
      <c r="L1677">
        <v>1.0364182067330581</v>
      </c>
      <c r="M1677">
        <v>15.55</v>
      </c>
      <c r="N1677">
        <v>7.81</v>
      </c>
    </row>
    <row r="1678" spans="1:14" x14ac:dyDescent="0.25">
      <c r="A1678" s="1" t="s">
        <v>1690</v>
      </c>
      <c r="B1678" t="str">
        <f>HYPERLINK("https://www.suredividend.com/sure-analysis-research-database/","Vera Therapeutics Inc")</f>
        <v>Vera Therapeutics Inc</v>
      </c>
      <c r="C1678" t="s">
        <v>1797</v>
      </c>
      <c r="D1678">
        <v>10.52</v>
      </c>
      <c r="E1678">
        <v>0</v>
      </c>
      <c r="F1678" t="s">
        <v>1797</v>
      </c>
      <c r="G1678" t="s">
        <v>1797</v>
      </c>
      <c r="H1678">
        <v>0</v>
      </c>
      <c r="I1678">
        <v>466.229873</v>
      </c>
      <c r="J1678">
        <v>0</v>
      </c>
      <c r="K1678" t="s">
        <v>1797</v>
      </c>
      <c r="L1678">
        <v>0.63479263335431901</v>
      </c>
      <c r="M1678">
        <v>21.02</v>
      </c>
      <c r="N1678">
        <v>5.2</v>
      </c>
    </row>
    <row r="1679" spans="1:14" x14ac:dyDescent="0.25">
      <c r="A1679" s="1" t="s">
        <v>1691</v>
      </c>
      <c r="B1679" t="str">
        <f>HYPERLINK("https://www.suredividend.com/sure-analysis-research-database/","Veritone Inc")</f>
        <v>Veritone Inc</v>
      </c>
      <c r="C1679" t="s">
        <v>1803</v>
      </c>
      <c r="D1679">
        <v>2.6</v>
      </c>
      <c r="E1679">
        <v>0</v>
      </c>
      <c r="F1679" t="s">
        <v>1797</v>
      </c>
      <c r="G1679" t="s">
        <v>1797</v>
      </c>
      <c r="H1679">
        <v>0</v>
      </c>
      <c r="I1679">
        <v>96.195392999999996</v>
      </c>
      <c r="J1679" t="s">
        <v>1797</v>
      </c>
      <c r="K1679">
        <v>0</v>
      </c>
      <c r="L1679">
        <v>3.2178698720899459</v>
      </c>
      <c r="M1679">
        <v>10.99</v>
      </c>
      <c r="N1679">
        <v>2.17</v>
      </c>
    </row>
    <row r="1680" spans="1:14" x14ac:dyDescent="0.25">
      <c r="A1680" s="1" t="s">
        <v>1692</v>
      </c>
      <c r="B1680" t="str">
        <f>HYPERLINK("https://www.suredividend.com/sure-analysis-research-database/","Veru Inc")</f>
        <v>Veru Inc</v>
      </c>
      <c r="C1680" t="s">
        <v>1802</v>
      </c>
      <c r="D1680">
        <v>1</v>
      </c>
      <c r="E1680">
        <v>0</v>
      </c>
      <c r="F1680" t="s">
        <v>1797</v>
      </c>
      <c r="G1680" t="s">
        <v>1797</v>
      </c>
      <c r="H1680">
        <v>0</v>
      </c>
      <c r="I1680">
        <v>90.280439000000001</v>
      </c>
      <c r="J1680" t="s">
        <v>1797</v>
      </c>
      <c r="K1680">
        <v>0</v>
      </c>
      <c r="M1680">
        <v>15.9</v>
      </c>
      <c r="N1680">
        <v>0.66060000000000008</v>
      </c>
    </row>
    <row r="1681" spans="1:14" x14ac:dyDescent="0.25">
      <c r="A1681" s="1" t="s">
        <v>1693</v>
      </c>
      <c r="B1681" t="str">
        <f>HYPERLINK("https://www.suredividend.com/sure-analysis-research-database/","Verve Therapeutics Inc")</f>
        <v>Verve Therapeutics Inc</v>
      </c>
      <c r="C1681" t="s">
        <v>1797</v>
      </c>
      <c r="D1681">
        <v>15.58</v>
      </c>
      <c r="E1681">
        <v>0</v>
      </c>
      <c r="F1681" t="s">
        <v>1797</v>
      </c>
      <c r="G1681" t="s">
        <v>1797</v>
      </c>
      <c r="H1681">
        <v>0</v>
      </c>
      <c r="I1681">
        <v>992.77727800000002</v>
      </c>
      <c r="J1681" t="s">
        <v>1797</v>
      </c>
      <c r="K1681">
        <v>0</v>
      </c>
      <c r="L1681">
        <v>2.4228666757634638</v>
      </c>
      <c r="M1681">
        <v>27.93</v>
      </c>
      <c r="N1681">
        <v>8.52</v>
      </c>
    </row>
    <row r="1682" spans="1:14" x14ac:dyDescent="0.25">
      <c r="A1682" s="1" t="s">
        <v>1694</v>
      </c>
      <c r="B1682" t="str">
        <f>HYPERLINK("https://www.suredividend.com/sure-analysis-VGR/","Vector Group Ltd")</f>
        <v>Vector Group Ltd</v>
      </c>
      <c r="C1682" t="s">
        <v>1804</v>
      </c>
      <c r="D1682">
        <v>10.55</v>
      </c>
      <c r="E1682">
        <v>7.582938388625593E-2</v>
      </c>
      <c r="F1682">
        <v>0</v>
      </c>
      <c r="G1682">
        <v>-0.1294494367038759</v>
      </c>
      <c r="H1682">
        <v>0.77986894182916211</v>
      </c>
      <c r="I1682">
        <v>1645.093361</v>
      </c>
      <c r="J1682">
        <v>10.53614982259284</v>
      </c>
      <c r="K1682">
        <v>0.76457739395015889</v>
      </c>
      <c r="L1682">
        <v>0.7590136383173971</v>
      </c>
      <c r="M1682">
        <v>13.68</v>
      </c>
      <c r="N1682">
        <v>9.5399999999999991</v>
      </c>
    </row>
    <row r="1683" spans="1:14" x14ac:dyDescent="0.25">
      <c r="A1683" s="1" t="s">
        <v>1695</v>
      </c>
      <c r="B1683" t="str">
        <f>HYPERLINK("https://www.suredividend.com/sure-analysis-research-database/","Valhi, Inc.")</f>
        <v>Valhi, Inc.</v>
      </c>
      <c r="C1683" t="s">
        <v>1808</v>
      </c>
      <c r="D1683">
        <v>11.59</v>
      </c>
      <c r="E1683">
        <v>2.7373188848186E-2</v>
      </c>
      <c r="F1683">
        <v>0</v>
      </c>
      <c r="G1683">
        <v>0.3195079107728942</v>
      </c>
      <c r="H1683">
        <v>0.31725525875048199</v>
      </c>
      <c r="I1683">
        <v>327.86363399999999</v>
      </c>
      <c r="J1683">
        <v>48.215240274999999</v>
      </c>
      <c r="K1683">
        <v>1.3296532219215511</v>
      </c>
      <c r="L1683">
        <v>1.238969856162266</v>
      </c>
      <c r="M1683">
        <v>26.18</v>
      </c>
      <c r="N1683">
        <v>10.8</v>
      </c>
    </row>
    <row r="1684" spans="1:14" x14ac:dyDescent="0.25">
      <c r="A1684" s="1" t="s">
        <v>1696</v>
      </c>
      <c r="B1684" t="str">
        <f>HYPERLINK("https://www.suredividend.com/sure-analysis-research-database/","Via Renewables Inc")</f>
        <v>Via Renewables Inc</v>
      </c>
      <c r="C1684" t="s">
        <v>1797</v>
      </c>
      <c r="D1684">
        <v>7.27</v>
      </c>
      <c r="E1684">
        <v>0.24606617391614499</v>
      </c>
      <c r="F1684">
        <v>0</v>
      </c>
      <c r="G1684">
        <v>0</v>
      </c>
      <c r="H1684">
        <v>1.7889010843703801</v>
      </c>
      <c r="I1684">
        <v>23.490344</v>
      </c>
      <c r="J1684">
        <v>0</v>
      </c>
      <c r="K1684" t="s">
        <v>1797</v>
      </c>
      <c r="L1684">
        <v>1.266528135452563</v>
      </c>
      <c r="M1684">
        <v>36.11</v>
      </c>
      <c r="N1684">
        <v>5.22</v>
      </c>
    </row>
    <row r="1685" spans="1:14" x14ac:dyDescent="0.25">
      <c r="A1685" s="1" t="s">
        <v>1697</v>
      </c>
      <c r="B1685" t="str">
        <f>HYPERLINK("https://www.suredividend.com/sure-analysis-research-database/","Viavi Solutions Inc")</f>
        <v>Viavi Solutions Inc</v>
      </c>
      <c r="C1685" t="s">
        <v>1803</v>
      </c>
      <c r="D1685">
        <v>8.31</v>
      </c>
      <c r="E1685">
        <v>0</v>
      </c>
      <c r="F1685" t="s">
        <v>1797</v>
      </c>
      <c r="G1685" t="s">
        <v>1797</v>
      </c>
      <c r="H1685">
        <v>0</v>
      </c>
      <c r="I1685">
        <v>1840.665</v>
      </c>
      <c r="J1685">
        <v>72.182941176470592</v>
      </c>
      <c r="K1685">
        <v>0</v>
      </c>
      <c r="L1685">
        <v>1.142400405919842</v>
      </c>
      <c r="M1685">
        <v>12.19</v>
      </c>
      <c r="N1685">
        <v>7.26</v>
      </c>
    </row>
    <row r="1686" spans="1:14" x14ac:dyDescent="0.25">
      <c r="A1686" s="1" t="s">
        <v>1698</v>
      </c>
      <c r="B1686" t="str">
        <f>HYPERLINK("https://www.suredividend.com/sure-analysis-research-database/","Vicor Corp.")</f>
        <v>Vicor Corp.</v>
      </c>
      <c r="C1686" t="s">
        <v>1803</v>
      </c>
      <c r="D1686">
        <v>39.17</v>
      </c>
      <c r="E1686">
        <v>0</v>
      </c>
      <c r="F1686" t="s">
        <v>1797</v>
      </c>
      <c r="G1686" t="s">
        <v>1797</v>
      </c>
      <c r="H1686">
        <v>0</v>
      </c>
      <c r="I1686">
        <v>1273.5450989999999</v>
      </c>
      <c r="J1686">
        <v>33.33974971229614</v>
      </c>
      <c r="K1686">
        <v>0</v>
      </c>
      <c r="L1686">
        <v>2.0190603761425772</v>
      </c>
      <c r="M1686">
        <v>98.38</v>
      </c>
      <c r="N1686">
        <v>36.369999999999997</v>
      </c>
    </row>
    <row r="1687" spans="1:14" x14ac:dyDescent="0.25">
      <c r="A1687" s="1" t="s">
        <v>1699</v>
      </c>
      <c r="B1687" t="str">
        <f>HYPERLINK("https://www.suredividend.com/sure-analysis-research-database/","View Inc.")</f>
        <v>View Inc.</v>
      </c>
      <c r="C1687" t="s">
        <v>1797</v>
      </c>
      <c r="D1687">
        <v>3</v>
      </c>
      <c r="E1687">
        <v>0</v>
      </c>
      <c r="F1687" t="s">
        <v>1797</v>
      </c>
      <c r="G1687" t="s">
        <v>1797</v>
      </c>
      <c r="H1687">
        <v>0</v>
      </c>
      <c r="I1687">
        <v>12.125061000000001</v>
      </c>
      <c r="J1687">
        <v>0</v>
      </c>
      <c r="K1687" t="s">
        <v>1797</v>
      </c>
      <c r="L1687">
        <v>1.131963846313023</v>
      </c>
      <c r="M1687">
        <v>95.4</v>
      </c>
      <c r="N1687">
        <v>2.9</v>
      </c>
    </row>
    <row r="1688" spans="1:14" x14ac:dyDescent="0.25">
      <c r="A1688" s="1" t="s">
        <v>1700</v>
      </c>
      <c r="B1688" t="str">
        <f>HYPERLINK("https://www.suredividend.com/sure-analysis-research-database/","Vir Biotechnology Inc")</f>
        <v>Vir Biotechnology Inc</v>
      </c>
      <c r="C1688" t="s">
        <v>1802</v>
      </c>
      <c r="D1688">
        <v>8.76</v>
      </c>
      <c r="E1688">
        <v>0</v>
      </c>
      <c r="F1688" t="s">
        <v>1797</v>
      </c>
      <c r="G1688" t="s">
        <v>1797</v>
      </c>
      <c r="H1688">
        <v>0</v>
      </c>
      <c r="I1688">
        <v>1176.041563</v>
      </c>
      <c r="J1688" t="s">
        <v>1797</v>
      </c>
      <c r="K1688">
        <v>0</v>
      </c>
      <c r="L1688">
        <v>1.119778103650642</v>
      </c>
      <c r="M1688">
        <v>31.55</v>
      </c>
      <c r="N1688">
        <v>7.72</v>
      </c>
    </row>
    <row r="1689" spans="1:14" x14ac:dyDescent="0.25">
      <c r="A1689" s="1" t="s">
        <v>1701</v>
      </c>
      <c r="B1689" t="str">
        <f>HYPERLINK("https://www.suredividend.com/sure-analysis-research-database/","Vital Farms Inc")</f>
        <v>Vital Farms Inc</v>
      </c>
      <c r="C1689" t="s">
        <v>1797</v>
      </c>
      <c r="D1689">
        <v>11.65</v>
      </c>
      <c r="E1689">
        <v>0</v>
      </c>
      <c r="F1689" t="s">
        <v>1797</v>
      </c>
      <c r="G1689" t="s">
        <v>1797</v>
      </c>
      <c r="H1689">
        <v>0</v>
      </c>
      <c r="I1689">
        <v>480.41738800000002</v>
      </c>
      <c r="J1689">
        <v>23.758339726027401</v>
      </c>
      <c r="K1689">
        <v>0</v>
      </c>
      <c r="L1689">
        <v>0.30118709362194401</v>
      </c>
      <c r="M1689">
        <v>18.18</v>
      </c>
      <c r="N1689">
        <v>10</v>
      </c>
    </row>
    <row r="1690" spans="1:14" x14ac:dyDescent="0.25">
      <c r="A1690" s="1" t="s">
        <v>1702</v>
      </c>
      <c r="B1690" t="str">
        <f>HYPERLINK("https://www.suredividend.com/sure-analysis-research-database/","Velo3D Inc")</f>
        <v>Velo3D Inc</v>
      </c>
      <c r="C1690" t="s">
        <v>1797</v>
      </c>
      <c r="D1690">
        <v>1.35</v>
      </c>
      <c r="E1690">
        <v>0</v>
      </c>
      <c r="F1690" t="s">
        <v>1797</v>
      </c>
      <c r="G1690" t="s">
        <v>1797</v>
      </c>
      <c r="H1690">
        <v>0</v>
      </c>
      <c r="I1690">
        <v>265.62781200000001</v>
      </c>
      <c r="J1690" t="s">
        <v>1797</v>
      </c>
      <c r="K1690">
        <v>0</v>
      </c>
      <c r="L1690">
        <v>2.8876723341236259</v>
      </c>
      <c r="M1690">
        <v>3.95</v>
      </c>
      <c r="N1690">
        <v>1.1100000000000001</v>
      </c>
    </row>
    <row r="1691" spans="1:14" x14ac:dyDescent="0.25">
      <c r="A1691" s="1" t="s">
        <v>1703</v>
      </c>
      <c r="B1691" t="str">
        <f>HYPERLINK("https://www.suredividend.com/sure-analysis-research-database/","Village Super Market, Inc.")</f>
        <v>Village Super Market, Inc.</v>
      </c>
      <c r="C1691" t="s">
        <v>1804</v>
      </c>
      <c r="D1691">
        <v>24.48</v>
      </c>
      <c r="E1691">
        <v>3.9634131996298012E-2</v>
      </c>
      <c r="F1691">
        <v>0</v>
      </c>
      <c r="G1691">
        <v>0</v>
      </c>
      <c r="H1691">
        <v>0.97024355126938311</v>
      </c>
      <c r="I1691">
        <v>260.740005</v>
      </c>
      <c r="J1691">
        <v>0</v>
      </c>
      <c r="K1691" t="s">
        <v>1797</v>
      </c>
      <c r="L1691">
        <v>0.39268643170179401</v>
      </c>
      <c r="M1691">
        <v>24.7</v>
      </c>
      <c r="N1691">
        <v>19.239999999999998</v>
      </c>
    </row>
    <row r="1692" spans="1:14" x14ac:dyDescent="0.25">
      <c r="A1692" s="1" t="s">
        <v>1704</v>
      </c>
      <c r="B1692" t="str">
        <f>HYPERLINK("https://www.suredividend.com/sure-analysis-research-database/","Valley National Bancorp")</f>
        <v>Valley National Bancorp</v>
      </c>
      <c r="C1692" t="s">
        <v>1800</v>
      </c>
      <c r="D1692">
        <v>8.57</v>
      </c>
      <c r="E1692">
        <v>4.9647714840089001E-2</v>
      </c>
      <c r="F1692">
        <v>0</v>
      </c>
      <c r="G1692">
        <v>0</v>
      </c>
      <c r="H1692">
        <v>0.42548091617956402</v>
      </c>
      <c r="I1692">
        <v>4350.4296450000002</v>
      </c>
      <c r="J1692">
        <v>6.9427473722620752</v>
      </c>
      <c r="K1692">
        <v>0.34591944404842612</v>
      </c>
      <c r="L1692">
        <v>1.4513571893378849</v>
      </c>
      <c r="M1692">
        <v>12.18</v>
      </c>
      <c r="N1692">
        <v>6.07</v>
      </c>
    </row>
    <row r="1693" spans="1:14" x14ac:dyDescent="0.25">
      <c r="A1693" s="1" t="s">
        <v>1705</v>
      </c>
      <c r="B1693" t="str">
        <f>HYPERLINK("https://www.suredividend.com/sure-analysis-research-database/","Vimeo Inc")</f>
        <v>Vimeo Inc</v>
      </c>
      <c r="C1693" t="s">
        <v>1797</v>
      </c>
      <c r="D1693">
        <v>3.28</v>
      </c>
      <c r="E1693">
        <v>0</v>
      </c>
      <c r="F1693" t="s">
        <v>1797</v>
      </c>
      <c r="G1693" t="s">
        <v>1797</v>
      </c>
      <c r="H1693">
        <v>0</v>
      </c>
      <c r="I1693">
        <v>516.47994500000004</v>
      </c>
      <c r="J1693" t="s">
        <v>1797</v>
      </c>
      <c r="K1693">
        <v>0</v>
      </c>
      <c r="L1693">
        <v>1.6908747294077771</v>
      </c>
      <c r="M1693">
        <v>5.19</v>
      </c>
      <c r="N1693">
        <v>3.02</v>
      </c>
    </row>
    <row r="1694" spans="1:14" x14ac:dyDescent="0.25">
      <c r="A1694" s="1" t="s">
        <v>1706</v>
      </c>
      <c r="B1694" t="str">
        <f>HYPERLINK("https://www.suredividend.com/sure-analysis-research-database/","Vanda Pharmaceuticals Inc")</f>
        <v>Vanda Pharmaceuticals Inc</v>
      </c>
      <c r="C1694" t="s">
        <v>1802</v>
      </c>
      <c r="D1694">
        <v>4.5199999999999996</v>
      </c>
      <c r="E1694">
        <v>0</v>
      </c>
      <c r="F1694" t="s">
        <v>1797</v>
      </c>
      <c r="G1694" t="s">
        <v>1797</v>
      </c>
      <c r="H1694">
        <v>0</v>
      </c>
      <c r="I1694">
        <v>259.93915700000002</v>
      </c>
      <c r="J1694">
        <v>17.442069164597729</v>
      </c>
      <c r="K1694">
        <v>0</v>
      </c>
      <c r="L1694">
        <v>0.51086968955770606</v>
      </c>
      <c r="M1694">
        <v>11.04</v>
      </c>
      <c r="N1694">
        <v>4.1100000000000003</v>
      </c>
    </row>
    <row r="1695" spans="1:14" x14ac:dyDescent="0.25">
      <c r="A1695" s="1" t="s">
        <v>1707</v>
      </c>
      <c r="B1695" t="str">
        <f>HYPERLINK("https://www.suredividend.com/sure-analysis-research-database/","Vishay Precision Group Inc")</f>
        <v>Vishay Precision Group Inc</v>
      </c>
      <c r="C1695" t="s">
        <v>1803</v>
      </c>
      <c r="D1695">
        <v>31.63</v>
      </c>
      <c r="E1695">
        <v>0</v>
      </c>
      <c r="F1695" t="s">
        <v>1797</v>
      </c>
      <c r="G1695" t="s">
        <v>1797</v>
      </c>
      <c r="H1695">
        <v>0</v>
      </c>
      <c r="I1695">
        <v>397.94500099999999</v>
      </c>
      <c r="J1695">
        <v>0</v>
      </c>
      <c r="K1695" t="s">
        <v>1797</v>
      </c>
      <c r="L1695">
        <v>0.75519139462601703</v>
      </c>
      <c r="M1695">
        <v>45.69</v>
      </c>
      <c r="N1695">
        <v>29.6</v>
      </c>
    </row>
    <row r="1696" spans="1:14" x14ac:dyDescent="0.25">
      <c r="A1696" s="1" t="s">
        <v>1708</v>
      </c>
      <c r="B1696" t="str">
        <f>HYPERLINK("https://www.suredividend.com/sure-analysis-research-database/","ViewRay Inc.")</f>
        <v>ViewRay Inc.</v>
      </c>
      <c r="C1696" t="s">
        <v>1802</v>
      </c>
      <c r="D1696">
        <v>2.5000000000000001E-2</v>
      </c>
      <c r="E1696">
        <v>0</v>
      </c>
      <c r="F1696" t="s">
        <v>1797</v>
      </c>
      <c r="G1696" t="s">
        <v>1797</v>
      </c>
      <c r="H1696">
        <v>0</v>
      </c>
      <c r="I1696">
        <v>0</v>
      </c>
      <c r="J1696">
        <v>0</v>
      </c>
      <c r="K1696" t="s">
        <v>1797</v>
      </c>
    </row>
    <row r="1697" spans="1:14" x14ac:dyDescent="0.25">
      <c r="A1697" s="1" t="s">
        <v>1709</v>
      </c>
      <c r="B1697" t="str">
        <f>HYPERLINK("https://www.suredividend.com/sure-analysis-research-database/","Viridian Therapeutics Inc")</f>
        <v>Viridian Therapeutics Inc</v>
      </c>
      <c r="C1697" t="s">
        <v>1797</v>
      </c>
      <c r="D1697">
        <v>15.19</v>
      </c>
      <c r="E1697">
        <v>0</v>
      </c>
      <c r="F1697" t="s">
        <v>1797</v>
      </c>
      <c r="G1697" t="s">
        <v>1797</v>
      </c>
      <c r="H1697">
        <v>0</v>
      </c>
      <c r="I1697">
        <v>663.34968500000002</v>
      </c>
      <c r="J1697" t="s">
        <v>1797</v>
      </c>
      <c r="K1697">
        <v>0</v>
      </c>
      <c r="L1697">
        <v>0.85716869305631205</v>
      </c>
      <c r="M1697">
        <v>39</v>
      </c>
      <c r="N1697">
        <v>10.93</v>
      </c>
    </row>
    <row r="1698" spans="1:14" x14ac:dyDescent="0.25">
      <c r="A1698" s="1" t="s">
        <v>1710</v>
      </c>
      <c r="B1698" t="str">
        <f>HYPERLINK("https://www.suredividend.com/sure-analysis-research-database/","Veris Residential Inc")</f>
        <v>Veris Residential Inc</v>
      </c>
      <c r="C1698" t="s">
        <v>1797</v>
      </c>
      <c r="D1698">
        <v>14.66</v>
      </c>
      <c r="E1698">
        <v>0</v>
      </c>
      <c r="F1698" t="s">
        <v>1797</v>
      </c>
      <c r="G1698" t="s">
        <v>1797</v>
      </c>
      <c r="H1698">
        <v>0</v>
      </c>
      <c r="I1698">
        <v>1351.9675709999999</v>
      </c>
      <c r="J1698" t="s">
        <v>1797</v>
      </c>
      <c r="K1698">
        <v>0</v>
      </c>
      <c r="L1698">
        <v>0.8187264001785981</v>
      </c>
      <c r="M1698">
        <v>18.920000000000002</v>
      </c>
      <c r="N1698">
        <v>13.07</v>
      </c>
    </row>
    <row r="1699" spans="1:14" x14ac:dyDescent="0.25">
      <c r="A1699" s="1" t="s">
        <v>1711</v>
      </c>
      <c r="B1699" t="str">
        <f>HYPERLINK("https://www.suredividend.com/sure-analysis-research-database/","Varex Imaging Corp")</f>
        <v>Varex Imaging Corp</v>
      </c>
      <c r="C1699" t="s">
        <v>1802</v>
      </c>
      <c r="D1699">
        <v>18.79</v>
      </c>
      <c r="E1699">
        <v>0</v>
      </c>
      <c r="F1699" t="s">
        <v>1797</v>
      </c>
      <c r="G1699" t="s">
        <v>1797</v>
      </c>
      <c r="H1699">
        <v>0</v>
      </c>
      <c r="I1699">
        <v>759.11599999999999</v>
      </c>
      <c r="J1699">
        <v>25.82027210884354</v>
      </c>
      <c r="K1699">
        <v>0</v>
      </c>
      <c r="L1699">
        <v>0.63297492597573701</v>
      </c>
      <c r="M1699">
        <v>23.9</v>
      </c>
      <c r="N1699">
        <v>17.05</v>
      </c>
    </row>
    <row r="1700" spans="1:14" x14ac:dyDescent="0.25">
      <c r="A1700" s="1" t="s">
        <v>1712</v>
      </c>
      <c r="B1700" t="str">
        <f>HYPERLINK("https://www.suredividend.com/sure-analysis-research-database/","Varonis Systems Inc")</f>
        <v>Varonis Systems Inc</v>
      </c>
      <c r="C1700" t="s">
        <v>1803</v>
      </c>
      <c r="D1700">
        <v>34.39</v>
      </c>
      <c r="E1700">
        <v>0</v>
      </c>
      <c r="F1700" t="s">
        <v>1797</v>
      </c>
      <c r="G1700" t="s">
        <v>1797</v>
      </c>
      <c r="H1700">
        <v>0</v>
      </c>
      <c r="I1700">
        <v>3746.895665</v>
      </c>
      <c r="J1700" t="s">
        <v>1797</v>
      </c>
      <c r="K1700">
        <v>0</v>
      </c>
      <c r="L1700">
        <v>1.580646719059712</v>
      </c>
      <c r="M1700">
        <v>34.64</v>
      </c>
      <c r="N1700">
        <v>15.61</v>
      </c>
    </row>
    <row r="1701" spans="1:14" x14ac:dyDescent="0.25">
      <c r="A1701" s="1" t="s">
        <v>1713</v>
      </c>
      <c r="B1701" t="str">
        <f>HYPERLINK("https://www.suredividend.com/sure-analysis-research-database/","Verint Systems, Inc.")</f>
        <v>Verint Systems, Inc.</v>
      </c>
      <c r="C1701" t="s">
        <v>1803</v>
      </c>
      <c r="D1701">
        <v>21.08</v>
      </c>
      <c r="E1701">
        <v>0</v>
      </c>
      <c r="F1701" t="s">
        <v>1797</v>
      </c>
      <c r="G1701" t="s">
        <v>1797</v>
      </c>
      <c r="H1701">
        <v>0</v>
      </c>
      <c r="I1701">
        <v>1354.835378</v>
      </c>
      <c r="J1701" t="s">
        <v>1797</v>
      </c>
      <c r="K1701">
        <v>0</v>
      </c>
      <c r="L1701">
        <v>1.438111926707889</v>
      </c>
      <c r="M1701">
        <v>40.71</v>
      </c>
      <c r="N1701">
        <v>18.41</v>
      </c>
    </row>
    <row r="1702" spans="1:14" x14ac:dyDescent="0.25">
      <c r="A1702" s="1" t="s">
        <v>1714</v>
      </c>
      <c r="B1702" t="str">
        <f>HYPERLINK("https://www.suredividend.com/sure-analysis-research-database/","Verra Mobility Corp")</f>
        <v>Verra Mobility Corp</v>
      </c>
      <c r="C1702" t="s">
        <v>1798</v>
      </c>
      <c r="D1702">
        <v>19.97</v>
      </c>
      <c r="E1702">
        <v>0</v>
      </c>
      <c r="F1702" t="s">
        <v>1797</v>
      </c>
      <c r="G1702" t="s">
        <v>1797</v>
      </c>
      <c r="H1702">
        <v>0</v>
      </c>
      <c r="I1702">
        <v>3388.9090000000001</v>
      </c>
      <c r="J1702">
        <v>44.311628028609157</v>
      </c>
      <c r="K1702">
        <v>0</v>
      </c>
      <c r="L1702">
        <v>0.78127380321657203</v>
      </c>
      <c r="M1702">
        <v>21.54</v>
      </c>
      <c r="N1702">
        <v>12.76</v>
      </c>
    </row>
    <row r="1703" spans="1:14" x14ac:dyDescent="0.25">
      <c r="A1703" s="1" t="s">
        <v>1715</v>
      </c>
      <c r="B1703" t="str">
        <f>HYPERLINK("https://www.suredividend.com/sure-analysis-research-database/","Virtus Investment Partners Inc")</f>
        <v>Virtus Investment Partners Inc</v>
      </c>
      <c r="C1703" t="s">
        <v>1800</v>
      </c>
      <c r="D1703">
        <v>201.03</v>
      </c>
      <c r="E1703">
        <v>3.3218808708137003E-2</v>
      </c>
      <c r="F1703">
        <v>0.1515151515151516</v>
      </c>
      <c r="G1703">
        <v>0.2813807114396103</v>
      </c>
      <c r="H1703">
        <v>6.6779771145969553</v>
      </c>
      <c r="I1703">
        <v>1458.548237</v>
      </c>
      <c r="J1703">
        <v>10.72769571627158</v>
      </c>
      <c r="K1703">
        <v>0.36431953707566589</v>
      </c>
      <c r="L1703">
        <v>1.5344173558809351</v>
      </c>
      <c r="M1703">
        <v>236.88</v>
      </c>
      <c r="N1703">
        <v>156.86000000000001</v>
      </c>
    </row>
    <row r="1704" spans="1:14" x14ac:dyDescent="0.25">
      <c r="A1704" s="1" t="s">
        <v>1716</v>
      </c>
      <c r="B1704" t="str">
        <f>HYPERLINK("https://www.suredividend.com/sure-analysis-research-database/","Veritiv Corp")</f>
        <v>Veritiv Corp</v>
      </c>
      <c r="C1704" t="s">
        <v>1798</v>
      </c>
      <c r="D1704">
        <v>169.69</v>
      </c>
      <c r="E1704">
        <v>1.4746935534826E-2</v>
      </c>
      <c r="F1704" t="s">
        <v>1797</v>
      </c>
      <c r="G1704" t="s">
        <v>1797</v>
      </c>
      <c r="H1704">
        <v>2.5024074909046359</v>
      </c>
      <c r="I1704">
        <v>2299.482935</v>
      </c>
      <c r="J1704">
        <v>7.473132710074748</v>
      </c>
      <c r="K1704">
        <v>0.11241722780344281</v>
      </c>
      <c r="L1704">
        <v>0.90435822736047411</v>
      </c>
      <c r="M1704">
        <v>169.84</v>
      </c>
      <c r="N1704">
        <v>101.12</v>
      </c>
    </row>
    <row r="1705" spans="1:14" x14ac:dyDescent="0.25">
      <c r="A1705" s="1" t="s">
        <v>1717</v>
      </c>
      <c r="B1705" t="str">
        <f>HYPERLINK("https://www.suredividend.com/sure-analysis-research-database/","VSE Corp.")</f>
        <v>VSE Corp.</v>
      </c>
      <c r="C1705" t="s">
        <v>1798</v>
      </c>
      <c r="D1705">
        <v>58.33</v>
      </c>
      <c r="E1705">
        <v>6.8211348437630008E-3</v>
      </c>
      <c r="F1705">
        <v>0</v>
      </c>
      <c r="G1705">
        <v>4.5639552591273169E-2</v>
      </c>
      <c r="H1705">
        <v>0.397876795436713</v>
      </c>
      <c r="I1705">
        <v>918.33550400000001</v>
      </c>
      <c r="J1705">
        <v>28.363823208450441</v>
      </c>
      <c r="K1705">
        <v>0.1650941059903373</v>
      </c>
      <c r="L1705">
        <v>1.1279563180944889</v>
      </c>
      <c r="M1705">
        <v>59.93</v>
      </c>
      <c r="N1705">
        <v>39.49</v>
      </c>
    </row>
    <row r="1706" spans="1:14" x14ac:dyDescent="0.25">
      <c r="A1706" s="1" t="s">
        <v>1718</v>
      </c>
      <c r="B1706" t="str">
        <f>HYPERLINK("https://www.suredividend.com/sure-analysis-research-database/","Vishay Intertechnology, Inc.")</f>
        <v>Vishay Intertechnology, Inc.</v>
      </c>
      <c r="C1706" t="s">
        <v>1803</v>
      </c>
      <c r="D1706">
        <v>23.62</v>
      </c>
      <c r="E1706">
        <v>1.6836532812274999E-2</v>
      </c>
      <c r="F1706">
        <v>0</v>
      </c>
      <c r="G1706">
        <v>3.3037804113932312E-2</v>
      </c>
      <c r="H1706">
        <v>0.39767890502594899</v>
      </c>
      <c r="I1706">
        <v>2998.4773930000001</v>
      </c>
      <c r="J1706">
        <v>7.144879745179523</v>
      </c>
      <c r="K1706">
        <v>0.13435098142768551</v>
      </c>
      <c r="L1706">
        <v>1.1509659234321621</v>
      </c>
      <c r="M1706">
        <v>29.98</v>
      </c>
      <c r="N1706">
        <v>20.260000000000002</v>
      </c>
    </row>
    <row r="1707" spans="1:14" x14ac:dyDescent="0.25">
      <c r="A1707" s="1" t="s">
        <v>1719</v>
      </c>
      <c r="B1707" t="str">
        <f>HYPERLINK("https://www.suredividend.com/sure-analysis-research-database/","Vista Outdoor Inc")</f>
        <v>Vista Outdoor Inc</v>
      </c>
      <c r="C1707" t="s">
        <v>1801</v>
      </c>
      <c r="D1707">
        <v>26.78</v>
      </c>
      <c r="E1707">
        <v>0</v>
      </c>
      <c r="F1707" t="s">
        <v>1797</v>
      </c>
      <c r="G1707" t="s">
        <v>1797</v>
      </c>
      <c r="H1707">
        <v>0</v>
      </c>
      <c r="I1707">
        <v>1553.3653839999999</v>
      </c>
      <c r="J1707" t="s">
        <v>1797</v>
      </c>
      <c r="K1707">
        <v>0</v>
      </c>
      <c r="L1707">
        <v>0.82958724341250911</v>
      </c>
      <c r="M1707">
        <v>33.78</v>
      </c>
      <c r="N1707">
        <v>22.97</v>
      </c>
    </row>
    <row r="1708" spans="1:14" x14ac:dyDescent="0.25">
      <c r="A1708" s="1" t="s">
        <v>1720</v>
      </c>
      <c r="B1708" t="str">
        <f>HYPERLINK("https://www.suredividend.com/sure-analysis-research-database/","VistaGen Therapeutics Inc")</f>
        <v>VistaGen Therapeutics Inc</v>
      </c>
      <c r="C1708" t="s">
        <v>1802</v>
      </c>
      <c r="D1708">
        <v>3.35</v>
      </c>
      <c r="E1708">
        <v>0</v>
      </c>
      <c r="F1708" t="s">
        <v>1797</v>
      </c>
      <c r="G1708" t="s">
        <v>1797</v>
      </c>
      <c r="H1708">
        <v>0</v>
      </c>
      <c r="I1708">
        <v>31.364187000000001</v>
      </c>
      <c r="J1708">
        <v>0</v>
      </c>
      <c r="K1708" t="s">
        <v>1797</v>
      </c>
      <c r="L1708">
        <v>4.4520040194290607</v>
      </c>
      <c r="M1708">
        <v>24.71</v>
      </c>
      <c r="N1708">
        <v>1.62</v>
      </c>
    </row>
    <row r="1709" spans="1:14" x14ac:dyDescent="0.25">
      <c r="A1709" s="1" t="s">
        <v>1721</v>
      </c>
      <c r="B1709" t="str">
        <f>HYPERLINK("https://www.suredividend.com/sure-analysis-research-database/","Vital Energy Inc.")</f>
        <v>Vital Energy Inc.</v>
      </c>
      <c r="C1709" t="s">
        <v>1797</v>
      </c>
      <c r="D1709">
        <v>52.25</v>
      </c>
      <c r="E1709">
        <v>0</v>
      </c>
      <c r="F1709" t="s">
        <v>1797</v>
      </c>
      <c r="G1709" t="s">
        <v>1797</v>
      </c>
      <c r="H1709">
        <v>0</v>
      </c>
      <c r="I1709">
        <v>1185.501086</v>
      </c>
      <c r="J1709">
        <v>1.3713173263558729</v>
      </c>
      <c r="K1709">
        <v>0</v>
      </c>
      <c r="L1709">
        <v>1.5997315278038311</v>
      </c>
      <c r="M1709">
        <v>71.430000000000007</v>
      </c>
      <c r="N1709">
        <v>39.74</v>
      </c>
    </row>
    <row r="1710" spans="1:14" x14ac:dyDescent="0.25">
      <c r="A1710" s="1" t="s">
        <v>1722</v>
      </c>
      <c r="B1710" t="str">
        <f>HYPERLINK("https://www.suredividend.com/sure-analysis-research-database/","Vertex Energy Inc")</f>
        <v>Vertex Energy Inc</v>
      </c>
      <c r="C1710" t="s">
        <v>1807</v>
      </c>
      <c r="D1710">
        <v>4.53</v>
      </c>
      <c r="E1710">
        <v>0</v>
      </c>
      <c r="F1710" t="s">
        <v>1797</v>
      </c>
      <c r="G1710" t="s">
        <v>1797</v>
      </c>
      <c r="H1710">
        <v>0</v>
      </c>
      <c r="I1710">
        <v>422.607283</v>
      </c>
      <c r="J1710">
        <v>0</v>
      </c>
      <c r="K1710" t="s">
        <v>1797</v>
      </c>
      <c r="L1710">
        <v>1.9571094449311259</v>
      </c>
      <c r="M1710">
        <v>11.2</v>
      </c>
      <c r="N1710">
        <v>3.85</v>
      </c>
    </row>
    <row r="1711" spans="1:14" x14ac:dyDescent="0.25">
      <c r="A1711" s="1" t="s">
        <v>1723</v>
      </c>
      <c r="B1711" t="str">
        <f>HYPERLINK("https://www.suredividend.com/sure-analysis-research-database/","Bristow Group Inc.")</f>
        <v>Bristow Group Inc.</v>
      </c>
      <c r="C1711" t="s">
        <v>1797</v>
      </c>
      <c r="D1711">
        <v>29.49</v>
      </c>
      <c r="E1711">
        <v>0</v>
      </c>
      <c r="F1711" t="s">
        <v>1797</v>
      </c>
      <c r="G1711" t="s">
        <v>1797</v>
      </c>
      <c r="H1711">
        <v>0</v>
      </c>
      <c r="I1711">
        <v>830.91315999999995</v>
      </c>
      <c r="J1711">
        <v>51.494370321641043</v>
      </c>
      <c r="K1711">
        <v>0</v>
      </c>
      <c r="L1711">
        <v>1.4358184518904189</v>
      </c>
      <c r="M1711">
        <v>31.89</v>
      </c>
      <c r="N1711">
        <v>20.079999999999998</v>
      </c>
    </row>
    <row r="1712" spans="1:14" x14ac:dyDescent="0.25">
      <c r="A1712" s="1" t="s">
        <v>1724</v>
      </c>
      <c r="B1712" t="str">
        <f>HYPERLINK("https://www.suredividend.com/sure-analysis-research-database/","Ventyx Biosciences Inc")</f>
        <v>Ventyx Biosciences Inc</v>
      </c>
      <c r="C1712" t="s">
        <v>1797</v>
      </c>
      <c r="D1712">
        <v>15.58</v>
      </c>
      <c r="E1712">
        <v>0</v>
      </c>
      <c r="F1712" t="s">
        <v>1797</v>
      </c>
      <c r="G1712" t="s">
        <v>1797</v>
      </c>
      <c r="H1712">
        <v>0</v>
      </c>
      <c r="I1712">
        <v>914.70180000000005</v>
      </c>
      <c r="J1712">
        <v>0</v>
      </c>
      <c r="K1712" t="s">
        <v>1797</v>
      </c>
      <c r="L1712">
        <v>1.230276750181784</v>
      </c>
      <c r="M1712">
        <v>47.25</v>
      </c>
      <c r="N1712">
        <v>14.03</v>
      </c>
    </row>
    <row r="1713" spans="1:14" x14ac:dyDescent="0.25">
      <c r="A1713" s="1" t="s">
        <v>1725</v>
      </c>
      <c r="B1713" t="str">
        <f>HYPERLINK("https://www.suredividend.com/sure-analysis-research-database/","Vuzix Corporation")</f>
        <v>Vuzix Corporation</v>
      </c>
      <c r="C1713" t="s">
        <v>1803</v>
      </c>
      <c r="D1713">
        <v>3.53</v>
      </c>
      <c r="E1713">
        <v>0</v>
      </c>
      <c r="F1713" t="s">
        <v>1797</v>
      </c>
      <c r="G1713" t="s">
        <v>1797</v>
      </c>
      <c r="H1713">
        <v>0</v>
      </c>
      <c r="I1713">
        <v>223.51683600000001</v>
      </c>
      <c r="J1713">
        <v>0</v>
      </c>
      <c r="K1713" t="s">
        <v>1797</v>
      </c>
      <c r="L1713">
        <v>2.351505472578777</v>
      </c>
      <c r="M1713">
        <v>6.06</v>
      </c>
      <c r="N1713">
        <v>3.01</v>
      </c>
    </row>
    <row r="1714" spans="1:14" x14ac:dyDescent="0.25">
      <c r="A1714" s="1" t="s">
        <v>1726</v>
      </c>
      <c r="B1714" t="str">
        <f>HYPERLINK("https://www.suredividend.com/sure-analysis-research-database/","Viad Corp.")</f>
        <v>Viad Corp.</v>
      </c>
      <c r="C1714" t="s">
        <v>1798</v>
      </c>
      <c r="D1714">
        <v>27.92</v>
      </c>
      <c r="E1714">
        <v>0</v>
      </c>
      <c r="F1714" t="s">
        <v>1797</v>
      </c>
      <c r="G1714" t="s">
        <v>1797</v>
      </c>
      <c r="H1714">
        <v>0</v>
      </c>
      <c r="I1714">
        <v>582.94193099999995</v>
      </c>
      <c r="J1714">
        <v>44.229281584218519</v>
      </c>
      <c r="K1714">
        <v>0</v>
      </c>
      <c r="L1714">
        <v>1.1613088192390979</v>
      </c>
      <c r="M1714">
        <v>32.07</v>
      </c>
      <c r="N1714">
        <v>17.100000000000001</v>
      </c>
    </row>
    <row r="1715" spans="1:14" x14ac:dyDescent="0.25">
      <c r="A1715" s="1" t="s">
        <v>1727</v>
      </c>
      <c r="B1715" t="str">
        <f>HYPERLINK("https://www.suredividend.com/sure-analysis-research-database/","V2X Inc")</f>
        <v>V2X Inc</v>
      </c>
      <c r="C1715" t="s">
        <v>1797</v>
      </c>
      <c r="D1715">
        <v>51.44</v>
      </c>
      <c r="E1715">
        <v>0</v>
      </c>
      <c r="F1715" t="s">
        <v>1797</v>
      </c>
      <c r="G1715" t="s">
        <v>1797</v>
      </c>
      <c r="H1715">
        <v>0</v>
      </c>
      <c r="I1715">
        <v>1604.1781080000001</v>
      </c>
      <c r="J1715" t="s">
        <v>1797</v>
      </c>
      <c r="K1715">
        <v>0</v>
      </c>
      <c r="L1715">
        <v>0.38877359825514102</v>
      </c>
      <c r="M1715">
        <v>56.75</v>
      </c>
      <c r="N1715">
        <v>36.450000000000003</v>
      </c>
    </row>
    <row r="1716" spans="1:14" x14ac:dyDescent="0.25">
      <c r="A1716" s="1" t="s">
        <v>1728</v>
      </c>
      <c r="B1716" t="str">
        <f>HYPERLINK("https://www.suredividend.com/sure-analysis-research-database/","Vintage Wine Estates Inc")</f>
        <v>Vintage Wine Estates Inc</v>
      </c>
      <c r="C1716" t="s">
        <v>1797</v>
      </c>
      <c r="D1716">
        <v>0.625</v>
      </c>
      <c r="E1716">
        <v>0</v>
      </c>
      <c r="F1716" t="s">
        <v>1797</v>
      </c>
      <c r="G1716" t="s">
        <v>1797</v>
      </c>
      <c r="H1716">
        <v>0</v>
      </c>
      <c r="I1716">
        <v>37.228619000000002</v>
      </c>
      <c r="J1716">
        <v>0</v>
      </c>
      <c r="K1716" t="s">
        <v>1797</v>
      </c>
      <c r="L1716">
        <v>1.928329845637361</v>
      </c>
      <c r="M1716">
        <v>3.99</v>
      </c>
      <c r="N1716">
        <v>0.4718</v>
      </c>
    </row>
    <row r="1717" spans="1:14" x14ac:dyDescent="0.25">
      <c r="A1717" s="1" t="s">
        <v>1729</v>
      </c>
      <c r="B1717" t="str">
        <f>HYPERLINK("https://www.suredividend.com/sure-analysis-research-database/","Vaxart Inc")</f>
        <v>Vaxart Inc</v>
      </c>
      <c r="C1717" t="s">
        <v>1802</v>
      </c>
      <c r="D1717">
        <v>0.70000000000000007</v>
      </c>
      <c r="E1717">
        <v>0</v>
      </c>
      <c r="F1717" t="s">
        <v>1797</v>
      </c>
      <c r="G1717" t="s">
        <v>1797</v>
      </c>
      <c r="H1717">
        <v>0</v>
      </c>
      <c r="I1717">
        <v>106.377818</v>
      </c>
      <c r="J1717" t="s">
        <v>1797</v>
      </c>
      <c r="K1717">
        <v>0</v>
      </c>
      <c r="L1717">
        <v>2.4200292660468841</v>
      </c>
      <c r="M1717">
        <v>1.73</v>
      </c>
      <c r="N1717">
        <v>0.56000000000000005</v>
      </c>
    </row>
    <row r="1718" spans="1:14" x14ac:dyDescent="0.25">
      <c r="A1718" s="1" t="s">
        <v>1730</v>
      </c>
      <c r="B1718" t="str">
        <f>HYPERLINK("https://www.suredividend.com/sure-analysis-research-database/","VIZIO Holding Corp")</f>
        <v>VIZIO Holding Corp</v>
      </c>
      <c r="C1718" t="s">
        <v>1797</v>
      </c>
      <c r="D1718">
        <v>5.58</v>
      </c>
      <c r="E1718">
        <v>0</v>
      </c>
      <c r="F1718" t="s">
        <v>1797</v>
      </c>
      <c r="G1718" t="s">
        <v>1797</v>
      </c>
      <c r="H1718">
        <v>0</v>
      </c>
      <c r="I1718">
        <v>1079.209509</v>
      </c>
      <c r="J1718">
        <v>70.573202715789478</v>
      </c>
      <c r="K1718">
        <v>0</v>
      </c>
      <c r="L1718">
        <v>1.8679936657791121</v>
      </c>
      <c r="M1718">
        <v>11.6</v>
      </c>
      <c r="N1718">
        <v>4.82</v>
      </c>
    </row>
    <row r="1719" spans="1:14" x14ac:dyDescent="0.25">
      <c r="A1719" s="1" t="s">
        <v>1731</v>
      </c>
      <c r="B1719" t="str">
        <f>HYPERLINK("https://www.suredividend.com/sure-analysis-WABC/","Westamerica Bancorporation")</f>
        <v>Westamerica Bancorporation</v>
      </c>
      <c r="C1719" t="s">
        <v>1800</v>
      </c>
      <c r="D1719">
        <v>49.36</v>
      </c>
      <c r="E1719">
        <v>3.5656401944894653E-2</v>
      </c>
      <c r="F1719">
        <v>4.7619047619047672E-2</v>
      </c>
      <c r="G1719">
        <v>1.9244876491456561E-2</v>
      </c>
      <c r="H1719">
        <v>1.672928701087167</v>
      </c>
      <c r="I1719">
        <v>1315.373218</v>
      </c>
      <c r="J1719">
        <v>8.4970783367247407</v>
      </c>
      <c r="K1719">
        <v>0.28993565010176209</v>
      </c>
      <c r="L1719">
        <v>0.8397139014251751</v>
      </c>
      <c r="M1719">
        <v>59.76</v>
      </c>
      <c r="N1719">
        <v>33.49</v>
      </c>
    </row>
    <row r="1720" spans="1:14" x14ac:dyDescent="0.25">
      <c r="A1720" s="1" t="s">
        <v>1732</v>
      </c>
      <c r="B1720" t="str">
        <f>HYPERLINK("https://www.suredividend.com/sure-analysis-WAFD/","WaFd Inc")</f>
        <v>WaFd Inc</v>
      </c>
      <c r="C1720" t="s">
        <v>1800</v>
      </c>
      <c r="D1720">
        <v>26.93</v>
      </c>
      <c r="E1720">
        <v>3.7133308577794281E-2</v>
      </c>
      <c r="F1720">
        <v>4.1666666666666741E-2</v>
      </c>
      <c r="G1720">
        <v>6.790716584560208E-2</v>
      </c>
      <c r="H1720">
        <v>0.97033347528051406</v>
      </c>
      <c r="I1720">
        <v>1743.166189</v>
      </c>
      <c r="J1720">
        <v>6.5535519987367854</v>
      </c>
      <c r="K1720">
        <v>0.23841117328759559</v>
      </c>
      <c r="L1720">
        <v>1.237141315761374</v>
      </c>
      <c r="M1720">
        <v>37.57</v>
      </c>
      <c r="N1720">
        <v>23.25</v>
      </c>
    </row>
    <row r="1721" spans="1:14" x14ac:dyDescent="0.25">
      <c r="A1721" s="1" t="s">
        <v>1733</v>
      </c>
      <c r="B1721" t="str">
        <f>HYPERLINK("https://www.suredividend.com/sure-analysis-WASH/","Washington Trust Bancorp, Inc.")</f>
        <v>Washington Trust Bancorp, Inc.</v>
      </c>
      <c r="C1721" t="s">
        <v>1800</v>
      </c>
      <c r="D1721">
        <v>25.8</v>
      </c>
      <c r="E1721">
        <v>8.6821705426356602E-2</v>
      </c>
      <c r="F1721">
        <v>3.7037037037036979E-2</v>
      </c>
      <c r="G1721">
        <v>3.5661981385701091E-2</v>
      </c>
      <c r="H1721">
        <v>2.62855298564478</v>
      </c>
      <c r="I1721">
        <v>439.09636599999999</v>
      </c>
      <c r="J1721">
        <v>7.420928953861754</v>
      </c>
      <c r="K1721">
        <v>0.76411424001301742</v>
      </c>
      <c r="L1721">
        <v>0.96755054384371109</v>
      </c>
      <c r="M1721">
        <v>45.63</v>
      </c>
      <c r="N1721">
        <v>20.51</v>
      </c>
    </row>
    <row r="1722" spans="1:14" x14ac:dyDescent="0.25">
      <c r="A1722" s="1" t="s">
        <v>1734</v>
      </c>
      <c r="B1722" t="str">
        <f>HYPERLINK("https://www.suredividend.com/sure-analysis-research-database/","Walker &amp; Dunlop Inc")</f>
        <v>Walker &amp; Dunlop Inc</v>
      </c>
      <c r="C1722" t="s">
        <v>1800</v>
      </c>
      <c r="D1722">
        <v>76.8</v>
      </c>
      <c r="E1722">
        <v>3.2044915556973003E-2</v>
      </c>
      <c r="F1722">
        <v>4.9999999999999822E-2</v>
      </c>
      <c r="G1722">
        <v>0.20304011267322691</v>
      </c>
      <c r="H1722">
        <v>2.46104951477558</v>
      </c>
      <c r="I1722">
        <v>2560.8715780000002</v>
      </c>
      <c r="J1722">
        <v>18.44463506889176</v>
      </c>
      <c r="K1722">
        <v>0.58043620631499526</v>
      </c>
      <c r="L1722">
        <v>1.696954186233812</v>
      </c>
      <c r="M1722">
        <v>98.65</v>
      </c>
      <c r="N1722">
        <v>60.06</v>
      </c>
    </row>
    <row r="1723" spans="1:14" x14ac:dyDescent="0.25">
      <c r="A1723" s="1" t="s">
        <v>1735</v>
      </c>
      <c r="B1723" t="str">
        <f>HYPERLINK("https://www.suredividend.com/sure-analysis-WDFC/","WD-40 Co.")</f>
        <v>WD-40 Co.</v>
      </c>
      <c r="C1723" t="s">
        <v>1808</v>
      </c>
      <c r="D1723">
        <v>219.66</v>
      </c>
      <c r="E1723">
        <v>1.5114267504324871E-2</v>
      </c>
      <c r="F1723">
        <v>6.4102564102564097E-2</v>
      </c>
      <c r="G1723">
        <v>6.3529771042914795E-2</v>
      </c>
      <c r="H1723">
        <v>3.2837696082064949</v>
      </c>
      <c r="I1723">
        <v>2977.8612069999999</v>
      </c>
      <c r="J1723">
        <v>45.31064967727211</v>
      </c>
      <c r="K1723">
        <v>0.67986948410072356</v>
      </c>
      <c r="L1723">
        <v>0.76208392262463909</v>
      </c>
      <c r="M1723">
        <v>231.06</v>
      </c>
      <c r="N1723">
        <v>153.13999999999999</v>
      </c>
    </row>
    <row r="1724" spans="1:14" x14ac:dyDescent="0.25">
      <c r="A1724" s="1" t="s">
        <v>1736</v>
      </c>
      <c r="B1724" t="str">
        <f>HYPERLINK("https://www.suredividend.com/sure-analysis-research-database/","Weave Communications Inc")</f>
        <v>Weave Communications Inc</v>
      </c>
      <c r="C1724" t="s">
        <v>1797</v>
      </c>
      <c r="D1724">
        <v>8.5500000000000007</v>
      </c>
      <c r="E1724">
        <v>0</v>
      </c>
      <c r="F1724" t="s">
        <v>1797</v>
      </c>
      <c r="G1724" t="s">
        <v>1797</v>
      </c>
      <c r="H1724">
        <v>0</v>
      </c>
      <c r="I1724">
        <v>577.53847800000005</v>
      </c>
      <c r="J1724" t="s">
        <v>1797</v>
      </c>
      <c r="K1724">
        <v>0</v>
      </c>
      <c r="L1724">
        <v>1.2988472481326021</v>
      </c>
      <c r="M1724">
        <v>12.45</v>
      </c>
      <c r="N1724">
        <v>3.74</v>
      </c>
    </row>
    <row r="1725" spans="1:14" x14ac:dyDescent="0.25">
      <c r="A1725" s="1" t="s">
        <v>1737</v>
      </c>
      <c r="B1725" t="str">
        <f>HYPERLINK("https://www.suredividend.com/sure-analysis-research-database/","Werner Enterprises, Inc.")</f>
        <v>Werner Enterprises, Inc.</v>
      </c>
      <c r="C1725" t="s">
        <v>1798</v>
      </c>
      <c r="D1725">
        <v>36.909999999999997</v>
      </c>
      <c r="E1725">
        <v>1.4498729070712001E-2</v>
      </c>
      <c r="F1725">
        <v>7.6923076923077094E-2</v>
      </c>
      <c r="G1725">
        <v>9.2388464140373161E-2</v>
      </c>
      <c r="H1725">
        <v>0.53514809000000607</v>
      </c>
      <c r="I1725">
        <v>2339.7368959999999</v>
      </c>
      <c r="J1725">
        <v>12.97532689161611</v>
      </c>
      <c r="K1725">
        <v>0.18909826501766999</v>
      </c>
      <c r="L1725">
        <v>0.86824867738930311</v>
      </c>
      <c r="M1725">
        <v>49.5</v>
      </c>
      <c r="N1725">
        <v>35.020000000000003</v>
      </c>
    </row>
    <row r="1726" spans="1:14" x14ac:dyDescent="0.25">
      <c r="A1726" s="1" t="s">
        <v>1738</v>
      </c>
      <c r="B1726" t="str">
        <f>HYPERLINK("https://www.suredividend.com/sure-analysis-WEYS/","Weyco Group, Inc")</f>
        <v>Weyco Group, Inc</v>
      </c>
      <c r="C1726" t="s">
        <v>1801</v>
      </c>
      <c r="D1726">
        <v>27.15</v>
      </c>
      <c r="E1726">
        <v>3.6832412523020261E-2</v>
      </c>
      <c r="F1726">
        <v>4.1666666666666741E-2</v>
      </c>
      <c r="G1726">
        <v>1.6816147821954619E-2</v>
      </c>
      <c r="H1726">
        <v>0.95467833480939412</v>
      </c>
      <c r="I1726">
        <v>258.49145800000002</v>
      </c>
      <c r="J1726">
        <v>7.7622731329389509</v>
      </c>
      <c r="K1726">
        <v>0.27433285483028569</v>
      </c>
      <c r="L1726">
        <v>0.50597655642761508</v>
      </c>
      <c r="M1726">
        <v>28.92</v>
      </c>
      <c r="N1726">
        <v>19.329999999999998</v>
      </c>
    </row>
    <row r="1727" spans="1:14" x14ac:dyDescent="0.25">
      <c r="A1727" s="1" t="s">
        <v>1739</v>
      </c>
      <c r="B1727" t="str">
        <f>HYPERLINK("https://www.suredividend.com/sure-analysis-research-database/","Weatherford International plc")</f>
        <v>Weatherford International plc</v>
      </c>
      <c r="C1727" t="s">
        <v>1797</v>
      </c>
      <c r="D1727">
        <v>99.32</v>
      </c>
      <c r="E1727">
        <v>0</v>
      </c>
      <c r="F1727" t="s">
        <v>1797</v>
      </c>
      <c r="G1727" t="s">
        <v>1797</v>
      </c>
      <c r="H1727">
        <v>0</v>
      </c>
      <c r="I1727">
        <v>7162.8188550000004</v>
      </c>
      <c r="J1727">
        <v>20.52383626189112</v>
      </c>
      <c r="K1727">
        <v>0</v>
      </c>
      <c r="L1727">
        <v>0.87267140646744101</v>
      </c>
      <c r="M1727">
        <v>99.85</v>
      </c>
      <c r="N1727">
        <v>38.61</v>
      </c>
    </row>
    <row r="1728" spans="1:14" x14ac:dyDescent="0.25">
      <c r="A1728" s="1" t="s">
        <v>1740</v>
      </c>
      <c r="B1728" t="str">
        <f>HYPERLINK("https://www.suredividend.com/sure-analysis-WGO/","Winnebago Industries, Inc.")</f>
        <v>Winnebago Industries, Inc.</v>
      </c>
      <c r="C1728" t="s">
        <v>1801</v>
      </c>
      <c r="D1728">
        <v>64.3</v>
      </c>
      <c r="E1728">
        <v>1.9284603421461901E-2</v>
      </c>
      <c r="F1728">
        <v>0.14814814814814811</v>
      </c>
      <c r="G1728">
        <v>0.23025121250227859</v>
      </c>
      <c r="H1728">
        <v>1.112373041191602</v>
      </c>
      <c r="I1728">
        <v>1921.734807</v>
      </c>
      <c r="J1728">
        <v>8.9010412566002781</v>
      </c>
      <c r="K1728">
        <v>0.1823562362609184</v>
      </c>
      <c r="L1728">
        <v>1.1825984762914199</v>
      </c>
      <c r="M1728">
        <v>69.55</v>
      </c>
      <c r="N1728">
        <v>50.79</v>
      </c>
    </row>
    <row r="1729" spans="1:14" x14ac:dyDescent="0.25">
      <c r="A1729" s="1" t="s">
        <v>1741</v>
      </c>
      <c r="B1729" t="str">
        <f>HYPERLINK("https://www.suredividend.com/sure-analysis-research-database/","GeneDx Holdings Corp")</f>
        <v>GeneDx Holdings Corp</v>
      </c>
      <c r="C1729" t="s">
        <v>1797</v>
      </c>
      <c r="D1729">
        <v>1.82</v>
      </c>
      <c r="E1729">
        <v>0</v>
      </c>
      <c r="F1729" t="s">
        <v>1797</v>
      </c>
      <c r="G1729" t="s">
        <v>1797</v>
      </c>
      <c r="H1729">
        <v>0</v>
      </c>
      <c r="I1729">
        <v>46.907457000000001</v>
      </c>
      <c r="J1729" t="s">
        <v>1797</v>
      </c>
      <c r="K1729">
        <v>0</v>
      </c>
      <c r="L1729">
        <v>11.77229264491646</v>
      </c>
      <c r="M1729">
        <v>17.91</v>
      </c>
      <c r="N1729">
        <v>0.22</v>
      </c>
    </row>
    <row r="1730" spans="1:14" x14ac:dyDescent="0.25">
      <c r="A1730" s="1" t="s">
        <v>1742</v>
      </c>
      <c r="B1730" t="str">
        <f>HYPERLINK("https://www.suredividend.com/sure-analysis-research-database/","Cactus Inc")</f>
        <v>Cactus Inc</v>
      </c>
      <c r="C1730" t="s">
        <v>1807</v>
      </c>
      <c r="D1730">
        <v>47.06</v>
      </c>
      <c r="E1730">
        <v>9.5253640993770011E-3</v>
      </c>
      <c r="F1730" t="s">
        <v>1797</v>
      </c>
      <c r="G1730" t="s">
        <v>1797</v>
      </c>
      <c r="H1730">
        <v>0.44826363451671802</v>
      </c>
      <c r="I1730">
        <v>3040.5229760000002</v>
      </c>
      <c r="J1730">
        <v>23.37820799858525</v>
      </c>
      <c r="K1730">
        <v>0.25615064829526751</v>
      </c>
      <c r="L1730">
        <v>1.2309834403990061</v>
      </c>
      <c r="M1730">
        <v>57.72</v>
      </c>
      <c r="N1730">
        <v>31.29</v>
      </c>
    </row>
    <row r="1731" spans="1:14" x14ac:dyDescent="0.25">
      <c r="A1731" s="1" t="s">
        <v>1743</v>
      </c>
      <c r="B1731" t="str">
        <f>HYPERLINK("https://www.suredividend.com/sure-analysis-research-database/","Winmark Corporation")</f>
        <v>Winmark Corporation</v>
      </c>
      <c r="C1731" t="s">
        <v>1801</v>
      </c>
      <c r="D1731">
        <v>424.9</v>
      </c>
      <c r="E1731">
        <v>7.0178969480369996E-3</v>
      </c>
      <c r="F1731">
        <v>0.14285714285714279</v>
      </c>
      <c r="G1731">
        <v>0.2619146889603865</v>
      </c>
      <c r="H1731">
        <v>2.9819044132211028</v>
      </c>
      <c r="I1731">
        <v>1481.8362010000001</v>
      </c>
      <c r="J1731">
        <v>36.46438916873165</v>
      </c>
      <c r="K1731">
        <v>0.26482277204450289</v>
      </c>
      <c r="L1731">
        <v>0.67339062737982203</v>
      </c>
      <c r="M1731">
        <v>426</v>
      </c>
      <c r="N1731">
        <v>229.55</v>
      </c>
    </row>
    <row r="1732" spans="1:14" x14ac:dyDescent="0.25">
      <c r="A1732" s="1" t="s">
        <v>1744</v>
      </c>
      <c r="B1732" t="str">
        <f>HYPERLINK("https://www.suredividend.com/sure-analysis-research-database/","Wingstop Inc")</f>
        <v>Wingstop Inc</v>
      </c>
      <c r="C1732" t="s">
        <v>1801</v>
      </c>
      <c r="D1732">
        <v>206.84</v>
      </c>
      <c r="E1732">
        <v>3.8118078577280001E-3</v>
      </c>
      <c r="F1732">
        <v>0.15789473684210531</v>
      </c>
      <c r="G1732">
        <v>0.1486983549970351</v>
      </c>
      <c r="H1732">
        <v>0.78843433729254508</v>
      </c>
      <c r="I1732">
        <v>6084.1820530000005</v>
      </c>
      <c r="J1732">
        <v>88.231536360340499</v>
      </c>
      <c r="K1732">
        <v>0.3427975379532805</v>
      </c>
      <c r="L1732">
        <v>1.0889810201174379</v>
      </c>
      <c r="M1732">
        <v>223.26</v>
      </c>
      <c r="N1732">
        <v>129.02000000000001</v>
      </c>
    </row>
    <row r="1733" spans="1:14" x14ac:dyDescent="0.25">
      <c r="A1733" s="1" t="s">
        <v>1745</v>
      </c>
      <c r="B1733" t="str">
        <f>HYPERLINK("https://www.suredividend.com/sure-analysis-research-database/","Encore Wire Corp.")</f>
        <v>Encore Wire Corp.</v>
      </c>
      <c r="C1733" t="s">
        <v>1798</v>
      </c>
      <c r="D1733">
        <v>188.52</v>
      </c>
      <c r="E1733">
        <v>4.2422617009700011E-4</v>
      </c>
      <c r="F1733">
        <v>0</v>
      </c>
      <c r="G1733">
        <v>0</v>
      </c>
      <c r="H1733">
        <v>7.9975117586701006E-2</v>
      </c>
      <c r="I1733">
        <v>2974.1493959999998</v>
      </c>
      <c r="J1733">
        <v>6.4616792040410633</v>
      </c>
      <c r="K1733">
        <v>3.1010127020822419E-3</v>
      </c>
      <c r="L1733">
        <v>1.193399480625325</v>
      </c>
      <c r="M1733">
        <v>206.62</v>
      </c>
      <c r="N1733">
        <v>132.22999999999999</v>
      </c>
    </row>
    <row r="1734" spans="1:14" x14ac:dyDescent="0.25">
      <c r="A1734" s="1" t="s">
        <v>1746</v>
      </c>
      <c r="B1734" t="str">
        <f>HYPERLINK("https://www.suredividend.com/sure-analysis-research-database/","ContextLogic Inc")</f>
        <v>ContextLogic Inc</v>
      </c>
      <c r="C1734" t="s">
        <v>1800</v>
      </c>
      <c r="D1734">
        <v>4.29</v>
      </c>
      <c r="E1734">
        <v>0</v>
      </c>
      <c r="F1734" t="s">
        <v>1797</v>
      </c>
      <c r="G1734" t="s">
        <v>1797</v>
      </c>
      <c r="H1734">
        <v>0</v>
      </c>
      <c r="I1734">
        <v>102.02478000000001</v>
      </c>
      <c r="J1734" t="s">
        <v>1797</v>
      </c>
      <c r="K1734">
        <v>0</v>
      </c>
      <c r="L1734">
        <v>3.5328961882337611</v>
      </c>
      <c r="M1734">
        <v>32.1</v>
      </c>
      <c r="N1734">
        <v>3.55</v>
      </c>
    </row>
    <row r="1735" spans="1:14" x14ac:dyDescent="0.25">
      <c r="A1735" s="1" t="s">
        <v>1747</v>
      </c>
      <c r="B1735" t="str">
        <f>HYPERLINK("https://www.suredividend.com/sure-analysis-research-database/","Workiva Inc")</f>
        <v>Workiva Inc</v>
      </c>
      <c r="C1735" t="s">
        <v>1803</v>
      </c>
      <c r="D1735">
        <v>89.68</v>
      </c>
      <c r="E1735">
        <v>0</v>
      </c>
      <c r="F1735" t="s">
        <v>1797</v>
      </c>
      <c r="G1735" t="s">
        <v>1797</v>
      </c>
      <c r="H1735">
        <v>0</v>
      </c>
      <c r="I1735">
        <v>4502.1560749999999</v>
      </c>
      <c r="J1735" t="s">
        <v>1797</v>
      </c>
      <c r="K1735">
        <v>0</v>
      </c>
      <c r="L1735">
        <v>1.579199361973542</v>
      </c>
      <c r="M1735">
        <v>116</v>
      </c>
      <c r="N1735">
        <v>66.08</v>
      </c>
    </row>
    <row r="1736" spans="1:14" x14ac:dyDescent="0.25">
      <c r="A1736" s="1" t="s">
        <v>1748</v>
      </c>
      <c r="B1736" t="str">
        <f>HYPERLINK("https://www.suredividend.com/sure-analysis-research-database/","Workhorse Group Inc")</f>
        <v>Workhorse Group Inc</v>
      </c>
      <c r="C1736" t="s">
        <v>1801</v>
      </c>
      <c r="D1736">
        <v>0.42730000000000001</v>
      </c>
      <c r="E1736">
        <v>0</v>
      </c>
      <c r="F1736" t="s">
        <v>1797</v>
      </c>
      <c r="G1736" t="s">
        <v>1797</v>
      </c>
      <c r="H1736">
        <v>0</v>
      </c>
      <c r="I1736">
        <v>90.071895999999995</v>
      </c>
      <c r="J1736">
        <v>0</v>
      </c>
      <c r="K1736" t="s">
        <v>1797</v>
      </c>
      <c r="L1736">
        <v>2.5678614124601551</v>
      </c>
      <c r="M1736">
        <v>2.98</v>
      </c>
      <c r="N1736">
        <v>0.375</v>
      </c>
    </row>
    <row r="1737" spans="1:14" x14ac:dyDescent="0.25">
      <c r="A1737" s="1" t="s">
        <v>1749</v>
      </c>
      <c r="B1737" t="str">
        <f>HYPERLINK("https://www.suredividend.com/sure-analysis-research-database/","Willdan Group Inc")</f>
        <v>Willdan Group Inc</v>
      </c>
      <c r="C1737" t="s">
        <v>1798</v>
      </c>
      <c r="D1737">
        <v>19.350000000000001</v>
      </c>
      <c r="E1737">
        <v>0</v>
      </c>
      <c r="F1737" t="s">
        <v>1797</v>
      </c>
      <c r="G1737" t="s">
        <v>1797</v>
      </c>
      <c r="H1737">
        <v>0</v>
      </c>
      <c r="I1737">
        <v>263.06290200000001</v>
      </c>
      <c r="J1737">
        <v>0</v>
      </c>
      <c r="K1737" t="s">
        <v>1797</v>
      </c>
      <c r="L1737">
        <v>1.0279409255828189</v>
      </c>
      <c r="M1737">
        <v>25.38</v>
      </c>
      <c r="N1737">
        <v>13.86</v>
      </c>
    </row>
    <row r="1738" spans="1:14" x14ac:dyDescent="0.25">
      <c r="A1738" s="1" t="s">
        <v>1750</v>
      </c>
      <c r="B1738" t="str">
        <f>HYPERLINK("https://www.suredividend.com/sure-analysis-WLY/","John Wiley &amp; Sons Inc.")</f>
        <v>John Wiley &amp; Sons Inc.</v>
      </c>
      <c r="C1738" t="s">
        <v>1797</v>
      </c>
      <c r="D1738">
        <v>30.76</v>
      </c>
      <c r="E1738">
        <v>4.5513654096228873E-2</v>
      </c>
      <c r="F1738" t="s">
        <v>1797</v>
      </c>
      <c r="G1738" t="s">
        <v>1797</v>
      </c>
      <c r="H1738">
        <v>1.374364185152156</v>
      </c>
      <c r="I1738">
        <v>1696.5931840000001</v>
      </c>
      <c r="J1738" t="s">
        <v>1797</v>
      </c>
      <c r="K1738" t="s">
        <v>1797</v>
      </c>
      <c r="L1738">
        <v>1.0705668413520091</v>
      </c>
      <c r="M1738">
        <v>48.14</v>
      </c>
      <c r="N1738">
        <v>28.84</v>
      </c>
    </row>
    <row r="1739" spans="1:14" x14ac:dyDescent="0.25">
      <c r="A1739" s="1" t="s">
        <v>1751</v>
      </c>
      <c r="B1739" t="str">
        <f>HYPERLINK("https://www.suredividend.com/sure-analysis-research-database/","Weis Markets, Inc.")</f>
        <v>Weis Markets, Inc.</v>
      </c>
      <c r="C1739" t="s">
        <v>1804</v>
      </c>
      <c r="D1739">
        <v>67.23</v>
      </c>
      <c r="E1739">
        <v>2.0078198342122999E-2</v>
      </c>
      <c r="F1739">
        <v>0</v>
      </c>
      <c r="G1739">
        <v>1.8646376444729999E-2</v>
      </c>
      <c r="H1739">
        <v>1.3498572745409929</v>
      </c>
      <c r="I1739">
        <v>1808.382323</v>
      </c>
      <c r="J1739">
        <v>15.37478594533243</v>
      </c>
      <c r="K1739">
        <v>0.30889182483775579</v>
      </c>
      <c r="L1739">
        <v>0.38315688344424098</v>
      </c>
      <c r="M1739">
        <v>88.74</v>
      </c>
      <c r="N1739">
        <v>58.15</v>
      </c>
    </row>
    <row r="1740" spans="1:14" x14ac:dyDescent="0.25">
      <c r="A1740" s="1" t="s">
        <v>1752</v>
      </c>
      <c r="B1740" t="str">
        <f>HYPERLINK("https://www.suredividend.com/sure-analysis-research-database/","Wabash National Corp.")</f>
        <v>Wabash National Corp.</v>
      </c>
      <c r="C1740" t="s">
        <v>1798</v>
      </c>
      <c r="D1740">
        <v>21.71</v>
      </c>
      <c r="E1740">
        <v>1.4662352501504E-2</v>
      </c>
      <c r="F1740">
        <v>0</v>
      </c>
      <c r="G1740">
        <v>0</v>
      </c>
      <c r="H1740">
        <v>0.31831967280766899</v>
      </c>
      <c r="I1740">
        <v>1000.555348</v>
      </c>
      <c r="J1740">
        <v>4.5078386014083689</v>
      </c>
      <c r="K1740">
        <v>7.0269243445401544E-2</v>
      </c>
      <c r="L1740">
        <v>1.021486871861454</v>
      </c>
      <c r="M1740">
        <v>29.79</v>
      </c>
      <c r="N1740">
        <v>20.010000000000002</v>
      </c>
    </row>
    <row r="1741" spans="1:14" x14ac:dyDescent="0.25">
      <c r="A1741" s="1" t="s">
        <v>1753</v>
      </c>
      <c r="B1741" t="str">
        <f>HYPERLINK("https://www.suredividend.com/sure-analysis-WOR/","Worthington Industries, Inc.")</f>
        <v>Worthington Industries, Inc.</v>
      </c>
      <c r="C1741" t="s">
        <v>1808</v>
      </c>
      <c r="D1741">
        <v>63.53</v>
      </c>
      <c r="E1741">
        <v>2.014796159294821E-2</v>
      </c>
      <c r="F1741">
        <v>3.2258064516128997E-2</v>
      </c>
      <c r="G1741">
        <v>6.8278353688437932E-2</v>
      </c>
      <c r="H1741">
        <v>1.2409476615409589</v>
      </c>
      <c r="I1741">
        <v>3174.3044669999999</v>
      </c>
      <c r="J1741">
        <v>11.0008056320178</v>
      </c>
      <c r="K1741">
        <v>0.21322124768744999</v>
      </c>
      <c r="L1741">
        <v>1.2062050284468939</v>
      </c>
      <c r="M1741">
        <v>77.06</v>
      </c>
      <c r="N1741">
        <v>47.43</v>
      </c>
    </row>
    <row r="1742" spans="1:14" x14ac:dyDescent="0.25">
      <c r="A1742" s="1" t="s">
        <v>1754</v>
      </c>
      <c r="B1742" t="str">
        <f>HYPERLINK("https://www.suredividend.com/sure-analysis-research-database/","WideOpenWest Inc")</f>
        <v>WideOpenWest Inc</v>
      </c>
      <c r="C1742" t="s">
        <v>1806</v>
      </c>
      <c r="D1742">
        <v>7.57</v>
      </c>
      <c r="E1742">
        <v>0</v>
      </c>
      <c r="F1742" t="s">
        <v>1797</v>
      </c>
      <c r="G1742" t="s">
        <v>1797</v>
      </c>
      <c r="H1742">
        <v>0</v>
      </c>
      <c r="I1742">
        <v>633.560385</v>
      </c>
      <c r="J1742" t="s">
        <v>1797</v>
      </c>
      <c r="K1742">
        <v>0</v>
      </c>
      <c r="L1742">
        <v>1.0597024130918269</v>
      </c>
      <c r="M1742">
        <v>12.45</v>
      </c>
      <c r="N1742">
        <v>6.69</v>
      </c>
    </row>
    <row r="1743" spans="1:14" x14ac:dyDescent="0.25">
      <c r="A1743" s="1" t="s">
        <v>1755</v>
      </c>
      <c r="B1743" t="str">
        <f>HYPERLINK("https://www.suredividend.com/sure-analysis-research-database/","Warby Parker Inc")</f>
        <v>Warby Parker Inc</v>
      </c>
      <c r="C1743" t="s">
        <v>1797</v>
      </c>
      <c r="D1743">
        <v>13.66</v>
      </c>
      <c r="E1743">
        <v>0</v>
      </c>
      <c r="F1743" t="s">
        <v>1797</v>
      </c>
      <c r="G1743" t="s">
        <v>1797</v>
      </c>
      <c r="H1743">
        <v>0</v>
      </c>
      <c r="I1743">
        <v>1330.391973</v>
      </c>
      <c r="J1743" t="s">
        <v>1797</v>
      </c>
      <c r="K1743">
        <v>0</v>
      </c>
      <c r="L1743">
        <v>1.9800144027841231</v>
      </c>
      <c r="M1743">
        <v>18.989999999999998</v>
      </c>
      <c r="N1743">
        <v>9.5</v>
      </c>
    </row>
    <row r="1744" spans="1:14" x14ac:dyDescent="0.25">
      <c r="A1744" s="1" t="s">
        <v>1756</v>
      </c>
      <c r="B1744" t="str">
        <f>HYPERLINK("https://www.suredividend.com/sure-analysis-research-database/","World Acceptance Corp.")</f>
        <v>World Acceptance Corp.</v>
      </c>
      <c r="C1744" t="s">
        <v>1800</v>
      </c>
      <c r="D1744">
        <v>107.49</v>
      </c>
      <c r="E1744">
        <v>0</v>
      </c>
      <c r="F1744" t="s">
        <v>1797</v>
      </c>
      <c r="G1744" t="s">
        <v>1797</v>
      </c>
      <c r="H1744">
        <v>0</v>
      </c>
      <c r="I1744">
        <v>670.791023</v>
      </c>
      <c r="J1744">
        <v>16.950454269157159</v>
      </c>
      <c r="K1744">
        <v>0</v>
      </c>
      <c r="L1744">
        <v>2.0095960333855039</v>
      </c>
      <c r="M1744">
        <v>160.07</v>
      </c>
      <c r="N1744">
        <v>58.44</v>
      </c>
    </row>
    <row r="1745" spans="1:14" x14ac:dyDescent="0.25">
      <c r="A1745" s="1" t="s">
        <v>1757</v>
      </c>
      <c r="B1745" t="str">
        <f>HYPERLINK("https://www.suredividend.com/sure-analysis-WSBC/","Wesbanco, Inc.")</f>
        <v>Wesbanco, Inc.</v>
      </c>
      <c r="C1745" t="s">
        <v>1800</v>
      </c>
      <c r="D1745">
        <v>26.65</v>
      </c>
      <c r="E1745">
        <v>5.2532833020637902E-2</v>
      </c>
      <c r="F1745">
        <v>2.941176470588247E-2</v>
      </c>
      <c r="G1745">
        <v>3.8326670088616899E-2</v>
      </c>
      <c r="H1745">
        <v>1.3512955210091571</v>
      </c>
      <c r="I1745">
        <v>1581.812402</v>
      </c>
      <c r="J1745">
        <v>9.5206168207480157</v>
      </c>
      <c r="K1745">
        <v>0.48260554321755611</v>
      </c>
      <c r="L1745">
        <v>1.02124062110166</v>
      </c>
      <c r="M1745">
        <v>38.51</v>
      </c>
      <c r="N1745">
        <v>18.829999999999998</v>
      </c>
    </row>
    <row r="1746" spans="1:14" x14ac:dyDescent="0.25">
      <c r="A1746" s="1" t="s">
        <v>1758</v>
      </c>
      <c r="B1746" t="str">
        <f>HYPERLINK("https://www.suredividend.com/sure-analysis-research-database/","Waterstone Financial Inc")</f>
        <v>Waterstone Financial Inc</v>
      </c>
      <c r="C1746" t="s">
        <v>1800</v>
      </c>
      <c r="D1746">
        <v>11.34</v>
      </c>
      <c r="E1746">
        <v>7.9462862401488005E-2</v>
      </c>
      <c r="F1746">
        <v>-0.25000000000000011</v>
      </c>
      <c r="G1746">
        <v>4.5639552591273169E-2</v>
      </c>
      <c r="H1746">
        <v>0.90110885963287612</v>
      </c>
      <c r="I1746">
        <v>241.51501099999999</v>
      </c>
      <c r="J1746">
        <v>23.332529301516761</v>
      </c>
      <c r="K1746">
        <v>1.7950375689897931</v>
      </c>
      <c r="L1746">
        <v>0.62568675143159902</v>
      </c>
      <c r="M1746">
        <v>16.27</v>
      </c>
      <c r="N1746">
        <v>9.6199999999999992</v>
      </c>
    </row>
    <row r="1747" spans="1:14" x14ac:dyDescent="0.25">
      <c r="A1747" s="1" t="s">
        <v>1759</v>
      </c>
      <c r="B1747" t="str">
        <f>HYPERLINK("https://www.suredividend.com/sure-analysis-research-database/","WSFS Financial Corp.")</f>
        <v>WSFS Financial Corp.</v>
      </c>
      <c r="C1747" t="s">
        <v>1800</v>
      </c>
      <c r="D1747">
        <v>38.57</v>
      </c>
      <c r="E1747">
        <v>1.5369138886968999E-2</v>
      </c>
      <c r="F1747">
        <v>0</v>
      </c>
      <c r="G1747">
        <v>4.5639552591273169E-2</v>
      </c>
      <c r="H1747">
        <v>0.59278768687041106</v>
      </c>
      <c r="I1747">
        <v>2354.953062</v>
      </c>
      <c r="J1747">
        <v>8.1510802975290133</v>
      </c>
      <c r="K1747">
        <v>0.12748122298288411</v>
      </c>
      <c r="L1747">
        <v>1.3003792828423411</v>
      </c>
      <c r="M1747">
        <v>50.51</v>
      </c>
      <c r="N1747">
        <v>29.13</v>
      </c>
    </row>
    <row r="1748" spans="1:14" x14ac:dyDescent="0.25">
      <c r="A1748" s="1" t="s">
        <v>1760</v>
      </c>
      <c r="B1748" t="str">
        <f>HYPERLINK("https://www.suredividend.com/sure-analysis-WSR/","Whitestone REIT")</f>
        <v>Whitestone REIT</v>
      </c>
      <c r="C1748" t="s">
        <v>1799</v>
      </c>
      <c r="D1748">
        <v>10.89</v>
      </c>
      <c r="E1748">
        <v>4.407713498622589E-2</v>
      </c>
      <c r="F1748">
        <v>0</v>
      </c>
      <c r="G1748">
        <v>0</v>
      </c>
      <c r="H1748">
        <v>0.58477844284831704</v>
      </c>
      <c r="I1748">
        <v>539.98621500000002</v>
      </c>
      <c r="J1748">
        <v>14.369743328277179</v>
      </c>
      <c r="K1748">
        <v>0.77949672467117692</v>
      </c>
      <c r="L1748">
        <v>0.93232431634824209</v>
      </c>
      <c r="M1748">
        <v>10.95</v>
      </c>
      <c r="N1748">
        <v>8.01</v>
      </c>
    </row>
    <row r="1749" spans="1:14" x14ac:dyDescent="0.25">
      <c r="A1749" s="1" t="s">
        <v>1761</v>
      </c>
      <c r="B1749" t="str">
        <f>HYPERLINK("https://www.suredividend.com/sure-analysis-research-database/","WisdomTree Inc")</f>
        <v>WisdomTree Inc</v>
      </c>
      <c r="C1749" t="s">
        <v>1797</v>
      </c>
      <c r="D1749">
        <v>6.42</v>
      </c>
      <c r="E1749">
        <v>4.6076749953390004E-3</v>
      </c>
      <c r="F1749" t="s">
        <v>1797</v>
      </c>
      <c r="G1749" t="s">
        <v>1797</v>
      </c>
      <c r="H1749">
        <v>2.9581273470081E-2</v>
      </c>
      <c r="I1749">
        <v>965.08329600000002</v>
      </c>
      <c r="J1749">
        <v>8.7798698728165938</v>
      </c>
      <c r="K1749">
        <v>4.4704962173312678E-2</v>
      </c>
      <c r="L1749">
        <v>0.76112946210894106</v>
      </c>
      <c r="M1749">
        <v>7.55</v>
      </c>
      <c r="N1749">
        <v>4.91</v>
      </c>
    </row>
    <row r="1750" spans="1:14" x14ac:dyDescent="0.25">
      <c r="A1750" s="1" t="s">
        <v>1762</v>
      </c>
      <c r="B1750" t="str">
        <f>HYPERLINK("https://www.suredividend.com/sure-analysis-research-database/","West Bancorporation")</f>
        <v>West Bancorporation</v>
      </c>
      <c r="C1750" t="s">
        <v>1800</v>
      </c>
      <c r="D1750">
        <v>17.649999999999999</v>
      </c>
      <c r="E1750">
        <v>5.4555087817284013E-2</v>
      </c>
      <c r="F1750">
        <v>0</v>
      </c>
      <c r="G1750">
        <v>4.5639552591273169E-2</v>
      </c>
      <c r="H1750">
        <v>0.96289729997506812</v>
      </c>
      <c r="I1750">
        <v>295.19790899999998</v>
      </c>
      <c r="J1750">
        <v>10.336785107500519</v>
      </c>
      <c r="K1750">
        <v>0.5664101764559224</v>
      </c>
      <c r="L1750">
        <v>0.80114566047322411</v>
      </c>
      <c r="M1750">
        <v>24.08</v>
      </c>
      <c r="N1750">
        <v>14.65</v>
      </c>
    </row>
    <row r="1751" spans="1:14" x14ac:dyDescent="0.25">
      <c r="A1751" s="1" t="s">
        <v>1763</v>
      </c>
      <c r="B1751" t="str">
        <f>HYPERLINK("https://www.suredividend.com/sure-analysis-research-database/","W &amp; T Offshore Inc")</f>
        <v>W &amp; T Offshore Inc</v>
      </c>
      <c r="C1751" t="s">
        <v>1807</v>
      </c>
      <c r="D1751">
        <v>4.22</v>
      </c>
      <c r="E1751">
        <v>0</v>
      </c>
      <c r="F1751" t="s">
        <v>1797</v>
      </c>
      <c r="G1751" t="s">
        <v>1797</v>
      </c>
      <c r="H1751">
        <v>0</v>
      </c>
      <c r="I1751">
        <v>618.14828799999998</v>
      </c>
      <c r="J1751">
        <v>4.9824149093224577</v>
      </c>
      <c r="K1751">
        <v>0</v>
      </c>
      <c r="L1751">
        <v>1.4703335184001001</v>
      </c>
      <c r="M1751">
        <v>9.16</v>
      </c>
      <c r="N1751">
        <v>3.62</v>
      </c>
    </row>
    <row r="1752" spans="1:14" x14ac:dyDescent="0.25">
      <c r="A1752" s="1" t="s">
        <v>1764</v>
      </c>
      <c r="B1752" t="str">
        <f>HYPERLINK("https://www.suredividend.com/sure-analysis-research-database/","Watts Water Technologies, Inc.")</f>
        <v>Watts Water Technologies, Inc.</v>
      </c>
      <c r="C1752" t="s">
        <v>1798</v>
      </c>
      <c r="D1752">
        <v>190.47</v>
      </c>
      <c r="E1752">
        <v>6.9110961394810008E-3</v>
      </c>
      <c r="F1752">
        <v>0.19999999999999971</v>
      </c>
      <c r="G1752">
        <v>0.11382417860287911</v>
      </c>
      <c r="H1752">
        <v>1.316356481687132</v>
      </c>
      <c r="I1752">
        <v>5215.364971</v>
      </c>
      <c r="J1752">
        <v>18.96496353207273</v>
      </c>
      <c r="K1752">
        <v>0.16053127825452829</v>
      </c>
      <c r="L1752">
        <v>1.1910043914277459</v>
      </c>
      <c r="M1752">
        <v>192.92</v>
      </c>
      <c r="N1752">
        <v>140.71</v>
      </c>
    </row>
    <row r="1753" spans="1:14" x14ac:dyDescent="0.25">
      <c r="A1753" s="1" t="s">
        <v>1765</v>
      </c>
      <c r="B1753" t="str">
        <f>HYPERLINK("https://www.suredividend.com/sure-analysis-research-database/","Select Water Solutions Inc")</f>
        <v>Select Water Solutions Inc</v>
      </c>
      <c r="C1753" t="s">
        <v>1807</v>
      </c>
      <c r="D1753">
        <v>7.69</v>
      </c>
      <c r="E1753">
        <v>1.9384073268505001E-2</v>
      </c>
      <c r="F1753" t="s">
        <v>1797</v>
      </c>
      <c r="G1753" t="s">
        <v>1797</v>
      </c>
      <c r="H1753">
        <v>0.149063523434809</v>
      </c>
      <c r="I1753">
        <v>799.12100699999996</v>
      </c>
      <c r="J1753">
        <v>14.67434869970803</v>
      </c>
      <c r="K1753">
        <v>0.28178359817544241</v>
      </c>
      <c r="L1753">
        <v>0.90967622962512606</v>
      </c>
      <c r="M1753">
        <v>9.57</v>
      </c>
      <c r="N1753">
        <v>5.44</v>
      </c>
    </row>
    <row r="1754" spans="1:14" x14ac:dyDescent="0.25">
      <c r="A1754" s="1" t="s">
        <v>1766</v>
      </c>
      <c r="B1754" t="str">
        <f>HYPERLINK("https://www.suredividend.com/sure-analysis-research-database/","TeraWulf Inc")</f>
        <v>TeraWulf Inc</v>
      </c>
      <c r="C1754" t="s">
        <v>1797</v>
      </c>
      <c r="D1754">
        <v>1.1499999999999999</v>
      </c>
      <c r="E1754">
        <v>0</v>
      </c>
      <c r="F1754" t="s">
        <v>1797</v>
      </c>
      <c r="G1754" t="s">
        <v>1797</v>
      </c>
      <c r="H1754">
        <v>0</v>
      </c>
      <c r="I1754">
        <v>266.36568199999999</v>
      </c>
      <c r="J1754">
        <v>0</v>
      </c>
      <c r="K1754" t="s">
        <v>1797</v>
      </c>
      <c r="L1754">
        <v>2.3101775754160339</v>
      </c>
      <c r="M1754">
        <v>4.04</v>
      </c>
      <c r="N1754">
        <v>0.53500000000000003</v>
      </c>
    </row>
    <row r="1755" spans="1:14" x14ac:dyDescent="0.25">
      <c r="A1755" s="1" t="s">
        <v>1767</v>
      </c>
      <c r="B1755" t="str">
        <f>HYPERLINK("https://www.suredividend.com/sure-analysis-research-database/","WW International Inc")</f>
        <v>WW International Inc</v>
      </c>
      <c r="C1755" t="s">
        <v>1801</v>
      </c>
      <c r="D1755">
        <v>7.32</v>
      </c>
      <c r="E1755">
        <v>0</v>
      </c>
      <c r="F1755" t="s">
        <v>1797</v>
      </c>
      <c r="G1755" t="s">
        <v>1797</v>
      </c>
      <c r="H1755">
        <v>0</v>
      </c>
      <c r="I1755">
        <v>578.03155900000002</v>
      </c>
      <c r="J1755" t="s">
        <v>1797</v>
      </c>
      <c r="K1755">
        <v>0</v>
      </c>
      <c r="L1755">
        <v>2.4614857144440019</v>
      </c>
      <c r="M1755">
        <v>13.31</v>
      </c>
      <c r="N1755">
        <v>3.28</v>
      </c>
    </row>
    <row r="1756" spans="1:14" x14ac:dyDescent="0.25">
      <c r="A1756" s="1" t="s">
        <v>1768</v>
      </c>
      <c r="B1756" t="str">
        <f>HYPERLINK("https://www.suredividend.com/sure-analysis-research-database/","Wolverine World Wide, Inc.")</f>
        <v>Wolverine World Wide, Inc.</v>
      </c>
      <c r="C1756" t="s">
        <v>1801</v>
      </c>
      <c r="D1756">
        <v>8.4499999999999993</v>
      </c>
      <c r="E1756">
        <v>4.6641293343629001E-2</v>
      </c>
      <c r="F1756">
        <v>0</v>
      </c>
      <c r="G1756">
        <v>4.5639552591273169E-2</v>
      </c>
      <c r="H1756">
        <v>0.39411892875367099</v>
      </c>
      <c r="I1756">
        <v>671.89920700000005</v>
      </c>
      <c r="J1756" t="s">
        <v>1797</v>
      </c>
      <c r="K1756" t="s">
        <v>1797</v>
      </c>
      <c r="L1756">
        <v>1.6271275675804999</v>
      </c>
      <c r="M1756">
        <v>17.760000000000002</v>
      </c>
      <c r="N1756">
        <v>7.21</v>
      </c>
    </row>
    <row r="1757" spans="1:14" x14ac:dyDescent="0.25">
      <c r="A1757" s="1" t="s">
        <v>1769</v>
      </c>
      <c r="B1757" t="str">
        <f>HYPERLINK("https://www.suredividend.com/sure-analysis-research-database/","Xeris Biopharma Holdings Inc")</f>
        <v>Xeris Biopharma Holdings Inc</v>
      </c>
      <c r="C1757" t="s">
        <v>1802</v>
      </c>
      <c r="D1757">
        <v>1.9</v>
      </c>
      <c r="E1757">
        <v>0</v>
      </c>
      <c r="F1757" t="s">
        <v>1797</v>
      </c>
      <c r="G1757" t="s">
        <v>1797</v>
      </c>
      <c r="H1757">
        <v>0</v>
      </c>
      <c r="I1757">
        <v>262.32538699999998</v>
      </c>
      <c r="J1757" t="s">
        <v>1797</v>
      </c>
      <c r="K1757">
        <v>0</v>
      </c>
      <c r="L1757">
        <v>1.6744404695827111</v>
      </c>
      <c r="M1757">
        <v>3.07</v>
      </c>
      <c r="N1757">
        <v>0.97010000000000007</v>
      </c>
    </row>
    <row r="1758" spans="1:14" x14ac:dyDescent="0.25">
      <c r="A1758" s="1" t="s">
        <v>1770</v>
      </c>
      <c r="B1758" t="str">
        <f>HYPERLINK("https://www.suredividend.com/sure-analysis-research-database/","Xenia Hotels &amp; Resorts Inc")</f>
        <v>Xenia Hotels &amp; Resorts Inc</v>
      </c>
      <c r="C1758" t="s">
        <v>1799</v>
      </c>
      <c r="D1758">
        <v>12.39</v>
      </c>
      <c r="E1758">
        <v>3.1880134322895999E-2</v>
      </c>
      <c r="F1758" t="s">
        <v>1797</v>
      </c>
      <c r="G1758" t="s">
        <v>1797</v>
      </c>
      <c r="H1758">
        <v>0.39499486426068198</v>
      </c>
      <c r="I1758">
        <v>1303.4411210000001</v>
      </c>
      <c r="J1758">
        <v>27.993065760582439</v>
      </c>
      <c r="K1758">
        <v>0.93912235915521158</v>
      </c>
      <c r="L1758">
        <v>1.2964798334238541</v>
      </c>
      <c r="M1758">
        <v>15.58</v>
      </c>
      <c r="N1758">
        <v>10.81</v>
      </c>
    </row>
    <row r="1759" spans="1:14" x14ac:dyDescent="0.25">
      <c r="A1759" s="1" t="s">
        <v>1771</v>
      </c>
      <c r="B1759" t="str">
        <f>HYPERLINK("https://www.suredividend.com/sure-analysis-research-database/","Xometry Inc")</f>
        <v>Xometry Inc</v>
      </c>
      <c r="C1759" t="s">
        <v>1797</v>
      </c>
      <c r="D1759">
        <v>16.84</v>
      </c>
      <c r="E1759">
        <v>0</v>
      </c>
      <c r="F1759" t="s">
        <v>1797</v>
      </c>
      <c r="G1759" t="s">
        <v>1797</v>
      </c>
      <c r="H1759">
        <v>0</v>
      </c>
      <c r="I1759">
        <v>807.81479999999999</v>
      </c>
      <c r="J1759" t="s">
        <v>1797</v>
      </c>
      <c r="K1759">
        <v>0</v>
      </c>
      <c r="L1759">
        <v>1.7251110664102951</v>
      </c>
      <c r="M1759">
        <v>54.77</v>
      </c>
      <c r="N1759">
        <v>12.45</v>
      </c>
    </row>
    <row r="1760" spans="1:14" x14ac:dyDescent="0.25">
      <c r="A1760" s="1" t="s">
        <v>1772</v>
      </c>
      <c r="B1760" t="str">
        <f>HYPERLINK("https://www.suredividend.com/sure-analysis-research-database/","Xencor Inc")</f>
        <v>Xencor Inc</v>
      </c>
      <c r="C1760" t="s">
        <v>1802</v>
      </c>
      <c r="D1760">
        <v>18.45</v>
      </c>
      <c r="E1760">
        <v>0</v>
      </c>
      <c r="F1760" t="s">
        <v>1797</v>
      </c>
      <c r="G1760" t="s">
        <v>1797</v>
      </c>
      <c r="H1760">
        <v>0</v>
      </c>
      <c r="I1760">
        <v>1118.314204</v>
      </c>
      <c r="J1760" t="s">
        <v>1797</v>
      </c>
      <c r="K1760">
        <v>0</v>
      </c>
      <c r="L1760">
        <v>0.80122215476300607</v>
      </c>
      <c r="M1760">
        <v>38.200000000000003</v>
      </c>
      <c r="N1760">
        <v>16.72</v>
      </c>
    </row>
    <row r="1761" spans="1:14" x14ac:dyDescent="0.25">
      <c r="A1761" s="1" t="s">
        <v>1773</v>
      </c>
      <c r="B1761" t="str">
        <f>HYPERLINK("https://www.suredividend.com/sure-analysis-research-database/","Xos Inc")</f>
        <v>Xos Inc</v>
      </c>
      <c r="C1761" t="s">
        <v>1797</v>
      </c>
      <c r="D1761">
        <v>0.25319999999999998</v>
      </c>
      <c r="E1761">
        <v>0</v>
      </c>
      <c r="F1761" t="s">
        <v>1797</v>
      </c>
      <c r="G1761" t="s">
        <v>1797</v>
      </c>
      <c r="H1761">
        <v>0</v>
      </c>
      <c r="I1761">
        <v>44.567953000000003</v>
      </c>
      <c r="J1761" t="s">
        <v>1797</v>
      </c>
      <c r="K1761">
        <v>0</v>
      </c>
      <c r="L1761">
        <v>1.4172491200170569</v>
      </c>
      <c r="M1761">
        <v>1.19</v>
      </c>
      <c r="N1761">
        <v>0.2082</v>
      </c>
    </row>
    <row r="1762" spans="1:14" x14ac:dyDescent="0.25">
      <c r="A1762" s="1" t="s">
        <v>1774</v>
      </c>
      <c r="B1762" t="str">
        <f>HYPERLINK("https://www.suredividend.com/sure-analysis-research-database/","XPEL Inc")</f>
        <v>XPEL Inc</v>
      </c>
      <c r="C1762" t="s">
        <v>1801</v>
      </c>
      <c r="D1762">
        <v>50.16</v>
      </c>
      <c r="E1762">
        <v>0</v>
      </c>
      <c r="F1762" t="s">
        <v>1797</v>
      </c>
      <c r="G1762" t="s">
        <v>1797</v>
      </c>
      <c r="H1762">
        <v>0</v>
      </c>
      <c r="I1762">
        <v>1385.566871</v>
      </c>
      <c r="J1762">
        <v>28.363779223313351</v>
      </c>
      <c r="K1762">
        <v>0</v>
      </c>
      <c r="L1762">
        <v>1.154539880927363</v>
      </c>
      <c r="M1762">
        <v>87.46</v>
      </c>
      <c r="N1762">
        <v>45.4</v>
      </c>
    </row>
    <row r="1763" spans="1:14" x14ac:dyDescent="0.25">
      <c r="A1763" s="1" t="s">
        <v>1775</v>
      </c>
      <c r="B1763" t="str">
        <f>HYPERLINK("https://www.suredividend.com/sure-analysis-research-database/","Xperi Inc")</f>
        <v>Xperi Inc</v>
      </c>
      <c r="C1763" t="s">
        <v>1803</v>
      </c>
      <c r="D1763">
        <v>8.85</v>
      </c>
      <c r="E1763">
        <v>0</v>
      </c>
      <c r="F1763" t="s">
        <v>1797</v>
      </c>
      <c r="G1763" t="s">
        <v>1797</v>
      </c>
      <c r="H1763">
        <v>0</v>
      </c>
      <c r="I1763">
        <v>376.28087499999998</v>
      </c>
      <c r="J1763">
        <v>0</v>
      </c>
      <c r="K1763" t="s">
        <v>1797</v>
      </c>
      <c r="L1763">
        <v>1.3410230222865589</v>
      </c>
      <c r="M1763">
        <v>13.62</v>
      </c>
      <c r="N1763">
        <v>7.91</v>
      </c>
    </row>
    <row r="1764" spans="1:14" x14ac:dyDescent="0.25">
      <c r="A1764" s="1" t="s">
        <v>1776</v>
      </c>
      <c r="B1764" t="str">
        <f>HYPERLINK("https://www.suredividend.com/sure-analysis-research-database/","Xponential Fitness Inc")</f>
        <v>Xponential Fitness Inc</v>
      </c>
      <c r="C1764" t="s">
        <v>1797</v>
      </c>
      <c r="D1764">
        <v>14.22</v>
      </c>
      <c r="E1764">
        <v>0</v>
      </c>
      <c r="F1764" t="s">
        <v>1797</v>
      </c>
      <c r="G1764" t="s">
        <v>1797</v>
      </c>
      <c r="H1764">
        <v>0</v>
      </c>
      <c r="I1764">
        <v>475.730143</v>
      </c>
      <c r="J1764">
        <v>470.55404813056379</v>
      </c>
      <c r="K1764">
        <v>0</v>
      </c>
      <c r="L1764">
        <v>1.260410368090555</v>
      </c>
      <c r="M1764">
        <v>33.58</v>
      </c>
      <c r="N1764">
        <v>11.31</v>
      </c>
    </row>
    <row r="1765" spans="1:14" x14ac:dyDescent="0.25">
      <c r="A1765" s="1" t="s">
        <v>1777</v>
      </c>
      <c r="B1765" t="str">
        <f>HYPERLINK("https://www.suredividend.com/sure-analysis-research-database/","Expro Group Holdings N.V.")</f>
        <v>Expro Group Holdings N.V.</v>
      </c>
      <c r="C1765" t="s">
        <v>1797</v>
      </c>
      <c r="D1765">
        <v>16.100000000000001</v>
      </c>
      <c r="E1765">
        <v>0</v>
      </c>
      <c r="F1765" t="s">
        <v>1797</v>
      </c>
      <c r="G1765" t="s">
        <v>1797</v>
      </c>
      <c r="H1765">
        <v>0</v>
      </c>
      <c r="I1765">
        <v>1781.819651</v>
      </c>
      <c r="J1765">
        <v>0</v>
      </c>
      <c r="K1765" t="s">
        <v>1797</v>
      </c>
      <c r="L1765">
        <v>1.1183967982970759</v>
      </c>
      <c r="M1765">
        <v>25.04</v>
      </c>
      <c r="N1765">
        <v>14.61</v>
      </c>
    </row>
    <row r="1766" spans="1:14" x14ac:dyDescent="0.25">
      <c r="A1766" s="1" t="s">
        <v>1778</v>
      </c>
      <c r="B1766" t="str">
        <f>HYPERLINK("https://www.suredividend.com/sure-analysis-XRX/","Xerox Holdings Corp")</f>
        <v>Xerox Holdings Corp</v>
      </c>
      <c r="C1766" t="s">
        <v>1803</v>
      </c>
      <c r="D1766">
        <v>13.99</v>
      </c>
      <c r="E1766">
        <v>7.147962830593281E-2</v>
      </c>
      <c r="F1766" t="s">
        <v>1797</v>
      </c>
      <c r="G1766" t="s">
        <v>1797</v>
      </c>
      <c r="H1766">
        <v>0.9557509119871711</v>
      </c>
      <c r="I1766">
        <v>1719.4549259999999</v>
      </c>
      <c r="J1766">
        <v>10.35816220487952</v>
      </c>
      <c r="K1766">
        <v>0.91023896379730573</v>
      </c>
      <c r="L1766">
        <v>1.1358453205512631</v>
      </c>
      <c r="M1766">
        <v>16.850000000000001</v>
      </c>
      <c r="N1766">
        <v>12.06</v>
      </c>
    </row>
    <row r="1767" spans="1:14" x14ac:dyDescent="0.25">
      <c r="A1767" s="1" t="s">
        <v>1779</v>
      </c>
      <c r="B1767" t="str">
        <f>HYPERLINK("https://www.suredividend.com/sure-analysis-research-database/","22nd Century Group Inc")</f>
        <v>22nd Century Group Inc</v>
      </c>
      <c r="C1767" t="s">
        <v>1802</v>
      </c>
      <c r="D1767">
        <v>0.505</v>
      </c>
      <c r="E1767">
        <v>0</v>
      </c>
      <c r="F1767" t="s">
        <v>1797</v>
      </c>
      <c r="G1767" t="s">
        <v>1797</v>
      </c>
      <c r="H1767">
        <v>0</v>
      </c>
      <c r="I1767">
        <v>10.644721000000001</v>
      </c>
      <c r="J1767">
        <v>0</v>
      </c>
      <c r="K1767" t="s">
        <v>1797</v>
      </c>
      <c r="L1767">
        <v>1.162344853007778</v>
      </c>
      <c r="M1767">
        <v>21.75</v>
      </c>
      <c r="N1767">
        <v>0.4214</v>
      </c>
    </row>
    <row r="1768" spans="1:14" x14ac:dyDescent="0.25">
      <c r="A1768" s="1" t="s">
        <v>1780</v>
      </c>
      <c r="B1768" t="str">
        <f>HYPERLINK("https://www.suredividend.com/sure-analysis-research-database/","Yelp Inc")</f>
        <v>Yelp Inc</v>
      </c>
      <c r="C1768" t="s">
        <v>1806</v>
      </c>
      <c r="D1768">
        <v>44.73</v>
      </c>
      <c r="E1768">
        <v>0</v>
      </c>
      <c r="F1768" t="s">
        <v>1797</v>
      </c>
      <c r="G1768" t="s">
        <v>1797</v>
      </c>
      <c r="H1768">
        <v>0</v>
      </c>
      <c r="I1768">
        <v>3073.558254</v>
      </c>
      <c r="J1768">
        <v>71.805397964676189</v>
      </c>
      <c r="K1768">
        <v>0</v>
      </c>
      <c r="L1768">
        <v>1.103864312162222</v>
      </c>
      <c r="M1768">
        <v>47.59</v>
      </c>
      <c r="N1768">
        <v>25.3</v>
      </c>
    </row>
    <row r="1769" spans="1:14" x14ac:dyDescent="0.25">
      <c r="A1769" s="1" t="s">
        <v>1781</v>
      </c>
      <c r="B1769" t="str">
        <f>HYPERLINK("https://www.suredividend.com/sure-analysis-research-database/","Yext Inc")</f>
        <v>Yext Inc</v>
      </c>
      <c r="C1769" t="s">
        <v>1803</v>
      </c>
      <c r="D1769">
        <v>6.35</v>
      </c>
      <c r="E1769">
        <v>0</v>
      </c>
      <c r="F1769" t="s">
        <v>1797</v>
      </c>
      <c r="G1769" t="s">
        <v>1797</v>
      </c>
      <c r="H1769">
        <v>0</v>
      </c>
      <c r="I1769">
        <v>790.46894199999997</v>
      </c>
      <c r="J1769" t="s">
        <v>1797</v>
      </c>
      <c r="K1769">
        <v>0</v>
      </c>
      <c r="L1769">
        <v>1.1627771540589029</v>
      </c>
      <c r="M1769">
        <v>14.35</v>
      </c>
      <c r="N1769">
        <v>4.97</v>
      </c>
    </row>
    <row r="1770" spans="1:14" x14ac:dyDescent="0.25">
      <c r="A1770" s="1" t="s">
        <v>1782</v>
      </c>
      <c r="B1770" t="str">
        <f>HYPERLINK("https://www.suredividend.com/sure-analysis-research-database/","Y-Mabs Therapeutics Inc")</f>
        <v>Y-Mabs Therapeutics Inc</v>
      </c>
      <c r="C1770" t="s">
        <v>1802</v>
      </c>
      <c r="D1770">
        <v>5.47</v>
      </c>
      <c r="E1770">
        <v>0</v>
      </c>
      <c r="F1770" t="s">
        <v>1797</v>
      </c>
      <c r="G1770" t="s">
        <v>1797</v>
      </c>
      <c r="H1770">
        <v>0</v>
      </c>
      <c r="I1770">
        <v>238.60245</v>
      </c>
      <c r="J1770" t="s">
        <v>1797</v>
      </c>
      <c r="K1770">
        <v>0</v>
      </c>
      <c r="L1770">
        <v>1.521535444420941</v>
      </c>
      <c r="M1770">
        <v>10.95</v>
      </c>
      <c r="N1770">
        <v>2.7</v>
      </c>
    </row>
    <row r="1771" spans="1:14" x14ac:dyDescent="0.25">
      <c r="A1771" s="1" t="s">
        <v>1783</v>
      </c>
      <c r="B1771" t="str">
        <f>HYPERLINK("https://www.suredividend.com/sure-analysis-YORW/","York Water Co.")</f>
        <v>York Water Co.</v>
      </c>
      <c r="C1771" t="s">
        <v>1805</v>
      </c>
      <c r="D1771">
        <v>37.86</v>
      </c>
      <c r="E1771">
        <v>2.1394611727416801E-2</v>
      </c>
      <c r="F1771">
        <v>4.0020523345305259E-2</v>
      </c>
      <c r="G1771">
        <v>3.1836858121476297E-2</v>
      </c>
      <c r="H1771">
        <v>0.79961518770477502</v>
      </c>
      <c r="I1771">
        <v>541.78981299999998</v>
      </c>
      <c r="J1771">
        <v>25.961465002635489</v>
      </c>
      <c r="K1771">
        <v>0.54768163541422943</v>
      </c>
      <c r="L1771">
        <v>0.38641722747564111</v>
      </c>
      <c r="M1771">
        <v>45.87</v>
      </c>
      <c r="N1771">
        <v>35.24</v>
      </c>
    </row>
    <row r="1772" spans="1:14" x14ac:dyDescent="0.25">
      <c r="A1772" s="1" t="s">
        <v>1784</v>
      </c>
      <c r="B1772" t="str">
        <f>HYPERLINK("https://www.suredividend.com/sure-analysis-research-database/","Clear Secure Inc")</f>
        <v>Clear Secure Inc</v>
      </c>
      <c r="C1772" t="s">
        <v>1797</v>
      </c>
      <c r="D1772">
        <v>18.079999999999998</v>
      </c>
      <c r="E1772">
        <v>3.871681432412E-3</v>
      </c>
      <c r="F1772" t="s">
        <v>1797</v>
      </c>
      <c r="G1772" t="s">
        <v>1797</v>
      </c>
      <c r="H1772">
        <v>7.0000000298023002E-2</v>
      </c>
      <c r="I1772">
        <v>1608.7933310000001</v>
      </c>
      <c r="J1772" t="s">
        <v>1797</v>
      </c>
      <c r="K1772" t="s">
        <v>1797</v>
      </c>
      <c r="L1772">
        <v>1.445099350674578</v>
      </c>
      <c r="M1772">
        <v>34.61</v>
      </c>
      <c r="N1772">
        <v>15.28</v>
      </c>
    </row>
    <row r="1773" spans="1:14" x14ac:dyDescent="0.25">
      <c r="A1773" s="1" t="s">
        <v>1785</v>
      </c>
      <c r="B1773" t="str">
        <f>HYPERLINK("https://www.suredividend.com/sure-analysis-research-database/","Ziff Davis Inc")</f>
        <v>Ziff Davis Inc</v>
      </c>
      <c r="C1773" t="s">
        <v>1797</v>
      </c>
      <c r="D1773">
        <v>62.01</v>
      </c>
      <c r="E1773">
        <v>0</v>
      </c>
      <c r="F1773" t="s">
        <v>1797</v>
      </c>
      <c r="G1773" t="s">
        <v>1797</v>
      </c>
      <c r="H1773">
        <v>0</v>
      </c>
      <c r="I1773">
        <v>2875.3720750000002</v>
      </c>
      <c r="J1773">
        <v>30.357507890874921</v>
      </c>
      <c r="K1773">
        <v>0</v>
      </c>
      <c r="L1773">
        <v>1.1209530475559499</v>
      </c>
      <c r="M1773">
        <v>94.59</v>
      </c>
      <c r="N1773">
        <v>57.97</v>
      </c>
    </row>
    <row r="1774" spans="1:14" x14ac:dyDescent="0.25">
      <c r="A1774" s="1" t="s">
        <v>1786</v>
      </c>
      <c r="B1774" t="str">
        <f>HYPERLINK("https://www.suredividend.com/sure-analysis-research-database/","Zeta Global Holdings Corp")</f>
        <v>Zeta Global Holdings Corp</v>
      </c>
      <c r="C1774" t="s">
        <v>1797</v>
      </c>
      <c r="D1774">
        <v>8.4499999999999993</v>
      </c>
      <c r="E1774">
        <v>0</v>
      </c>
      <c r="F1774" t="s">
        <v>1797</v>
      </c>
      <c r="G1774" t="s">
        <v>1797</v>
      </c>
      <c r="H1774">
        <v>0</v>
      </c>
      <c r="I1774">
        <v>1541.6492229999999</v>
      </c>
      <c r="J1774" t="s">
        <v>1797</v>
      </c>
      <c r="K1774">
        <v>0</v>
      </c>
      <c r="L1774">
        <v>1.2040095481980111</v>
      </c>
      <c r="M1774">
        <v>11.28</v>
      </c>
      <c r="N1774">
        <v>7.24</v>
      </c>
    </row>
    <row r="1775" spans="1:14" x14ac:dyDescent="0.25">
      <c r="A1775" s="1" t="s">
        <v>1787</v>
      </c>
      <c r="B1775" t="str">
        <f>HYPERLINK("https://www.suredividend.com/sure-analysis-research-database/","Olympic Steel Inc.")</f>
        <v>Olympic Steel Inc.</v>
      </c>
      <c r="C1775" t="s">
        <v>1808</v>
      </c>
      <c r="D1775">
        <v>50.31</v>
      </c>
      <c r="E1775">
        <v>9.1808652545870006E-3</v>
      </c>
      <c r="F1775">
        <v>0.38888888888888878</v>
      </c>
      <c r="G1775">
        <v>0.44269990590721359</v>
      </c>
      <c r="H1775">
        <v>0.46188933095830098</v>
      </c>
      <c r="I1775">
        <v>560.07818799999995</v>
      </c>
      <c r="J1775">
        <v>13.695182610035211</v>
      </c>
      <c r="K1775">
        <v>0.13047721213511329</v>
      </c>
      <c r="L1775">
        <v>1.356879496975687</v>
      </c>
      <c r="M1775">
        <v>58.71</v>
      </c>
      <c r="N1775">
        <v>27.61</v>
      </c>
    </row>
    <row r="1776" spans="1:14" x14ac:dyDescent="0.25">
      <c r="A1776" s="1" t="s">
        <v>1788</v>
      </c>
      <c r="B1776" t="str">
        <f>HYPERLINK("https://www.suredividend.com/sure-analysis-research-database/","Lightning eMotors Inc")</f>
        <v>Lightning eMotors Inc</v>
      </c>
      <c r="C1776" t="s">
        <v>1797</v>
      </c>
      <c r="D1776">
        <v>1.63</v>
      </c>
      <c r="E1776">
        <v>0</v>
      </c>
      <c r="F1776" t="s">
        <v>1797</v>
      </c>
      <c r="G1776" t="s">
        <v>1797</v>
      </c>
      <c r="H1776">
        <v>0</v>
      </c>
      <c r="I1776">
        <v>10.533733</v>
      </c>
      <c r="J1776">
        <v>0</v>
      </c>
      <c r="K1776" t="s">
        <v>1797</v>
      </c>
      <c r="M1776">
        <v>38</v>
      </c>
      <c r="N1776">
        <v>1.57</v>
      </c>
    </row>
    <row r="1777" spans="1:14" x14ac:dyDescent="0.25">
      <c r="A1777" s="1" t="s">
        <v>1789</v>
      </c>
      <c r="B1777" t="str">
        <f>HYPERLINK("https://www.suredividend.com/sure-analysis-research-database/","Ermenegildo Zegna N.V.")</f>
        <v>Ermenegildo Zegna N.V.</v>
      </c>
      <c r="C1777" t="s">
        <v>1797</v>
      </c>
      <c r="D1777">
        <v>11.75</v>
      </c>
      <c r="E1777">
        <v>8.5106384246900011E-3</v>
      </c>
      <c r="F1777" t="s">
        <v>1797</v>
      </c>
      <c r="G1777" t="s">
        <v>1797</v>
      </c>
      <c r="H1777">
        <v>0.10000000149011599</v>
      </c>
      <c r="I1777">
        <v>2935.494428</v>
      </c>
      <c r="J1777">
        <v>0</v>
      </c>
      <c r="K1777" t="s">
        <v>1797</v>
      </c>
      <c r="L1777">
        <v>0.67976853992107911</v>
      </c>
      <c r="M1777">
        <v>16.36</v>
      </c>
      <c r="N1777">
        <v>9.7200000000000006</v>
      </c>
    </row>
    <row r="1778" spans="1:14" x14ac:dyDescent="0.25">
      <c r="A1778" s="1" t="s">
        <v>1790</v>
      </c>
      <c r="B1778" t="str">
        <f>HYPERLINK("https://www.suredividend.com/sure-analysis-research-database/","ZimVie Inc")</f>
        <v>ZimVie Inc</v>
      </c>
      <c r="C1778" t="s">
        <v>1797</v>
      </c>
      <c r="D1778">
        <v>7.88</v>
      </c>
      <c r="E1778">
        <v>0</v>
      </c>
      <c r="F1778" t="s">
        <v>1797</v>
      </c>
      <c r="G1778" t="s">
        <v>1797</v>
      </c>
      <c r="H1778">
        <v>0</v>
      </c>
      <c r="I1778">
        <v>209.10423900000001</v>
      </c>
      <c r="J1778" t="s">
        <v>1797</v>
      </c>
      <c r="K1778">
        <v>0</v>
      </c>
      <c r="L1778">
        <v>2.0872359695405618</v>
      </c>
      <c r="M1778">
        <v>15.5</v>
      </c>
      <c r="N1778">
        <v>5.05</v>
      </c>
    </row>
    <row r="1779" spans="1:14" x14ac:dyDescent="0.25">
      <c r="A1779" s="1" t="s">
        <v>1791</v>
      </c>
      <c r="B1779" t="str">
        <f>HYPERLINK("https://www.suredividend.com/sure-analysis-research-database/","ZipRecruiter Inc")</f>
        <v>ZipRecruiter Inc</v>
      </c>
      <c r="C1779" t="s">
        <v>1797</v>
      </c>
      <c r="D1779">
        <v>11.75</v>
      </c>
      <c r="E1779">
        <v>0</v>
      </c>
      <c r="F1779" t="s">
        <v>1797</v>
      </c>
      <c r="G1779" t="s">
        <v>1797</v>
      </c>
      <c r="H1779">
        <v>0</v>
      </c>
      <c r="I1779">
        <v>863.46050000000002</v>
      </c>
      <c r="J1779">
        <v>14.546657569325109</v>
      </c>
      <c r="K1779">
        <v>0</v>
      </c>
      <c r="L1779">
        <v>1.706201383514687</v>
      </c>
      <c r="M1779">
        <v>24.05</v>
      </c>
      <c r="N1779">
        <v>10.27</v>
      </c>
    </row>
    <row r="1780" spans="1:14" x14ac:dyDescent="0.25">
      <c r="A1780" s="1" t="s">
        <v>1792</v>
      </c>
      <c r="B1780" t="str">
        <f>HYPERLINK("https://www.suredividend.com/sure-analysis-research-database/","Zentalis Pharmaceuticals Inc")</f>
        <v>Zentalis Pharmaceuticals Inc</v>
      </c>
      <c r="C1780" t="s">
        <v>1802</v>
      </c>
      <c r="D1780">
        <v>17.88</v>
      </c>
      <c r="E1780">
        <v>0</v>
      </c>
      <c r="F1780" t="s">
        <v>1797</v>
      </c>
      <c r="G1780" t="s">
        <v>1797</v>
      </c>
      <c r="H1780">
        <v>0</v>
      </c>
      <c r="I1780">
        <v>1264.992835</v>
      </c>
      <c r="J1780">
        <v>0</v>
      </c>
      <c r="K1780" t="s">
        <v>1797</v>
      </c>
      <c r="L1780">
        <v>1.635051006502598</v>
      </c>
      <c r="M1780">
        <v>31.46</v>
      </c>
      <c r="N1780">
        <v>15.55</v>
      </c>
    </row>
    <row r="1781" spans="1:14" x14ac:dyDescent="0.25">
      <c r="A1781" s="1" t="s">
        <v>1793</v>
      </c>
      <c r="B1781" t="str">
        <f>HYPERLINK("https://www.suredividend.com/sure-analysis-research-database/","Zumiez Inc")</f>
        <v>Zumiez Inc</v>
      </c>
      <c r="C1781" t="s">
        <v>1801</v>
      </c>
      <c r="D1781">
        <v>16.91</v>
      </c>
      <c r="E1781">
        <v>0</v>
      </c>
      <c r="F1781" t="s">
        <v>1797</v>
      </c>
      <c r="G1781" t="s">
        <v>1797</v>
      </c>
      <c r="H1781">
        <v>0</v>
      </c>
      <c r="I1781">
        <v>334.95913100000001</v>
      </c>
      <c r="J1781" t="s">
        <v>1797</v>
      </c>
      <c r="K1781">
        <v>0</v>
      </c>
      <c r="L1781">
        <v>1.4242159425126399</v>
      </c>
      <c r="M1781">
        <v>28.97</v>
      </c>
      <c r="N1781">
        <v>13.19</v>
      </c>
    </row>
    <row r="1782" spans="1:14" x14ac:dyDescent="0.25">
      <c r="A1782" s="1" t="s">
        <v>1794</v>
      </c>
      <c r="B1782" t="str">
        <f>HYPERLINK("https://www.suredividend.com/sure-analysis-research-database/","Zuora Inc")</f>
        <v>Zuora Inc</v>
      </c>
      <c r="C1782" t="s">
        <v>1803</v>
      </c>
      <c r="D1782">
        <v>7.75</v>
      </c>
      <c r="E1782">
        <v>0</v>
      </c>
      <c r="F1782" t="s">
        <v>1797</v>
      </c>
      <c r="G1782" t="s">
        <v>1797</v>
      </c>
      <c r="H1782">
        <v>0</v>
      </c>
      <c r="I1782">
        <v>1026.0999999999999</v>
      </c>
      <c r="J1782" t="s">
        <v>1797</v>
      </c>
      <c r="K1782">
        <v>0</v>
      </c>
      <c r="L1782">
        <v>2.1739330873689422</v>
      </c>
      <c r="M1782">
        <v>12.12</v>
      </c>
      <c r="N1782">
        <v>5.45</v>
      </c>
    </row>
    <row r="1783" spans="1:14" x14ac:dyDescent="0.25">
      <c r="A1783" s="1" t="s">
        <v>1795</v>
      </c>
      <c r="B1783" t="str">
        <f>HYPERLINK("https://www.suredividend.com/sure-analysis-research-database/","Zurn Elkay Water Solutions Corp")</f>
        <v>Zurn Elkay Water Solutions Corp</v>
      </c>
      <c r="C1783" t="s">
        <v>1797</v>
      </c>
      <c r="D1783">
        <v>28.65</v>
      </c>
      <c r="E1783">
        <v>9.7327290456020003E-3</v>
      </c>
      <c r="F1783" t="s">
        <v>1797</v>
      </c>
      <c r="G1783" t="s">
        <v>1797</v>
      </c>
      <c r="H1783">
        <v>0.27884268715650601</v>
      </c>
      <c r="I1783">
        <v>4951.0222860000003</v>
      </c>
      <c r="J1783">
        <v>43.814356514601769</v>
      </c>
      <c r="K1783">
        <v>0.4408580034094956</v>
      </c>
      <c r="L1783">
        <v>1.3422769299270201</v>
      </c>
      <c r="M1783">
        <v>30.8</v>
      </c>
      <c r="N1783">
        <v>19.18</v>
      </c>
    </row>
    <row r="1784" spans="1:14" x14ac:dyDescent="0.25">
      <c r="A1784" s="1" t="s">
        <v>1796</v>
      </c>
      <c r="B1784" t="str">
        <f>HYPERLINK("https://www.suredividend.com/sure-analysis-research-database/","Zynex Inc")</f>
        <v>Zynex Inc</v>
      </c>
      <c r="C1784" t="s">
        <v>1802</v>
      </c>
      <c r="D1784">
        <v>9.1549999999999994</v>
      </c>
      <c r="E1784">
        <v>0</v>
      </c>
      <c r="F1784" t="s">
        <v>1797</v>
      </c>
      <c r="G1784" t="s">
        <v>1797</v>
      </c>
      <c r="H1784">
        <v>0</v>
      </c>
      <c r="I1784">
        <v>310.38907799999998</v>
      </c>
      <c r="J1784">
        <v>19.436976544241968</v>
      </c>
      <c r="K1784">
        <v>0</v>
      </c>
      <c r="L1784">
        <v>1.114919366304953</v>
      </c>
      <c r="M1784">
        <v>17.25</v>
      </c>
      <c r="N1784">
        <v>6.88</v>
      </c>
    </row>
  </sheetData>
  <autoFilter ref="A1:O1784" xr:uid="{00000000-0009-0000-0000-000000000000}"/>
  <conditionalFormatting sqref="A1:N1">
    <cfRule type="cellIs" dxfId="24" priority="15" operator="notEqual">
      <formula>-13.345</formula>
    </cfRule>
  </conditionalFormatting>
  <conditionalFormatting sqref="A2:A1784">
    <cfRule type="cellIs" dxfId="23" priority="1" operator="notEqual">
      <formula>"None"</formula>
    </cfRule>
  </conditionalFormatting>
  <conditionalFormatting sqref="B2:B1784">
    <cfRule type="cellIs" dxfId="22" priority="2" operator="notEqual">
      <formula>"None"</formula>
    </cfRule>
  </conditionalFormatting>
  <conditionalFormatting sqref="C2:C1784">
    <cfRule type="cellIs" dxfId="21" priority="3" operator="notEqual">
      <formula>"None"</formula>
    </cfRule>
  </conditionalFormatting>
  <conditionalFormatting sqref="D2:D1784">
    <cfRule type="cellIs" dxfId="20" priority="4" operator="notEqual">
      <formula>"None"</formula>
    </cfRule>
  </conditionalFormatting>
  <conditionalFormatting sqref="E2:E1784">
    <cfRule type="cellIs" dxfId="19" priority="5" operator="notEqual">
      <formula>"None"</formula>
    </cfRule>
  </conditionalFormatting>
  <conditionalFormatting sqref="F2:F1784">
    <cfRule type="cellIs" dxfId="18" priority="6" operator="notEqual">
      <formula>"None"</formula>
    </cfRule>
  </conditionalFormatting>
  <conditionalFormatting sqref="G2:G1784">
    <cfRule type="cellIs" dxfId="17" priority="7" operator="notEqual">
      <formula>"None"</formula>
    </cfRule>
  </conditionalFormatting>
  <conditionalFormatting sqref="H2:H1784">
    <cfRule type="cellIs" dxfId="16" priority="8" operator="notEqual">
      <formula>"None"</formula>
    </cfRule>
  </conditionalFormatting>
  <conditionalFormatting sqref="I2:I1784">
    <cfRule type="cellIs" dxfId="15" priority="9" operator="notEqual">
      <formula>"None"</formula>
    </cfRule>
  </conditionalFormatting>
  <conditionalFormatting sqref="J2:J1784">
    <cfRule type="cellIs" dxfId="14" priority="10" operator="notEqual">
      <formula>"None"</formula>
    </cfRule>
  </conditionalFormatting>
  <conditionalFormatting sqref="K2:K1784">
    <cfRule type="cellIs" dxfId="13" priority="11" operator="notEqual">
      <formula>"None"</formula>
    </cfRule>
  </conditionalFormatting>
  <conditionalFormatting sqref="L2:L1784">
    <cfRule type="cellIs" dxfId="12" priority="12" operator="notEqual">
      <formula>"None"</formula>
    </cfRule>
  </conditionalFormatting>
  <conditionalFormatting sqref="M2:M1784">
    <cfRule type="cellIs" dxfId="11" priority="13" operator="notEqual">
      <formula>"None"</formula>
    </cfRule>
  </conditionalFormatting>
  <conditionalFormatting sqref="N2:N1784">
    <cfRule type="cellIs" dxfId="10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customWidth="1"/>
    <col min="2" max="2" width="45.7109375" customWidth="1"/>
    <col min="3" max="9" width="25.7109375" customWidth="1"/>
  </cols>
  <sheetData>
    <row r="1" spans="1:9" x14ac:dyDescent="0.25">
      <c r="A1" s="1" t="s">
        <v>13</v>
      </c>
      <c r="B1" s="1" t="s">
        <v>0</v>
      </c>
      <c r="C1" s="1" t="s">
        <v>1809</v>
      </c>
      <c r="D1" s="1" t="s">
        <v>1810</v>
      </c>
      <c r="E1" s="1" t="s">
        <v>1811</v>
      </c>
      <c r="F1" s="1" t="s">
        <v>1812</v>
      </c>
      <c r="G1" s="1" t="s">
        <v>1813</v>
      </c>
      <c r="H1" s="1" t="s">
        <v>1814</v>
      </c>
      <c r="I1" s="1" t="s">
        <v>1815</v>
      </c>
    </row>
    <row r="2" spans="1:9" x14ac:dyDescent="0.25">
      <c r="A2" s="1" t="s">
        <v>14</v>
      </c>
      <c r="B2" t="str">
        <f>HYPERLINK("https://www.suredividend.com/sure-analysis-research-database/","Aadi Bioscience Inc")</f>
        <v>Aadi Bioscience Inc</v>
      </c>
      <c r="C2">
        <v>0.157142857142857</v>
      </c>
      <c r="D2">
        <v>-0.15183246073298401</v>
      </c>
      <c r="E2">
        <v>-0.37532133676092511</v>
      </c>
      <c r="F2">
        <v>-0.62120031176929003</v>
      </c>
      <c r="G2">
        <v>-0.61213088587390208</v>
      </c>
      <c r="H2">
        <v>-0.82784272051009511</v>
      </c>
      <c r="I2">
        <v>1.3142857142857141</v>
      </c>
    </row>
    <row r="3" spans="1:9" x14ac:dyDescent="0.25">
      <c r="A3" s="1" t="s">
        <v>15</v>
      </c>
      <c r="B3" t="str">
        <f>HYPERLINK("https://www.suredividend.com/sure-analysis-research-database/","Aarons Company Inc (The)")</f>
        <v>Aarons Company Inc (The)</v>
      </c>
      <c r="C3">
        <v>-0.239307535641547</v>
      </c>
      <c r="D3">
        <v>-0.44387367668736311</v>
      </c>
      <c r="E3">
        <v>-0.35826396226901303</v>
      </c>
      <c r="F3">
        <v>-0.35379504835723802</v>
      </c>
      <c r="G3">
        <v>-0.197447302262618</v>
      </c>
      <c r="H3">
        <v>-0.68279850698735001</v>
      </c>
      <c r="I3">
        <v>-0.71811320754716901</v>
      </c>
    </row>
    <row r="4" spans="1:9" x14ac:dyDescent="0.25">
      <c r="A4" s="1" t="s">
        <v>16</v>
      </c>
      <c r="B4" t="str">
        <f>HYPERLINK("https://www.suredividend.com/sure-analysis-research-database/","AAON Inc.")</f>
        <v>AAON Inc.</v>
      </c>
      <c r="C4">
        <v>2.8982930298719001E-2</v>
      </c>
      <c r="D4">
        <v>-0.112056968289064</v>
      </c>
      <c r="E4">
        <v>-9.3925212427331012E-2</v>
      </c>
      <c r="F4">
        <v>0.159726411180828</v>
      </c>
      <c r="G4">
        <v>0.33137626160956801</v>
      </c>
      <c r="H4">
        <v>0.19170931106557801</v>
      </c>
      <c r="I4">
        <v>1.3054399139493651</v>
      </c>
    </row>
    <row r="5" spans="1:9" x14ac:dyDescent="0.25">
      <c r="A5" s="1" t="s">
        <v>17</v>
      </c>
      <c r="B5" t="str">
        <f>HYPERLINK("https://www.suredividend.com/sure-analysis-AAT/","American Assets Trust Inc")</f>
        <v>American Assets Trust Inc</v>
      </c>
      <c r="C5">
        <v>8.3650190114068004E-2</v>
      </c>
      <c r="D5">
        <v>-9.9034001869673011E-2</v>
      </c>
      <c r="E5">
        <v>0.104247617149878</v>
      </c>
      <c r="F5">
        <v>-0.210994660866126</v>
      </c>
      <c r="G5">
        <v>-0.25105021905373198</v>
      </c>
      <c r="H5">
        <v>-0.42639447958596899</v>
      </c>
      <c r="I5">
        <v>-0.36851501319946001</v>
      </c>
    </row>
    <row r="6" spans="1:9" x14ac:dyDescent="0.25">
      <c r="A6" s="1" t="s">
        <v>18</v>
      </c>
      <c r="B6" t="str">
        <f>HYPERLINK("https://www.suredividend.com/sure-analysis-research-database/","Ameris Bancorp")</f>
        <v>Ameris Bancorp</v>
      </c>
      <c r="C6">
        <v>0.119015779620219</v>
      </c>
      <c r="D6">
        <v>-5.3218017822309997E-2</v>
      </c>
      <c r="E6">
        <v>0.43516708171259599</v>
      </c>
      <c r="F6">
        <v>-9.3622865659484009E-2</v>
      </c>
      <c r="G6">
        <v>-0.17171969125574299</v>
      </c>
      <c r="H6">
        <v>-0.190142344483715</v>
      </c>
      <c r="I6">
        <v>4.4123188568548001E-2</v>
      </c>
    </row>
    <row r="7" spans="1:9" x14ac:dyDescent="0.25">
      <c r="A7" s="1" t="s">
        <v>19</v>
      </c>
      <c r="B7" t="str">
        <f>HYPERLINK("https://www.suredividend.com/sure-analysis-research-database/","AbCellera Biologics Inc")</f>
        <v>AbCellera Biologics Inc</v>
      </c>
      <c r="C7">
        <v>6.0948081264108007E-2</v>
      </c>
      <c r="D7">
        <v>-0.221854304635761</v>
      </c>
      <c r="E7">
        <v>-0.28895612708018098</v>
      </c>
      <c r="F7">
        <v>-0.53603158933859807</v>
      </c>
      <c r="G7">
        <v>-0.60537363560033508</v>
      </c>
      <c r="H7">
        <v>-0.72941853770869303</v>
      </c>
      <c r="I7">
        <v>-0.92020373514431208</v>
      </c>
    </row>
    <row r="8" spans="1:9" x14ac:dyDescent="0.25">
      <c r="A8" s="1" t="s">
        <v>20</v>
      </c>
      <c r="B8" t="str">
        <f>HYPERLINK("https://www.suredividend.com/sure-analysis-research-database/","Asbury Automotive Group Inc")</f>
        <v>Asbury Automotive Group Inc</v>
      </c>
      <c r="C8">
        <v>-2.0063456513624001E-2</v>
      </c>
      <c r="D8">
        <v>-5.1528699814839013E-2</v>
      </c>
      <c r="E8">
        <v>0.108811572778628</v>
      </c>
      <c r="F8">
        <v>0.17165969316596899</v>
      </c>
      <c r="G8">
        <v>0.36482973745775898</v>
      </c>
      <c r="H8">
        <v>0.13844319167389399</v>
      </c>
      <c r="I8">
        <v>2.0830886670581328</v>
      </c>
    </row>
    <row r="9" spans="1:9" x14ac:dyDescent="0.25">
      <c r="A9" s="1" t="s">
        <v>21</v>
      </c>
      <c r="B9" t="str">
        <f>HYPERLINK("https://www.suredividend.com/sure-analysis-ABM/","ABM Industries Inc.")</f>
        <v>ABM Industries Inc.</v>
      </c>
      <c r="C9">
        <v>1.3392857142857E-2</v>
      </c>
      <c r="D9">
        <v>-9.8120753817425008E-2</v>
      </c>
      <c r="E9">
        <v>-1.4481288168950999E-2</v>
      </c>
      <c r="F9">
        <v>-6.0840784241616007E-2</v>
      </c>
      <c r="G9">
        <v>-3.0952138142681999E-2</v>
      </c>
      <c r="H9">
        <v>-8.2667672454436E-2</v>
      </c>
      <c r="I9">
        <v>0.40869835031287111</v>
      </c>
    </row>
    <row r="10" spans="1:9" x14ac:dyDescent="0.25">
      <c r="A10" s="1" t="s">
        <v>22</v>
      </c>
      <c r="B10" t="str">
        <f>HYPERLINK("https://www.suredividend.com/sure-analysis-ABR/","Arbor Realty Trust Inc.")</f>
        <v>Arbor Realty Trust Inc.</v>
      </c>
      <c r="C10">
        <v>-4.8708487084870002E-2</v>
      </c>
      <c r="D10">
        <v>-0.20806556651880601</v>
      </c>
      <c r="E10">
        <v>0.25386665629073302</v>
      </c>
      <c r="F10">
        <v>9.6638619715673002E-2</v>
      </c>
      <c r="G10">
        <v>2.7935277558474001E-2</v>
      </c>
      <c r="H10">
        <v>-0.17415733936431199</v>
      </c>
      <c r="I10">
        <v>0.76585018357170209</v>
      </c>
    </row>
    <row r="11" spans="1:9" x14ac:dyDescent="0.25">
      <c r="A11" s="1" t="s">
        <v>23</v>
      </c>
      <c r="B11" t="str">
        <f>HYPERLINK("https://www.suredividend.com/sure-analysis-research-database/","Absci Corp")</f>
        <v>Absci Corp</v>
      </c>
      <c r="C11">
        <v>0.105058365758754</v>
      </c>
      <c r="D11">
        <v>-0.26424870466321199</v>
      </c>
      <c r="E11">
        <v>8.3969465648854005E-2</v>
      </c>
      <c r="F11">
        <v>-0.32380952380952299</v>
      </c>
      <c r="G11">
        <v>-0.512027491408934</v>
      </c>
      <c r="H11">
        <v>-0.9165687426556991</v>
      </c>
      <c r="I11">
        <v>-0.93422880963408905</v>
      </c>
    </row>
    <row r="12" spans="1:9" x14ac:dyDescent="0.25">
      <c r="A12" s="1" t="s">
        <v>24</v>
      </c>
      <c r="B12" t="str">
        <f>HYPERLINK("https://www.suredividend.com/sure-analysis-research-database/","Arbutus Biopharma Corp")</f>
        <v>Arbutus Biopharma Corp</v>
      </c>
      <c r="C12">
        <v>1.5873015873015001E-2</v>
      </c>
      <c r="D12">
        <v>-0.10280373831775701</v>
      </c>
      <c r="E12">
        <v>-0.247058823529411</v>
      </c>
      <c r="F12">
        <v>-0.17596566523605101</v>
      </c>
      <c r="G12">
        <v>-0.247058823529411</v>
      </c>
      <c r="H12">
        <v>-0.50515463917525705</v>
      </c>
      <c r="I12">
        <v>-0.62862669245647906</v>
      </c>
    </row>
    <row r="13" spans="1:9" x14ac:dyDescent="0.25">
      <c r="A13" s="1" t="s">
        <v>25</v>
      </c>
      <c r="B13" t="str">
        <f>HYPERLINK("https://www.suredividend.com/sure-analysis-research-database/","Associated Capital Group Inc")</f>
        <v>Associated Capital Group Inc</v>
      </c>
      <c r="C13">
        <v>-3.4706546275393997E-2</v>
      </c>
      <c r="D13">
        <v>-6.9368879216539003E-2</v>
      </c>
      <c r="E13">
        <v>-8.492466209619301E-2</v>
      </c>
      <c r="F13">
        <v>-0.18299209740090699</v>
      </c>
      <c r="G13">
        <v>-0.16698321791387799</v>
      </c>
      <c r="H13">
        <v>-6.0691260941670003E-2</v>
      </c>
      <c r="I13">
        <v>-0.146914703938755</v>
      </c>
    </row>
    <row r="14" spans="1:9" x14ac:dyDescent="0.25">
      <c r="A14" s="1" t="s">
        <v>26</v>
      </c>
      <c r="B14" t="str">
        <f>HYPERLINK("https://www.suredividend.com/sure-analysis-research-database/","Arcosa Inc")</f>
        <v>Arcosa Inc</v>
      </c>
      <c r="C14">
        <v>-4.4764487715072E-2</v>
      </c>
      <c r="D14">
        <v>-0.13184843402959101</v>
      </c>
      <c r="E14">
        <v>1.5003022806814001E-2</v>
      </c>
      <c r="F14">
        <v>0.24891094079948001</v>
      </c>
      <c r="G14">
        <v>0.118605958403597</v>
      </c>
      <c r="H14">
        <v>0.30266694391177401</v>
      </c>
      <c r="I14">
        <v>1.4190117303835159</v>
      </c>
    </row>
    <row r="15" spans="1:9" x14ac:dyDescent="0.25">
      <c r="A15" s="1" t="s">
        <v>27</v>
      </c>
      <c r="B15" t="str">
        <f>HYPERLINK("https://www.suredividend.com/sure-analysis-research-database/","Acadia Pharmaceuticals Inc")</f>
        <v>Acadia Pharmaceuticals Inc</v>
      </c>
      <c r="C15">
        <v>0.118494423791821</v>
      </c>
      <c r="D15">
        <v>-0.114748069143067</v>
      </c>
      <c r="E15">
        <v>0.116937354988398</v>
      </c>
      <c r="F15">
        <v>0.51193467336683407</v>
      </c>
      <c r="G15">
        <v>0.64076346284935204</v>
      </c>
      <c r="H15">
        <v>0.202297702297702</v>
      </c>
      <c r="I15">
        <v>5.8952925648922003E-2</v>
      </c>
    </row>
    <row r="16" spans="1:9" x14ac:dyDescent="0.25">
      <c r="A16" s="1" t="s">
        <v>28</v>
      </c>
      <c r="B16" t="str">
        <f>HYPERLINK("https://www.suredividend.com/sure-analysis-research-database/","Accolade Inc")</f>
        <v>Accolade Inc</v>
      </c>
      <c r="C16">
        <v>-0.25538461538461499</v>
      </c>
      <c r="D16">
        <v>-0.50068775790921505</v>
      </c>
      <c r="E16">
        <v>-0.37948717948717903</v>
      </c>
      <c r="F16">
        <v>-6.8035943517329001E-2</v>
      </c>
      <c r="G16">
        <v>-0.21935483870967701</v>
      </c>
      <c r="H16">
        <v>-0.81680545041635111</v>
      </c>
      <c r="I16">
        <v>-0.75555555555555509</v>
      </c>
    </row>
    <row r="17" spans="1:9" x14ac:dyDescent="0.25">
      <c r="A17" s="1" t="s">
        <v>29</v>
      </c>
      <c r="B17" t="str">
        <f>HYPERLINK("https://www.suredividend.com/sure-analysis-research-database/","Acco Brands Corporation")</f>
        <v>Acco Brands Corporation</v>
      </c>
      <c r="C17">
        <v>-6.3079777365491002E-2</v>
      </c>
      <c r="D17">
        <v>-0.158908079479022</v>
      </c>
      <c r="E17">
        <v>0.175566832720331</v>
      </c>
      <c r="F17">
        <v>-5.7484135871592998E-2</v>
      </c>
      <c r="G17">
        <v>0.14152670720405</v>
      </c>
      <c r="H17">
        <v>-0.37967546585758299</v>
      </c>
      <c r="I17">
        <v>-0.31451065562644198</v>
      </c>
    </row>
    <row r="18" spans="1:9" x14ac:dyDescent="0.25">
      <c r="A18" s="1" t="s">
        <v>30</v>
      </c>
      <c r="B18" t="str">
        <f>HYPERLINK("https://www.suredividend.com/sure-analysis-research-database/","Accel Entertainment Inc")</f>
        <v>Accel Entertainment Inc</v>
      </c>
      <c r="C18">
        <v>-3.4418604651161998E-2</v>
      </c>
      <c r="D18">
        <v>-0.13572023313904999</v>
      </c>
      <c r="E18">
        <v>0.104255319148936</v>
      </c>
      <c r="F18">
        <v>0.348051948051948</v>
      </c>
      <c r="G18">
        <v>5.7026476578411013E-2</v>
      </c>
      <c r="H18">
        <v>-0.19969159599074701</v>
      </c>
      <c r="I18">
        <v>-5.2054794520547003E-2</v>
      </c>
    </row>
    <row r="19" spans="1:9" x14ac:dyDescent="0.25">
      <c r="A19" s="1" t="s">
        <v>31</v>
      </c>
      <c r="B19" t="str">
        <f>HYPERLINK("https://www.suredividend.com/sure-analysis-research-database/","Adicet Bio Inc")</f>
        <v>Adicet Bio Inc</v>
      </c>
      <c r="C19">
        <v>0.27906976744186002</v>
      </c>
      <c r="D19">
        <v>-0.29787234042553201</v>
      </c>
      <c r="E19">
        <v>-0.74137931034482707</v>
      </c>
      <c r="F19">
        <v>-0.81543624161073802</v>
      </c>
      <c r="G19">
        <v>-0.90766648013430307</v>
      </c>
      <c r="H19">
        <v>-0.82123510292524304</v>
      </c>
      <c r="I19">
        <v>-0.85539000876424109</v>
      </c>
    </row>
    <row r="20" spans="1:9" x14ac:dyDescent="0.25">
      <c r="A20" s="1" t="s">
        <v>32</v>
      </c>
      <c r="B20" t="str">
        <f>HYPERLINK("https://www.suredividend.com/sure-analysis-research-database/","Archer Aviation Inc")</f>
        <v>Archer Aviation Inc</v>
      </c>
      <c r="C20">
        <v>0.102822580645161</v>
      </c>
      <c r="D20">
        <v>-2.3214285714285E-2</v>
      </c>
      <c r="E20">
        <v>1.694581280788177</v>
      </c>
      <c r="F20">
        <v>1.9251336898395719</v>
      </c>
      <c r="G20">
        <v>1.003663003663003</v>
      </c>
      <c r="H20">
        <v>-0.161042944785276</v>
      </c>
      <c r="I20">
        <v>-0.45135406218655899</v>
      </c>
    </row>
    <row r="21" spans="1:9" x14ac:dyDescent="0.25">
      <c r="A21" s="1" t="s">
        <v>33</v>
      </c>
      <c r="B21" t="str">
        <f>HYPERLINK("https://www.suredividend.com/sure-analysis-research-database/","ACI Worldwide Inc")</f>
        <v>ACI Worldwide Inc</v>
      </c>
      <c r="C21">
        <v>0.15373563218390801</v>
      </c>
      <c r="D21">
        <v>9.2165898617510011E-3</v>
      </c>
      <c r="E21">
        <v>5.845511482254E-3</v>
      </c>
      <c r="F21">
        <v>4.7391304347826013E-2</v>
      </c>
      <c r="G21">
        <v>0.17283349561830499</v>
      </c>
      <c r="H21">
        <v>-0.23741690408357</v>
      </c>
      <c r="I21">
        <v>-5.7142857142857002E-2</v>
      </c>
    </row>
    <row r="22" spans="1:9" x14ac:dyDescent="0.25">
      <c r="A22" s="1" t="s">
        <v>34</v>
      </c>
      <c r="B22" t="str">
        <f>HYPERLINK("https://www.suredividend.com/sure-analysis-research-database/","Axcelis Technologies Inc")</f>
        <v>Axcelis Technologies Inc</v>
      </c>
      <c r="C22">
        <v>-0.182402095285607</v>
      </c>
      <c r="D22">
        <v>-0.25395470581540902</v>
      </c>
      <c r="E22">
        <v>0.154747225647349</v>
      </c>
      <c r="F22">
        <v>0.65209173387096808</v>
      </c>
      <c r="G22">
        <v>1.015526518063028</v>
      </c>
      <c r="H22">
        <v>1.2640303919875671</v>
      </c>
      <c r="I22">
        <v>6.2536652835408031</v>
      </c>
    </row>
    <row r="23" spans="1:9" x14ac:dyDescent="0.25">
      <c r="A23" s="1" t="s">
        <v>35</v>
      </c>
      <c r="B23" t="str">
        <f>HYPERLINK("https://www.suredividend.com/sure-analysis-research-database/","Arcellx Inc")</f>
        <v>Arcellx Inc</v>
      </c>
      <c r="C23">
        <v>0.30764723117491899</v>
      </c>
      <c r="D23">
        <v>0.27696709585121598</v>
      </c>
      <c r="E23">
        <v>3.1668978270920002E-2</v>
      </c>
      <c r="F23">
        <v>0.44060684312459603</v>
      </c>
      <c r="G23">
        <v>1.0076473234367971</v>
      </c>
      <c r="H23">
        <v>1.6565476190476189</v>
      </c>
      <c r="I23">
        <v>1.6565476190476189</v>
      </c>
    </row>
    <row r="24" spans="1:9" x14ac:dyDescent="0.25">
      <c r="A24" s="1" t="s">
        <v>36</v>
      </c>
      <c r="B24" t="str">
        <f>HYPERLINK("https://www.suredividend.com/sure-analysis-research-database/","ACM Research Inc")</f>
        <v>ACM Research Inc</v>
      </c>
      <c r="C24">
        <v>-0.161388888888888</v>
      </c>
      <c r="D24">
        <v>0.20374800637958501</v>
      </c>
      <c r="E24">
        <v>0.69988738738738709</v>
      </c>
      <c r="F24">
        <v>0.95784695201037606</v>
      </c>
      <c r="G24">
        <v>1.2836611195158849</v>
      </c>
      <c r="H24">
        <v>-0.58316419657970908</v>
      </c>
      <c r="I24">
        <v>3.5194610778443121</v>
      </c>
    </row>
    <row r="25" spans="1:9" x14ac:dyDescent="0.25">
      <c r="A25" s="1" t="s">
        <v>37</v>
      </c>
      <c r="B25" t="str">
        <f>HYPERLINK("https://www.suredividend.com/sure-analysis-research-database/","ACNB Corp.")</f>
        <v>ACNB Corp.</v>
      </c>
      <c r="C25">
        <v>0.118502475247524</v>
      </c>
      <c r="D25">
        <v>7.8142195473293E-2</v>
      </c>
      <c r="E25">
        <v>0.36481532519603799</v>
      </c>
      <c r="F25">
        <v>-5.2553780349728997E-2</v>
      </c>
      <c r="G25">
        <v>3.131900422798E-2</v>
      </c>
      <c r="H25">
        <v>0.39356838315227799</v>
      </c>
      <c r="I25">
        <v>0.103102724343325</v>
      </c>
    </row>
    <row r="26" spans="1:9" x14ac:dyDescent="0.25">
      <c r="A26" s="1" t="s">
        <v>38</v>
      </c>
      <c r="B26" t="str">
        <f>HYPERLINK("https://www.suredividend.com/sure-analysis-ACRE/","Ares Commercial Real Estate Corp")</f>
        <v>Ares Commercial Real Estate Corp</v>
      </c>
      <c r="C26">
        <v>0.125282167042889</v>
      </c>
      <c r="D26">
        <v>-2.5386863739893999E-2</v>
      </c>
      <c r="E26">
        <v>0.37358095448032602</v>
      </c>
      <c r="F26">
        <v>7.4619787231749002E-2</v>
      </c>
      <c r="G26">
        <v>-4.2855497100724997E-2</v>
      </c>
      <c r="H26">
        <v>-0.24857364656582301</v>
      </c>
      <c r="I26">
        <v>6.4784159600145011E-2</v>
      </c>
    </row>
    <row r="27" spans="1:9" x14ac:dyDescent="0.25">
      <c r="A27" s="1" t="s">
        <v>39</v>
      </c>
      <c r="B27" t="str">
        <f>HYPERLINK("https://www.suredividend.com/sure-analysis-research-database/","Aclaris Therapeutics Inc")</f>
        <v>Aclaris Therapeutics Inc</v>
      </c>
      <c r="C27">
        <v>-0.10797342192690999</v>
      </c>
      <c r="D27">
        <v>-0.45482233502538011</v>
      </c>
      <c r="E27">
        <v>-0.39322033898304998</v>
      </c>
      <c r="F27">
        <v>-0.6590476190476191</v>
      </c>
      <c r="G27">
        <v>-0.64577836411609502</v>
      </c>
      <c r="H27">
        <v>-0.68111638954869302</v>
      </c>
      <c r="I27">
        <v>-0.56055646481178401</v>
      </c>
    </row>
    <row r="28" spans="1:9" x14ac:dyDescent="0.25">
      <c r="A28" s="1" t="s">
        <v>40</v>
      </c>
      <c r="B28" t="str">
        <f>HYPERLINK("https://www.suredividend.com/sure-analysis-research-database/","Acrivon Therapeutics Inc")</f>
        <v>Acrivon Therapeutics Inc</v>
      </c>
      <c r="C28">
        <v>-0.24934725848563899</v>
      </c>
      <c r="D28">
        <v>-0.51063829787234005</v>
      </c>
      <c r="E28">
        <v>-0.49160035366931898</v>
      </c>
      <c r="F28">
        <v>-0.50086805555555503</v>
      </c>
      <c r="G28">
        <v>-0.65444711538461509</v>
      </c>
      <c r="H28">
        <v>-0.65444711538461509</v>
      </c>
      <c r="I28">
        <v>-0.65444711538461509</v>
      </c>
    </row>
    <row r="29" spans="1:9" x14ac:dyDescent="0.25">
      <c r="A29" s="1" t="s">
        <v>41</v>
      </c>
      <c r="B29" t="str">
        <f>HYPERLINK("https://www.suredividend.com/sure-analysis-research-database/","Enact Holdings Inc")</f>
        <v>Enact Holdings Inc</v>
      </c>
      <c r="C29">
        <v>2.8415300546447999E-2</v>
      </c>
      <c r="D29">
        <v>-1.5326445617975E-2</v>
      </c>
      <c r="E29">
        <v>0.294787825416918</v>
      </c>
      <c r="F29">
        <v>0.19810544006926301</v>
      </c>
      <c r="G29">
        <v>0.12886134159752</v>
      </c>
      <c r="H29">
        <v>0.32033113511996603</v>
      </c>
      <c r="I29">
        <v>0.51557450098246504</v>
      </c>
    </row>
    <row r="30" spans="1:9" x14ac:dyDescent="0.25">
      <c r="A30" s="1" t="s">
        <v>42</v>
      </c>
      <c r="B30" t="str">
        <f>HYPERLINK("https://www.suredividend.com/sure-analysis-research-database/","ACV Auctions Inc")</f>
        <v>ACV Auctions Inc</v>
      </c>
      <c r="C30">
        <v>5.4682159945310003E-3</v>
      </c>
      <c r="D30">
        <v>-0.110640870616686</v>
      </c>
      <c r="E30">
        <v>9.8581030619865007E-2</v>
      </c>
      <c r="F30">
        <v>0.79171741778319105</v>
      </c>
      <c r="G30">
        <v>1.0068212824010909</v>
      </c>
      <c r="H30">
        <v>-0.26450000000000001</v>
      </c>
      <c r="I30">
        <v>-0.52928000000000008</v>
      </c>
    </row>
    <row r="31" spans="1:9" x14ac:dyDescent="0.25">
      <c r="A31" s="1" t="s">
        <v>43</v>
      </c>
      <c r="B31" t="str">
        <f>HYPERLINK("https://www.suredividend.com/sure-analysis-ADC/","Agree Realty Corp.")</f>
        <v>Agree Realty Corp.</v>
      </c>
      <c r="C31">
        <v>8.5352343867888009E-2</v>
      </c>
      <c r="D31">
        <v>-7.529059831739901E-2</v>
      </c>
      <c r="E31">
        <v>-0.104954617951593</v>
      </c>
      <c r="F31">
        <v>-0.13638852852201999</v>
      </c>
      <c r="G31">
        <v>-9.6767475053140012E-2</v>
      </c>
      <c r="H31">
        <v>-8.3353019433288003E-2</v>
      </c>
      <c r="I31">
        <v>0.26440083521628499</v>
      </c>
    </row>
    <row r="32" spans="1:9" x14ac:dyDescent="0.25">
      <c r="A32" s="1" t="s">
        <v>44</v>
      </c>
      <c r="B32" t="str">
        <f>HYPERLINK("https://www.suredividend.com/sure-analysis-research-database/","Adeia Inc")</f>
        <v>Adeia Inc</v>
      </c>
      <c r="C32">
        <v>-1.3579576317218E-2</v>
      </c>
      <c r="D32">
        <v>-0.20508465673314299</v>
      </c>
      <c r="E32">
        <v>0.29499686234240402</v>
      </c>
      <c r="F32">
        <v>-1.6176741464682998E-2</v>
      </c>
      <c r="G32">
        <v>-0.158713981284165</v>
      </c>
      <c r="H32">
        <v>-0.50307567697729905</v>
      </c>
      <c r="I32">
        <v>-0.29878213593432601</v>
      </c>
    </row>
    <row r="33" spans="1:9" x14ac:dyDescent="0.25">
      <c r="A33" s="1" t="s">
        <v>45</v>
      </c>
      <c r="B33" t="str">
        <f>HYPERLINK("https://www.suredividend.com/sure-analysis-research-database/","Adma Biologics Inc")</f>
        <v>Adma Biologics Inc</v>
      </c>
      <c r="C33">
        <v>8.6309523809523003E-2</v>
      </c>
      <c r="D33">
        <v>-9.876543209876501E-2</v>
      </c>
      <c r="E33">
        <v>6.7251461988304007E-2</v>
      </c>
      <c r="F33">
        <v>-5.9278350515463013E-2</v>
      </c>
      <c r="G33">
        <v>0.42023346303501902</v>
      </c>
      <c r="H33">
        <v>1.588652482269503</v>
      </c>
      <c r="I33">
        <v>-0.35053380782918098</v>
      </c>
    </row>
    <row r="34" spans="1:9" x14ac:dyDescent="0.25">
      <c r="A34" s="1" t="s">
        <v>46</v>
      </c>
      <c r="B34" t="str">
        <f>HYPERLINK("https://www.suredividend.com/sure-analysis-research-database/","Adient plc")</f>
        <v>Adient plc</v>
      </c>
      <c r="C34">
        <v>1.115137998327E-3</v>
      </c>
      <c r="D34">
        <v>-0.18884120171673799</v>
      </c>
      <c r="E34">
        <v>6.2111801242234997E-2</v>
      </c>
      <c r="F34">
        <v>3.5168636494666998E-2</v>
      </c>
      <c r="G34">
        <v>-5.4004214963119003E-2</v>
      </c>
      <c r="H34">
        <v>-0.20833333333333301</v>
      </c>
      <c r="I34">
        <v>0.113488372093023</v>
      </c>
    </row>
    <row r="35" spans="1:9" x14ac:dyDescent="0.25">
      <c r="A35" s="1" t="s">
        <v>47</v>
      </c>
      <c r="B35" t="str">
        <f>HYPERLINK("https://www.suredividend.com/sure-analysis-research-database/","Adaptive Biotechnologies Corp")</f>
        <v>Adaptive Biotechnologies Corp</v>
      </c>
      <c r="C35">
        <v>3.3264033264033002E-2</v>
      </c>
      <c r="D35">
        <v>-0.27232796486090699</v>
      </c>
      <c r="E35">
        <v>-0.22706065318818</v>
      </c>
      <c r="F35">
        <v>-0.34947643979057602</v>
      </c>
      <c r="G35">
        <v>-0.44094488188976311</v>
      </c>
      <c r="H35">
        <v>-0.86512890094979611</v>
      </c>
      <c r="I35">
        <v>-0.87667493796526008</v>
      </c>
    </row>
    <row r="36" spans="1:9" x14ac:dyDescent="0.25">
      <c r="A36" s="1" t="s">
        <v>48</v>
      </c>
      <c r="B36" t="str">
        <f>HYPERLINK("https://www.suredividend.com/sure-analysis-research-database/","AdTheorent Holding Company Inc")</f>
        <v>AdTheorent Holding Company Inc</v>
      </c>
      <c r="C36">
        <v>8.4033613445370012E-3</v>
      </c>
      <c r="D36">
        <v>-0.27272727272727199</v>
      </c>
      <c r="E36">
        <v>-0.16666666666666599</v>
      </c>
      <c r="F36">
        <v>-0.27710843373493899</v>
      </c>
      <c r="G36">
        <v>-0.47136563876651899</v>
      </c>
      <c r="H36">
        <v>-0.88246816846229104</v>
      </c>
      <c r="I36">
        <v>-0.88246816846229104</v>
      </c>
    </row>
    <row r="37" spans="1:9" x14ac:dyDescent="0.25">
      <c r="A37" s="1" t="s">
        <v>49</v>
      </c>
      <c r="B37" t="str">
        <f>HYPERLINK("https://www.suredividend.com/sure-analysis-research-database/","ADTRAN Holdings Inc")</f>
        <v>ADTRAN Holdings Inc</v>
      </c>
      <c r="C37">
        <v>-9.888751545117401E-2</v>
      </c>
      <c r="D37">
        <v>-0.18549306160756099</v>
      </c>
      <c r="E37">
        <v>-0.13606143563124401</v>
      </c>
      <c r="F37">
        <v>-0.59736881348068804</v>
      </c>
      <c r="G37">
        <v>-0.62936977609663802</v>
      </c>
      <c r="H37">
        <v>-0.62024129524285809</v>
      </c>
      <c r="I37">
        <v>-0.62024129524285809</v>
      </c>
    </row>
    <row r="38" spans="1:9" x14ac:dyDescent="0.25">
      <c r="A38" s="1" t="s">
        <v>50</v>
      </c>
      <c r="B38" t="str">
        <f>HYPERLINK("https://www.suredividend.com/sure-analysis-research-database/","Addus HomeCare Corporation")</f>
        <v>Addus HomeCare Corporation</v>
      </c>
      <c r="C38">
        <v>2.4192572880125E-2</v>
      </c>
      <c r="D38">
        <v>-9.7527179705819006E-2</v>
      </c>
      <c r="E38">
        <v>4.8544891640866013E-2</v>
      </c>
      <c r="F38">
        <v>-0.148959694441652</v>
      </c>
      <c r="G38">
        <v>-0.224988558352402</v>
      </c>
      <c r="H38">
        <v>-0.16259519335377301</v>
      </c>
      <c r="I38">
        <v>0.294648318042813</v>
      </c>
    </row>
    <row r="39" spans="1:9" x14ac:dyDescent="0.25">
      <c r="A39" s="1" t="s">
        <v>51</v>
      </c>
      <c r="B39" t="str">
        <f>HYPERLINK("https://www.suredividend.com/sure-analysis-research-database/","Advantage Solutions Inc.")</f>
        <v>Advantage Solutions Inc.</v>
      </c>
      <c r="C39">
        <v>-0.17241379310344801</v>
      </c>
      <c r="D39">
        <v>1.2658227848101E-2</v>
      </c>
      <c r="E39">
        <v>1.0168067226890749</v>
      </c>
      <c r="F39">
        <v>0.15384615384615299</v>
      </c>
      <c r="G39">
        <v>-0.27927927927927898</v>
      </c>
      <c r="H39">
        <v>-0.72382048331415405</v>
      </c>
      <c r="I39">
        <v>-0.75757575757575701</v>
      </c>
    </row>
    <row r="40" spans="1:9" x14ac:dyDescent="0.25">
      <c r="A40" s="1" t="s">
        <v>52</v>
      </c>
      <c r="B40" t="str">
        <f>HYPERLINK("https://www.suredividend.com/sure-analysis-research-database/","Advanced Energy Industries Inc.")</f>
        <v>Advanced Energy Industries Inc.</v>
      </c>
      <c r="C40">
        <v>-7.4914297237346009E-2</v>
      </c>
      <c r="D40">
        <v>-0.186594005352965</v>
      </c>
      <c r="E40">
        <v>9.4999403270079011E-2</v>
      </c>
      <c r="F40">
        <v>7.400761111442701E-2</v>
      </c>
      <c r="G40">
        <v>0.111241647520205</v>
      </c>
      <c r="H40">
        <v>-1.3985818590585E-2</v>
      </c>
      <c r="I40">
        <v>0.9831277436869531</v>
      </c>
    </row>
    <row r="41" spans="1:9" x14ac:dyDescent="0.25">
      <c r="A41" s="1" t="s">
        <v>53</v>
      </c>
      <c r="B41" t="str">
        <f>HYPERLINK("https://www.suredividend.com/sure-analysis-AEL/","American Equity Investment Life Holding Co")</f>
        <v>American Equity Investment Life Holding Co</v>
      </c>
      <c r="C41">
        <v>4.8707381041580003E-3</v>
      </c>
      <c r="D41">
        <v>-1.1173184357539999E-3</v>
      </c>
      <c r="E41">
        <v>0.41306638566912501</v>
      </c>
      <c r="F41">
        <v>0.17580008768084099</v>
      </c>
      <c r="G41">
        <v>0.29004329004328999</v>
      </c>
      <c r="H41">
        <v>0.59216384683882406</v>
      </c>
      <c r="I41">
        <v>0.72607421089383206</v>
      </c>
    </row>
    <row r="42" spans="1:9" x14ac:dyDescent="0.25">
      <c r="A42" s="1" t="s">
        <v>54</v>
      </c>
      <c r="B42" t="str">
        <f>HYPERLINK("https://www.suredividend.com/sure-analysis-research-database/","American Eagle Outfitters Inc.")</f>
        <v>American Eagle Outfitters Inc.</v>
      </c>
      <c r="C42">
        <v>0.13229453101130401</v>
      </c>
      <c r="D42">
        <v>0.223740432304634</v>
      </c>
      <c r="E42">
        <v>0.49750684909365611</v>
      </c>
      <c r="F42">
        <v>0.35616789256047099</v>
      </c>
      <c r="G42">
        <v>0.67096506573845305</v>
      </c>
      <c r="H42">
        <v>-0.262014664123079</v>
      </c>
      <c r="I42">
        <v>-6.7241188373989E-2</v>
      </c>
    </row>
    <row r="43" spans="1:9" x14ac:dyDescent="0.25">
      <c r="A43" s="1" t="s">
        <v>55</v>
      </c>
      <c r="B43" t="str">
        <f>HYPERLINK("https://www.suredividend.com/sure-analysis-research-database/","Aeva Technologies Inc")</f>
        <v>Aeva Technologies Inc</v>
      </c>
      <c r="C43">
        <v>-0.15669086426516901</v>
      </c>
      <c r="D43">
        <v>-0.46922413793103401</v>
      </c>
      <c r="E43">
        <v>-0.39637254901960711</v>
      </c>
      <c r="F43">
        <v>-0.54727941176470607</v>
      </c>
      <c r="G43">
        <v>-0.657944444444444</v>
      </c>
      <c r="H43">
        <v>-0.92546004842615004</v>
      </c>
      <c r="I43">
        <v>-0.93749238578680205</v>
      </c>
    </row>
    <row r="44" spans="1:9" x14ac:dyDescent="0.25">
      <c r="A44" s="1" t="s">
        <v>56</v>
      </c>
      <c r="B44" t="str">
        <f>HYPERLINK("https://www.suredividend.com/sure-analysis-research-database/","AFC Gamma Inc")</f>
        <v>AFC Gamma Inc</v>
      </c>
      <c r="C44">
        <v>-3.5778175313050001E-3</v>
      </c>
      <c r="D44">
        <v>-0.12624709794816999</v>
      </c>
      <c r="E44">
        <v>0.142927494895813</v>
      </c>
      <c r="F44">
        <v>-0.169233293311358</v>
      </c>
      <c r="G44">
        <v>-0.19234394257956899</v>
      </c>
      <c r="H44">
        <v>-0.35586085669349599</v>
      </c>
      <c r="I44">
        <v>-0.31398871837820502</v>
      </c>
    </row>
    <row r="45" spans="1:9" x14ac:dyDescent="0.25">
      <c r="A45" s="1" t="s">
        <v>57</v>
      </c>
      <c r="B45" t="str">
        <f>HYPERLINK("https://www.suredividend.com/sure-analysis-research-database/","Affimed N.V.")</f>
        <v>Affimed N.V.</v>
      </c>
      <c r="C45">
        <v>-0.221510883482714</v>
      </c>
      <c r="D45">
        <v>-0.39199999999999902</v>
      </c>
      <c r="E45">
        <v>-0.57733750434480302</v>
      </c>
      <c r="F45">
        <v>-0.70580645161290301</v>
      </c>
      <c r="G45">
        <v>-0.81292307692307608</v>
      </c>
      <c r="H45">
        <v>-0.94352941176470506</v>
      </c>
      <c r="I45">
        <v>-0.91102439024390203</v>
      </c>
    </row>
    <row r="46" spans="1:9" x14ac:dyDescent="0.25">
      <c r="A46" s="1" t="s">
        <v>58</v>
      </c>
      <c r="B46" t="str">
        <f>HYPERLINK("https://www.suredividend.com/sure-analysis-research-database/","Agenus Inc")</f>
        <v>Agenus Inc</v>
      </c>
      <c r="C46">
        <v>-0.163465346534653</v>
      </c>
      <c r="D46">
        <v>-0.42130136986301298</v>
      </c>
      <c r="E46">
        <v>-0.44777777777777711</v>
      </c>
      <c r="F46">
        <v>-0.63425825721830209</v>
      </c>
      <c r="G46">
        <v>-0.64025376820233304</v>
      </c>
      <c r="H46">
        <v>-0.7953890489913541</v>
      </c>
      <c r="I46">
        <v>-0.53556508355321009</v>
      </c>
    </row>
    <row r="47" spans="1:9" x14ac:dyDescent="0.25">
      <c r="A47" s="1" t="s">
        <v>59</v>
      </c>
      <c r="B47" t="str">
        <f>HYPERLINK("https://www.suredividend.com/sure-analysis-research-database/","Agios Pharmaceuticals Inc")</f>
        <v>Agios Pharmaceuticals Inc</v>
      </c>
      <c r="C47">
        <v>-6.2135112593828007E-2</v>
      </c>
      <c r="D47">
        <v>-0.11665357423409201</v>
      </c>
      <c r="E47">
        <v>-8.6515028432169003E-2</v>
      </c>
      <c r="F47">
        <v>-0.19907407407407399</v>
      </c>
      <c r="G47">
        <v>-0.131660231660231</v>
      </c>
      <c r="H47">
        <v>-0.51288715616201008</v>
      </c>
      <c r="I47">
        <v>-0.68035815804434308</v>
      </c>
    </row>
    <row r="48" spans="1:9" x14ac:dyDescent="0.25">
      <c r="A48" s="1" t="s">
        <v>60</v>
      </c>
      <c r="B48" t="str">
        <f>HYPERLINK("https://www.suredividend.com/sure-analysis-AGM/","Federal Agricultural Mortgage Corp.")</f>
        <v>Federal Agricultural Mortgage Corp.</v>
      </c>
      <c r="C48">
        <v>8.3438685208596E-2</v>
      </c>
      <c r="D48">
        <v>-1.1974267521179E-2</v>
      </c>
      <c r="E48">
        <v>0.30122842740195399</v>
      </c>
      <c r="F48">
        <v>0.47764654636532311</v>
      </c>
      <c r="G48">
        <v>0.45548580403009398</v>
      </c>
      <c r="H48">
        <v>0.32345422935592599</v>
      </c>
      <c r="I48">
        <v>1.730246666208356</v>
      </c>
    </row>
    <row r="49" spans="1:9" x14ac:dyDescent="0.25">
      <c r="A49" s="1" t="s">
        <v>61</v>
      </c>
      <c r="B49" t="str">
        <f>HYPERLINK("https://www.suredividend.com/sure-analysis-research-database/","Agiliti Inc")</f>
        <v>Agiliti Inc</v>
      </c>
      <c r="C49">
        <v>5.0699300699300003E-2</v>
      </c>
      <c r="D49">
        <v>-0.64097968936678607</v>
      </c>
      <c r="E49">
        <v>-0.61621966794380501</v>
      </c>
      <c r="F49">
        <v>-0.63151440833844208</v>
      </c>
      <c r="G49">
        <v>-0.66083521444695204</v>
      </c>
      <c r="H49">
        <v>-0.76578332034294605</v>
      </c>
      <c r="I49">
        <v>-0.633536585365853</v>
      </c>
    </row>
    <row r="50" spans="1:9" x14ac:dyDescent="0.25">
      <c r="A50" s="1" t="s">
        <v>62</v>
      </c>
      <c r="B50" t="str">
        <f>HYPERLINK("https://www.suredividend.com/sure-analysis-research-database/","Argan, Inc.")</f>
        <v>Argan, Inc.</v>
      </c>
      <c r="C50">
        <v>-6.9248999333250006E-3</v>
      </c>
      <c r="D50">
        <v>0.150207460419406</v>
      </c>
      <c r="E50">
        <v>0.14746137202106199</v>
      </c>
      <c r="F50">
        <v>0.25618629301178503</v>
      </c>
      <c r="G50">
        <v>0.35620826646953102</v>
      </c>
      <c r="H50">
        <v>8.2926805857834004E-2</v>
      </c>
      <c r="I50">
        <v>0.17298470415469899</v>
      </c>
    </row>
    <row r="51" spans="1:9" x14ac:dyDescent="0.25">
      <c r="A51" s="1" t="s">
        <v>63</v>
      </c>
      <c r="B51" t="str">
        <f>HYPERLINK("https://www.suredividend.com/sure-analysis-research-database/","Agilysys, Inc")</f>
        <v>Agilysys, Inc</v>
      </c>
      <c r="C51">
        <v>0.34157604647698497</v>
      </c>
      <c r="D51">
        <v>0.21850899742930599</v>
      </c>
      <c r="E51">
        <v>0.17143600416233101</v>
      </c>
      <c r="F51">
        <v>0.137983320697498</v>
      </c>
      <c r="G51">
        <v>0.44674698795180712</v>
      </c>
      <c r="H51">
        <v>0.88410041841004205</v>
      </c>
      <c r="I51">
        <v>4.5217657878602093</v>
      </c>
    </row>
    <row r="52" spans="1:9" x14ac:dyDescent="0.25">
      <c r="A52" s="1" t="s">
        <v>64</v>
      </c>
      <c r="B52" t="str">
        <f>HYPERLINK("https://www.suredividend.com/sure-analysis-research-database/","AdaptHealth Corp")</f>
        <v>AdaptHealth Corp</v>
      </c>
      <c r="C52">
        <v>1.1820330969260001E-3</v>
      </c>
      <c r="D52">
        <v>-0.37582903463522399</v>
      </c>
      <c r="E52">
        <v>-0.23</v>
      </c>
      <c r="F52">
        <v>-0.55931321540062406</v>
      </c>
      <c r="G52">
        <v>-0.6165685830692621</v>
      </c>
      <c r="H52">
        <v>-0.67234042553191409</v>
      </c>
      <c r="I52">
        <v>-0.63818880820162305</v>
      </c>
    </row>
    <row r="53" spans="1:9" x14ac:dyDescent="0.25">
      <c r="A53" s="1" t="s">
        <v>65</v>
      </c>
      <c r="B53" t="str">
        <f>HYPERLINK("https://www.suredividend.com/sure-analysis-research-database/","Armada Hoffler Properties Inc")</f>
        <v>Armada Hoffler Properties Inc</v>
      </c>
      <c r="C53">
        <v>3.3398821218074012E-2</v>
      </c>
      <c r="D53">
        <v>-0.108595444685466</v>
      </c>
      <c r="E53">
        <v>-8.2064482352427012E-2</v>
      </c>
      <c r="F53">
        <v>-3.6462388144457E-2</v>
      </c>
      <c r="G53">
        <v>-4.089669797031E-3</v>
      </c>
      <c r="H53">
        <v>-0.20566004968400001</v>
      </c>
      <c r="I53">
        <v>-7.1598139666234004E-2</v>
      </c>
    </row>
    <row r="54" spans="1:9" x14ac:dyDescent="0.25">
      <c r="A54" s="1" t="s">
        <v>66</v>
      </c>
      <c r="B54" t="str">
        <f>HYPERLINK("https://www.suredividend.com/sure-analysis-research-database/","Ashford Hospitality Trust Inc")</f>
        <v>Ashford Hospitality Trust Inc</v>
      </c>
      <c r="C54">
        <v>0.17040358744394599</v>
      </c>
      <c r="D54">
        <v>-0.22781065088757399</v>
      </c>
      <c r="E54">
        <v>-0.41870824053452099</v>
      </c>
      <c r="F54">
        <v>-0.41610738255033503</v>
      </c>
      <c r="G54">
        <v>-0.59218750000000009</v>
      </c>
      <c r="H54">
        <v>-0.82012405237767005</v>
      </c>
      <c r="I54">
        <v>-0.99428417254528212</v>
      </c>
    </row>
    <row r="55" spans="1:9" x14ac:dyDescent="0.25">
      <c r="A55" s="1" t="s">
        <v>67</v>
      </c>
      <c r="B55" t="str">
        <f>HYPERLINK("https://www.suredividend.com/sure-analysis-research-database/","C3.ai Inc")</f>
        <v>C3.ai Inc</v>
      </c>
      <c r="C55">
        <v>0.18581501451679799</v>
      </c>
      <c r="D55">
        <v>-0.24365079365079301</v>
      </c>
      <c r="E55">
        <v>0.5954241071428571</v>
      </c>
      <c r="F55">
        <v>1.5549597855227879</v>
      </c>
      <c r="G55">
        <v>1.364764267990074</v>
      </c>
      <c r="H55">
        <v>-0.41449928322752411</v>
      </c>
      <c r="I55">
        <v>-0.69088550113525704</v>
      </c>
    </row>
    <row r="56" spans="1:9" x14ac:dyDescent="0.25">
      <c r="A56" s="1" t="s">
        <v>68</v>
      </c>
      <c r="B56" t="str">
        <f>HYPERLINK("https://www.suredividend.com/sure-analysis-research-database/","Albany International Corp.")</f>
        <v>Albany International Corp.</v>
      </c>
      <c r="C56">
        <v>2.6213706359468E-2</v>
      </c>
      <c r="D56">
        <v>-8.2238958483139002E-2</v>
      </c>
      <c r="E56">
        <v>-2.4055413082800001E-2</v>
      </c>
      <c r="F56">
        <v>-0.107085323980742</v>
      </c>
      <c r="G56">
        <v>-8.0179286016828E-2</v>
      </c>
      <c r="H56">
        <v>6.2569909918901004E-2</v>
      </c>
      <c r="I56">
        <v>0.30626829224498597</v>
      </c>
    </row>
    <row r="57" spans="1:9" x14ac:dyDescent="0.25">
      <c r="A57" s="1" t="s">
        <v>69</v>
      </c>
      <c r="B57" t="str">
        <f>HYPERLINK("https://www.suredividend.com/sure-analysis-research-database/","Arteris Inc")</f>
        <v>Arteris Inc</v>
      </c>
      <c r="C57">
        <v>4.8818897637794997E-2</v>
      </c>
      <c r="D57">
        <v>-7.4999999999999012E-2</v>
      </c>
      <c r="E57">
        <v>0.66917293233082709</v>
      </c>
      <c r="F57">
        <v>0.54883720930232505</v>
      </c>
      <c r="G57">
        <v>0.353658536585365</v>
      </c>
      <c r="H57">
        <v>-0.70267857142857104</v>
      </c>
      <c r="I57">
        <v>-0.63406593406593403</v>
      </c>
    </row>
    <row r="58" spans="1:9" x14ac:dyDescent="0.25">
      <c r="A58" s="1" t="s">
        <v>70</v>
      </c>
      <c r="B58" t="str">
        <f>HYPERLINK("https://www.suredividend.com/sure-analysis-research-database/","AAR Corp.")</f>
        <v>AAR Corp.</v>
      </c>
      <c r="C58">
        <v>6.6045723962743011E-2</v>
      </c>
      <c r="D58">
        <v>4.9866577718479001E-2</v>
      </c>
      <c r="E58">
        <v>0.216660224197912</v>
      </c>
      <c r="F58">
        <v>0.40200445434298399</v>
      </c>
      <c r="G58">
        <v>0.46157418156489399</v>
      </c>
      <c r="H58">
        <v>0.7045762252910911</v>
      </c>
      <c r="I58">
        <v>0.30515281380165399</v>
      </c>
    </row>
    <row r="59" spans="1:9" x14ac:dyDescent="0.25">
      <c r="A59" s="1" t="s">
        <v>71</v>
      </c>
      <c r="B59" t="str">
        <f>HYPERLINK("https://www.suredividend.com/sure-analysis-research-database/","Airsculpt Technologies Inc")</f>
        <v>Airsculpt Technologies Inc</v>
      </c>
      <c r="C59">
        <v>-6.8376068376068008E-2</v>
      </c>
      <c r="D59">
        <v>-0.252571428571428</v>
      </c>
      <c r="E59">
        <v>0.34016393442622911</v>
      </c>
      <c r="F59">
        <v>0.76756756756756706</v>
      </c>
      <c r="G59">
        <v>0.22242990654205599</v>
      </c>
      <c r="H59">
        <v>-0.52387539222038604</v>
      </c>
      <c r="I59">
        <v>-0.57062102381280599</v>
      </c>
    </row>
    <row r="60" spans="1:9" x14ac:dyDescent="0.25">
      <c r="A60" s="1" t="s">
        <v>72</v>
      </c>
      <c r="B60" t="str">
        <f>HYPERLINK("https://www.suredividend.com/sure-analysis-AIT/","Applied Industrial Technologies Inc.")</f>
        <v>Applied Industrial Technologies Inc.</v>
      </c>
      <c r="C60">
        <v>1.6105038483927001E-2</v>
      </c>
      <c r="D60">
        <v>0.114374868328558</v>
      </c>
      <c r="E60">
        <v>0.2355728582945</v>
      </c>
      <c r="F60">
        <v>0.25588872713958699</v>
      </c>
      <c r="G60">
        <v>0.262369574562971</v>
      </c>
      <c r="H60">
        <v>0.629145844329981</v>
      </c>
      <c r="I60">
        <v>1.548500180877002</v>
      </c>
    </row>
    <row r="61" spans="1:9" x14ac:dyDescent="0.25">
      <c r="A61" s="1" t="s">
        <v>73</v>
      </c>
      <c r="B61" t="str">
        <f>HYPERLINK("https://www.suredividend.com/sure-analysis-research-database/","Apartment Investment &amp; Management Co.")</f>
        <v>Apartment Investment &amp; Management Co.</v>
      </c>
      <c r="C61">
        <v>-2.1638330757341E-2</v>
      </c>
      <c r="D61">
        <v>-0.228048780487804</v>
      </c>
      <c r="E61">
        <v>-0.16819973718791001</v>
      </c>
      <c r="F61">
        <v>-0.110955056179775</v>
      </c>
      <c r="G61">
        <v>-0.157123834886817</v>
      </c>
      <c r="H61">
        <v>-0.18669938713366099</v>
      </c>
      <c r="I61">
        <v>0.23579711842567599</v>
      </c>
    </row>
    <row r="62" spans="1:9" x14ac:dyDescent="0.25">
      <c r="A62" s="1" t="s">
        <v>74</v>
      </c>
      <c r="B62" t="str">
        <f>HYPERLINK("https://www.suredividend.com/sure-analysis-research-database/","Aerojet Rocketdyne Holdings Inc")</f>
        <v>Aerojet Rocketdyne Holdings Inc</v>
      </c>
      <c r="C62">
        <v>5.3597383720930002E-2</v>
      </c>
      <c r="D62">
        <v>2.8191489361701998E-2</v>
      </c>
      <c r="E62">
        <v>3.9992826398852002E-2</v>
      </c>
      <c r="F62">
        <v>3.6831753978187012E-2</v>
      </c>
      <c r="G62">
        <v>0.344228094575799</v>
      </c>
      <c r="H62">
        <v>0.239102564102564</v>
      </c>
      <c r="I62">
        <v>1.2926295064857021</v>
      </c>
    </row>
    <row r="63" spans="1:9" x14ac:dyDescent="0.25">
      <c r="A63" s="1" t="s">
        <v>75</v>
      </c>
      <c r="B63" t="str">
        <f>HYPERLINK("https://www.suredividend.com/sure-analysis-research-database/","a.k.a. Brands Holding Corp")</f>
        <v>a.k.a. Brands Holding Corp</v>
      </c>
      <c r="C63">
        <v>0.72831050228310501</v>
      </c>
      <c r="D63">
        <v>0.17802676626205999</v>
      </c>
      <c r="E63">
        <v>0.93685395558284712</v>
      </c>
      <c r="F63">
        <v>-0.50328083989501304</v>
      </c>
      <c r="G63">
        <v>-0.66445035460992907</v>
      </c>
      <c r="H63">
        <v>-0.94689955106621704</v>
      </c>
      <c r="I63">
        <v>-0.93685352018685308</v>
      </c>
    </row>
    <row r="64" spans="1:9" x14ac:dyDescent="0.25">
      <c r="A64" s="1" t="s">
        <v>76</v>
      </c>
      <c r="B64" t="str">
        <f>HYPERLINK("https://www.suredividend.com/sure-analysis-AKR/","Acadia Realty Trust")</f>
        <v>Acadia Realty Trust</v>
      </c>
      <c r="C64">
        <v>0.11734693877551</v>
      </c>
      <c r="D64">
        <v>-3.5260504836283013E-2</v>
      </c>
      <c r="E64">
        <v>0.17336394948335199</v>
      </c>
      <c r="F64">
        <v>0.11038678835288999</v>
      </c>
      <c r="G64">
        <v>0.14073533898368101</v>
      </c>
      <c r="H64">
        <v>-0.250132070672484</v>
      </c>
      <c r="I64">
        <v>-0.34342396052834401</v>
      </c>
    </row>
    <row r="65" spans="1:9" x14ac:dyDescent="0.25">
      <c r="A65" s="1" t="s">
        <v>77</v>
      </c>
      <c r="B65" t="str">
        <f>HYPERLINK("https://www.suredividend.com/sure-analysis-research-database/","Akero Therapeutics Inc")</f>
        <v>Akero Therapeutics Inc</v>
      </c>
      <c r="C65">
        <v>-0.68331885317115504</v>
      </c>
      <c r="D65">
        <v>-0.66505858028945508</v>
      </c>
      <c r="E65">
        <v>-0.67418994413407807</v>
      </c>
      <c r="F65">
        <v>-0.73394160583941603</v>
      </c>
      <c r="G65">
        <v>-0.62110187110187109</v>
      </c>
      <c r="H65">
        <v>-0.43180046765393598</v>
      </c>
      <c r="I65">
        <v>-0.20414847161572</v>
      </c>
    </row>
    <row r="66" spans="1:9" x14ac:dyDescent="0.25">
      <c r="A66" s="1" t="s">
        <v>78</v>
      </c>
      <c r="B66" t="str">
        <f>HYPERLINK("https://www.suredividend.com/sure-analysis-research-database/","Akoustis Technologies Inc")</f>
        <v>Akoustis Technologies Inc</v>
      </c>
      <c r="C66">
        <v>-0.12796976241900601</v>
      </c>
      <c r="D66">
        <v>-0.71160714285714211</v>
      </c>
      <c r="E66">
        <v>-0.7633699633699631</v>
      </c>
      <c r="F66">
        <v>-0.77092198581560201</v>
      </c>
      <c r="G66">
        <v>-0.79749216300940406</v>
      </c>
      <c r="H66">
        <v>-0.91833122629582808</v>
      </c>
      <c r="I66">
        <v>-0.82910052910052912</v>
      </c>
    </row>
    <row r="67" spans="1:9" x14ac:dyDescent="0.25">
      <c r="A67" s="1" t="s">
        <v>79</v>
      </c>
      <c r="B67" t="str">
        <f>HYPERLINK("https://www.suredividend.com/sure-analysis-research-database/","Akoya Biosciences Inc")</f>
        <v>Akoya Biosciences Inc</v>
      </c>
      <c r="C67">
        <v>2.5906735751294999E-2</v>
      </c>
      <c r="D67">
        <v>-0.38604651162790699</v>
      </c>
      <c r="E67">
        <v>-0.44146685472496411</v>
      </c>
      <c r="F67">
        <v>-0.58620689655172409</v>
      </c>
      <c r="G67">
        <v>-0.71345875542691706</v>
      </c>
      <c r="H67">
        <v>-0.70203160270880305</v>
      </c>
      <c r="I67">
        <v>-0.84798464491362702</v>
      </c>
    </row>
    <row r="68" spans="1:9" x14ac:dyDescent="0.25">
      <c r="A68" s="1" t="s">
        <v>80</v>
      </c>
      <c r="B68" t="str">
        <f>HYPERLINK("https://www.suredividend.com/sure-analysis-research-database/","Alico Inc.")</f>
        <v>Alico Inc.</v>
      </c>
      <c r="C68">
        <v>3.5569927243330003E-2</v>
      </c>
      <c r="D68">
        <v>3.6307154645180001E-2</v>
      </c>
      <c r="E68">
        <v>0.131615445093241</v>
      </c>
      <c r="F68">
        <v>8.4095698315039005E-2</v>
      </c>
      <c r="G68">
        <v>-0.185544528016378</v>
      </c>
      <c r="H68">
        <v>-0.24191090529804199</v>
      </c>
      <c r="I68">
        <v>-0.13154897494305201</v>
      </c>
    </row>
    <row r="69" spans="1:9" x14ac:dyDescent="0.25">
      <c r="A69" s="1" t="s">
        <v>81</v>
      </c>
      <c r="B69" t="str">
        <f>HYPERLINK("https://www.suredividend.com/sure-analysis-ALE/","Allete, Inc.")</f>
        <v>Allete, Inc.</v>
      </c>
      <c r="C69">
        <v>8.0903649353156012E-2</v>
      </c>
      <c r="D69">
        <v>1.5895368947138E-2</v>
      </c>
      <c r="E69">
        <v>-0.10109544959679299</v>
      </c>
      <c r="F69">
        <v>-0.102192555479464</v>
      </c>
      <c r="G69">
        <v>5.9055892724712997E-2</v>
      </c>
      <c r="H69">
        <v>-4.7244617136321013E-2</v>
      </c>
      <c r="I69">
        <v>-7.8592837779339009E-2</v>
      </c>
    </row>
    <row r="70" spans="1:9" x14ac:dyDescent="0.25">
      <c r="A70" s="1" t="s">
        <v>82</v>
      </c>
      <c r="B70" t="str">
        <f>HYPERLINK("https://www.suredividend.com/sure-analysis-research-database/","Alector Inc")</f>
        <v>Alector Inc</v>
      </c>
      <c r="C70">
        <v>-3.4482758620689002E-2</v>
      </c>
      <c r="D70">
        <v>-0.32953249714937211</v>
      </c>
      <c r="E70">
        <v>-0.125</v>
      </c>
      <c r="F70">
        <v>-0.36294691224268599</v>
      </c>
      <c r="G70">
        <v>-0.28985507246376802</v>
      </c>
      <c r="H70">
        <v>-0.76395022079486108</v>
      </c>
      <c r="I70">
        <v>-0.67333333333333301</v>
      </c>
    </row>
    <row r="71" spans="1:9" x14ac:dyDescent="0.25">
      <c r="A71" s="1" t="s">
        <v>83</v>
      </c>
      <c r="B71" t="str">
        <f>HYPERLINK("https://www.suredividend.com/sure-analysis-research-database/","Alexander &amp; Baldwin Inc.")</f>
        <v>Alexander &amp; Baldwin Inc.</v>
      </c>
      <c r="C71">
        <v>2.9556650246305001E-2</v>
      </c>
      <c r="D71">
        <v>-0.104829210836278</v>
      </c>
      <c r="E71">
        <v>-0.10970064216568499</v>
      </c>
      <c r="F71">
        <v>-7.3781707188717002E-2</v>
      </c>
      <c r="G71">
        <v>-0.12725754254097499</v>
      </c>
      <c r="H71">
        <v>-0.28303731464885101</v>
      </c>
      <c r="I71">
        <v>-7.0424257923910008E-2</v>
      </c>
    </row>
    <row r="72" spans="1:9" x14ac:dyDescent="0.25">
      <c r="A72" s="1" t="s">
        <v>84</v>
      </c>
      <c r="B72" t="str">
        <f>HYPERLINK("https://www.suredividend.com/sure-analysis-research-database/","Alamo Group Inc.")</f>
        <v>Alamo Group Inc.</v>
      </c>
      <c r="C72">
        <v>4.3554420090802001E-2</v>
      </c>
      <c r="D72">
        <v>1.041610167709E-3</v>
      </c>
      <c r="E72">
        <v>4.1097057391288001E-2</v>
      </c>
      <c r="F72">
        <v>0.28383126424054</v>
      </c>
      <c r="G72">
        <v>0.26674478037697602</v>
      </c>
      <c r="H72">
        <v>0.199664117924853</v>
      </c>
      <c r="I72">
        <v>1.061393911212013</v>
      </c>
    </row>
    <row r="73" spans="1:9" x14ac:dyDescent="0.25">
      <c r="A73" s="1" t="s">
        <v>85</v>
      </c>
      <c r="B73" t="str">
        <f>HYPERLINK("https://www.suredividend.com/sure-analysis-research-database/","Allegiant Travel")</f>
        <v>Allegiant Travel</v>
      </c>
      <c r="C73">
        <v>-0.14555042847725699</v>
      </c>
      <c r="D73">
        <v>-0.42331340749612401</v>
      </c>
      <c r="E73">
        <v>-0.36147154159154199</v>
      </c>
      <c r="F73">
        <v>-3.5773531008933997E-2</v>
      </c>
      <c r="G73">
        <v>-0.113965064439525</v>
      </c>
      <c r="H73">
        <v>-0.63923775128390303</v>
      </c>
      <c r="I73">
        <v>-0.45018633940834502</v>
      </c>
    </row>
    <row r="74" spans="1:9" x14ac:dyDescent="0.25">
      <c r="A74" s="1" t="s">
        <v>86</v>
      </c>
      <c r="B74" t="str">
        <f>HYPERLINK("https://www.suredividend.com/sure-analysis-research-database/","Alignment Healthcare Inc")</f>
        <v>Alignment Healthcare Inc</v>
      </c>
      <c r="C74">
        <v>-0.18095238095238</v>
      </c>
      <c r="D74">
        <v>-6.6666666666666E-2</v>
      </c>
      <c r="E74">
        <v>-0.14000000000000001</v>
      </c>
      <c r="F74">
        <v>-0.48809523809523803</v>
      </c>
      <c r="G74">
        <v>-0.53151750972762601</v>
      </c>
      <c r="H74">
        <v>-0.71196172248803802</v>
      </c>
      <c r="I74">
        <v>-0.65222414789139205</v>
      </c>
    </row>
    <row r="75" spans="1:9" x14ac:dyDescent="0.25">
      <c r="A75" s="1" t="s">
        <v>87</v>
      </c>
      <c r="B75" t="str">
        <f>HYPERLINK("https://www.suredividend.com/sure-analysis-research-database/","Alight Inc.")</f>
        <v>Alight Inc.</v>
      </c>
      <c r="C75">
        <v>0.102446483180428</v>
      </c>
      <c r="D75">
        <v>-0.14976415094339601</v>
      </c>
      <c r="E75">
        <v>-0.18531073446327601</v>
      </c>
      <c r="F75">
        <v>-0.13755980861243999</v>
      </c>
      <c r="G75">
        <v>-0.173165137614679</v>
      </c>
      <c r="H75">
        <v>-0.36475770925110101</v>
      </c>
      <c r="I75">
        <v>-0.30673076923076897</v>
      </c>
    </row>
    <row r="76" spans="1:9" x14ac:dyDescent="0.25">
      <c r="A76" s="1" t="s">
        <v>88</v>
      </c>
      <c r="B76" t="str">
        <f>HYPERLINK("https://www.suredividend.com/sure-analysis-research-database/","Alkermes plc")</f>
        <v>Alkermes plc</v>
      </c>
      <c r="C76">
        <v>-0.115590438815554</v>
      </c>
      <c r="D76">
        <v>-0.101811594202898</v>
      </c>
      <c r="E76">
        <v>-0.136537791710205</v>
      </c>
      <c r="F76">
        <v>-5.1282051282051003E-2</v>
      </c>
      <c r="G76">
        <v>3.3778148457047012E-2</v>
      </c>
      <c r="H76">
        <v>-0.18319604612849999</v>
      </c>
      <c r="I76">
        <v>-0.34313725490196001</v>
      </c>
    </row>
    <row r="77" spans="1:9" x14ac:dyDescent="0.25">
      <c r="A77" s="1" t="s">
        <v>89</v>
      </c>
      <c r="B77" t="str">
        <f>HYPERLINK("https://www.suredividend.com/sure-analysis-research-database/","Alkami Technology Inc")</f>
        <v>Alkami Technology Inc</v>
      </c>
      <c r="C77">
        <v>0.16676384839650099</v>
      </c>
      <c r="D77">
        <v>0.23824257425742501</v>
      </c>
      <c r="E77">
        <v>0.73547267996530807</v>
      </c>
      <c r="F77">
        <v>0.37148732008224811</v>
      </c>
      <c r="G77">
        <v>0.48442136498516303</v>
      </c>
      <c r="H77">
        <v>-0.37741132545115103</v>
      </c>
      <c r="I77">
        <v>-0.53465116279069702</v>
      </c>
    </row>
    <row r="78" spans="1:9" x14ac:dyDescent="0.25">
      <c r="A78" s="1" t="s">
        <v>90</v>
      </c>
      <c r="B78" t="str">
        <f>HYPERLINK("https://www.suredividend.com/sure-analysis-research-database/","Allogene Therapeutics Inc")</f>
        <v>Allogene Therapeutics Inc</v>
      </c>
      <c r="C78">
        <v>0.16666666666666599</v>
      </c>
      <c r="D78">
        <v>-0.23747276688453101</v>
      </c>
      <c r="E78">
        <v>-0.45736434108527102</v>
      </c>
      <c r="F78">
        <v>-0.44356120826709011</v>
      </c>
      <c r="G78">
        <v>-0.62526766595289007</v>
      </c>
      <c r="H78">
        <v>-0.8198661863098301</v>
      </c>
      <c r="I78">
        <v>-0.87360057782592904</v>
      </c>
    </row>
    <row r="79" spans="1:9" x14ac:dyDescent="0.25">
      <c r="A79" s="1" t="s">
        <v>91</v>
      </c>
      <c r="B79" t="str">
        <f>HYPERLINK("https://www.suredividend.com/sure-analysis-research-database/","Alpine Immune Sciences Inc")</f>
        <v>Alpine Immune Sciences Inc</v>
      </c>
      <c r="C79">
        <v>0.37350427350427301</v>
      </c>
      <c r="D79">
        <v>0.14949928469241699</v>
      </c>
      <c r="E79">
        <v>1.3494152046783621</v>
      </c>
      <c r="F79">
        <v>1.186394557823129</v>
      </c>
      <c r="G79">
        <v>1.5711999999999999</v>
      </c>
      <c r="H79">
        <v>0.25546874999999902</v>
      </c>
      <c r="I79">
        <v>2.3689727463312371</v>
      </c>
    </row>
    <row r="80" spans="1:9" x14ac:dyDescent="0.25">
      <c r="A80" s="1" t="s">
        <v>92</v>
      </c>
      <c r="B80" t="str">
        <f>HYPERLINK("https://www.suredividend.com/sure-analysis-research-database/","Alarm.com Holdings Inc")</f>
        <v>Alarm.com Holdings Inc</v>
      </c>
      <c r="C80">
        <v>-0.13116387182467201</v>
      </c>
      <c r="D80">
        <v>2.5475210660395001E-2</v>
      </c>
      <c r="E80">
        <v>0.15010989010989001</v>
      </c>
      <c r="F80">
        <v>5.7599029911075003E-2</v>
      </c>
      <c r="G80">
        <v>-6.7533856022808009E-2</v>
      </c>
      <c r="H80">
        <v>-0.39066138798323202</v>
      </c>
      <c r="I80">
        <v>0.11649242585875801</v>
      </c>
    </row>
    <row r="81" spans="1:9" x14ac:dyDescent="0.25">
      <c r="A81" s="1" t="s">
        <v>93</v>
      </c>
      <c r="B81" t="str">
        <f>HYPERLINK("https://www.suredividend.com/sure-analysis-ALRS/","Alerus Financial Corp")</f>
        <v>Alerus Financial Corp</v>
      </c>
      <c r="C81">
        <v>2.7366020524514999E-2</v>
      </c>
      <c r="D81">
        <v>-7.0597458326456003E-2</v>
      </c>
      <c r="E81">
        <v>0.37992296323523711</v>
      </c>
      <c r="F81">
        <v>-0.186863467968647</v>
      </c>
      <c r="G81">
        <v>-0.11826589029701</v>
      </c>
      <c r="H81">
        <v>-0.42550356111277599</v>
      </c>
      <c r="I81">
        <v>-0.61651251973832599</v>
      </c>
    </row>
    <row r="82" spans="1:9" x14ac:dyDescent="0.25">
      <c r="A82" s="1" t="s">
        <v>94</v>
      </c>
      <c r="B82" t="str">
        <f>HYPERLINK("https://www.suredividend.com/sure-analysis-research-database/","Alta Equipment Group Inc")</f>
        <v>Alta Equipment Group Inc</v>
      </c>
      <c r="C82">
        <v>-8.4880636604774004E-2</v>
      </c>
      <c r="D82">
        <v>-0.38552693291853901</v>
      </c>
      <c r="E82">
        <v>-0.20606307004287999</v>
      </c>
      <c r="F82">
        <v>-0.20648915535178899</v>
      </c>
      <c r="G82">
        <v>-0.14186931540240899</v>
      </c>
      <c r="H82">
        <v>-0.34055431666135699</v>
      </c>
      <c r="I82">
        <v>6.701030927835E-2</v>
      </c>
    </row>
    <row r="83" spans="1:9" x14ac:dyDescent="0.25">
      <c r="A83" s="1" t="s">
        <v>95</v>
      </c>
      <c r="B83" t="str">
        <f>HYPERLINK("https://www.suredividend.com/sure-analysis-research-database/","Alto Ingredients Inc")</f>
        <v>Alto Ingredients Inc</v>
      </c>
      <c r="C83">
        <v>0.124087591240875</v>
      </c>
      <c r="D83">
        <v>0.18461538461538399</v>
      </c>
      <c r="E83">
        <v>2.3722627737226269</v>
      </c>
      <c r="F83">
        <v>0.60416666666666607</v>
      </c>
      <c r="G83">
        <v>0.12958435207823901</v>
      </c>
      <c r="H83">
        <v>-0.16304347826086901</v>
      </c>
      <c r="I83">
        <v>1.5384615384615381</v>
      </c>
    </row>
    <row r="84" spans="1:9" x14ac:dyDescent="0.25">
      <c r="A84" s="1" t="s">
        <v>96</v>
      </c>
      <c r="B84" t="str">
        <f>HYPERLINK("https://www.suredividend.com/sure-analysis-research-database/","Altair Engineering Inc")</f>
        <v>Altair Engineering Inc</v>
      </c>
      <c r="C84">
        <v>1.8435321456234999E-2</v>
      </c>
      <c r="D84">
        <v>3.0407523510971E-2</v>
      </c>
      <c r="E84">
        <v>-1.719240544177E-2</v>
      </c>
      <c r="F84">
        <v>0.44578843193314199</v>
      </c>
      <c r="G84">
        <v>0.44515278083095111</v>
      </c>
      <c r="H84">
        <v>-0.18568066394153299</v>
      </c>
      <c r="I84">
        <v>0.73456464379947206</v>
      </c>
    </row>
    <row r="85" spans="1:9" x14ac:dyDescent="0.25">
      <c r="A85" s="1" t="s">
        <v>97</v>
      </c>
      <c r="B85" t="str">
        <f>HYPERLINK("https://www.suredividend.com/sure-analysis-research-database/","AlloVir Inc")</f>
        <v>AlloVir Inc</v>
      </c>
      <c r="C85">
        <v>-0.180487804878048</v>
      </c>
      <c r="D85">
        <v>-0.45980707395498299</v>
      </c>
      <c r="E85">
        <v>-0.60563380281690105</v>
      </c>
      <c r="F85">
        <v>-0.67251461988304106</v>
      </c>
      <c r="G85">
        <v>-0.76304654442877307</v>
      </c>
      <c r="H85">
        <v>-0.93173506704591602</v>
      </c>
      <c r="I85">
        <v>-0.93383221740842803</v>
      </c>
    </row>
    <row r="86" spans="1:9" x14ac:dyDescent="0.25">
      <c r="A86" s="1" t="s">
        <v>98</v>
      </c>
      <c r="B86" t="str">
        <f>HYPERLINK("https://www.suredividend.com/sure-analysis-research-database/","Alexander`s Inc.")</f>
        <v>Alexander`s Inc.</v>
      </c>
      <c r="C86">
        <v>0.161101315222413</v>
      </c>
      <c r="D86">
        <v>4.7912417535886001E-2</v>
      </c>
      <c r="E86">
        <v>0.184628332909063</v>
      </c>
      <c r="F86">
        <v>-3.1323623662354999E-2</v>
      </c>
      <c r="G86">
        <v>-9.4217323582619014E-2</v>
      </c>
      <c r="H86">
        <v>-0.15752418133412699</v>
      </c>
      <c r="I86">
        <v>-0.114047888417036</v>
      </c>
    </row>
    <row r="87" spans="1:9" x14ac:dyDescent="0.25">
      <c r="A87" s="1" t="s">
        <v>99</v>
      </c>
      <c r="B87" t="str">
        <f>HYPERLINK("https://www.suredividend.com/sure-analysis-research-database/","Alx Oncology Holdings Inc")</f>
        <v>Alx Oncology Holdings Inc</v>
      </c>
      <c r="C87">
        <v>0.30407523510971801</v>
      </c>
      <c r="D87">
        <v>0.49640287769784203</v>
      </c>
      <c r="E87">
        <v>0.31023622047244098</v>
      </c>
      <c r="F87">
        <v>-0.261756876663708</v>
      </c>
      <c r="G87">
        <v>-0.31859131859131801</v>
      </c>
      <c r="H87">
        <v>-0.84106972301814709</v>
      </c>
      <c r="I87">
        <v>-0.72266666666666601</v>
      </c>
    </row>
    <row r="88" spans="1:9" x14ac:dyDescent="0.25">
      <c r="A88" s="1" t="s">
        <v>100</v>
      </c>
      <c r="B88" t="str">
        <f>HYPERLINK("https://www.suredividend.com/sure-analysis-research-database/","Amalgamated Financial Corp")</f>
        <v>Amalgamated Financial Corp</v>
      </c>
      <c r="C88">
        <v>0.168667466986794</v>
      </c>
      <c r="D88">
        <v>-7.1392146863839996E-3</v>
      </c>
      <c r="E88">
        <v>0.32121820797480999</v>
      </c>
      <c r="F88">
        <v>-0.135500428475647</v>
      </c>
      <c r="G88">
        <v>-0.17416016287750199</v>
      </c>
      <c r="H88">
        <v>0.101936170333184</v>
      </c>
      <c r="I88">
        <v>0.13154912387760401</v>
      </c>
    </row>
    <row r="89" spans="1:9" x14ac:dyDescent="0.25">
      <c r="A89" s="1" t="s">
        <v>101</v>
      </c>
      <c r="B89" t="str">
        <f>HYPERLINK("https://www.suredividend.com/sure-analysis-research-database/","Ambarella Inc")</f>
        <v>Ambarella Inc</v>
      </c>
      <c r="C89">
        <v>-4.7835990888382002E-2</v>
      </c>
      <c r="D89">
        <v>-0.34155946442635798</v>
      </c>
      <c r="E89">
        <v>-0.21625</v>
      </c>
      <c r="F89">
        <v>-0.39000364830353801</v>
      </c>
      <c r="G89">
        <v>-7.8280044101433008E-2</v>
      </c>
      <c r="H89">
        <v>-0.74432947652785508</v>
      </c>
      <c r="I89">
        <v>0.38029719317556299</v>
      </c>
    </row>
    <row r="90" spans="1:9" x14ac:dyDescent="0.25">
      <c r="A90" s="1" t="s">
        <v>102</v>
      </c>
      <c r="B90" t="str">
        <f>HYPERLINK("https://www.suredividend.com/sure-analysis-research-database/","AMBAC Financial Group Inc.")</f>
        <v>AMBAC Financial Group Inc.</v>
      </c>
      <c r="C90">
        <v>2.7115858668857001E-2</v>
      </c>
      <c r="D90">
        <v>-0.110320284697509</v>
      </c>
      <c r="E90">
        <v>-0.13971094287680599</v>
      </c>
      <c r="F90">
        <v>-0.283256880733945</v>
      </c>
      <c r="G90">
        <v>-9.6167751265365004E-2</v>
      </c>
      <c r="H90">
        <v>-0.25816023738872401</v>
      </c>
      <c r="I90">
        <v>-0.40019193857965402</v>
      </c>
    </row>
    <row r="91" spans="1:9" x14ac:dyDescent="0.25">
      <c r="A91" s="1" t="s">
        <v>103</v>
      </c>
      <c r="B91" t="str">
        <f>HYPERLINK("https://www.suredividend.com/sure-analysis-research-database/","AMC Networks Inc")</f>
        <v>AMC Networks Inc</v>
      </c>
      <c r="C91">
        <v>0.3215859030837</v>
      </c>
      <c r="D91">
        <v>7.7586206896551005E-2</v>
      </c>
      <c r="E91">
        <v>2.3192360163709999E-2</v>
      </c>
      <c r="F91">
        <v>-4.2756860242501013E-2</v>
      </c>
      <c r="G91">
        <v>-0.184339314845024</v>
      </c>
      <c r="H91">
        <v>-0.65091924598557105</v>
      </c>
      <c r="I91">
        <v>-0.74567650050864709</v>
      </c>
    </row>
    <row r="92" spans="1:9" x14ac:dyDescent="0.25">
      <c r="A92" s="1" t="s">
        <v>104</v>
      </c>
      <c r="B92" t="str">
        <f>HYPERLINK("https://www.suredividend.com/sure-analysis-research-database/","Apollo Medical Holdings Inc")</f>
        <v>Apollo Medical Holdings Inc</v>
      </c>
      <c r="C92">
        <v>1.1068943706514E-2</v>
      </c>
      <c r="D92">
        <v>-0.151314043005043</v>
      </c>
      <c r="E92">
        <v>-6.3836017569546002E-2</v>
      </c>
      <c r="F92">
        <v>8.0432578573842006E-2</v>
      </c>
      <c r="G92">
        <v>-0.15757575757575701</v>
      </c>
      <c r="H92">
        <v>-0.558364414974444</v>
      </c>
      <c r="I92">
        <v>0.50164396430248903</v>
      </c>
    </row>
    <row r="93" spans="1:9" x14ac:dyDescent="0.25">
      <c r="A93" s="1" t="s">
        <v>105</v>
      </c>
      <c r="B93" t="str">
        <f>HYPERLINK("https://www.suredividend.com/sure-analysis-research-database/","Assetmark Financial Holdings Inc")</f>
        <v>Assetmark Financial Holdings Inc</v>
      </c>
      <c r="C93">
        <v>1.6556291390720001E-3</v>
      </c>
      <c r="D93">
        <v>-0.13848344606621499</v>
      </c>
      <c r="E93">
        <v>-8.0197643481565009E-2</v>
      </c>
      <c r="F93">
        <v>5.2173913043478001E-2</v>
      </c>
      <c r="G93">
        <v>1.8090029448884999E-2</v>
      </c>
      <c r="H93">
        <v>-9.6340552651232009E-2</v>
      </c>
      <c r="I93">
        <v>-0.10502958579881599</v>
      </c>
    </row>
    <row r="94" spans="1:9" x14ac:dyDescent="0.25">
      <c r="A94" s="1" t="s">
        <v>106</v>
      </c>
      <c r="B94" t="str">
        <f>HYPERLINK("https://www.suredividend.com/sure-analysis-research-database/","AMKOR Technology Inc.")</f>
        <v>AMKOR Technology Inc.</v>
      </c>
      <c r="C94">
        <v>6.3839285714285002E-2</v>
      </c>
      <c r="D94">
        <v>-0.152693035229196</v>
      </c>
      <c r="E94">
        <v>0.16613653046244101</v>
      </c>
      <c r="F94">
        <v>-6.16489198857E-4</v>
      </c>
      <c r="G94">
        <v>0.141026684606434</v>
      </c>
      <c r="H94">
        <v>3.6582713471660012E-2</v>
      </c>
      <c r="I94">
        <v>2.423014493586336</v>
      </c>
    </row>
    <row r="95" spans="1:9" x14ac:dyDescent="0.25">
      <c r="A95" s="1" t="s">
        <v>107</v>
      </c>
      <c r="B95" t="str">
        <f>HYPERLINK("https://www.suredividend.com/sure-analysis-research-database/","Amylyx Pharmaceuticals Inc")</f>
        <v>Amylyx Pharmaceuticals Inc</v>
      </c>
      <c r="C95">
        <v>5.4347826086956007E-2</v>
      </c>
      <c r="D95">
        <v>-0.18088888888888799</v>
      </c>
      <c r="E95">
        <v>-0.33537684817886698</v>
      </c>
      <c r="F95">
        <v>-0.501217861975642</v>
      </c>
      <c r="G95">
        <v>-0.46377654931626411</v>
      </c>
      <c r="H95">
        <v>1.9922523519645002E-2</v>
      </c>
      <c r="I95">
        <v>1.9922523519645002E-2</v>
      </c>
    </row>
    <row r="96" spans="1:9" x14ac:dyDescent="0.25">
      <c r="A96" s="1" t="s">
        <v>108</v>
      </c>
      <c r="B96" t="str">
        <f>HYPERLINK("https://www.suredividend.com/sure-analysis-research-database/","AMN Healthcare Services Inc.")</f>
        <v>AMN Healthcare Services Inc.</v>
      </c>
      <c r="C96">
        <v>-0.231517509727626</v>
      </c>
      <c r="D96">
        <v>-0.25314203091980803</v>
      </c>
      <c r="E96">
        <v>-0.21092831962397099</v>
      </c>
      <c r="F96">
        <v>-0.34691694222913799</v>
      </c>
      <c r="G96">
        <v>-0.40374711418930898</v>
      </c>
      <c r="H96">
        <v>-0.40268635474114911</v>
      </c>
      <c r="I96">
        <v>0.16277056277056201</v>
      </c>
    </row>
    <row r="97" spans="1:9" x14ac:dyDescent="0.25">
      <c r="A97" s="1" t="s">
        <v>109</v>
      </c>
      <c r="B97" t="str">
        <f>HYPERLINK("https://www.suredividend.com/sure-analysis-research-database/","American National Bankshares Inc.")</f>
        <v>American National Bankshares Inc.</v>
      </c>
      <c r="C97">
        <v>0.12546320804658501</v>
      </c>
      <c r="D97">
        <v>8.2399668030110011E-3</v>
      </c>
      <c r="E97">
        <v>0.67402892936164804</v>
      </c>
      <c r="F97">
        <v>0.20574857363233101</v>
      </c>
      <c r="G97">
        <v>0.188805323342746</v>
      </c>
      <c r="H97">
        <v>0.24043852944437</v>
      </c>
      <c r="I97">
        <v>0.41785321284470911</v>
      </c>
    </row>
    <row r="98" spans="1:9" x14ac:dyDescent="0.25">
      <c r="A98" s="1" t="s">
        <v>110</v>
      </c>
      <c r="B98" t="str">
        <f>HYPERLINK("https://www.suredividend.com/sure-analysis-research-database/","Amphastar Pharmaceuticals Inc")</f>
        <v>Amphastar Pharmaceuticals Inc</v>
      </c>
      <c r="C98">
        <v>1.5253867945086E-2</v>
      </c>
      <c r="D98">
        <v>-0.25823913389587599</v>
      </c>
      <c r="E98">
        <v>0.27434354485776802</v>
      </c>
      <c r="F98">
        <v>0.66274089935760105</v>
      </c>
      <c r="G98">
        <v>0.56552419354838701</v>
      </c>
      <c r="H98">
        <v>1.357793522267206</v>
      </c>
      <c r="I98">
        <v>1.482152370804475</v>
      </c>
    </row>
    <row r="99" spans="1:9" x14ac:dyDescent="0.25">
      <c r="A99" s="1" t="s">
        <v>111</v>
      </c>
      <c r="B99" t="str">
        <f>HYPERLINK("https://www.suredividend.com/sure-analysis-research-database/","Amplitude Inc")</f>
        <v>Amplitude Inc</v>
      </c>
      <c r="C99">
        <v>-3.7071362372560002E-3</v>
      </c>
      <c r="D99">
        <v>-5.4529463500439003E-2</v>
      </c>
      <c r="E99">
        <v>-3.6738351254480002E-2</v>
      </c>
      <c r="F99">
        <v>-0.110099337748344</v>
      </c>
      <c r="G99">
        <v>-0.22717469446441399</v>
      </c>
      <c r="H99">
        <v>-0.86920549945248804</v>
      </c>
      <c r="I99">
        <v>-0.80383211678832112</v>
      </c>
    </row>
    <row r="100" spans="1:9" x14ac:dyDescent="0.25">
      <c r="A100" s="1" t="s">
        <v>112</v>
      </c>
      <c r="B100" t="str">
        <f>HYPERLINK("https://www.suredividend.com/sure-analysis-research-database/","Altus Power Inc")</f>
        <v>Altus Power Inc</v>
      </c>
      <c r="C100">
        <v>0.30022573363431099</v>
      </c>
      <c r="D100">
        <v>-7.2463768115942004E-2</v>
      </c>
      <c r="E100">
        <v>0.38129496402877711</v>
      </c>
      <c r="F100">
        <v>-0.11656441717791401</v>
      </c>
      <c r="G100">
        <v>-0.27088607594936698</v>
      </c>
      <c r="H100">
        <v>-0.43473994111874298</v>
      </c>
      <c r="I100">
        <v>-0.45090562440419402</v>
      </c>
    </row>
    <row r="101" spans="1:9" x14ac:dyDescent="0.25">
      <c r="A101" s="1" t="s">
        <v>113</v>
      </c>
      <c r="B101" t="str">
        <f>HYPERLINK("https://www.suredividend.com/sure-analysis-research-database/","Amplify Energy Corp.")</f>
        <v>Amplify Energy Corp.</v>
      </c>
      <c r="C101">
        <v>6.4318529862173998E-2</v>
      </c>
      <c r="D101">
        <v>-6.8364611260052999E-2</v>
      </c>
      <c r="E101">
        <v>-7.1428571428570004E-3</v>
      </c>
      <c r="F101">
        <v>-0.20932878270762201</v>
      </c>
      <c r="G101">
        <v>-0.25268817204300997</v>
      </c>
      <c r="H101">
        <v>1.0203488372093019</v>
      </c>
      <c r="I101">
        <v>-8.1902245706737001E-2</v>
      </c>
    </row>
    <row r="102" spans="1:9" x14ac:dyDescent="0.25">
      <c r="A102" s="1" t="s">
        <v>114</v>
      </c>
      <c r="B102" t="str">
        <f>HYPERLINK("https://www.suredividend.com/sure-analysis-research-database/","Alpha Metallurgical Resources Inc")</f>
        <v>Alpha Metallurgical Resources Inc</v>
      </c>
      <c r="C102">
        <v>-8.359042774952001E-2</v>
      </c>
      <c r="D102">
        <v>0.24705200219897699</v>
      </c>
      <c r="E102">
        <v>0.58829713823264806</v>
      </c>
      <c r="F102">
        <v>0.51401085106544209</v>
      </c>
      <c r="G102">
        <v>0.29339486584433699</v>
      </c>
      <c r="H102">
        <v>2.8584684086911638</v>
      </c>
      <c r="I102">
        <v>1.9308000000000001</v>
      </c>
    </row>
    <row r="103" spans="1:9" x14ac:dyDescent="0.25">
      <c r="A103" s="1" t="s">
        <v>115</v>
      </c>
      <c r="B103" t="str">
        <f>HYPERLINK("https://www.suredividend.com/sure-analysis-research-database/","Ameresco Inc.")</f>
        <v>Ameresco Inc.</v>
      </c>
      <c r="C103">
        <v>-0.15384615384615299</v>
      </c>
      <c r="D103">
        <v>-0.40415750549670199</v>
      </c>
      <c r="E103">
        <v>-0.278732155819017</v>
      </c>
      <c r="F103">
        <v>-0.47829891494574711</v>
      </c>
      <c r="G103">
        <v>-0.43690970910464599</v>
      </c>
      <c r="H103">
        <v>-0.68723114048893008</v>
      </c>
      <c r="I103">
        <v>0.90236119974473505</v>
      </c>
    </row>
    <row r="104" spans="1:9" x14ac:dyDescent="0.25">
      <c r="A104" s="1" t="s">
        <v>116</v>
      </c>
      <c r="B104" t="str">
        <f>HYPERLINK("https://www.suredividend.com/sure-analysis-research-database/","A-Mark Precious Metals Inc")</f>
        <v>A-Mark Precious Metals Inc</v>
      </c>
      <c r="C104">
        <v>-1.9984696241956999E-2</v>
      </c>
      <c r="D104">
        <v>-0.245420799610539</v>
      </c>
      <c r="E104">
        <v>-0.15520087205071201</v>
      </c>
      <c r="F104">
        <v>-0.13503367280936401</v>
      </c>
      <c r="G104">
        <v>4.6702579922341003E-2</v>
      </c>
      <c r="H104">
        <v>-0.19449849559011501</v>
      </c>
      <c r="I104">
        <v>4.4369706028898852</v>
      </c>
    </row>
    <row r="105" spans="1:9" x14ac:dyDescent="0.25">
      <c r="A105" s="1" t="s">
        <v>117</v>
      </c>
      <c r="B105" t="str">
        <f>HYPERLINK("https://www.suredividend.com/sure-analysis-research-database/","Amyris Inc")</f>
        <v>Amyris Inc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1" t="s">
        <v>118</v>
      </c>
      <c r="B106" t="str">
        <f>HYPERLINK("https://www.suredividend.com/sure-analysis-research-database/","Amneal Pharmaceuticals Inc")</f>
        <v>Amneal Pharmaceuticals Inc</v>
      </c>
      <c r="C106">
        <v>2.1428571428570999E-2</v>
      </c>
      <c r="D106">
        <v>4.3795620437956012E-2</v>
      </c>
      <c r="E106">
        <v>1.3315217391304339</v>
      </c>
      <c r="F106">
        <v>1.155778894472361</v>
      </c>
      <c r="G106">
        <v>1.023584905660377</v>
      </c>
      <c r="H106">
        <v>-0.15717092337917399</v>
      </c>
      <c r="I106">
        <v>-0.77385345282024209</v>
      </c>
    </row>
    <row r="107" spans="1:9" x14ac:dyDescent="0.25">
      <c r="A107" s="1" t="s">
        <v>119</v>
      </c>
      <c r="B107" t="str">
        <f>HYPERLINK("https://www.suredividend.com/sure-analysis-research-database/","Amerisafe Inc")</f>
        <v>Amerisafe Inc</v>
      </c>
      <c r="C107">
        <v>2.1588433353139001E-2</v>
      </c>
      <c r="D107">
        <v>-3.0019012229131999E-2</v>
      </c>
      <c r="E107">
        <v>-5.2043858133712997E-2</v>
      </c>
      <c r="F107">
        <v>2.5396352069976001E-2</v>
      </c>
      <c r="G107">
        <v>-4.6465841552126998E-2</v>
      </c>
      <c r="H107">
        <v>-3.8531439723675003E-2</v>
      </c>
      <c r="I107">
        <v>0.12686764439220499</v>
      </c>
    </row>
    <row r="108" spans="1:9" x14ac:dyDescent="0.25">
      <c r="A108" s="1" t="s">
        <v>120</v>
      </c>
      <c r="B108" t="str">
        <f>HYPERLINK("https://www.suredividend.com/sure-analysis-research-database/","American Software Inc.")</f>
        <v>American Software Inc.</v>
      </c>
      <c r="C108">
        <v>-1.6E-2</v>
      </c>
      <c r="D108">
        <v>-1.7589322163255001E-2</v>
      </c>
      <c r="E108">
        <v>-7.3756432246998002E-2</v>
      </c>
      <c r="F108">
        <v>-0.226096014429429</v>
      </c>
      <c r="G108">
        <v>-0.30187239463444399</v>
      </c>
      <c r="H108">
        <v>-0.62690591423217401</v>
      </c>
      <c r="I108">
        <v>9.4468337535221006E-2</v>
      </c>
    </row>
    <row r="109" spans="1:9" x14ac:dyDescent="0.25">
      <c r="A109" s="1" t="s">
        <v>121</v>
      </c>
      <c r="B109" t="str">
        <f>HYPERLINK("https://www.suredividend.com/sure-analysis-research-database/","Amerant Bancorp Inc")</f>
        <v>Amerant Bancorp Inc</v>
      </c>
      <c r="C109">
        <v>0.138619509412435</v>
      </c>
      <c r="D109">
        <v>-7.4491044167510007E-3</v>
      </c>
      <c r="E109">
        <v>0.22066818740558999</v>
      </c>
      <c r="F109">
        <v>-0.24313092014955301</v>
      </c>
      <c r="G109">
        <v>-0.32216743415243698</v>
      </c>
      <c r="H109">
        <v>-0.242283323779624</v>
      </c>
      <c r="I109">
        <v>-1.55509412931E-2</v>
      </c>
    </row>
    <row r="110" spans="1:9" x14ac:dyDescent="0.25">
      <c r="A110" s="1" t="s">
        <v>122</v>
      </c>
      <c r="B110" t="str">
        <f>HYPERLINK("https://www.suredividend.com/sure-analysis-research-database/","Aemetis Inc")</f>
        <v>Aemetis Inc</v>
      </c>
      <c r="C110">
        <v>0.209476309226932</v>
      </c>
      <c r="D110">
        <v>-0.34986595174262702</v>
      </c>
      <c r="E110">
        <v>1.7714285714285709</v>
      </c>
      <c r="F110">
        <v>0.224747474747474</v>
      </c>
      <c r="G110">
        <v>-0.29093567251461899</v>
      </c>
      <c r="H110">
        <v>-0.76849642004773211</v>
      </c>
      <c r="I110">
        <v>4.1595744680851059</v>
      </c>
    </row>
    <row r="111" spans="1:9" x14ac:dyDescent="0.25">
      <c r="A111" s="1" t="s">
        <v>123</v>
      </c>
      <c r="B111" t="str">
        <f>HYPERLINK("https://www.suredividend.com/sure-analysis-research-database/","American Woodmark Corp.")</f>
        <v>American Woodmark Corp.</v>
      </c>
      <c r="C111">
        <v>-3.155792276964E-2</v>
      </c>
      <c r="D111">
        <v>-2.1920387305001999E-2</v>
      </c>
      <c r="E111">
        <v>0.48247044435385211</v>
      </c>
      <c r="F111">
        <v>0.48853868194842398</v>
      </c>
      <c r="G111">
        <v>0.62889137737961909</v>
      </c>
      <c r="H111">
        <v>-4.9254343959499996E-3</v>
      </c>
      <c r="I111">
        <v>0.110890484191232</v>
      </c>
    </row>
    <row r="112" spans="1:9" x14ac:dyDescent="0.25">
      <c r="A112" s="1" t="s">
        <v>124</v>
      </c>
      <c r="B112" t="str">
        <f>HYPERLINK("https://www.suredividend.com/sure-analysis-research-database/","American Well Corporation")</f>
        <v>American Well Corporation</v>
      </c>
      <c r="C112">
        <v>0.31481481481481399</v>
      </c>
      <c r="D112">
        <v>-0.30731707317073098</v>
      </c>
      <c r="E112">
        <v>-0.28643216080402001</v>
      </c>
      <c r="F112">
        <v>-0.49823321554770311</v>
      </c>
      <c r="G112">
        <v>-0.608815426997245</v>
      </c>
      <c r="H112">
        <v>-0.84861407249466903</v>
      </c>
      <c r="I112">
        <v>-0.93844820112700411</v>
      </c>
    </row>
    <row r="113" spans="1:9" x14ac:dyDescent="0.25">
      <c r="A113" s="1" t="s">
        <v>125</v>
      </c>
      <c r="B113" t="str">
        <f>HYPERLINK("https://www.suredividend.com/sure-analysis-research-database/","AnaptysBio Inc")</f>
        <v>AnaptysBio Inc</v>
      </c>
      <c r="C113">
        <v>-5.0379198266522013E-2</v>
      </c>
      <c r="D113">
        <v>-6.3067878140032008E-2</v>
      </c>
      <c r="E113">
        <v>-0.16761633428299999</v>
      </c>
      <c r="F113">
        <v>-0.43433365601807011</v>
      </c>
      <c r="G113">
        <v>-0.40916750926862111</v>
      </c>
      <c r="H113">
        <v>-0.49173673528558998</v>
      </c>
      <c r="I113">
        <v>-0.78416646146269309</v>
      </c>
    </row>
    <row r="114" spans="1:9" x14ac:dyDescent="0.25">
      <c r="A114" s="1" t="s">
        <v>126</v>
      </c>
      <c r="B114" t="str">
        <f>HYPERLINK("https://www.suredividend.com/sure-analysis-ANDE/","Andersons Inc.")</f>
        <v>Andersons Inc.</v>
      </c>
      <c r="C114">
        <v>4.4536817102137007E-2</v>
      </c>
      <c r="D114">
        <v>2.5267397458059999E-3</v>
      </c>
      <c r="E114">
        <v>0.45705457949189399</v>
      </c>
      <c r="F114">
        <v>0.53815211878486802</v>
      </c>
      <c r="G114">
        <v>0.44658570684503401</v>
      </c>
      <c r="H114">
        <v>0.48992037946806699</v>
      </c>
      <c r="I114">
        <v>0.64378185080429107</v>
      </c>
    </row>
    <row r="115" spans="1:9" x14ac:dyDescent="0.25">
      <c r="A115" s="1" t="s">
        <v>127</v>
      </c>
      <c r="B115" t="str">
        <f>HYPERLINK("https://www.suredividend.com/sure-analysis-research-database/","Abercrombie &amp; Fitch Co.")</f>
        <v>Abercrombie &amp; Fitch Co.</v>
      </c>
      <c r="C115">
        <v>0.188100852530382</v>
      </c>
      <c r="D115">
        <v>0.66964058118786607</v>
      </c>
      <c r="E115">
        <v>2.000458085203848</v>
      </c>
      <c r="F115">
        <v>1.859013531209079</v>
      </c>
      <c r="G115">
        <v>2.8192419825072879</v>
      </c>
      <c r="H115">
        <v>0.39510117145899798</v>
      </c>
      <c r="I115">
        <v>2.4702906037246009</v>
      </c>
    </row>
    <row r="116" spans="1:9" x14ac:dyDescent="0.25">
      <c r="A116" s="1" t="s">
        <v>128</v>
      </c>
      <c r="B116" t="str">
        <f>HYPERLINK("https://www.suredividend.com/sure-analysis-research-database/","Angiodynamic Inc")</f>
        <v>Angiodynamic Inc</v>
      </c>
      <c r="C116">
        <v>-7.9729729729729013E-2</v>
      </c>
      <c r="D116">
        <v>-0.19024970273483899</v>
      </c>
      <c r="E116">
        <v>-0.196933962264151</v>
      </c>
      <c r="F116">
        <v>-0.50544662309368105</v>
      </c>
      <c r="G116">
        <v>-0.51530249110320203</v>
      </c>
      <c r="H116">
        <v>-0.77657480314960603</v>
      </c>
      <c r="I116">
        <v>-0.67306769083053208</v>
      </c>
    </row>
    <row r="117" spans="1:9" x14ac:dyDescent="0.25">
      <c r="A117" s="1" t="s">
        <v>129</v>
      </c>
      <c r="B117" t="str">
        <f>HYPERLINK("https://www.suredividend.com/sure-analysis-research-database/","Anika Therapeutics Inc.")</f>
        <v>Anika Therapeutics Inc.</v>
      </c>
      <c r="C117">
        <v>0.12519978689397901</v>
      </c>
      <c r="D117">
        <v>-4.0871934604904001E-2</v>
      </c>
      <c r="E117">
        <v>-0.182346109175377</v>
      </c>
      <c r="F117">
        <v>-0.286486486486486</v>
      </c>
      <c r="G117">
        <v>-0.29269926322839901</v>
      </c>
      <c r="H117">
        <v>-0.51246537396121805</v>
      </c>
      <c r="I117">
        <v>-0.41641337386018201</v>
      </c>
    </row>
    <row r="118" spans="1:9" x14ac:dyDescent="0.25">
      <c r="A118" s="1" t="s">
        <v>130</v>
      </c>
      <c r="B118" t="str">
        <f>HYPERLINK("https://www.suredividend.com/sure-analysis-research-database/","ANI Pharmaceuticals Inc")</f>
        <v>ANI Pharmaceuticals Inc</v>
      </c>
      <c r="C118">
        <v>0.138110975821882</v>
      </c>
      <c r="D118">
        <v>0.21684954435558801</v>
      </c>
      <c r="E118">
        <v>0.72003154574132511</v>
      </c>
      <c r="F118">
        <v>0.62639821029082809</v>
      </c>
      <c r="G118">
        <v>0.70657276995305107</v>
      </c>
      <c r="H118">
        <v>0.30859999999999999</v>
      </c>
      <c r="I118">
        <v>0.26045078019649398</v>
      </c>
    </row>
    <row r="119" spans="1:9" x14ac:dyDescent="0.25">
      <c r="A119" s="1" t="s">
        <v>131</v>
      </c>
      <c r="B119" t="str">
        <f>HYPERLINK("https://www.suredividend.com/sure-analysis-research-database/","AN2 Therapeutics Inc")</f>
        <v>AN2 Therapeutics Inc</v>
      </c>
      <c r="C119">
        <v>1.7223910840932E-2</v>
      </c>
      <c r="D119">
        <v>0.82324455205811109</v>
      </c>
      <c r="E119">
        <v>1.830827067669172</v>
      </c>
      <c r="F119">
        <v>0.58027282266526703</v>
      </c>
      <c r="G119">
        <v>-5.6981840951783998E-2</v>
      </c>
      <c r="H119">
        <v>-2.2077922077921999E-2</v>
      </c>
      <c r="I119">
        <v>-2.2077922077921999E-2</v>
      </c>
    </row>
    <row r="120" spans="1:9" x14ac:dyDescent="0.25">
      <c r="A120" s="1" t="s">
        <v>132</v>
      </c>
      <c r="B120" t="str">
        <f>HYPERLINK("https://www.suredividend.com/sure-analysis-research-database/","Angel Oak Mortgage REIT Inc")</f>
        <v>Angel Oak Mortgage REIT Inc</v>
      </c>
      <c r="C120">
        <v>6.6831683168316003E-2</v>
      </c>
      <c r="D120">
        <v>-2.1710757776944999E-2</v>
      </c>
      <c r="E120">
        <v>0.19960477058602399</v>
      </c>
      <c r="F120">
        <v>1.0487225193107541</v>
      </c>
      <c r="G120">
        <v>9.7655702843463005E-2</v>
      </c>
      <c r="H120">
        <v>-0.38067593976319097</v>
      </c>
      <c r="I120">
        <v>-0.39468842604946403</v>
      </c>
    </row>
    <row r="121" spans="1:9" x14ac:dyDescent="0.25">
      <c r="A121" s="1" t="s">
        <v>133</v>
      </c>
      <c r="B121" t="str">
        <f>HYPERLINK("https://www.suredividend.com/sure-analysis-research-database/","Artivion Inc")</f>
        <v>Artivion Inc</v>
      </c>
      <c r="C121">
        <v>-4.0458530006743001E-2</v>
      </c>
      <c r="D121">
        <v>-0.138619854721549</v>
      </c>
      <c r="E121">
        <v>6.5917602996254002E-2</v>
      </c>
      <c r="F121">
        <v>0.17409240924092401</v>
      </c>
      <c r="G121">
        <v>0.27280858676207498</v>
      </c>
      <c r="H121">
        <v>-0.32909005186232898</v>
      </c>
      <c r="I121">
        <v>-0.54882688649334099</v>
      </c>
    </row>
    <row r="122" spans="1:9" x14ac:dyDescent="0.25">
      <c r="A122" s="1" t="s">
        <v>134</v>
      </c>
      <c r="B122" t="str">
        <f>HYPERLINK("https://www.suredividend.com/sure-analysis-research-database/","Alpha &amp; Omega Semiconductor Ltd")</f>
        <v>Alpha &amp; Omega Semiconductor Ltd</v>
      </c>
      <c r="C122">
        <v>-0.11091973820186</v>
      </c>
      <c r="D122">
        <v>-0.22399278412507501</v>
      </c>
      <c r="E122">
        <v>0.104880136986301</v>
      </c>
      <c r="F122">
        <v>-9.6604830241512007E-2</v>
      </c>
      <c r="G122">
        <v>-0.20949464012251101</v>
      </c>
      <c r="H122">
        <v>-0.32995846313603311</v>
      </c>
      <c r="I122">
        <v>1.3442325158946411</v>
      </c>
    </row>
    <row r="123" spans="1:9" x14ac:dyDescent="0.25">
      <c r="A123" s="1" t="s">
        <v>135</v>
      </c>
      <c r="B123" t="str">
        <f>HYPERLINK("https://www.suredividend.com/sure-analysis-APAM/","Artisan Partners Asset Management Inc")</f>
        <v>Artisan Partners Asset Management Inc</v>
      </c>
      <c r="C123">
        <v>1.9101123595505001E-2</v>
      </c>
      <c r="D123">
        <v>-4.2223477668599997E-2</v>
      </c>
      <c r="E123">
        <v>0.17825107010398999</v>
      </c>
      <c r="F123">
        <v>0.27354549730758099</v>
      </c>
      <c r="G123">
        <v>0.30793412741902898</v>
      </c>
      <c r="H123">
        <v>-0.16968764876048101</v>
      </c>
      <c r="I123">
        <v>0.97668083251607307</v>
      </c>
    </row>
    <row r="124" spans="1:9" x14ac:dyDescent="0.25">
      <c r="A124" s="1" t="s">
        <v>136</v>
      </c>
      <c r="B124" t="str">
        <f>HYPERLINK("https://www.suredividend.com/sure-analysis-research-database/","American Public Education Inc")</f>
        <v>American Public Education Inc</v>
      </c>
      <c r="C124">
        <v>-5.2525252525252003E-2</v>
      </c>
      <c r="D124">
        <v>-4.8681541582148997E-2</v>
      </c>
      <c r="E124">
        <v>-8.5769980506822011E-2</v>
      </c>
      <c r="F124">
        <v>-0.61838893409275808</v>
      </c>
      <c r="G124">
        <v>-0.62480000000000002</v>
      </c>
      <c r="H124">
        <v>-0.81322182397451204</v>
      </c>
      <c r="I124">
        <v>-0.85890493381468103</v>
      </c>
    </row>
    <row r="125" spans="1:9" x14ac:dyDescent="0.25">
      <c r="A125" s="1" t="s">
        <v>137</v>
      </c>
      <c r="B125" t="str">
        <f>HYPERLINK("https://www.suredividend.com/sure-analysis-research-database/","APi Group Corporation")</f>
        <v>APi Group Corporation</v>
      </c>
      <c r="C125">
        <v>7.9265911753221008E-2</v>
      </c>
      <c r="D125">
        <v>-1.7069701280227001E-2</v>
      </c>
      <c r="E125">
        <v>0.27080459770114901</v>
      </c>
      <c r="F125">
        <v>0.46943115364167998</v>
      </c>
      <c r="G125">
        <v>0.583954154727793</v>
      </c>
      <c r="H125">
        <v>0.20383275261323999</v>
      </c>
      <c r="I125">
        <v>1.6576923076923069</v>
      </c>
    </row>
    <row r="126" spans="1:9" x14ac:dyDescent="0.25">
      <c r="A126" s="1" t="s">
        <v>138</v>
      </c>
      <c r="B126" t="str">
        <f>HYPERLINK("https://www.suredividend.com/sure-analysis-research-database/","Applied Digital Corporation")</f>
        <v>Applied Digital Corporation</v>
      </c>
      <c r="C126">
        <v>-2.7397260273970001E-3</v>
      </c>
      <c r="D126">
        <v>-0.299101412066752</v>
      </c>
      <c r="E126">
        <v>0.68518518518518501</v>
      </c>
      <c r="F126">
        <v>1.9673913043478251</v>
      </c>
      <c r="G126">
        <v>1.265560165975103</v>
      </c>
      <c r="H126">
        <v>1091</v>
      </c>
      <c r="I126">
        <v>1091</v>
      </c>
    </row>
    <row r="127" spans="1:9" x14ac:dyDescent="0.25">
      <c r="A127" s="1" t="s">
        <v>139</v>
      </c>
      <c r="B127" t="str">
        <f>HYPERLINK("https://www.suredividend.com/sure-analysis-APLE/","Apple Hospitality REIT Inc")</f>
        <v>Apple Hospitality REIT Inc</v>
      </c>
      <c r="C127">
        <v>0.13459713726202699</v>
      </c>
      <c r="D127">
        <v>0.140460648696181</v>
      </c>
      <c r="E127">
        <v>0.14928425357873101</v>
      </c>
      <c r="F127">
        <v>0.12588397919184699</v>
      </c>
      <c r="G127">
        <v>0.10687298534016899</v>
      </c>
      <c r="H127">
        <v>0.12677938915992701</v>
      </c>
      <c r="I127">
        <v>0.274704005564544</v>
      </c>
    </row>
    <row r="128" spans="1:9" x14ac:dyDescent="0.25">
      <c r="A128" s="1" t="s">
        <v>140</v>
      </c>
      <c r="B128" t="str">
        <f>HYPERLINK("https://www.suredividend.com/sure-analysis-research-database/","Apellis Pharmaceuticals Inc")</f>
        <v>Apellis Pharmaceuticals Inc</v>
      </c>
      <c r="C128">
        <v>0.24481658692184999</v>
      </c>
      <c r="D128">
        <v>0.90909090909090906</v>
      </c>
      <c r="E128">
        <v>-0.44494488562285112</v>
      </c>
      <c r="F128">
        <v>-9.4372461806227007E-2</v>
      </c>
      <c r="G128">
        <v>-7.1201904006346003E-2</v>
      </c>
      <c r="H128">
        <v>0.36173306193660898</v>
      </c>
      <c r="I128">
        <v>2.1219999999999999</v>
      </c>
    </row>
    <row r="129" spans="1:9" x14ac:dyDescent="0.25">
      <c r="A129" s="1" t="s">
        <v>141</v>
      </c>
      <c r="B129" t="str">
        <f>HYPERLINK("https://www.suredividend.com/sure-analysis-APOG/","Apogee Enterprises Inc.")</f>
        <v>Apogee Enterprises Inc.</v>
      </c>
      <c r="C129">
        <v>-8.7286089098900007E-3</v>
      </c>
      <c r="D129">
        <v>-8.7493839254125003E-2</v>
      </c>
      <c r="E129">
        <v>0.16709126957140299</v>
      </c>
      <c r="F129">
        <v>3.8227335022605002E-2</v>
      </c>
      <c r="G129">
        <v>2.1003567334292001E-2</v>
      </c>
      <c r="H129">
        <v>2.5193286385515001E-2</v>
      </c>
      <c r="I129">
        <v>0.34506167629291101</v>
      </c>
    </row>
    <row r="130" spans="1:9" x14ac:dyDescent="0.25">
      <c r="A130" s="1" t="s">
        <v>142</v>
      </c>
      <c r="B130" t="str">
        <f>HYPERLINK("https://www.suredividend.com/sure-analysis-research-database/","Appfolio Inc")</f>
        <v>Appfolio Inc</v>
      </c>
      <c r="C130">
        <v>6.3409395973154009E-2</v>
      </c>
      <c r="D130">
        <v>0.12835412749957201</v>
      </c>
      <c r="E130">
        <v>0.47927403092090498</v>
      </c>
      <c r="F130">
        <v>0.87948377301195602</v>
      </c>
      <c r="G130">
        <v>0.73341501837913503</v>
      </c>
      <c r="H130">
        <v>0.44929020927850111</v>
      </c>
      <c r="I130">
        <v>2.4183638246461858</v>
      </c>
    </row>
    <row r="131" spans="1:9" x14ac:dyDescent="0.25">
      <c r="A131" s="1" t="s">
        <v>143</v>
      </c>
      <c r="B131" t="str">
        <f>HYPERLINK("https://www.suredividend.com/sure-analysis-research-database/","AppHarvest Inc")</f>
        <v>AppHarvest Inc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 t="s">
        <v>144</v>
      </c>
      <c r="B132" t="str">
        <f>HYPERLINK("https://www.suredividend.com/sure-analysis-research-database/","Appian Corp")</f>
        <v>Appian Corp</v>
      </c>
      <c r="C132">
        <v>-7.9372404245500003E-2</v>
      </c>
      <c r="D132">
        <v>-0.194752774974772</v>
      </c>
      <c r="E132">
        <v>0.1829232137563</v>
      </c>
      <c r="F132">
        <v>0.225429975429975</v>
      </c>
      <c r="G132">
        <v>3.8251366120217997E-2</v>
      </c>
      <c r="H132">
        <v>-0.61408259986459002</v>
      </c>
      <c r="I132">
        <v>0.5592028135990621</v>
      </c>
    </row>
    <row r="133" spans="1:9" x14ac:dyDescent="0.25">
      <c r="A133" s="1" t="s">
        <v>145</v>
      </c>
      <c r="B133" t="str">
        <f>HYPERLINK("https://www.suredividend.com/sure-analysis-research-database/","Digital Turbine Inc")</f>
        <v>Digital Turbine Inc</v>
      </c>
      <c r="C133">
        <v>-7.7192982456140008E-2</v>
      </c>
      <c r="D133">
        <v>-0.49276759884281501</v>
      </c>
      <c r="E133">
        <v>-0.54300608166811404</v>
      </c>
      <c r="F133">
        <v>-0.65485564304461907</v>
      </c>
      <c r="G133">
        <v>-0.57443365695792803</v>
      </c>
      <c r="H133">
        <v>-0.92790570175438603</v>
      </c>
      <c r="I133">
        <v>2.8962962962962959</v>
      </c>
    </row>
    <row r="134" spans="1:9" x14ac:dyDescent="0.25">
      <c r="A134" s="1" t="s">
        <v>146</v>
      </c>
      <c r="B134" t="str">
        <f>HYPERLINK("https://www.suredividend.com/sure-analysis-research-database/","ArcBest Corp")</f>
        <v>ArcBest Corp</v>
      </c>
      <c r="C134">
        <v>0.21322414316044799</v>
      </c>
      <c r="D134">
        <v>3.9919926165685002E-2</v>
      </c>
      <c r="E134">
        <v>0.40658351413792199</v>
      </c>
      <c r="F134">
        <v>0.72373176435437603</v>
      </c>
      <c r="G134">
        <v>0.64431539613613209</v>
      </c>
      <c r="H134">
        <v>6.8757631597463009E-2</v>
      </c>
      <c r="I134">
        <v>2.011141222523336</v>
      </c>
    </row>
    <row r="135" spans="1:9" x14ac:dyDescent="0.25">
      <c r="A135" s="1" t="s">
        <v>147</v>
      </c>
      <c r="B135" t="str">
        <f>HYPERLINK("https://www.suredividend.com/sure-analysis-research-database/","Arch Resources Inc")</f>
        <v>Arch Resources Inc</v>
      </c>
      <c r="C135">
        <v>1.1077542799597001E-2</v>
      </c>
      <c r="D135">
        <v>0.13950370300871301</v>
      </c>
      <c r="E135">
        <v>0.27529850114319498</v>
      </c>
      <c r="F135">
        <v>6.0836807233412997E-2</v>
      </c>
      <c r="G135">
        <v>-6.3138027264798002E-2</v>
      </c>
      <c r="H135">
        <v>0.71430132545316205</v>
      </c>
      <c r="I135">
        <v>0.67633210521043108</v>
      </c>
    </row>
    <row r="136" spans="1:9" x14ac:dyDescent="0.25">
      <c r="A136" s="1" t="s">
        <v>148</v>
      </c>
      <c r="B136" t="str">
        <f>HYPERLINK("https://www.suredividend.com/sure-analysis-research-database/","Arcturus Therapeutics Holdings Inc")</f>
        <v>Arcturus Therapeutics Holdings Inc</v>
      </c>
      <c r="C136">
        <v>-0.220851571826502</v>
      </c>
      <c r="D136">
        <v>-0.39097978227060598</v>
      </c>
      <c r="E136">
        <v>-0.26335590669676401</v>
      </c>
      <c r="F136">
        <v>0.15448113207547101</v>
      </c>
      <c r="G136">
        <v>-0.16253207869974301</v>
      </c>
      <c r="H136">
        <v>-0.56226246367091404</v>
      </c>
      <c r="I136">
        <v>1.8213256484149849</v>
      </c>
    </row>
    <row r="137" spans="1:9" x14ac:dyDescent="0.25">
      <c r="A137" s="1" t="s">
        <v>149</v>
      </c>
      <c r="B137" t="str">
        <f>HYPERLINK("https://www.suredividend.com/sure-analysis-research-database/","Arena Group Holdings Inc (The)")</f>
        <v>Arena Group Holdings Inc (The)</v>
      </c>
      <c r="C137">
        <v>-0.142222222222222</v>
      </c>
      <c r="D137">
        <v>5.208333333333E-3</v>
      </c>
      <c r="E137">
        <v>-7.6555023923444002E-2</v>
      </c>
      <c r="F137">
        <v>-0.63619227144203505</v>
      </c>
      <c r="G137">
        <v>-0.72816901408450707</v>
      </c>
      <c r="H137">
        <v>16.54545454545454</v>
      </c>
      <c r="I137">
        <v>16.54545454545454</v>
      </c>
    </row>
    <row r="138" spans="1:9" x14ac:dyDescent="0.25">
      <c r="A138" s="1" t="s">
        <v>150</v>
      </c>
      <c r="B138" t="str">
        <f>HYPERLINK("https://www.suredividend.com/sure-analysis-research-database/","Argo Group International Holdings Ltd")</f>
        <v>Argo Group International Holdings Ltd</v>
      </c>
      <c r="C138">
        <v>2.6845637583890001E-3</v>
      </c>
      <c r="D138">
        <v>5.0454086781020003E-3</v>
      </c>
      <c r="E138">
        <v>1.5635622025832002E-2</v>
      </c>
      <c r="F138">
        <v>0.15589941972920601</v>
      </c>
      <c r="G138">
        <v>0.25048127626094302</v>
      </c>
      <c r="H138">
        <v>-0.45645747798452602</v>
      </c>
      <c r="I138">
        <v>-0.45520283119492511</v>
      </c>
    </row>
    <row r="139" spans="1:9" x14ac:dyDescent="0.25">
      <c r="A139" s="1" t="s">
        <v>151</v>
      </c>
      <c r="B139" t="str">
        <f>HYPERLINK("https://www.suredividend.com/sure-analysis-ARI/","Apollo Commercial Real Estate Finance Inc")</f>
        <v>Apollo Commercial Real Estate Finance Inc</v>
      </c>
      <c r="C139">
        <v>0.117708333333333</v>
      </c>
      <c r="D139">
        <v>3.6104324987205012E-2</v>
      </c>
      <c r="E139">
        <v>0.23081511390488399</v>
      </c>
      <c r="F139">
        <v>0.106003133503752</v>
      </c>
      <c r="G139">
        <v>0.106698984064772</v>
      </c>
      <c r="H139">
        <v>-8.4588149980804009E-2</v>
      </c>
      <c r="I139">
        <v>4.8230317595223997E-2</v>
      </c>
    </row>
    <row r="140" spans="1:9" x14ac:dyDescent="0.25">
      <c r="A140" s="1" t="s">
        <v>152</v>
      </c>
      <c r="B140" t="str">
        <f>HYPERLINK("https://www.suredividend.com/sure-analysis-research-database/","Aris Water Solutions Inc")</f>
        <v>Aris Water Solutions Inc</v>
      </c>
      <c r="C140">
        <v>-4.1041041041040997E-2</v>
      </c>
      <c r="D140">
        <v>-0.16954897320538401</v>
      </c>
      <c r="E140">
        <v>0.42517108003570298</v>
      </c>
      <c r="F140">
        <v>-0.31536218626722301</v>
      </c>
      <c r="G140">
        <v>-0.40188923088449202</v>
      </c>
      <c r="H140">
        <v>-0.25000978588483902</v>
      </c>
      <c r="I140">
        <v>-0.29196476083486</v>
      </c>
    </row>
    <row r="141" spans="1:9" x14ac:dyDescent="0.25">
      <c r="A141" s="1" t="s">
        <v>153</v>
      </c>
      <c r="B141" t="str">
        <f>HYPERLINK("https://www.suredividend.com/sure-analysis-research-database/","ARKO Corp")</f>
        <v>ARKO Corp</v>
      </c>
      <c r="C141">
        <v>6.1827956989247007E-2</v>
      </c>
      <c r="D141">
        <v>-8.9818856942140007E-3</v>
      </c>
      <c r="E141">
        <v>-9.7892982038330009E-3</v>
      </c>
      <c r="F141">
        <v>-7.403066247831501E-2</v>
      </c>
      <c r="G141">
        <v>-0.167983149025802</v>
      </c>
      <c r="H141">
        <v>-0.18106710066654899</v>
      </c>
      <c r="I141">
        <v>-0.20202020202020199</v>
      </c>
    </row>
    <row r="142" spans="1:9" x14ac:dyDescent="0.25">
      <c r="A142" s="1" t="s">
        <v>154</v>
      </c>
      <c r="B142" t="str">
        <f>HYPERLINK("https://www.suredividend.com/sure-analysis-research-database/","American Realty Investors Inc.")</f>
        <v>American Realty Investors Inc.</v>
      </c>
      <c r="C142">
        <v>-9.1724137931034011E-2</v>
      </c>
      <c r="D142">
        <v>-0.310832025117739</v>
      </c>
      <c r="E142">
        <v>-0.27317880794701899</v>
      </c>
      <c r="F142">
        <v>-0.48654970760233912</v>
      </c>
      <c r="G142">
        <v>-0.32183316168898002</v>
      </c>
      <c r="H142">
        <v>5.3600000000000002E-2</v>
      </c>
      <c r="I142">
        <v>-0.16856060606060599</v>
      </c>
    </row>
    <row r="143" spans="1:9" x14ac:dyDescent="0.25">
      <c r="A143" s="1" t="s">
        <v>155</v>
      </c>
      <c r="B143" t="str">
        <f>HYPERLINK("https://www.suredividend.com/sure-analysis-research-database/","Arlo Technologies Inc")</f>
        <v>Arlo Technologies Inc</v>
      </c>
      <c r="C143">
        <v>-4.5595854922279001E-2</v>
      </c>
      <c r="D143">
        <v>-0.17914438502673699</v>
      </c>
      <c r="E143">
        <v>0.41910631741140197</v>
      </c>
      <c r="F143">
        <v>1.6239316239316239</v>
      </c>
      <c r="G143">
        <v>0.95957446808510605</v>
      </c>
      <c r="H143">
        <v>0.36444444444444402</v>
      </c>
      <c r="I143">
        <v>-0.28659953524399601</v>
      </c>
    </row>
    <row r="144" spans="1:9" x14ac:dyDescent="0.25">
      <c r="A144" s="1" t="s">
        <v>156</v>
      </c>
      <c r="B144" t="str">
        <f>HYPERLINK("https://www.suredividend.com/sure-analysis-research-database/","Arconic Corporation")</f>
        <v>Arconic Corporation</v>
      </c>
      <c r="C144">
        <v>8.4061869535970012E-3</v>
      </c>
      <c r="D144">
        <v>3.951473136915E-2</v>
      </c>
      <c r="E144">
        <v>0.24336650082918701</v>
      </c>
      <c r="F144">
        <v>0.41729678638941298</v>
      </c>
      <c r="G144">
        <v>9.6927578639356013E-2</v>
      </c>
      <c r="H144">
        <v>-0.14582739960125299</v>
      </c>
      <c r="I144">
        <v>3.3338150289017339</v>
      </c>
    </row>
    <row r="145" spans="1:9" x14ac:dyDescent="0.25">
      <c r="A145" s="1" t="s">
        <v>157</v>
      </c>
      <c r="B145" t="str">
        <f>HYPERLINK("https://www.suredividend.com/sure-analysis-research-database/","Archrock Inc")</f>
        <v>Archrock Inc</v>
      </c>
      <c r="C145">
        <v>0.193305439330544</v>
      </c>
      <c r="D145">
        <v>0.124162396531336</v>
      </c>
      <c r="E145">
        <v>0.47295789778126601</v>
      </c>
      <c r="F145">
        <v>0.65744572039611304</v>
      </c>
      <c r="G145">
        <v>0.83413078149920206</v>
      </c>
      <c r="H145">
        <v>0.92216965236496906</v>
      </c>
      <c r="I145">
        <v>0.88499669530733605</v>
      </c>
    </row>
    <row r="146" spans="1:9" x14ac:dyDescent="0.25">
      <c r="A146" s="1" t="s">
        <v>158</v>
      </c>
      <c r="B146" t="str">
        <f>HYPERLINK("https://www.suredividend.com/sure-analysis-AROW/","Arrow Financial Corp.")</f>
        <v>Arrow Financial Corp.</v>
      </c>
      <c r="C146">
        <v>0.34502923976608102</v>
      </c>
      <c r="D146">
        <v>0.17644651771830699</v>
      </c>
      <c r="E146">
        <v>0.243397827838055</v>
      </c>
      <c r="F146">
        <v>-0.26274489691250302</v>
      </c>
      <c r="G146">
        <v>-0.26782604820251299</v>
      </c>
      <c r="H146">
        <v>-0.27125711316426399</v>
      </c>
      <c r="I146">
        <v>-8.0198677085749001E-2</v>
      </c>
    </row>
    <row r="147" spans="1:9" x14ac:dyDescent="0.25">
      <c r="A147" s="1" t="s">
        <v>159</v>
      </c>
      <c r="B147" t="str">
        <f>HYPERLINK("https://www.suredividend.com/sure-analysis-research-database/","Arcutis Biotherapeutics Inc")</f>
        <v>Arcutis Biotherapeutics Inc</v>
      </c>
      <c r="C147">
        <v>-0.45777777777777712</v>
      </c>
      <c r="D147">
        <v>-0.75178026449643909</v>
      </c>
      <c r="E147">
        <v>-0.83149171270718203</v>
      </c>
      <c r="F147">
        <v>-0.83513513513513504</v>
      </c>
      <c r="G147">
        <v>-0.86429365962180205</v>
      </c>
      <c r="H147">
        <v>-0.88682745825602904</v>
      </c>
      <c r="I147">
        <v>-0.88807339449541212</v>
      </c>
    </row>
    <row r="148" spans="1:9" x14ac:dyDescent="0.25">
      <c r="A148" s="1" t="s">
        <v>160</v>
      </c>
      <c r="B148" t="str">
        <f>HYPERLINK("https://www.suredividend.com/sure-analysis-ARR/","ARMOUR Residential REIT Inc")</f>
        <v>ARMOUR Residential REIT Inc</v>
      </c>
      <c r="C148">
        <v>-0.120437816808804</v>
      </c>
      <c r="D148">
        <v>-0.33434365541134797</v>
      </c>
      <c r="E148">
        <v>-0.27713652792351601</v>
      </c>
      <c r="F148">
        <v>-0.32525198406054301</v>
      </c>
      <c r="G148">
        <v>-0.27233003353962598</v>
      </c>
      <c r="H148">
        <v>-0.57188802162868402</v>
      </c>
      <c r="I148">
        <v>-0.7134497310480411</v>
      </c>
    </row>
    <row r="149" spans="1:9" x14ac:dyDescent="0.25">
      <c r="A149" s="1" t="s">
        <v>161</v>
      </c>
      <c r="B149" t="str">
        <f>HYPERLINK("https://www.suredividend.com/sure-analysis-research-database/","Array Technologies Inc")</f>
        <v>Array Technologies Inc</v>
      </c>
      <c r="C149">
        <v>-0.10821446138711199</v>
      </c>
      <c r="D149">
        <v>3.3204205866070001E-3</v>
      </c>
      <c r="E149">
        <v>2.4872809496890001E-2</v>
      </c>
      <c r="F149">
        <v>-6.2079668908432008E-2</v>
      </c>
      <c r="G149">
        <v>7.4688796680497008E-2</v>
      </c>
      <c r="H149">
        <v>-0.20482456140350799</v>
      </c>
      <c r="I149">
        <v>-0.50260631001371703</v>
      </c>
    </row>
    <row r="150" spans="1:9" x14ac:dyDescent="0.25">
      <c r="A150" s="1" t="s">
        <v>162</v>
      </c>
      <c r="B150" t="str">
        <f>HYPERLINK("https://www.suredividend.com/sure-analysis-ARTNA/","Artesian Resources Corp.")</f>
        <v>Artesian Resources Corp.</v>
      </c>
      <c r="C150">
        <v>1.8370800096688001E-2</v>
      </c>
      <c r="D150">
        <v>-6.4316315720507E-2</v>
      </c>
      <c r="E150">
        <v>-0.22495736621638199</v>
      </c>
      <c r="F150">
        <v>-0.26935270164339198</v>
      </c>
      <c r="G150">
        <v>-0.17239618119671499</v>
      </c>
      <c r="H150">
        <v>8.5441480714284007E-2</v>
      </c>
      <c r="I150">
        <v>0.272125563896152</v>
      </c>
    </row>
    <row r="151" spans="1:9" x14ac:dyDescent="0.25">
      <c r="A151" s="1" t="s">
        <v>163</v>
      </c>
      <c r="B151" t="str">
        <f>HYPERLINK("https://www.suredividend.com/sure-analysis-research-database/","Arvinas Inc")</f>
        <v>Arvinas Inc</v>
      </c>
      <c r="C151">
        <v>-3.0973451327433E-2</v>
      </c>
      <c r="D151">
        <v>-0.27060782681098999</v>
      </c>
      <c r="E151">
        <v>-0.25478519778817499</v>
      </c>
      <c r="F151">
        <v>-0.48786904413914012</v>
      </c>
      <c r="G151">
        <v>-0.61494505494505503</v>
      </c>
      <c r="H151">
        <v>-0.81789834736513811</v>
      </c>
      <c r="I151">
        <v>-1.1286681715575E-2</v>
      </c>
    </row>
    <row r="152" spans="1:9" x14ac:dyDescent="0.25">
      <c r="A152" s="1" t="s">
        <v>164</v>
      </c>
      <c r="B152" t="str">
        <f>HYPERLINK("https://www.suredividend.com/sure-analysis-research-database/","Arrowhead Pharmaceuticals Inc.")</f>
        <v>Arrowhead Pharmaceuticals Inc.</v>
      </c>
      <c r="C152">
        <v>0.18426588136306199</v>
      </c>
      <c r="D152">
        <v>-0.110584518167456</v>
      </c>
      <c r="E152">
        <v>-0.29712858926342001</v>
      </c>
      <c r="F152">
        <v>-0.30596646942800798</v>
      </c>
      <c r="G152">
        <v>-0.17108362779740799</v>
      </c>
      <c r="H152">
        <v>-0.65481299816063709</v>
      </c>
      <c r="I152">
        <v>0.94271911663216001</v>
      </c>
    </row>
    <row r="153" spans="1:9" x14ac:dyDescent="0.25">
      <c r="A153" s="1" t="s">
        <v>165</v>
      </c>
      <c r="B153" t="str">
        <f>HYPERLINK("https://www.suredividend.com/sure-analysis-research-database/","Asana Inc")</f>
        <v>Asana Inc</v>
      </c>
      <c r="C153">
        <v>0.19131455399061001</v>
      </c>
      <c r="D153">
        <v>-7.8110808356039008E-2</v>
      </c>
      <c r="E153">
        <v>0.27833753148614598</v>
      </c>
      <c r="F153">
        <v>0.47421931735657202</v>
      </c>
      <c r="G153">
        <v>0.179546775130738</v>
      </c>
      <c r="H153">
        <v>-0.84582668793195104</v>
      </c>
      <c r="I153">
        <v>-0.29513888888888801</v>
      </c>
    </row>
    <row r="154" spans="1:9" x14ac:dyDescent="0.25">
      <c r="A154" s="1" t="s">
        <v>166</v>
      </c>
      <c r="B154" t="str">
        <f>HYPERLINK("https://www.suredividend.com/sure-analysis-ASB/","Associated Banc-Corp.")</f>
        <v>Associated Banc-Corp.</v>
      </c>
      <c r="C154">
        <v>6.973923590054501E-2</v>
      </c>
      <c r="D154">
        <v>-4.9543360543117997E-2</v>
      </c>
      <c r="E154">
        <v>0.195891664689332</v>
      </c>
      <c r="F154">
        <v>-0.20879475759247501</v>
      </c>
      <c r="G154">
        <v>-0.242336387181568</v>
      </c>
      <c r="H154">
        <v>-0.15660634457698799</v>
      </c>
      <c r="I154">
        <v>-8.5934585250590001E-2</v>
      </c>
    </row>
    <row r="155" spans="1:9" x14ac:dyDescent="0.25">
      <c r="A155" s="1" t="s">
        <v>167</v>
      </c>
      <c r="B155" t="str">
        <f>HYPERLINK("https://www.suredividend.com/sure-analysis-research-database/","Ardmore Shipping Corp")</f>
        <v>Ardmore Shipping Corp</v>
      </c>
      <c r="C155">
        <v>0.152742616033755</v>
      </c>
      <c r="D155">
        <v>1.4956868048177E-2</v>
      </c>
      <c r="E155">
        <v>8.4367954783602012E-2</v>
      </c>
      <c r="F155">
        <v>1.3653903235381E-2</v>
      </c>
      <c r="G155">
        <v>4.1110924805268012E-2</v>
      </c>
      <c r="H155">
        <v>2.4944104781151668</v>
      </c>
      <c r="I155">
        <v>1.100892033220547</v>
      </c>
    </row>
    <row r="156" spans="1:9" x14ac:dyDescent="0.25">
      <c r="A156" s="1" t="s">
        <v>168</v>
      </c>
      <c r="B156" t="str">
        <f>HYPERLINK("https://www.suredividend.com/sure-analysis-research-database/","ASGN Inc")</f>
        <v>ASGN Inc</v>
      </c>
      <c r="C156">
        <v>7.8456104944500005E-2</v>
      </c>
      <c r="D156">
        <v>7.5471698113207003E-2</v>
      </c>
      <c r="E156">
        <v>0.32434944237918201</v>
      </c>
      <c r="F156">
        <v>4.9337260677466001E-2</v>
      </c>
      <c r="G156">
        <v>3.6363636363636001E-2</v>
      </c>
      <c r="H156">
        <v>-0.31545236188951098</v>
      </c>
      <c r="I156">
        <v>0.240388800232119</v>
      </c>
    </row>
    <row r="157" spans="1:9" x14ac:dyDescent="0.25">
      <c r="A157" s="1" t="s">
        <v>169</v>
      </c>
      <c r="B157" t="str">
        <f>HYPERLINK("https://www.suredividend.com/sure-analysis-research-database/","AdvanSix Inc")</f>
        <v>AdvanSix Inc</v>
      </c>
      <c r="C157">
        <v>-0.102323968088796</v>
      </c>
      <c r="D157">
        <v>-0.34566490356900798</v>
      </c>
      <c r="E157">
        <v>-0.25526037110364203</v>
      </c>
      <c r="F157">
        <v>-0.31101314080037401</v>
      </c>
      <c r="G157">
        <v>-0.28865140620533403</v>
      </c>
      <c r="H157">
        <v>-0.43532409952958201</v>
      </c>
      <c r="I157">
        <v>5.1489678093016002E-2</v>
      </c>
    </row>
    <row r="158" spans="1:9" x14ac:dyDescent="0.25">
      <c r="A158" s="1" t="s">
        <v>170</v>
      </c>
      <c r="B158" t="str">
        <f>HYPERLINK("https://www.suredividend.com/sure-analysis-research-database/","AerSale Corp")</f>
        <v>AerSale Corp</v>
      </c>
      <c r="C158">
        <v>0.13170731707316999</v>
      </c>
      <c r="D158">
        <v>0.12543312543312499</v>
      </c>
      <c r="E158">
        <v>4.3290043290040003E-3</v>
      </c>
      <c r="F158">
        <v>1.233045622688E-3</v>
      </c>
      <c r="G158">
        <v>-0.14300791556728201</v>
      </c>
      <c r="H158">
        <v>-0.28268551236749101</v>
      </c>
      <c r="I158">
        <v>0.6776859504132231</v>
      </c>
    </row>
    <row r="159" spans="1:9" x14ac:dyDescent="0.25">
      <c r="A159" s="1" t="s">
        <v>171</v>
      </c>
      <c r="B159" t="str">
        <f>HYPERLINK("https://www.suredividend.com/sure-analysis-research-database/","Academy Sports and Outdoors Inc")</f>
        <v>Academy Sports and Outdoors Inc</v>
      </c>
      <c r="C159">
        <v>9.7393844079981001E-2</v>
      </c>
      <c r="D159">
        <v>-0.16669367867762799</v>
      </c>
      <c r="E159">
        <v>-0.195465154392617</v>
      </c>
      <c r="F159">
        <v>-6.4003066015137999E-2</v>
      </c>
      <c r="G159">
        <v>0.171444057520553</v>
      </c>
      <c r="H159">
        <v>6.5747070259231002E-2</v>
      </c>
      <c r="I159">
        <v>2.8133939166822808</v>
      </c>
    </row>
    <row r="160" spans="1:9" x14ac:dyDescent="0.25">
      <c r="A160" s="1" t="s">
        <v>172</v>
      </c>
      <c r="B160" t="str">
        <f>HYPERLINK("https://www.suredividend.com/sure-analysis-research-database/","Aspen Aerogels Inc.")</f>
        <v>Aspen Aerogels Inc.</v>
      </c>
      <c r="C160">
        <v>0.233287858117325</v>
      </c>
      <c r="D160">
        <v>0.15306122448979501</v>
      </c>
      <c r="E160">
        <v>0.221621621621621</v>
      </c>
      <c r="F160">
        <v>-0.23324851569126301</v>
      </c>
      <c r="G160">
        <v>-0.28537549407114599</v>
      </c>
      <c r="H160">
        <v>-0.82767823103316807</v>
      </c>
      <c r="I160">
        <v>1.288607594936708</v>
      </c>
    </row>
    <row r="161" spans="1:9" x14ac:dyDescent="0.25">
      <c r="A161" s="1" t="s">
        <v>173</v>
      </c>
      <c r="B161" t="str">
        <f>HYPERLINK("https://www.suredividend.com/sure-analysis-research-database/","Astec Industries Inc.")</f>
        <v>Astec Industries Inc.</v>
      </c>
      <c r="C161">
        <v>-0.31160220994475102</v>
      </c>
      <c r="D161">
        <v>-0.40088780157557802</v>
      </c>
      <c r="E161">
        <v>-0.22340311486403899</v>
      </c>
      <c r="F161">
        <v>-0.22541340295909401</v>
      </c>
      <c r="G161">
        <v>-0.28099566520018998</v>
      </c>
      <c r="H161">
        <v>-0.47956868523846202</v>
      </c>
      <c r="I161">
        <v>-0.16689845521845101</v>
      </c>
    </row>
    <row r="162" spans="1:9" x14ac:dyDescent="0.25">
      <c r="A162" s="1" t="s">
        <v>174</v>
      </c>
      <c r="B162" t="str">
        <f>HYPERLINK("https://www.suredividend.com/sure-analysis-research-database/","Astra Space Inc")</f>
        <v>Astra Space Inc</v>
      </c>
      <c r="C162">
        <v>-0.44024390243902412</v>
      </c>
      <c r="D162">
        <v>-0.83924349881796612</v>
      </c>
      <c r="E162">
        <v>-0.83463928667927512</v>
      </c>
      <c r="F162">
        <v>-0.85892116182572609</v>
      </c>
      <c r="G162">
        <v>-0.89408099688473508</v>
      </c>
      <c r="H162">
        <v>-0.99378680203045611</v>
      </c>
      <c r="I162">
        <v>-0.90820000000000001</v>
      </c>
    </row>
    <row r="163" spans="1:9" x14ac:dyDescent="0.25">
      <c r="A163" s="1" t="s">
        <v>175</v>
      </c>
      <c r="B163" t="str">
        <f>HYPERLINK("https://www.suredividend.com/sure-analysis-research-database/","Alphatec Holdings Inc")</f>
        <v>Alphatec Holdings Inc</v>
      </c>
      <c r="C163">
        <v>-7.9111111111111007E-2</v>
      </c>
      <c r="D163">
        <v>-0.349654739485247</v>
      </c>
      <c r="E163">
        <v>-0.29331514324692998</v>
      </c>
      <c r="F163">
        <v>-0.161133603238866</v>
      </c>
      <c r="G163">
        <v>0.12121212121212099</v>
      </c>
      <c r="H163">
        <v>-0.183609141055949</v>
      </c>
      <c r="I163">
        <v>2.2681388012618289</v>
      </c>
    </row>
    <row r="164" spans="1:9" x14ac:dyDescent="0.25">
      <c r="A164" s="1" t="s">
        <v>176</v>
      </c>
      <c r="B164" t="str">
        <f>HYPERLINK("https://www.suredividend.com/sure-analysis-research-database/","A10 Networks Inc")</f>
        <v>A10 Networks Inc</v>
      </c>
      <c r="C164">
        <v>-9.9637681159420004E-3</v>
      </c>
      <c r="D164">
        <v>-0.30636645174392002</v>
      </c>
      <c r="E164">
        <v>-0.211678410951395</v>
      </c>
      <c r="F164">
        <v>-0.33462795780092403</v>
      </c>
      <c r="G164">
        <v>-0.39204485407407802</v>
      </c>
      <c r="H164">
        <v>-0.33688853296446603</v>
      </c>
      <c r="I164">
        <v>0.82087761969813011</v>
      </c>
    </row>
    <row r="165" spans="1:9" x14ac:dyDescent="0.25">
      <c r="A165" s="1" t="s">
        <v>177</v>
      </c>
      <c r="B165" t="str">
        <f>HYPERLINK("https://www.suredividend.com/sure-analysis-research-database/","Aterian Inc")</f>
        <v>Aterian Inc</v>
      </c>
      <c r="C165">
        <v>3.7168713639301E-2</v>
      </c>
      <c r="D165">
        <v>-0.25545243619489499</v>
      </c>
      <c r="E165">
        <v>-0.54449964513839599</v>
      </c>
      <c r="F165">
        <v>-0.5834090614046471</v>
      </c>
      <c r="G165">
        <v>-0.68844660194174701</v>
      </c>
      <c r="H165">
        <v>-0.94713344316309711</v>
      </c>
      <c r="I165">
        <v>-0.96791000000000005</v>
      </c>
    </row>
    <row r="166" spans="1:9" x14ac:dyDescent="0.25">
      <c r="A166" s="1" t="s">
        <v>178</v>
      </c>
      <c r="B166" t="str">
        <f>HYPERLINK("https://www.suredividend.com/sure-analysis-research-database/","Anterix Inc")</f>
        <v>Anterix Inc</v>
      </c>
      <c r="C166">
        <v>7.6898429990379996E-3</v>
      </c>
      <c r="D166">
        <v>6.4297800338409011E-2</v>
      </c>
      <c r="E166">
        <v>2.8449967298888001E-2</v>
      </c>
      <c r="F166">
        <v>-2.2381100404102999E-2</v>
      </c>
      <c r="G166">
        <v>-0.17410714285714199</v>
      </c>
      <c r="H166">
        <v>-0.49768407602619302</v>
      </c>
      <c r="I166">
        <v>-0.24868609651218301</v>
      </c>
    </row>
    <row r="167" spans="1:9" x14ac:dyDescent="0.25">
      <c r="A167" s="1" t="s">
        <v>179</v>
      </c>
      <c r="B167" t="str">
        <f>HYPERLINK("https://www.suredividend.com/sure-analysis-research-database/","Adtalem Global Education Inc")</f>
        <v>Adtalem Global Education Inc</v>
      </c>
      <c r="C167">
        <v>0.27335640138408301</v>
      </c>
      <c r="D167">
        <v>0.22503328894806901</v>
      </c>
      <c r="E167">
        <v>0.31116389548693502</v>
      </c>
      <c r="F167">
        <v>0.55492957746478799</v>
      </c>
      <c r="G167">
        <v>0.30589070262597501</v>
      </c>
      <c r="H167">
        <v>0.81459566074950607</v>
      </c>
      <c r="I167">
        <v>4.5652585716990997E-2</v>
      </c>
    </row>
    <row r="168" spans="1:9" x14ac:dyDescent="0.25">
      <c r="A168" s="1" t="s">
        <v>180</v>
      </c>
      <c r="B168" t="str">
        <f>HYPERLINK("https://www.suredividend.com/sure-analysis-research-database/","Athira Pharma Inc")</f>
        <v>Athira Pharma Inc</v>
      </c>
      <c r="C168">
        <v>-0.109890109890109</v>
      </c>
      <c r="D168">
        <v>-0.46885245901639311</v>
      </c>
      <c r="E168">
        <v>-0.44897959183673403</v>
      </c>
      <c r="F168">
        <v>-0.48895899053627712</v>
      </c>
      <c r="G168">
        <v>-0.45819397993311012</v>
      </c>
      <c r="H168">
        <v>-0.89635316698656409</v>
      </c>
      <c r="I168">
        <v>-0.90531852717708905</v>
      </c>
    </row>
    <row r="169" spans="1:9" x14ac:dyDescent="0.25">
      <c r="A169" s="1" t="s">
        <v>181</v>
      </c>
      <c r="B169" t="str">
        <f>HYPERLINK("https://www.suredividend.com/sure-analysis-research-database/","ATI Inc")</f>
        <v>ATI Inc</v>
      </c>
      <c r="C169">
        <v>3.8605230386052E-2</v>
      </c>
      <c r="D169">
        <v>-4.4454628780934001E-2</v>
      </c>
      <c r="E169">
        <v>0.17929864253393599</v>
      </c>
      <c r="F169">
        <v>0.39651707970529099</v>
      </c>
      <c r="G169">
        <v>0.44390581717451499</v>
      </c>
      <c r="H169">
        <v>1.513562386980108</v>
      </c>
      <c r="I169">
        <v>0.51581243184296599</v>
      </c>
    </row>
    <row r="170" spans="1:9" x14ac:dyDescent="0.25">
      <c r="A170" s="1" t="s">
        <v>182</v>
      </c>
      <c r="B170" t="str">
        <f>HYPERLINK("https://www.suredividend.com/sure-analysis-research-database/","ATI Physical Therapy Inc")</f>
        <v>ATI Physical Therapy Inc</v>
      </c>
      <c r="C170">
        <v>-0.111505747126436</v>
      </c>
      <c r="D170">
        <v>3.2029372496661997E-2</v>
      </c>
      <c r="E170">
        <v>-0.40378711916698801</v>
      </c>
      <c r="F170">
        <v>-0.49312131147540911</v>
      </c>
      <c r="G170">
        <v>-0.85551588785046706</v>
      </c>
      <c r="H170">
        <v>-0.94996828478964412</v>
      </c>
      <c r="I170">
        <v>-0.22700999999999999</v>
      </c>
    </row>
    <row r="171" spans="1:9" x14ac:dyDescent="0.25">
      <c r="A171" s="1" t="s">
        <v>183</v>
      </c>
      <c r="B171" t="str">
        <f>HYPERLINK("https://www.suredividend.com/sure-analysis-research-database/","Atkore Inc")</f>
        <v>Atkore Inc</v>
      </c>
      <c r="C171">
        <v>-8.0314850933407012E-2</v>
      </c>
      <c r="D171">
        <v>-0.12661242309982099</v>
      </c>
      <c r="E171">
        <v>7.8940916891394E-2</v>
      </c>
      <c r="F171">
        <v>0.16408040909892399</v>
      </c>
      <c r="G171">
        <v>0.41435457953936811</v>
      </c>
      <c r="H171">
        <v>0.32096048024012003</v>
      </c>
      <c r="I171">
        <v>5.52</v>
      </c>
    </row>
    <row r="172" spans="1:9" x14ac:dyDescent="0.25">
      <c r="A172" s="1" t="s">
        <v>184</v>
      </c>
      <c r="B172" t="str">
        <f>HYPERLINK("https://www.suredividend.com/sure-analysis-research-database/","Atlanticus Holdings Corp")</f>
        <v>Atlanticus Holdings Corp</v>
      </c>
      <c r="C172">
        <v>-4.3146365748420014E-3</v>
      </c>
      <c r="D172">
        <v>-0.20927780706378399</v>
      </c>
      <c r="E172">
        <v>0.120238984316654</v>
      </c>
      <c r="F172">
        <v>0.14503816793893101</v>
      </c>
      <c r="G172">
        <v>0.20918984280531999</v>
      </c>
      <c r="H172">
        <v>-0.63144963144963107</v>
      </c>
      <c r="I172">
        <v>7.5959885386819472</v>
      </c>
    </row>
    <row r="173" spans="1:9" x14ac:dyDescent="0.25">
      <c r="A173" s="1" t="s">
        <v>185</v>
      </c>
      <c r="B173" t="str">
        <f>HYPERLINK("https://www.suredividend.com/sure-analysis-research-database/","ATN International Inc")</f>
        <v>ATN International Inc</v>
      </c>
      <c r="C173">
        <v>6.4404649701539002E-2</v>
      </c>
      <c r="D173">
        <v>-9.9173355951491002E-2</v>
      </c>
      <c r="E173">
        <v>-3.6881634231068001E-2</v>
      </c>
      <c r="F173">
        <v>-0.22942381917388199</v>
      </c>
      <c r="G173">
        <v>-0.22052225928908301</v>
      </c>
      <c r="H173">
        <v>-0.16672815366831401</v>
      </c>
      <c r="I173">
        <v>-0.55347611202635905</v>
      </c>
    </row>
    <row r="174" spans="1:9" x14ac:dyDescent="0.25">
      <c r="A174" s="1" t="s">
        <v>186</v>
      </c>
      <c r="B174" t="str">
        <f>HYPERLINK("https://www.suredividend.com/sure-analysis-research-database/","Atomera Inc")</f>
        <v>Atomera Inc</v>
      </c>
      <c r="C174">
        <v>-0.109756097560975</v>
      </c>
      <c r="D174">
        <v>-0.22237017310252899</v>
      </c>
      <c r="E174">
        <v>-0.36452665941240397</v>
      </c>
      <c r="F174">
        <v>-6.1093247588424007E-2</v>
      </c>
      <c r="G174">
        <v>-0.34748603351955298</v>
      </c>
      <c r="H174">
        <v>-0.76658673061550708</v>
      </c>
      <c r="I174">
        <v>0.43842364532019701</v>
      </c>
    </row>
    <row r="175" spans="1:9" x14ac:dyDescent="0.25">
      <c r="A175" s="1" t="s">
        <v>187</v>
      </c>
      <c r="B175" t="str">
        <f>HYPERLINK("https://www.suredividend.com/sure-analysis-research-database/","Atara Biotherapeutics Inc")</f>
        <v>Atara Biotherapeutics Inc</v>
      </c>
      <c r="C175">
        <v>-7.1942446043165006E-2</v>
      </c>
      <c r="D175">
        <v>-0.43913043478260799</v>
      </c>
      <c r="E175">
        <v>-0.53090909090909</v>
      </c>
      <c r="F175">
        <v>-0.60670731707317005</v>
      </c>
      <c r="G175">
        <v>-0.72842105263157808</v>
      </c>
      <c r="H175">
        <v>-0.93514328808446412</v>
      </c>
      <c r="I175">
        <v>-0.96605263157894705</v>
      </c>
    </row>
    <row r="176" spans="1:9" x14ac:dyDescent="0.25">
      <c r="A176" s="1" t="s">
        <v>188</v>
      </c>
      <c r="B176" t="str">
        <f>HYPERLINK("https://www.suredividend.com/sure-analysis-research-database/","Atricure Inc")</f>
        <v>Atricure Inc</v>
      </c>
      <c r="C176">
        <v>-9.9147381242387006E-2</v>
      </c>
      <c r="D176">
        <v>-0.35383540101345401</v>
      </c>
      <c r="E176">
        <v>-0.215361765329938</v>
      </c>
      <c r="F176">
        <v>-0.166741775574583</v>
      </c>
      <c r="G176">
        <v>-6.7339218158890005E-2</v>
      </c>
      <c r="H176">
        <v>-0.56697892271662709</v>
      </c>
      <c r="I176">
        <v>0.17958532695374699</v>
      </c>
    </row>
    <row r="177" spans="1:9" x14ac:dyDescent="0.25">
      <c r="A177" s="1" t="s">
        <v>189</v>
      </c>
      <c r="B177" t="str">
        <f>HYPERLINK("https://www.suredividend.com/sure-analysis-ATRI/","Atrion Corp.")</f>
        <v>Atrion Corp.</v>
      </c>
      <c r="C177">
        <v>-0.16884655249000499</v>
      </c>
      <c r="D177">
        <v>-0.37260290253121497</v>
      </c>
      <c r="E177">
        <v>-0.42011748130576099</v>
      </c>
      <c r="F177">
        <v>-0.38624447770370801</v>
      </c>
      <c r="G177">
        <v>-0.44042141185598799</v>
      </c>
      <c r="H177">
        <v>-0.54872648550786207</v>
      </c>
      <c r="I177">
        <v>-0.47418798497688802</v>
      </c>
    </row>
    <row r="178" spans="1:9" x14ac:dyDescent="0.25">
      <c r="A178" s="1" t="s">
        <v>190</v>
      </c>
      <c r="B178" t="str">
        <f>HYPERLINK("https://www.suredividend.com/sure-analysis-research-database/","Astronics Corp.")</f>
        <v>Astronics Corp.</v>
      </c>
      <c r="C178">
        <v>1.0069225928255999E-2</v>
      </c>
      <c r="D178">
        <v>-5.6991774383078002E-2</v>
      </c>
      <c r="E178">
        <v>0.10613370089593401</v>
      </c>
      <c r="F178">
        <v>0.55825242718446599</v>
      </c>
      <c r="G178">
        <v>0.70021186440677907</v>
      </c>
      <c r="H178">
        <v>0.19065281899109701</v>
      </c>
      <c r="I178">
        <v>-0.46321070234113698</v>
      </c>
    </row>
    <row r="179" spans="1:9" x14ac:dyDescent="0.25">
      <c r="A179" s="1" t="s">
        <v>191</v>
      </c>
      <c r="B179" t="str">
        <f>HYPERLINK("https://www.suredividend.com/sure-analysis-research-database/","Air Transport Services Group Inc")</f>
        <v>Air Transport Services Group Inc</v>
      </c>
      <c r="C179">
        <v>-1.8095238095238001E-2</v>
      </c>
      <c r="D179">
        <v>-0.102307357422725</v>
      </c>
      <c r="E179">
        <v>3.8267875125881E-2</v>
      </c>
      <c r="F179">
        <v>-0.20631254811393299</v>
      </c>
      <c r="G179">
        <v>-0.27572883737267201</v>
      </c>
      <c r="H179">
        <v>-0.22393677079412799</v>
      </c>
      <c r="I179">
        <v>9.158284806776E-2</v>
      </c>
    </row>
    <row r="180" spans="1:9" x14ac:dyDescent="0.25">
      <c r="A180" s="1" t="s">
        <v>192</v>
      </c>
      <c r="B180" t="str">
        <f>HYPERLINK("https://www.suredividend.com/sure-analysis-research-database/","Atlantic Union Bankshares Corp")</f>
        <v>Atlantic Union Bankshares Corp</v>
      </c>
      <c r="C180">
        <v>0.121669004207573</v>
      </c>
      <c r="D180">
        <v>-9.0544973561360008E-3</v>
      </c>
      <c r="E180">
        <v>0.35657188898076803</v>
      </c>
      <c r="F180">
        <v>-6.3239393726427007E-2</v>
      </c>
      <c r="G180">
        <v>-3.3546422399728999E-2</v>
      </c>
      <c r="H180">
        <v>-4.4161587187761003E-2</v>
      </c>
      <c r="I180">
        <v>-5.8073216478271003E-2</v>
      </c>
    </row>
    <row r="181" spans="1:9" x14ac:dyDescent="0.25">
      <c r="A181" s="1" t="s">
        <v>193</v>
      </c>
      <c r="B181" t="str">
        <f>HYPERLINK("https://www.suredividend.com/sure-analysis-research-database/","Aurinia Pharmaceuticals Inc")</f>
        <v>Aurinia Pharmaceuticals Inc</v>
      </c>
      <c r="C181">
        <v>0.14464534075104299</v>
      </c>
      <c r="D181">
        <v>-0.16191446028513201</v>
      </c>
      <c r="E181">
        <v>-0.27425044091710699</v>
      </c>
      <c r="F181">
        <v>0.90509259259259212</v>
      </c>
      <c r="G181">
        <v>0.59805825242718402</v>
      </c>
      <c r="H181">
        <v>-0.74200626959247606</v>
      </c>
      <c r="I181">
        <v>0.46181172291296602</v>
      </c>
    </row>
    <row r="182" spans="1:9" x14ac:dyDescent="0.25">
      <c r="A182" s="1" t="s">
        <v>194</v>
      </c>
      <c r="B182" t="str">
        <f>HYPERLINK("https://www.suredividend.com/sure-analysis-research-database/","Aura Biosciences Inc")</f>
        <v>Aura Biosciences Inc</v>
      </c>
      <c r="C182">
        <v>0.37859608745684697</v>
      </c>
      <c r="D182">
        <v>6.773618538324401E-2</v>
      </c>
      <c r="E182">
        <v>0.28955866523143098</v>
      </c>
      <c r="F182">
        <v>0.14095238095238</v>
      </c>
      <c r="G182">
        <v>-4.9833887043180007E-3</v>
      </c>
      <c r="H182">
        <v>-0.34571272528672797</v>
      </c>
      <c r="I182">
        <v>-0.19054054054054001</v>
      </c>
    </row>
    <row r="183" spans="1:9" x14ac:dyDescent="0.25">
      <c r="A183" s="1" t="s">
        <v>195</v>
      </c>
      <c r="B183" t="str">
        <f>HYPERLINK("https://www.suredividend.com/sure-analysis-AVA/","Avista Corp.")</f>
        <v>Avista Corp.</v>
      </c>
      <c r="C183">
        <v>0.105711580940359</v>
      </c>
      <c r="D183">
        <v>-4.1048278730920998E-2</v>
      </c>
      <c r="E183">
        <v>-0.188041218957754</v>
      </c>
      <c r="F183">
        <v>-0.18060196758420199</v>
      </c>
      <c r="G183">
        <v>-9.9457504520790007E-3</v>
      </c>
      <c r="H183">
        <v>-3.6168439467581998E-2</v>
      </c>
      <c r="I183">
        <v>-0.17968887172103701</v>
      </c>
    </row>
    <row r="184" spans="1:9" x14ac:dyDescent="0.25">
      <c r="A184" s="1" t="s">
        <v>196</v>
      </c>
      <c r="B184" t="str">
        <f>HYPERLINK("https://www.suredividend.com/sure-analysis-research-database/","Aveanna Healthcare Holdings Inc")</f>
        <v>Aveanna Healthcare Holdings Inc</v>
      </c>
      <c r="C184">
        <v>0.26724137931034497</v>
      </c>
      <c r="D184">
        <v>-0.15028901734104</v>
      </c>
      <c r="E184">
        <v>0.34862385321100903</v>
      </c>
      <c r="F184">
        <v>0.88461538461538403</v>
      </c>
      <c r="G184">
        <v>0.23529411764705799</v>
      </c>
      <c r="H184">
        <v>-0.82246376811594202</v>
      </c>
      <c r="I184">
        <v>-0.87250650477016412</v>
      </c>
    </row>
    <row r="185" spans="1:9" x14ac:dyDescent="0.25">
      <c r="A185" s="1" t="s">
        <v>197</v>
      </c>
      <c r="B185" t="str">
        <f>HYPERLINK("https://www.suredividend.com/sure-analysis-research-database/","AeroVironment Inc.")</f>
        <v>AeroVironment Inc.</v>
      </c>
      <c r="C185">
        <v>0.11782815561153</v>
      </c>
      <c r="D185">
        <v>0.240115918029393</v>
      </c>
      <c r="E185">
        <v>0.188808413533088</v>
      </c>
      <c r="F185">
        <v>0.39878589773523199</v>
      </c>
      <c r="G185">
        <v>0.41031073446327598</v>
      </c>
      <c r="H185">
        <v>0.27103002015487399</v>
      </c>
      <c r="I185">
        <v>0.27631018321261103</v>
      </c>
    </row>
    <row r="186" spans="1:9" x14ac:dyDescent="0.25">
      <c r="A186" s="1" t="s">
        <v>198</v>
      </c>
      <c r="B186" t="str">
        <f>HYPERLINK("https://www.suredividend.com/sure-analysis-research-database/","American Vanguard Corp.")</f>
        <v>American Vanguard Corp.</v>
      </c>
      <c r="C186">
        <v>-3.5294117647057997E-2</v>
      </c>
      <c r="D186">
        <v>-0.43693564815344599</v>
      </c>
      <c r="E186">
        <v>-0.46177450320801999</v>
      </c>
      <c r="F186">
        <v>-0.54419332873203308</v>
      </c>
      <c r="G186">
        <v>-0.57545032898284909</v>
      </c>
      <c r="H186">
        <v>-0.38639212287123498</v>
      </c>
      <c r="I186">
        <v>-0.40913321524003898</v>
      </c>
    </row>
    <row r="187" spans="1:9" x14ac:dyDescent="0.25">
      <c r="A187" s="1" t="s">
        <v>199</v>
      </c>
      <c r="B187" t="str">
        <f>HYPERLINK("https://www.suredividend.com/sure-analysis-research-database/","AvidXchange Holdings Inc")</f>
        <v>AvidXchange Holdings Inc</v>
      </c>
      <c r="C187">
        <v>-0.14702581369248</v>
      </c>
      <c r="D187">
        <v>-0.27619047619047599</v>
      </c>
      <c r="E187">
        <v>-7.8787878787878005E-2</v>
      </c>
      <c r="F187">
        <v>-0.235412474849094</v>
      </c>
      <c r="G187">
        <v>-3.1847133757960999E-2</v>
      </c>
      <c r="H187">
        <v>-0.69514640994785304</v>
      </c>
      <c r="I187">
        <v>-0.69526864474739303</v>
      </c>
    </row>
    <row r="188" spans="1:9" x14ac:dyDescent="0.25">
      <c r="A188" s="1" t="s">
        <v>200</v>
      </c>
      <c r="B188" t="str">
        <f>HYPERLINK("https://www.suredividend.com/sure-analysis-research-database/","Avid Technology, Inc.")</f>
        <v>Avid Technology, Inc.</v>
      </c>
      <c r="C188">
        <v>5.9523809523800014E-3</v>
      </c>
      <c r="D188">
        <v>-1.1334552102376E-2</v>
      </c>
      <c r="E188">
        <v>8.8128772635814007E-2</v>
      </c>
      <c r="F188">
        <v>1.6923655509588999E-2</v>
      </c>
      <c r="G188">
        <v>0.104124132298897</v>
      </c>
      <c r="H188">
        <v>-8.6486486486486006E-2</v>
      </c>
      <c r="I188">
        <v>3.8808664259927799</v>
      </c>
    </row>
    <row r="189" spans="1:9" x14ac:dyDescent="0.25">
      <c r="A189" s="1" t="s">
        <v>201</v>
      </c>
      <c r="B189" t="str">
        <f>HYPERLINK("https://www.suredividend.com/sure-analysis-research-database/","Atea Pharmaceuticals Inc")</f>
        <v>Atea Pharmaceuticals Inc</v>
      </c>
      <c r="C189">
        <v>8.6378737541528E-2</v>
      </c>
      <c r="D189">
        <v>-5.7636887608069003E-2</v>
      </c>
      <c r="E189">
        <v>-1.8018018018018001E-2</v>
      </c>
      <c r="F189">
        <v>-0.32016632016632002</v>
      </c>
      <c r="G189">
        <v>-0.45860927152317799</v>
      </c>
      <c r="H189">
        <v>-0.7224108658743631</v>
      </c>
      <c r="I189">
        <v>-0.89222148978246507</v>
      </c>
    </row>
    <row r="190" spans="1:9" x14ac:dyDescent="0.25">
      <c r="A190" s="1" t="s">
        <v>202</v>
      </c>
      <c r="B190" t="str">
        <f>HYPERLINK("https://www.suredividend.com/sure-analysis-research-database/","Avanos Medical Inc")</f>
        <v>Avanos Medical Inc</v>
      </c>
      <c r="C190">
        <v>0.109492717227523</v>
      </c>
      <c r="D190">
        <v>-8.7190082644628006E-2</v>
      </c>
      <c r="E190">
        <v>-6.1597281223449013E-2</v>
      </c>
      <c r="F190">
        <v>-0.183665927568366</v>
      </c>
      <c r="G190">
        <v>-2.9010989010988E-2</v>
      </c>
      <c r="H190">
        <v>-0.35067607289829511</v>
      </c>
      <c r="I190">
        <v>-0.62122770919067205</v>
      </c>
    </row>
    <row r="191" spans="1:9" x14ac:dyDescent="0.25">
      <c r="A191" s="1" t="s">
        <v>203</v>
      </c>
      <c r="B191" t="str">
        <f>HYPERLINK("https://www.suredividend.com/sure-analysis-AVNT/","Avient Corp")</f>
        <v>Avient Corp</v>
      </c>
      <c r="C191">
        <v>-1.7356089094590001E-2</v>
      </c>
      <c r="D191">
        <v>-0.12736333744348499</v>
      </c>
      <c r="E191">
        <v>-6.994954127184401E-2</v>
      </c>
      <c r="F191">
        <v>2.5713802599159001E-2</v>
      </c>
      <c r="G191">
        <v>0.21437227642072901</v>
      </c>
      <c r="H191">
        <v>-0.38048707539565202</v>
      </c>
      <c r="I191">
        <v>5.9704705188715998E-2</v>
      </c>
    </row>
    <row r="192" spans="1:9" x14ac:dyDescent="0.25">
      <c r="A192" s="1" t="s">
        <v>204</v>
      </c>
      <c r="B192" t="str">
        <f>HYPERLINK("https://www.suredividend.com/sure-analysis-research-database/","Aviat Networks Inc")</f>
        <v>Aviat Networks Inc</v>
      </c>
      <c r="C192">
        <v>-3.5924232527750001E-3</v>
      </c>
      <c r="D192">
        <v>1.1940298507462E-2</v>
      </c>
      <c r="E192">
        <v>6.7903395169758005E-2</v>
      </c>
      <c r="F192">
        <v>-2.1801859570375001E-2</v>
      </c>
      <c r="G192">
        <v>7.0150824272185011E-2</v>
      </c>
      <c r="H192">
        <v>-5.2190121155638002E-2</v>
      </c>
      <c r="I192">
        <v>3.0410596026490069</v>
      </c>
    </row>
    <row r="193" spans="1:9" x14ac:dyDescent="0.25">
      <c r="A193" s="1" t="s">
        <v>205</v>
      </c>
      <c r="B193" t="str">
        <f>HYPERLINK("https://www.suredividend.com/sure-analysis-research-database/","Mission Produce Inc")</f>
        <v>Mission Produce Inc</v>
      </c>
      <c r="C193">
        <v>-2.1739130434782001E-2</v>
      </c>
      <c r="D193">
        <v>-0.17032484635645301</v>
      </c>
      <c r="E193">
        <v>-0.189536878216123</v>
      </c>
      <c r="F193">
        <v>-0.186746987951807</v>
      </c>
      <c r="G193">
        <v>-0.41449814126394002</v>
      </c>
      <c r="H193">
        <v>-0.52820768846729904</v>
      </c>
      <c r="I193">
        <v>-0.24399999999999999</v>
      </c>
    </row>
    <row r="194" spans="1:9" x14ac:dyDescent="0.25">
      <c r="A194" s="1" t="s">
        <v>206</v>
      </c>
      <c r="B194" t="str">
        <f>HYPERLINK("https://www.suredividend.com/sure-analysis-research-database/","AvePoint Inc")</f>
        <v>AvePoint Inc</v>
      </c>
      <c r="C194">
        <v>0.122599704579025</v>
      </c>
      <c r="D194">
        <v>0.25</v>
      </c>
      <c r="E194">
        <v>0.72727272727272707</v>
      </c>
      <c r="F194">
        <v>0.84914841849148304</v>
      </c>
      <c r="G194">
        <v>1.0052770448548809</v>
      </c>
      <c r="H194">
        <v>-0.174809989142236</v>
      </c>
      <c r="I194">
        <v>-0.22290388548057199</v>
      </c>
    </row>
    <row r="195" spans="1:9" x14ac:dyDescent="0.25">
      <c r="A195" s="1" t="s">
        <v>207</v>
      </c>
      <c r="B195" t="str">
        <f>HYPERLINK("https://www.suredividend.com/sure-analysis-research-database/","Avantax Inc")</f>
        <v>Avantax Inc</v>
      </c>
      <c r="C195">
        <v>8.9843749999990001E-3</v>
      </c>
      <c r="D195">
        <v>2.9493822239936001E-2</v>
      </c>
      <c r="E195">
        <v>8.3927822073017008E-2</v>
      </c>
      <c r="F195">
        <v>1.1750881316098E-2</v>
      </c>
      <c r="G195">
        <v>0.13488576449912101</v>
      </c>
      <c r="H195">
        <v>0.45603156708004511</v>
      </c>
      <c r="I195">
        <v>-0.14356763925729399</v>
      </c>
    </row>
    <row r="196" spans="1:9" x14ac:dyDescent="0.25">
      <c r="A196" s="1" t="s">
        <v>208</v>
      </c>
      <c r="B196" t="str">
        <f>HYPERLINK("https://www.suredividend.com/sure-analysis-research-database/","Aerovate Therapeutics Inc")</f>
        <v>Aerovate Therapeutics Inc</v>
      </c>
      <c r="C196">
        <v>-0.14530551415797299</v>
      </c>
      <c r="D196">
        <v>-0.29847094801223201</v>
      </c>
      <c r="E196">
        <v>-0.45302813543156811</v>
      </c>
      <c r="F196">
        <v>-0.60853242320819101</v>
      </c>
      <c r="G196">
        <v>-0.44048780487804812</v>
      </c>
      <c r="H196">
        <v>-0.32330383480825903</v>
      </c>
      <c r="I196">
        <v>-0.49759088918090211</v>
      </c>
    </row>
    <row r="197" spans="1:9" x14ac:dyDescent="0.25">
      <c r="A197" s="1" t="s">
        <v>209</v>
      </c>
      <c r="B197" t="str">
        <f>HYPERLINK("https://www.suredividend.com/sure-analysis-research-database/","Anavex Life Sciences Corporation")</f>
        <v>Anavex Life Sciences Corporation</v>
      </c>
      <c r="C197">
        <v>-4.8818897637794997E-2</v>
      </c>
      <c r="D197">
        <v>-0.26520681265206802</v>
      </c>
      <c r="E197">
        <v>-0.28095238095238001</v>
      </c>
      <c r="F197">
        <v>-0.34773218142548501</v>
      </c>
      <c r="G197">
        <v>-0.48508098891730611</v>
      </c>
      <c r="H197">
        <v>-0.73321554770318009</v>
      </c>
      <c r="I197">
        <v>1.368627450980392</v>
      </c>
    </row>
    <row r="198" spans="1:9" x14ac:dyDescent="0.25">
      <c r="A198" s="1" t="s">
        <v>210</v>
      </c>
      <c r="B198" t="str">
        <f>HYPERLINK("https://www.suredividend.com/sure-analysis-AWR/","American States Water Co.")</f>
        <v>American States Water Co.</v>
      </c>
      <c r="C198">
        <v>6.7739858338698999E-2</v>
      </c>
      <c r="D198">
        <v>-3.1143405032537999E-2</v>
      </c>
      <c r="E198">
        <v>-7.7534499275134006E-2</v>
      </c>
      <c r="F198">
        <v>-9.1976405185952001E-2</v>
      </c>
      <c r="G198">
        <v>-5.0826734379167002E-2</v>
      </c>
      <c r="H198">
        <v>-6.8875789085935002E-2</v>
      </c>
      <c r="I198">
        <v>0.47536666180275511</v>
      </c>
    </row>
    <row r="199" spans="1:9" x14ac:dyDescent="0.25">
      <c r="A199" s="1" t="s">
        <v>211</v>
      </c>
      <c r="B199" t="str">
        <f>HYPERLINK("https://www.suredividend.com/sure-analysis-research-database/","Axos Financial Inc.")</f>
        <v>Axos Financial Inc.</v>
      </c>
      <c r="C199">
        <v>0.107784431137724</v>
      </c>
      <c r="D199">
        <v>-0.110771247542058</v>
      </c>
      <c r="E199">
        <v>9.7922848664688006E-2</v>
      </c>
      <c r="F199">
        <v>6.4887493458922002E-2</v>
      </c>
      <c r="G199">
        <v>6.0448150078165001E-2</v>
      </c>
      <c r="H199">
        <v>-0.30320150659133699</v>
      </c>
      <c r="I199">
        <v>0.32400780741704599</v>
      </c>
    </row>
    <row r="200" spans="1:9" x14ac:dyDescent="0.25">
      <c r="A200" s="1" t="s">
        <v>212</v>
      </c>
      <c r="B200" t="str">
        <f>HYPERLINK("https://www.suredividend.com/sure-analysis-research-database/","BioXcel Therapeutics Inc")</f>
        <v>BioXcel Therapeutics Inc</v>
      </c>
      <c r="C200">
        <v>0.75094339622641404</v>
      </c>
      <c r="D200">
        <v>-0.38215712383488598</v>
      </c>
      <c r="E200">
        <v>-0.79550462758924612</v>
      </c>
      <c r="F200">
        <v>-0.78398510242085606</v>
      </c>
      <c r="G200">
        <v>-0.60409556313993107</v>
      </c>
      <c r="H200">
        <v>-0.86776859504132209</v>
      </c>
      <c r="I200">
        <v>-0.153284671532846</v>
      </c>
    </row>
    <row r="201" spans="1:9" x14ac:dyDescent="0.25">
      <c r="A201" s="1" t="s">
        <v>213</v>
      </c>
      <c r="B201" t="str">
        <f>HYPERLINK("https://www.suredividend.com/sure-analysis-research-database/","Peabody Energy Corp.")</f>
        <v>Peabody Energy Corp.</v>
      </c>
      <c r="C201">
        <v>-3.7831021437569998E-3</v>
      </c>
      <c r="D201">
        <v>9.0301834191313005E-2</v>
      </c>
      <c r="E201">
        <v>8.0952880488572007E-2</v>
      </c>
      <c r="F201">
        <v>-9.702246013754201E-2</v>
      </c>
      <c r="G201">
        <v>-0.11609380594343</v>
      </c>
      <c r="H201">
        <v>1.1130716215372809</v>
      </c>
      <c r="I201">
        <v>-0.24429394095926801</v>
      </c>
    </row>
    <row r="202" spans="1:9" x14ac:dyDescent="0.25">
      <c r="A202" s="1" t="s">
        <v>214</v>
      </c>
      <c r="B202" t="str">
        <f>HYPERLINK("https://www.suredividend.com/sure-analysis-research-database/","First Busey Corp.")</f>
        <v>First Busey Corp.</v>
      </c>
      <c r="C202">
        <v>0.13231490067841201</v>
      </c>
      <c r="D202">
        <v>-1.5605110555843E-2</v>
      </c>
      <c r="E202">
        <v>0.278213439606251</v>
      </c>
      <c r="F202">
        <v>-8.4367147724731001E-2</v>
      </c>
      <c r="G202">
        <v>-0.15637727067037299</v>
      </c>
      <c r="H202">
        <v>-0.123304236103238</v>
      </c>
      <c r="I202">
        <v>-5.8492505816784002E-2</v>
      </c>
    </row>
    <row r="203" spans="1:9" x14ac:dyDescent="0.25">
      <c r="A203" s="1" t="s">
        <v>215</v>
      </c>
      <c r="B203" t="str">
        <f>HYPERLINK("https://www.suredividend.com/sure-analysis-research-database/","BrightView Holdings Inc")</f>
        <v>BrightView Holdings Inc</v>
      </c>
      <c r="C203">
        <v>-4.9738219895286997E-2</v>
      </c>
      <c r="D203">
        <v>-9.3632958801498009E-2</v>
      </c>
      <c r="E203">
        <v>0.190163934426229</v>
      </c>
      <c r="F203">
        <v>5.3701015965166007E-2</v>
      </c>
      <c r="G203">
        <v>-0.150877192982456</v>
      </c>
      <c r="H203">
        <v>-0.55677655677655602</v>
      </c>
      <c r="I203">
        <v>-0.50578624914908099</v>
      </c>
    </row>
    <row r="204" spans="1:9" x14ac:dyDescent="0.25">
      <c r="A204" s="1" t="s">
        <v>216</v>
      </c>
      <c r="B204" t="str">
        <f>HYPERLINK("https://www.suredividend.com/sure-analysis-research-database/","Bluegreen Vacations Holding Corporation")</f>
        <v>Bluegreen Vacations Holding Corporation</v>
      </c>
      <c r="C204">
        <v>-1.3607331296861E-2</v>
      </c>
      <c r="D204">
        <v>9.874135337918E-3</v>
      </c>
      <c r="E204">
        <v>0.44930492935046501</v>
      </c>
      <c r="F204">
        <v>0.44821175204266311</v>
      </c>
      <c r="G204">
        <v>0.72871110765022806</v>
      </c>
      <c r="H204">
        <v>0.36350549893476097</v>
      </c>
      <c r="I204">
        <v>0.16892092013031901</v>
      </c>
    </row>
    <row r="205" spans="1:9" x14ac:dyDescent="0.25">
      <c r="A205" s="1" t="s">
        <v>217</v>
      </c>
      <c r="B205" t="str">
        <f>HYPERLINK("https://www.suredividend.com/sure-analysis-research-database/","Bioventus Inc")</f>
        <v>Bioventus Inc</v>
      </c>
      <c r="C205">
        <v>0.246753246753246</v>
      </c>
      <c r="D205">
        <v>6.6666666666666E-2</v>
      </c>
      <c r="E205">
        <v>3.1464204729510841</v>
      </c>
      <c r="F205">
        <v>0.47126436781609099</v>
      </c>
      <c r="G205">
        <v>-0.47612551159618011</v>
      </c>
      <c r="H205">
        <v>-0.76992210904733305</v>
      </c>
      <c r="I205">
        <v>-0.80010411244143609</v>
      </c>
    </row>
    <row r="206" spans="1:9" x14ac:dyDescent="0.25">
      <c r="A206" s="1" t="s">
        <v>218</v>
      </c>
      <c r="B206" t="str">
        <f>HYPERLINK("https://www.suredividend.com/sure-analysis-research-database/","Babcock &amp; Wilcox Enterprises Inc")</f>
        <v>Babcock &amp; Wilcox Enterprises Inc</v>
      </c>
      <c r="C206">
        <v>-0.26724137931034397</v>
      </c>
      <c r="D206">
        <v>-0.51704545454545403</v>
      </c>
      <c r="E206">
        <v>-0.55652173913043401</v>
      </c>
      <c r="F206">
        <v>-0.55805892547660307</v>
      </c>
      <c r="G206">
        <v>-0.37804878048780399</v>
      </c>
      <c r="H206">
        <v>-0.64827586206896504</v>
      </c>
      <c r="I206">
        <v>-0.7412480974124811</v>
      </c>
    </row>
    <row r="207" spans="1:9" x14ac:dyDescent="0.25">
      <c r="A207" s="1" t="s">
        <v>219</v>
      </c>
      <c r="B207" t="str">
        <f>HYPERLINK("https://www.suredividend.com/sure-analysis-research-database/","Bridgewater Bancshares Inc")</f>
        <v>Bridgewater Bancshares Inc</v>
      </c>
      <c r="C207">
        <v>9.1101694915254008E-2</v>
      </c>
      <c r="D207">
        <v>-6.1075660893345013E-2</v>
      </c>
      <c r="E207">
        <v>0.24697336561743299</v>
      </c>
      <c r="F207">
        <v>-0.41939120631341498</v>
      </c>
      <c r="G207">
        <v>-0.46961894953656003</v>
      </c>
      <c r="H207">
        <v>-0.44978632478632402</v>
      </c>
      <c r="I207">
        <v>-8.8495575221238007E-2</v>
      </c>
    </row>
    <row r="208" spans="1:9" x14ac:dyDescent="0.25">
      <c r="A208" s="1" t="s">
        <v>220</v>
      </c>
      <c r="B208" t="str">
        <f>HYPERLINK("https://www.suredividend.com/sure-analysis-research-database/","Bankwell Financial Group Inc")</f>
        <v>Bankwell Financial Group Inc</v>
      </c>
      <c r="C208">
        <v>8.0147965474721999E-2</v>
      </c>
      <c r="D208">
        <v>-3.9519321084889002E-2</v>
      </c>
      <c r="E208">
        <v>0.24235347509147401</v>
      </c>
      <c r="F208">
        <v>-7.9751378797163E-2</v>
      </c>
      <c r="G208">
        <v>-0.111318515212076</v>
      </c>
      <c r="H208">
        <v>-0.107406690374053</v>
      </c>
      <c r="I208">
        <v>-1.9975239816800001E-3</v>
      </c>
    </row>
    <row r="209" spans="1:9" x14ac:dyDescent="0.25">
      <c r="A209" s="1" t="s">
        <v>221</v>
      </c>
      <c r="B209" t="str">
        <f>HYPERLINK("https://www.suredividend.com/sure-analysis-research-database/","Bluelinx Hldgs Inc")</f>
        <v>Bluelinx Hldgs Inc</v>
      </c>
      <c r="C209">
        <v>2.3344814389590001E-2</v>
      </c>
      <c r="D209">
        <v>-8.2151029748283005E-2</v>
      </c>
      <c r="E209">
        <v>0.15308322552824499</v>
      </c>
      <c r="F209">
        <v>0.12811137674026099</v>
      </c>
      <c r="G209">
        <v>0.26830039525691601</v>
      </c>
      <c r="H209">
        <v>0.22961373390557899</v>
      </c>
      <c r="I209">
        <v>2.128705148205928</v>
      </c>
    </row>
    <row r="210" spans="1:9" x14ac:dyDescent="0.25">
      <c r="A210" s="1" t="s">
        <v>222</v>
      </c>
      <c r="B210" t="str">
        <f>HYPERLINK("https://www.suredividend.com/sure-analysis-BXMT/","Blackstone Mortgage Trust Inc")</f>
        <v>Blackstone Mortgage Trust Inc</v>
      </c>
      <c r="C210">
        <v>6.1094819159335012E-2</v>
      </c>
      <c r="D210">
        <v>-1.5432896604581E-2</v>
      </c>
      <c r="E210">
        <v>0.36253804876517998</v>
      </c>
      <c r="F210">
        <v>0.12649308330133499</v>
      </c>
      <c r="G210">
        <v>1.4177936608039E-2</v>
      </c>
      <c r="H210">
        <v>-0.193086786842594</v>
      </c>
      <c r="I210">
        <v>6.1686340484500002E-3</v>
      </c>
    </row>
    <row r="211" spans="1:9" x14ac:dyDescent="0.25">
      <c r="A211" s="1" t="s">
        <v>223</v>
      </c>
      <c r="B211" t="str">
        <f>HYPERLINK("https://www.suredividend.com/sure-analysis-research-database/","Byline Bancorp Inc")</f>
        <v>Byline Bancorp Inc</v>
      </c>
      <c r="C211">
        <v>5.0626304801670012E-2</v>
      </c>
      <c r="D211">
        <v>-9.201623815967501E-2</v>
      </c>
      <c r="E211">
        <v>0.20398337270851299</v>
      </c>
      <c r="F211">
        <v>-0.112656871950171</v>
      </c>
      <c r="G211">
        <v>-0.110331294417141</v>
      </c>
      <c r="H211">
        <v>-0.22596571639506799</v>
      </c>
      <c r="I211">
        <v>-2.3194875776396999E-2</v>
      </c>
    </row>
    <row r="212" spans="1:9" x14ac:dyDescent="0.25">
      <c r="A212" s="1" t="s">
        <v>224</v>
      </c>
      <c r="B212" t="str">
        <f>HYPERLINK("https://www.suredividend.com/sure-analysis-research-database/","Beyond Meat Inc")</f>
        <v>Beyond Meat Inc</v>
      </c>
      <c r="C212">
        <v>-0.17570754716981099</v>
      </c>
      <c r="D212">
        <v>-0.55590851334180402</v>
      </c>
      <c r="E212">
        <v>-0.45518316445829998</v>
      </c>
      <c r="F212">
        <v>-0.43216896831843998</v>
      </c>
      <c r="G212">
        <v>-0.49748382458662799</v>
      </c>
      <c r="H212">
        <v>-0.9318181818181811</v>
      </c>
      <c r="I212">
        <v>-0.89368821292775602</v>
      </c>
    </row>
    <row r="213" spans="1:9" x14ac:dyDescent="0.25">
      <c r="A213" s="1" t="s">
        <v>225</v>
      </c>
      <c r="B213" t="str">
        <f>HYPERLINK("https://www.suredividend.com/sure-analysis-research-database/","Beazer Homes USA Inc.")</f>
        <v>Beazer Homes USA Inc.</v>
      </c>
      <c r="C213">
        <v>0.21174978867286501</v>
      </c>
      <c r="D213">
        <v>-0.12644728823887799</v>
      </c>
      <c r="E213">
        <v>0.43637274549098198</v>
      </c>
      <c r="F213">
        <v>1.2468652037617549</v>
      </c>
      <c r="G213">
        <v>1.6087352138307549</v>
      </c>
      <c r="H213">
        <v>0.58310325786858108</v>
      </c>
      <c r="I213">
        <v>2.1820199778024421</v>
      </c>
    </row>
    <row r="214" spans="1:9" x14ac:dyDescent="0.25">
      <c r="A214" s="1" t="s">
        <v>226</v>
      </c>
      <c r="B214" t="str">
        <f>HYPERLINK("https://www.suredividend.com/sure-analysis-research-database/","Camden National Corp.")</f>
        <v>Camden National Corp.</v>
      </c>
      <c r="C214">
        <v>0.196113741968474</v>
      </c>
      <c r="D214">
        <v>-7.3167510329242999E-2</v>
      </c>
      <c r="E214">
        <v>0.17993668989012099</v>
      </c>
      <c r="F214">
        <v>-0.15112499605541299</v>
      </c>
      <c r="G214">
        <v>-0.18438300646328401</v>
      </c>
      <c r="H214">
        <v>-0.24349837474015701</v>
      </c>
      <c r="I214">
        <v>-1.6318508022123E-2</v>
      </c>
    </row>
    <row r="215" spans="1:9" x14ac:dyDescent="0.25">
      <c r="A215" s="1" t="s">
        <v>227</v>
      </c>
      <c r="B215" t="str">
        <f>HYPERLINK("https://www.suredividend.com/sure-analysis-research-database/","Cadence Bank")</f>
        <v>Cadence Bank</v>
      </c>
      <c r="C215">
        <v>0.11184834123222701</v>
      </c>
      <c r="D215">
        <v>-6.8012076910853009E-2</v>
      </c>
      <c r="E215">
        <v>0.33901816749713198</v>
      </c>
      <c r="F215">
        <v>-1.6970458830923001E-2</v>
      </c>
      <c r="G215">
        <v>-0.101734502431366</v>
      </c>
      <c r="H215">
        <v>-0.19020234585884799</v>
      </c>
      <c r="I215">
        <v>-0.125517662977638</v>
      </c>
    </row>
    <row r="216" spans="1:9" x14ac:dyDescent="0.25">
      <c r="A216" s="1" t="s">
        <v>228</v>
      </c>
      <c r="B216" t="str">
        <f>HYPERLINK("https://www.suredividend.com/sure-analysis-CAKE/","Cheesecake Factory Inc.")</f>
        <v>Cheesecake Factory Inc.</v>
      </c>
      <c r="C216">
        <v>4.6449007068326997E-2</v>
      </c>
      <c r="D216">
        <v>-0.131489039553704</v>
      </c>
      <c r="E216">
        <v>-1.8403745788986001E-2</v>
      </c>
      <c r="F216">
        <v>2.0016469870308001E-2</v>
      </c>
      <c r="G216">
        <v>-3.5134271198958997E-2</v>
      </c>
      <c r="H216">
        <v>-0.238063028288962</v>
      </c>
      <c r="I216">
        <v>-0.29177050539657601</v>
      </c>
    </row>
    <row r="217" spans="1:9" x14ac:dyDescent="0.25">
      <c r="A217" s="1" t="s">
        <v>229</v>
      </c>
      <c r="B217" t="str">
        <f>HYPERLINK("https://www.suredividend.com/sure-analysis-research-database/","Caleres Inc")</f>
        <v>Caleres Inc</v>
      </c>
      <c r="C217">
        <v>3.6363636363636001E-2</v>
      </c>
      <c r="D217">
        <v>1.414280786478E-2</v>
      </c>
      <c r="E217">
        <v>0.26290372902508102</v>
      </c>
      <c r="F217">
        <v>0.26460773615745697</v>
      </c>
      <c r="G217">
        <v>5.1553611162356003E-2</v>
      </c>
      <c r="H217">
        <v>0.10663385990562101</v>
      </c>
      <c r="I217">
        <v>-0.144733820219558</v>
      </c>
    </row>
    <row r="218" spans="1:9" x14ac:dyDescent="0.25">
      <c r="A218" s="1" t="s">
        <v>230</v>
      </c>
      <c r="B218" t="str">
        <f>HYPERLINK("https://www.suredividend.com/sure-analysis-research-database/","Cal-Maine Foods, Inc.")</f>
        <v>Cal-Maine Foods, Inc.</v>
      </c>
      <c r="C218">
        <v>0.125182836532783</v>
      </c>
      <c r="D218">
        <v>9.3885590254393012E-2</v>
      </c>
      <c r="E218">
        <v>5.1664002479497997E-2</v>
      </c>
      <c r="F218">
        <v>4.5849141925500001E-3</v>
      </c>
      <c r="G218">
        <v>-4.8369126743246997E-2</v>
      </c>
      <c r="H218">
        <v>0.52780519096022804</v>
      </c>
      <c r="I218">
        <v>0.17385576312472101</v>
      </c>
    </row>
    <row r="219" spans="1:9" x14ac:dyDescent="0.25">
      <c r="A219" s="1" t="s">
        <v>231</v>
      </c>
      <c r="B219" t="str">
        <f>HYPERLINK("https://www.suredividend.com/sure-analysis-research-database/","Calix Inc")</f>
        <v>Calix Inc</v>
      </c>
      <c r="C219">
        <v>-0.19516056083220201</v>
      </c>
      <c r="D219">
        <v>-0.177870177870177</v>
      </c>
      <c r="E219">
        <v>-0.17309479553903301</v>
      </c>
      <c r="F219">
        <v>-0.47990647376881401</v>
      </c>
      <c r="G219">
        <v>-0.47983045893013698</v>
      </c>
      <c r="H219">
        <v>-0.49950780480945012</v>
      </c>
      <c r="I219">
        <v>3.7964959568733159</v>
      </c>
    </row>
    <row r="220" spans="1:9" x14ac:dyDescent="0.25">
      <c r="A220" s="1" t="s">
        <v>232</v>
      </c>
      <c r="B220" t="str">
        <f>HYPERLINK("https://www.suredividend.com/sure-analysis-research-database/","Cano Health Inc")</f>
        <v>Cano Health Inc</v>
      </c>
      <c r="C220">
        <v>-0.60054773082942003</v>
      </c>
      <c r="D220">
        <v>-0.93922619047619005</v>
      </c>
      <c r="E220">
        <v>-0.89790000000000003</v>
      </c>
      <c r="F220">
        <v>-0.92547445255474403</v>
      </c>
      <c r="G220">
        <v>-0.97023323615160306</v>
      </c>
      <c r="H220">
        <v>-0.99080180180180111</v>
      </c>
      <c r="I220">
        <v>9.8039215686200002E-4</v>
      </c>
    </row>
    <row r="221" spans="1:9" x14ac:dyDescent="0.25">
      <c r="A221" s="1" t="s">
        <v>233</v>
      </c>
      <c r="B221" t="str">
        <f>HYPERLINK("https://www.suredividend.com/sure-analysis-research-database/","Cara Therapeutics Inc")</f>
        <v>Cara Therapeutics Inc</v>
      </c>
      <c r="C221">
        <v>-6.2499999999999008E-2</v>
      </c>
      <c r="D221">
        <v>-0.56869009584664509</v>
      </c>
      <c r="E221">
        <v>-0.68965517241379304</v>
      </c>
      <c r="F221">
        <v>-0.87430167597765307</v>
      </c>
      <c r="G221">
        <v>-0.85294117647058809</v>
      </c>
      <c r="H221">
        <v>-0.92351274787535409</v>
      </c>
      <c r="I221">
        <v>-0.93143727780599306</v>
      </c>
    </row>
    <row r="222" spans="1:9" x14ac:dyDescent="0.25">
      <c r="A222" s="1" t="s">
        <v>234</v>
      </c>
      <c r="B222" t="str">
        <f>HYPERLINK("https://www.suredividend.com/sure-analysis-research-database/","Carter Bankshares Inc")</f>
        <v>Carter Bankshares Inc</v>
      </c>
      <c r="C222">
        <v>-2.6688907422852001E-2</v>
      </c>
      <c r="D222">
        <v>-0.20773930753564099</v>
      </c>
      <c r="E222">
        <v>-8.8992974238875006E-2</v>
      </c>
      <c r="F222">
        <v>-0.29656419529837202</v>
      </c>
      <c r="G222">
        <v>-0.37258064516129002</v>
      </c>
      <c r="H222">
        <v>-0.25810553083280302</v>
      </c>
      <c r="I222">
        <v>0.36491228070175402</v>
      </c>
    </row>
    <row r="223" spans="1:9" x14ac:dyDescent="0.25">
      <c r="A223" s="1" t="s">
        <v>235</v>
      </c>
      <c r="B223" t="str">
        <f>HYPERLINK("https://www.suredividend.com/sure-analysis-research-database/","CarGurus Inc")</f>
        <v>CarGurus Inc</v>
      </c>
      <c r="C223">
        <v>7.9814921920185009E-2</v>
      </c>
      <c r="D223">
        <v>3.2061912658927001E-2</v>
      </c>
      <c r="E223">
        <v>0.20451612903225799</v>
      </c>
      <c r="F223">
        <v>0.33261955745895799</v>
      </c>
      <c r="G223">
        <v>0.31571529245947799</v>
      </c>
      <c r="H223">
        <v>-0.47776223776223697</v>
      </c>
      <c r="I223">
        <v>-0.58437221727515509</v>
      </c>
    </row>
    <row r="224" spans="1:9" x14ac:dyDescent="0.25">
      <c r="A224" s="1" t="s">
        <v>236</v>
      </c>
      <c r="B224" t="str">
        <f>HYPERLINK("https://www.suredividend.com/sure-analysis-research-database/","Cars.com")</f>
        <v>Cars.com</v>
      </c>
      <c r="C224">
        <v>6.7766647024160007E-2</v>
      </c>
      <c r="D224">
        <v>-0.122518159806295</v>
      </c>
      <c r="E224">
        <v>5.9029807130332998E-2</v>
      </c>
      <c r="F224">
        <v>0.315904139433551</v>
      </c>
      <c r="G224">
        <v>0.22020202020202001</v>
      </c>
      <c r="H224">
        <v>0.32650073206442098</v>
      </c>
      <c r="I224">
        <v>-0.31259484066767801</v>
      </c>
    </row>
    <row r="225" spans="1:9" x14ac:dyDescent="0.25">
      <c r="A225" s="1" t="s">
        <v>237</v>
      </c>
      <c r="B225" t="str">
        <f>HYPERLINK("https://www.suredividend.com/sure-analysis-research-database/","Casa Systems Inc")</f>
        <v>Casa Systems Inc</v>
      </c>
      <c r="C225">
        <v>-0.121794871794871</v>
      </c>
      <c r="D225">
        <v>-0.35377358490566002</v>
      </c>
      <c r="E225">
        <v>-0.44758064516128998</v>
      </c>
      <c r="F225">
        <v>-0.74908424908424909</v>
      </c>
      <c r="G225">
        <v>-0.73346303501945509</v>
      </c>
      <c r="H225">
        <v>-0.88209982788296004</v>
      </c>
      <c r="I225">
        <v>-0.95321038251366108</v>
      </c>
    </row>
    <row r="226" spans="1:9" x14ac:dyDescent="0.25">
      <c r="A226" s="1" t="s">
        <v>238</v>
      </c>
      <c r="B226" t="str">
        <f>HYPERLINK("https://www.suredividend.com/sure-analysis-research-database/","Pathward Financial Inc")</f>
        <v>Pathward Financial Inc</v>
      </c>
      <c r="C226">
        <v>5.4435046627629012E-2</v>
      </c>
      <c r="D226">
        <v>-5.2526142249694013E-2</v>
      </c>
      <c r="E226">
        <v>0.13785824280237899</v>
      </c>
      <c r="F226">
        <v>0.134044424126083</v>
      </c>
      <c r="G226">
        <v>0.16682865953897999</v>
      </c>
      <c r="H226">
        <v>-0.182813193314598</v>
      </c>
      <c r="I226">
        <v>1.0047087152464229</v>
      </c>
    </row>
    <row r="227" spans="1:9" x14ac:dyDescent="0.25">
      <c r="A227" s="1" t="s">
        <v>239</v>
      </c>
      <c r="B227" t="str">
        <f>HYPERLINK("https://www.suredividend.com/sure-analysis-CASS/","Cass Information Systems Inc")</f>
        <v>Cass Information Systems Inc</v>
      </c>
      <c r="C227">
        <v>7.9486479104069002E-2</v>
      </c>
      <c r="D227">
        <v>5.3422824516602997E-2</v>
      </c>
      <c r="E227">
        <v>0.12924610250079999</v>
      </c>
      <c r="F227">
        <v>-0.105712397831261</v>
      </c>
      <c r="G227">
        <v>-6.0012173466870008E-3</v>
      </c>
      <c r="H227">
        <v>-4.8653020743312E-2</v>
      </c>
      <c r="I227">
        <v>-0.30584707909514203</v>
      </c>
    </row>
    <row r="228" spans="1:9" x14ac:dyDescent="0.25">
      <c r="A228" s="1" t="s">
        <v>240</v>
      </c>
      <c r="B228" t="str">
        <f>HYPERLINK("https://www.suredividend.com/sure-analysis-CATC/","Cambridge Bancorp")</f>
        <v>Cambridge Bancorp</v>
      </c>
      <c r="C228">
        <v>-2.9055251954199999E-4</v>
      </c>
      <c r="D228">
        <v>-6.4439078636940011E-2</v>
      </c>
      <c r="E228">
        <v>0.32050669216061101</v>
      </c>
      <c r="F228">
        <v>-0.248447781769953</v>
      </c>
      <c r="G228">
        <v>-0.28437544757670202</v>
      </c>
      <c r="H228">
        <v>-0.30741712147802402</v>
      </c>
      <c r="I228">
        <v>-0.18514600294686101</v>
      </c>
    </row>
    <row r="229" spans="1:9" x14ac:dyDescent="0.25">
      <c r="A229" s="1" t="s">
        <v>241</v>
      </c>
      <c r="B229" t="str">
        <f>HYPERLINK("https://www.suredividend.com/sure-analysis-research-database/","Cato Corp.")</f>
        <v>Cato Corp.</v>
      </c>
      <c r="C229">
        <v>-3.3692722371967E-2</v>
      </c>
      <c r="D229">
        <v>-0.12606803749253401</v>
      </c>
      <c r="E229">
        <v>-8.9431307307409003E-2</v>
      </c>
      <c r="F229">
        <v>-0.181618956307355</v>
      </c>
      <c r="G229">
        <v>-0.34305164878459898</v>
      </c>
      <c r="H229">
        <v>-0.55617181164847806</v>
      </c>
      <c r="I229">
        <v>-0.5221465417272031</v>
      </c>
    </row>
    <row r="230" spans="1:9" x14ac:dyDescent="0.25">
      <c r="A230" s="1" t="s">
        <v>242</v>
      </c>
      <c r="B230" t="str">
        <f>HYPERLINK("https://www.suredividend.com/sure-analysis-research-database/","Cathay General Bancorp")</f>
        <v>Cathay General Bancorp</v>
      </c>
      <c r="C230">
        <v>0.10606060606060599</v>
      </c>
      <c r="D230">
        <v>-8.0913951995140003E-3</v>
      </c>
      <c r="E230">
        <v>0.34912812187450099</v>
      </c>
      <c r="F230">
        <v>-4.1022497205236E-2</v>
      </c>
      <c r="G230">
        <v>-0.116214368460033</v>
      </c>
      <c r="H230">
        <v>-7.3790740892773002E-2</v>
      </c>
      <c r="I230">
        <v>0.17563471011746801</v>
      </c>
    </row>
    <row r="231" spans="1:9" x14ac:dyDescent="0.25">
      <c r="A231" s="1" t="s">
        <v>243</v>
      </c>
      <c r="B231" t="str">
        <f>HYPERLINK("https://www.suredividend.com/sure-analysis-research-database/","Colony Bankcorp, Inc.")</f>
        <v>Colony Bankcorp, Inc.</v>
      </c>
      <c r="C231">
        <v>5.8943089430894012E-2</v>
      </c>
      <c r="D231">
        <v>-4.5918600924781013E-2</v>
      </c>
      <c r="E231">
        <v>0.21731816163928999</v>
      </c>
      <c r="F231">
        <v>-0.13429264564155299</v>
      </c>
      <c r="G231">
        <v>-0.19162768326079699</v>
      </c>
      <c r="H231">
        <v>-0.39960011754469799</v>
      </c>
      <c r="I231">
        <v>-0.29132037487927898</v>
      </c>
    </row>
    <row r="232" spans="1:9" x14ac:dyDescent="0.25">
      <c r="A232" s="1" t="s">
        <v>244</v>
      </c>
      <c r="B232" t="str">
        <f>HYPERLINK("https://www.suredividend.com/sure-analysis-research-database/","CBL&amp; Associates Properties, Inc.")</f>
        <v>CBL&amp; Associates Properties, Inc.</v>
      </c>
      <c r="C232">
        <v>1.7840375586854001E-2</v>
      </c>
      <c r="D232">
        <v>-7.607730406203001E-3</v>
      </c>
      <c r="E232">
        <v>1.5892375355730001E-3</v>
      </c>
      <c r="F232">
        <v>-1.3150408076872001E-2</v>
      </c>
      <c r="G232">
        <v>-0.15379601331756401</v>
      </c>
      <c r="H232">
        <v>-0.185182957996331</v>
      </c>
      <c r="I232">
        <v>-0.15802228444710201</v>
      </c>
    </row>
    <row r="233" spans="1:9" x14ac:dyDescent="0.25">
      <c r="A233" s="1" t="s">
        <v>245</v>
      </c>
      <c r="B233" t="str">
        <f>HYPERLINK("https://www.suredividend.com/sure-analysis-research-database/","Capital Bancorp Inc")</f>
        <v>Capital Bancorp Inc</v>
      </c>
      <c r="C233">
        <v>0.118022371125764</v>
      </c>
      <c r="D233">
        <v>5.7527688135387008E-2</v>
      </c>
      <c r="E233">
        <v>0.36040279356829602</v>
      </c>
      <c r="F233">
        <v>-9.0190217155171004E-2</v>
      </c>
      <c r="G233">
        <v>-9.7857087465641007E-2</v>
      </c>
      <c r="H233">
        <v>-0.19852105317548699</v>
      </c>
      <c r="I233">
        <v>0.84087912087912109</v>
      </c>
    </row>
    <row r="234" spans="1:9" x14ac:dyDescent="0.25">
      <c r="A234" s="1" t="s">
        <v>246</v>
      </c>
      <c r="B234" t="str">
        <f>HYPERLINK("https://www.suredividend.com/sure-analysis-CBRL/","Cracker Barrel Old Country Store Inc")</f>
        <v>Cracker Barrel Old Country Store Inc</v>
      </c>
      <c r="C234">
        <v>6.6556941781114001E-2</v>
      </c>
      <c r="D234">
        <v>-0.21313060382403101</v>
      </c>
      <c r="E234">
        <v>-0.288639145662759</v>
      </c>
      <c r="F234">
        <v>-0.20920995826737601</v>
      </c>
      <c r="G234">
        <v>-0.32753381421175798</v>
      </c>
      <c r="H234">
        <v>-0.44704637919625712</v>
      </c>
      <c r="I234">
        <v>-0.48093421262427799</v>
      </c>
    </row>
    <row r="235" spans="1:9" x14ac:dyDescent="0.25">
      <c r="A235" s="1" t="s">
        <v>247</v>
      </c>
      <c r="B235" t="str">
        <f>HYPERLINK("https://www.suredividend.com/sure-analysis-research-database/","Cabot Corp.")</f>
        <v>Cabot Corp.</v>
      </c>
      <c r="C235">
        <v>-3.8145539906099999E-3</v>
      </c>
      <c r="D235">
        <v>-1.4241953514031E-2</v>
      </c>
      <c r="E235">
        <v>-4.5564631993760003E-3</v>
      </c>
      <c r="F235">
        <v>3.2525307514625013E-2</v>
      </c>
      <c r="G235">
        <v>-8.0076682856775008E-2</v>
      </c>
      <c r="H235">
        <v>0.26539816247041498</v>
      </c>
      <c r="I235">
        <v>0.49078741678815402</v>
      </c>
    </row>
    <row r="236" spans="1:9" x14ac:dyDescent="0.25">
      <c r="A236" s="1" t="s">
        <v>248</v>
      </c>
      <c r="B236" t="str">
        <f>HYPERLINK("https://www.suredividend.com/sure-analysis-CBU/","Community Bank System, Inc.")</f>
        <v>Community Bank System, Inc.</v>
      </c>
      <c r="C236">
        <v>4.1617122473245997E-2</v>
      </c>
      <c r="D236">
        <v>-0.17843832003766399</v>
      </c>
      <c r="E236">
        <v>-5.6936896590331007E-2</v>
      </c>
      <c r="F236">
        <v>-0.28488511630412899</v>
      </c>
      <c r="G236">
        <v>-0.288110469652051</v>
      </c>
      <c r="H236">
        <v>-0.36814589770887901</v>
      </c>
      <c r="I236">
        <v>-0.170457687660274</v>
      </c>
    </row>
    <row r="237" spans="1:9" x14ac:dyDescent="0.25">
      <c r="A237" s="1" t="s">
        <v>249</v>
      </c>
      <c r="B237" t="str">
        <f>HYPERLINK("https://www.suredividend.com/sure-analysis-research-database/","Cbiz Inc")</f>
        <v>Cbiz Inc</v>
      </c>
      <c r="C237">
        <v>4.6955525863714001E-2</v>
      </c>
      <c r="D237">
        <v>5.6839017235050006E-3</v>
      </c>
      <c r="E237">
        <v>0.106962663975782</v>
      </c>
      <c r="F237">
        <v>0.17075773745997799</v>
      </c>
      <c r="G237">
        <v>0.182621819749892</v>
      </c>
      <c r="H237">
        <v>0.37883358471593698</v>
      </c>
      <c r="I237">
        <v>1.480777928539122</v>
      </c>
    </row>
    <row r="238" spans="1:9" x14ac:dyDescent="0.25">
      <c r="A238" s="1" t="s">
        <v>250</v>
      </c>
      <c r="B238" t="str">
        <f>HYPERLINK("https://www.suredividend.com/sure-analysis-research-database/","Coastal Financial Corp")</f>
        <v>Coastal Financial Corp</v>
      </c>
      <c r="C238">
        <v>-3.3898305084744999E-2</v>
      </c>
      <c r="D238">
        <v>-0.105239885032058</v>
      </c>
      <c r="E238">
        <v>0.19662921348314599</v>
      </c>
      <c r="F238">
        <v>-0.148358585858585</v>
      </c>
      <c r="G238">
        <v>-0.171375921375921</v>
      </c>
      <c r="H238">
        <v>4.0627410645410013E-2</v>
      </c>
      <c r="I238">
        <v>1.5793499043977051</v>
      </c>
    </row>
    <row r="239" spans="1:9" x14ac:dyDescent="0.25">
      <c r="A239" s="1" t="s">
        <v>251</v>
      </c>
      <c r="B239" t="str">
        <f>HYPERLINK("https://www.suredividend.com/sure-analysis-research-database/","Capital City Bank Group, Inc.")</f>
        <v>Capital City Bank Group, Inc.</v>
      </c>
      <c r="C239">
        <v>-9.6989966555180007E-3</v>
      </c>
      <c r="D239">
        <v>-5.8379815428451012E-2</v>
      </c>
      <c r="E239">
        <v>4.3266859277006013E-2</v>
      </c>
      <c r="F239">
        <v>-6.0894386298763002E-2</v>
      </c>
      <c r="G239">
        <v>-0.131669007827002</v>
      </c>
      <c r="H239">
        <v>0.13303715948617201</v>
      </c>
      <c r="I239">
        <v>0.38574938574938511</v>
      </c>
    </row>
    <row r="240" spans="1:9" x14ac:dyDescent="0.25">
      <c r="A240" s="1" t="s">
        <v>252</v>
      </c>
      <c r="B240" t="str">
        <f>HYPERLINK("https://www.suredividend.com/sure-analysis-research-database/","C4 Therapeutics Inc")</f>
        <v>C4 Therapeutics Inc</v>
      </c>
      <c r="C240">
        <v>-1.8867924528301001E-2</v>
      </c>
      <c r="D240">
        <v>-0.57723577235772305</v>
      </c>
      <c r="E240">
        <v>-0.51702786377708909</v>
      </c>
      <c r="F240">
        <v>-0.73559322033898311</v>
      </c>
      <c r="G240">
        <v>-0.82491582491582405</v>
      </c>
      <c r="H240">
        <v>-0.96557051423526807</v>
      </c>
      <c r="I240">
        <v>-0.93879952922714804</v>
      </c>
    </row>
    <row r="241" spans="1:9" x14ac:dyDescent="0.25">
      <c r="A241" s="1" t="s">
        <v>253</v>
      </c>
      <c r="B241" t="str">
        <f>HYPERLINK("https://www.suredividend.com/sure-analysis-research-database/","Chase Corp.")</f>
        <v>Chase Corp.</v>
      </c>
      <c r="C241">
        <v>-3.9366978978000011E-4</v>
      </c>
      <c r="D241">
        <v>9.0605627086310005E-3</v>
      </c>
      <c r="E241">
        <v>0.14491838759130601</v>
      </c>
      <c r="F241">
        <v>0.47182935311847801</v>
      </c>
      <c r="G241">
        <v>0.33540473934047998</v>
      </c>
      <c r="H241">
        <v>0.29037372662493399</v>
      </c>
      <c r="I241">
        <v>0.24386688194629499</v>
      </c>
    </row>
    <row r="242" spans="1:9" x14ac:dyDescent="0.25">
      <c r="A242" s="1" t="s">
        <v>254</v>
      </c>
      <c r="B242" t="str">
        <f>HYPERLINK("https://www.suredividend.com/sure-analysis-research-database/","CNB Financial Corp (PA)")</f>
        <v>CNB Financial Corp (PA)</v>
      </c>
      <c r="C242">
        <v>0.115448968209704</v>
      </c>
      <c r="D242">
        <v>2.0777934864158999E-2</v>
      </c>
      <c r="E242">
        <v>0.200091206931726</v>
      </c>
      <c r="F242">
        <v>-0.119326813416175</v>
      </c>
      <c r="G242">
        <v>-0.17235671425615501</v>
      </c>
      <c r="H242">
        <v>-0.17413728315942001</v>
      </c>
      <c r="I242">
        <v>-7.700117682349901E-2</v>
      </c>
    </row>
    <row r="243" spans="1:9" x14ac:dyDescent="0.25">
      <c r="A243" s="1" t="s">
        <v>255</v>
      </c>
      <c r="B243" t="str">
        <f>HYPERLINK("https://www.suredividend.com/sure-analysis-research-database/","Clear Channel Outdoor Holdings Inc.")</f>
        <v>Clear Channel Outdoor Holdings Inc.</v>
      </c>
      <c r="C243">
        <v>-0.162962962962963</v>
      </c>
      <c r="D243">
        <v>-0.32738095238095211</v>
      </c>
      <c r="E243">
        <v>-9.6000000000000002E-2</v>
      </c>
      <c r="F243">
        <v>7.6190476190476003E-2</v>
      </c>
      <c r="G243">
        <v>-0.110236220472441</v>
      </c>
      <c r="H243">
        <v>-0.6446540880503141</v>
      </c>
      <c r="I243">
        <v>-0.74606741573033708</v>
      </c>
    </row>
    <row r="244" spans="1:9" x14ac:dyDescent="0.25">
      <c r="A244" s="1" t="s">
        <v>256</v>
      </c>
      <c r="B244" t="str">
        <f>HYPERLINK("https://www.suredividend.com/sure-analysis-CCOI/","Cogent Communications Holdings Inc")</f>
        <v>Cogent Communications Holdings Inc</v>
      </c>
      <c r="C244">
        <v>8.1619433198380012E-2</v>
      </c>
      <c r="D244">
        <v>0.16475766622952601</v>
      </c>
      <c r="E244">
        <v>-1.930686559313E-3</v>
      </c>
      <c r="F244">
        <v>0.23938110737096799</v>
      </c>
      <c r="G244">
        <v>0.334068379243741</v>
      </c>
      <c r="H244">
        <v>-1.8543200116381001E-2</v>
      </c>
      <c r="I244">
        <v>0.72626355306858204</v>
      </c>
    </row>
    <row r="245" spans="1:9" x14ac:dyDescent="0.25">
      <c r="A245" s="1" t="s">
        <v>257</v>
      </c>
      <c r="B245" t="str">
        <f>HYPERLINK("https://www.suredividend.com/sure-analysis-research-database/","Cross Country Healthcares, Inc.")</f>
        <v>Cross Country Healthcares, Inc.</v>
      </c>
      <c r="C245">
        <v>-0.24187866927592899</v>
      </c>
      <c r="D245">
        <v>-9.485981308411201E-2</v>
      </c>
      <c r="E245">
        <v>-0.13757791629563601</v>
      </c>
      <c r="F245">
        <v>-0.27098231087692798</v>
      </c>
      <c r="G245">
        <v>-0.40399999999999903</v>
      </c>
      <c r="H245">
        <v>-0.26988315114964101</v>
      </c>
      <c r="I245">
        <v>1.0346638655462179</v>
      </c>
    </row>
    <row r="246" spans="1:9" x14ac:dyDescent="0.25">
      <c r="A246" s="1" t="s">
        <v>258</v>
      </c>
      <c r="B246" t="str">
        <f>HYPERLINK("https://www.suredividend.com/sure-analysis-research-database/","Century Communities Inc")</f>
        <v>Century Communities Inc</v>
      </c>
      <c r="C246">
        <v>0.10980454473224199</v>
      </c>
      <c r="D246">
        <v>-7.881026182153901E-2</v>
      </c>
      <c r="E246">
        <v>9.2219344668393002E-2</v>
      </c>
      <c r="F246">
        <v>0.41146227006139702</v>
      </c>
      <c r="G246">
        <v>0.63337854904345303</v>
      </c>
      <c r="H246">
        <v>5.7233511759149001E-2</v>
      </c>
      <c r="I246">
        <v>2.3787935230114998</v>
      </c>
    </row>
    <row r="247" spans="1:9" x14ac:dyDescent="0.25">
      <c r="A247" s="1" t="s">
        <v>259</v>
      </c>
      <c r="B247" t="str">
        <f>HYPERLINK("https://www.suredividend.com/sure-analysis-research-database/","Consensus Cloud Solutions Inc")</f>
        <v>Consensus Cloud Solutions Inc</v>
      </c>
      <c r="C247">
        <v>-5.3344623200676997E-2</v>
      </c>
      <c r="D247">
        <v>-0.26664480157428599</v>
      </c>
      <c r="E247">
        <v>-0.38486932599724899</v>
      </c>
      <c r="F247">
        <v>-0.58407738095238004</v>
      </c>
      <c r="G247">
        <v>-0.6027007818052591</v>
      </c>
      <c r="H247">
        <v>-0.65203859321506308</v>
      </c>
      <c r="I247">
        <v>-0.65536374845869205</v>
      </c>
    </row>
    <row r="248" spans="1:9" x14ac:dyDescent="0.25">
      <c r="A248" s="1" t="s">
        <v>260</v>
      </c>
      <c r="B248" t="str">
        <f>HYPERLINK("https://www.suredividend.com/sure-analysis-research-database/","Coeur Mining Inc")</f>
        <v>Coeur Mining Inc</v>
      </c>
      <c r="C248">
        <v>0.17808219178082099</v>
      </c>
      <c r="D248">
        <v>-6.5217391304347005E-2</v>
      </c>
      <c r="E248">
        <v>-0.28531855955678598</v>
      </c>
      <c r="F248">
        <v>-0.23214285714285701</v>
      </c>
      <c r="G248">
        <v>-0.35338345864661602</v>
      </c>
      <c r="H248">
        <v>-0.61946902654867209</v>
      </c>
      <c r="I248">
        <v>-0.5</v>
      </c>
    </row>
    <row r="249" spans="1:9" x14ac:dyDescent="0.25">
      <c r="A249" s="1" t="s">
        <v>261</v>
      </c>
      <c r="B249" t="str">
        <f>HYPERLINK("https://www.suredividend.com/sure-analysis-research-database/","Cardlytics Inc")</f>
        <v>Cardlytics Inc</v>
      </c>
      <c r="C249">
        <v>6.3650306748466001E-2</v>
      </c>
      <c r="D249">
        <v>-1.9094766619519001E-2</v>
      </c>
      <c r="E249">
        <v>0.6731001206272611</v>
      </c>
      <c r="F249">
        <v>1.3996539792387539</v>
      </c>
      <c r="G249">
        <v>2.0152173913043478</v>
      </c>
      <c r="H249">
        <v>-0.85044209618287603</v>
      </c>
      <c r="I249">
        <v>-0.34729411764705798</v>
      </c>
    </row>
    <row r="250" spans="1:9" x14ac:dyDescent="0.25">
      <c r="A250" s="1" t="s">
        <v>262</v>
      </c>
      <c r="B250" t="str">
        <f>HYPERLINK("https://www.suredividend.com/sure-analysis-research-database/","Avid Bioservices Inc")</f>
        <v>Avid Bioservices Inc</v>
      </c>
      <c r="C250">
        <v>-0.31540084388185602</v>
      </c>
      <c r="D250">
        <v>-0.47576736672051712</v>
      </c>
      <c r="E250">
        <v>-0.648619382782891</v>
      </c>
      <c r="F250">
        <v>-0.52868554829339109</v>
      </c>
      <c r="G250">
        <v>-0.52627737226277305</v>
      </c>
      <c r="H250">
        <v>-0.80380894800483604</v>
      </c>
      <c r="I250">
        <v>0.245681381957773</v>
      </c>
    </row>
    <row r="251" spans="1:9" x14ac:dyDescent="0.25">
      <c r="A251" s="1" t="s">
        <v>263</v>
      </c>
      <c r="B251" t="str">
        <f>HYPERLINK("https://www.suredividend.com/sure-analysis-research-database/","Caredx Inc")</f>
        <v>Caredx Inc</v>
      </c>
      <c r="C251">
        <v>-5.9612518628912002E-2</v>
      </c>
      <c r="D251">
        <v>-0.43153153153153101</v>
      </c>
      <c r="E251">
        <v>-0.26713124274099798</v>
      </c>
      <c r="F251">
        <v>-0.44697633654688801</v>
      </c>
      <c r="G251">
        <v>-0.60611735330836403</v>
      </c>
      <c r="H251">
        <v>-0.86889673800124612</v>
      </c>
      <c r="I251">
        <v>-0.77012750455373402</v>
      </c>
    </row>
    <row r="252" spans="1:9" x14ac:dyDescent="0.25">
      <c r="A252" s="1" t="s">
        <v>264</v>
      </c>
      <c r="B252" t="str">
        <f>HYPERLINK("https://www.suredividend.com/sure-analysis-research-database/","Cadre Holdings Inc")</f>
        <v>Cadre Holdings Inc</v>
      </c>
      <c r="C252">
        <v>6.9354760311234012E-2</v>
      </c>
      <c r="D252">
        <v>0.230901656982999</v>
      </c>
      <c r="E252">
        <v>0.41691479189683212</v>
      </c>
      <c r="F252">
        <v>0.43937030065727811</v>
      </c>
      <c r="G252">
        <v>-3.3705435575857E-2</v>
      </c>
      <c r="H252">
        <v>0.92826321467098105</v>
      </c>
      <c r="I252">
        <v>0.92826321467098105</v>
      </c>
    </row>
    <row r="253" spans="1:9" x14ac:dyDescent="0.25">
      <c r="A253" s="1" t="s">
        <v>265</v>
      </c>
      <c r="B253" t="str">
        <f>HYPERLINK("https://www.suredividend.com/sure-analysis-research-database/","Codexis Inc.")</f>
        <v>Codexis Inc.</v>
      </c>
      <c r="C253">
        <v>-4.4554455445543997E-2</v>
      </c>
      <c r="D253">
        <v>-0.33217993079584701</v>
      </c>
      <c r="E253">
        <v>-0.51139240506329109</v>
      </c>
      <c r="F253">
        <v>-0.58583690987124404</v>
      </c>
      <c r="G253">
        <v>-0.69558359621451105</v>
      </c>
      <c r="H253">
        <v>-0.94479405034324904</v>
      </c>
      <c r="I253">
        <v>-0.88004972032318207</v>
      </c>
    </row>
    <row r="254" spans="1:9" x14ac:dyDescent="0.25">
      <c r="A254" s="1" t="s">
        <v>266</v>
      </c>
      <c r="B254" t="str">
        <f>HYPERLINK("https://www.suredividend.com/sure-analysis-research-database/","Consol Energy Inc")</f>
        <v>Consol Energy Inc</v>
      </c>
      <c r="C254">
        <v>1.3307400962219999E-3</v>
      </c>
      <c r="D254">
        <v>0.36562892642747402</v>
      </c>
      <c r="E254">
        <v>0.62281967822316009</v>
      </c>
      <c r="F254">
        <v>0.56324160888276609</v>
      </c>
      <c r="G254">
        <v>0.57743916893370406</v>
      </c>
      <c r="H254">
        <v>3.5453700605925418</v>
      </c>
      <c r="I254">
        <v>1.7935800776787749</v>
      </c>
    </row>
    <row r="255" spans="1:9" x14ac:dyDescent="0.25">
      <c r="A255" s="1" t="s">
        <v>267</v>
      </c>
      <c r="B255" t="str">
        <f>HYPERLINK("https://www.suredividend.com/sure-analysis-research-database/","Celsius Holdings Inc")</f>
        <v>Celsius Holdings Inc</v>
      </c>
      <c r="C255">
        <v>0.114552072026052</v>
      </c>
      <c r="D255">
        <v>0.22396746371222201</v>
      </c>
      <c r="E255">
        <v>0.74480207916833208</v>
      </c>
      <c r="F255">
        <v>0.67772010765090307</v>
      </c>
      <c r="G255">
        <v>1.024002782931354</v>
      </c>
      <c r="H255">
        <v>0.67917267917267909</v>
      </c>
      <c r="I255">
        <v>42.746867167919802</v>
      </c>
    </row>
    <row r="256" spans="1:9" x14ac:dyDescent="0.25">
      <c r="A256" s="1" t="s">
        <v>268</v>
      </c>
      <c r="B256" t="str">
        <f>HYPERLINK("https://www.suredividend.com/sure-analysis-research-database/","PhenomeX Inc")</f>
        <v>PhenomeX Inc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 s="1" t="s">
        <v>269</v>
      </c>
      <c r="B257" t="str">
        <f>HYPERLINK("https://www.suredividend.com/sure-analysis-research-database/","Celularity Inc")</f>
        <v>Celularity Inc</v>
      </c>
      <c r="C257">
        <v>3.3568904593639003E-2</v>
      </c>
      <c r="D257">
        <v>-0.35376967688483801</v>
      </c>
      <c r="E257">
        <v>-0.53479125248508907</v>
      </c>
      <c r="F257">
        <v>-0.81860465116279002</v>
      </c>
      <c r="G257">
        <v>-0.89506726457399111</v>
      </c>
      <c r="H257">
        <v>-0.96713483146067403</v>
      </c>
      <c r="I257">
        <v>-0.97612244897959211</v>
      </c>
    </row>
    <row r="258" spans="1:9" x14ac:dyDescent="0.25">
      <c r="A258" s="1" t="s">
        <v>270</v>
      </c>
      <c r="B258" t="str">
        <f>HYPERLINK("https://www.suredividend.com/sure-analysis-research-database/","Cenntro Electric Group Limited")</f>
        <v>Cenntro Electric Group Limited</v>
      </c>
      <c r="C258">
        <v>-0.16985951468710001</v>
      </c>
      <c r="D258">
        <v>-0.46325350949628402</v>
      </c>
      <c r="E258">
        <v>-0.48778565799842311</v>
      </c>
      <c r="F258">
        <v>-0.55681818181818099</v>
      </c>
      <c r="G258">
        <v>-0.81067961165048508</v>
      </c>
      <c r="H258">
        <v>-0.98115942028985503</v>
      </c>
      <c r="I258">
        <v>-0.99990714285714211</v>
      </c>
    </row>
    <row r="259" spans="1:9" x14ac:dyDescent="0.25">
      <c r="A259" s="1" t="s">
        <v>271</v>
      </c>
      <c r="B259" t="str">
        <f>HYPERLINK("https://www.suredividend.com/sure-analysis-research-database/","Central Garden &amp; Pet Co.")</f>
        <v>Central Garden &amp; Pet Co.</v>
      </c>
      <c r="C259">
        <v>2.1407424276930001E-2</v>
      </c>
      <c r="D259">
        <v>-2.0742358078601999E-2</v>
      </c>
      <c r="E259">
        <v>0.158316115702479</v>
      </c>
      <c r="F259">
        <v>0.197596795727636</v>
      </c>
      <c r="G259">
        <v>6.7348881485007006E-2</v>
      </c>
      <c r="H259">
        <v>-0.163870246085011</v>
      </c>
      <c r="I259">
        <v>0.38255240443896399</v>
      </c>
    </row>
    <row r="260" spans="1:9" x14ac:dyDescent="0.25">
      <c r="A260" s="1" t="s">
        <v>272</v>
      </c>
      <c r="B260" t="str">
        <f>HYPERLINK("https://www.suredividend.com/sure-analysis-research-database/","Central Garden &amp; Pet Co.")</f>
        <v>Central Garden &amp; Pet Co.</v>
      </c>
      <c r="C260">
        <v>2.2121669180492E-2</v>
      </c>
      <c r="D260">
        <v>-4.3294117647057997E-2</v>
      </c>
      <c r="E260">
        <v>9.3010752688171008E-2</v>
      </c>
      <c r="F260">
        <v>0.13575418994413399</v>
      </c>
      <c r="G260">
        <v>1.8027040560841E-2</v>
      </c>
      <c r="H260">
        <v>-0.15800372747980901</v>
      </c>
      <c r="I260">
        <v>0.37783802100982611</v>
      </c>
    </row>
    <row r="261" spans="1:9" x14ac:dyDescent="0.25">
      <c r="A261" s="1" t="s">
        <v>273</v>
      </c>
      <c r="B261" t="str">
        <f>HYPERLINK("https://www.suredividend.com/sure-analysis-research-database/","Century Aluminum Co.")</f>
        <v>Century Aluminum Co.</v>
      </c>
      <c r="C261">
        <v>5.5299539170506007E-2</v>
      </c>
      <c r="D261">
        <v>-0.24130314743235701</v>
      </c>
      <c r="E261">
        <v>-0.133669609079445</v>
      </c>
      <c r="F261">
        <v>-0.16014669926650299</v>
      </c>
      <c r="G261">
        <v>-5.6318681318681008E-2</v>
      </c>
      <c r="H261">
        <v>-0.47235023041474611</v>
      </c>
      <c r="I261">
        <v>-0.29393627954779</v>
      </c>
    </row>
    <row r="262" spans="1:9" x14ac:dyDescent="0.25">
      <c r="A262" s="1" t="s">
        <v>274</v>
      </c>
      <c r="B262" t="str">
        <f>HYPERLINK("https://www.suredividend.com/sure-analysis-research-database/","Cerevel Therapeutics Holdings Inc")</f>
        <v>Cerevel Therapeutics Holdings Inc</v>
      </c>
      <c r="C262">
        <v>0.29469548133595203</v>
      </c>
      <c r="D262">
        <v>0.173119715175789</v>
      </c>
      <c r="E262">
        <v>-0.16077682266793999</v>
      </c>
      <c r="F262">
        <v>-0.16423589093214899</v>
      </c>
      <c r="G262">
        <v>-5.8235083958556012E-2</v>
      </c>
      <c r="H262">
        <v>-0.40949820788530411</v>
      </c>
      <c r="I262">
        <v>1.6680161943319829</v>
      </c>
    </row>
    <row r="263" spans="1:9" x14ac:dyDescent="0.25">
      <c r="A263" s="1" t="s">
        <v>275</v>
      </c>
      <c r="B263" t="str">
        <f>HYPERLINK("https://www.suredividend.com/sure-analysis-research-database/","Cerus Corp.")</f>
        <v>Cerus Corp.</v>
      </c>
      <c r="C263">
        <v>0.13071895424836599</v>
      </c>
      <c r="D263">
        <v>-0.28806584362139898</v>
      </c>
      <c r="E263">
        <v>-0.25108225108225102</v>
      </c>
      <c r="F263">
        <v>-0.52602739726027403</v>
      </c>
      <c r="G263">
        <v>-0.53989361702127603</v>
      </c>
      <c r="H263">
        <v>-0.78184110970996201</v>
      </c>
      <c r="I263">
        <v>-0.72841444270015709</v>
      </c>
    </row>
    <row r="264" spans="1:9" x14ac:dyDescent="0.25">
      <c r="A264" s="1" t="s">
        <v>276</v>
      </c>
      <c r="B264" t="str">
        <f>HYPERLINK("https://www.suredividend.com/sure-analysis-research-database/","Ceva Inc.")</f>
        <v>Ceva Inc.</v>
      </c>
      <c r="C264">
        <v>4.5625335480407002E-2</v>
      </c>
      <c r="D264">
        <v>-0.23547880690737799</v>
      </c>
      <c r="E264">
        <v>-0.20845184884193399</v>
      </c>
      <c r="F264">
        <v>-0.238467552775605</v>
      </c>
      <c r="G264">
        <v>-0.31141746200070602</v>
      </c>
      <c r="H264">
        <v>-0.595094574932446</v>
      </c>
      <c r="I264">
        <v>-0.26240060583112401</v>
      </c>
    </row>
    <row r="265" spans="1:9" x14ac:dyDescent="0.25">
      <c r="A265" s="1" t="s">
        <v>277</v>
      </c>
      <c r="B265" t="str">
        <f>HYPERLINK("https://www.suredividend.com/sure-analysis-research-database/","Crossfirst Bankshares Inc")</f>
        <v>Crossfirst Bankshares Inc</v>
      </c>
      <c r="C265">
        <v>0.162324649298597</v>
      </c>
      <c r="D265">
        <v>-9.3936806148590003E-3</v>
      </c>
      <c r="E265">
        <v>0.197110423116615</v>
      </c>
      <c r="F265">
        <v>-6.5269943593875002E-2</v>
      </c>
      <c r="G265">
        <v>-0.131086142322097</v>
      </c>
      <c r="H265">
        <v>-0.22666666666666599</v>
      </c>
      <c r="I265">
        <v>-0.20547945205479401</v>
      </c>
    </row>
    <row r="266" spans="1:9" x14ac:dyDescent="0.25">
      <c r="A266" s="1" t="s">
        <v>278</v>
      </c>
      <c r="B266" t="str">
        <f>HYPERLINK("https://www.suredividend.com/sure-analysis-research-database/","Capitol Federal Financial")</f>
        <v>Capitol Federal Financial</v>
      </c>
      <c r="C266">
        <v>0.248645231213872</v>
      </c>
      <c r="D266">
        <v>-0.103640548513631</v>
      </c>
      <c r="E266">
        <v>5.9671176177518007E-2</v>
      </c>
      <c r="F266">
        <v>-0.30396475770925102</v>
      </c>
      <c r="G266">
        <v>-0.21986315863722899</v>
      </c>
      <c r="H266">
        <v>-0.44985525124603298</v>
      </c>
      <c r="I266">
        <v>-0.34371365502836299</v>
      </c>
    </row>
    <row r="267" spans="1:9" x14ac:dyDescent="0.25">
      <c r="A267" s="1" t="s">
        <v>279</v>
      </c>
      <c r="B267" t="str">
        <f>HYPERLINK("https://www.suredividend.com/sure-analysis-research-database/","Cullinan Oncology Inc")</f>
        <v>Cullinan Oncology Inc</v>
      </c>
      <c r="C267">
        <v>0.22167487684729001</v>
      </c>
      <c r="D267">
        <v>-4.0160642570280002E-3</v>
      </c>
      <c r="E267">
        <v>3.3333333333333E-2</v>
      </c>
      <c r="F267">
        <v>-5.9715639810425998E-2</v>
      </c>
      <c r="G267">
        <v>-0.202572347266881</v>
      </c>
      <c r="H267">
        <v>-0.56338028169014009</v>
      </c>
      <c r="I267">
        <v>-0.66833834837846806</v>
      </c>
    </row>
    <row r="268" spans="1:9" x14ac:dyDescent="0.25">
      <c r="A268" s="1" t="s">
        <v>280</v>
      </c>
      <c r="B268" t="str">
        <f>HYPERLINK("https://www.suredividend.com/sure-analysis-CHCO/","City Holding Co.")</f>
        <v>City Holding Co.</v>
      </c>
      <c r="C268">
        <v>8.0519978637124012E-2</v>
      </c>
      <c r="D268">
        <v>1.1350164470937001E-2</v>
      </c>
      <c r="E268">
        <v>0.112882147721295</v>
      </c>
      <c r="F268">
        <v>9.5907451175519007E-2</v>
      </c>
      <c r="G268">
        <v>1.9263030022559999E-2</v>
      </c>
      <c r="H268">
        <v>0.31075833544106002</v>
      </c>
      <c r="I268">
        <v>0.54425450002549502</v>
      </c>
    </row>
    <row r="269" spans="1:9" x14ac:dyDescent="0.25">
      <c r="A269" s="1" t="s">
        <v>281</v>
      </c>
      <c r="B269" t="str">
        <f>HYPERLINK("https://www.suredividend.com/sure-analysis-CHCT/","Community Healthcare Trust Inc")</f>
        <v>Community Healthcare Trust Inc</v>
      </c>
      <c r="C269">
        <v>-1.8271257905831999E-2</v>
      </c>
      <c r="D269">
        <v>-0.223593423052661</v>
      </c>
      <c r="E269">
        <v>-0.211362699770239</v>
      </c>
      <c r="F269">
        <v>-0.190689159753441</v>
      </c>
      <c r="G269">
        <v>-0.16844743123470901</v>
      </c>
      <c r="H269">
        <v>-0.34127388294762201</v>
      </c>
      <c r="I269">
        <v>0.19222366354884901</v>
      </c>
    </row>
    <row r="270" spans="1:9" x14ac:dyDescent="0.25">
      <c r="A270" s="1" t="s">
        <v>282</v>
      </c>
      <c r="B270" t="str">
        <f>HYPERLINK("https://www.suredividend.com/sure-analysis-research-database/","Chefs` Warehouse Inc")</f>
        <v>Chefs` Warehouse Inc</v>
      </c>
      <c r="C270">
        <v>0.193193193193193</v>
      </c>
      <c r="D270">
        <v>-0.20053655264922801</v>
      </c>
      <c r="E270">
        <v>-0.29923574368018802</v>
      </c>
      <c r="F270">
        <v>-0.28365384615384598</v>
      </c>
      <c r="G270">
        <v>-0.36646292851448298</v>
      </c>
      <c r="H270">
        <v>-0.33277357962496501</v>
      </c>
      <c r="I270">
        <v>-0.31885714285714201</v>
      </c>
    </row>
    <row r="271" spans="1:9" x14ac:dyDescent="0.25">
      <c r="A271" s="1" t="s">
        <v>283</v>
      </c>
      <c r="B271" t="str">
        <f>HYPERLINK("https://www.suredividend.com/sure-analysis-research-database/","Chegg Inc")</f>
        <v>Chegg Inc</v>
      </c>
      <c r="C271">
        <v>-1.4167650531286E-2</v>
      </c>
      <c r="D271">
        <v>-0.20400381315538599</v>
      </c>
      <c r="E271">
        <v>-0.115466101694915</v>
      </c>
      <c r="F271">
        <v>-0.66956865848832603</v>
      </c>
      <c r="G271">
        <v>-0.67748165314793307</v>
      </c>
      <c r="H271">
        <v>-0.73601011697755303</v>
      </c>
      <c r="I271">
        <v>-0.6875</v>
      </c>
    </row>
    <row r="272" spans="1:9" x14ac:dyDescent="0.25">
      <c r="A272" s="1" t="s">
        <v>284</v>
      </c>
      <c r="B272" t="str">
        <f>HYPERLINK("https://www.suredividend.com/sure-analysis-research-database/","Chord Energy Corp")</f>
        <v>Chord Energy Corp</v>
      </c>
      <c r="C272">
        <v>0.120398074671523</v>
      </c>
      <c r="D272">
        <v>9.3750793723362008E-2</v>
      </c>
      <c r="E272">
        <v>0.32704058009200299</v>
      </c>
      <c r="F272">
        <v>0.31048287394790403</v>
      </c>
      <c r="G272">
        <v>0.14948204906102799</v>
      </c>
      <c r="H272">
        <v>0.69200333194502206</v>
      </c>
      <c r="I272">
        <v>5.6530965384585672</v>
      </c>
    </row>
    <row r="273" spans="1:9" x14ac:dyDescent="0.25">
      <c r="A273" s="1" t="s">
        <v>285</v>
      </c>
      <c r="B273" t="str">
        <f>HYPERLINK("https://www.suredividend.com/sure-analysis-research-database/","Coherus Biosciences Inc")</f>
        <v>Coherus Biosciences Inc</v>
      </c>
      <c r="C273">
        <v>0.13880126182965299</v>
      </c>
      <c r="D273">
        <v>-0.28796844181459502</v>
      </c>
      <c r="E273">
        <v>-0.50683060109289602</v>
      </c>
      <c r="F273">
        <v>-0.544191919191919</v>
      </c>
      <c r="G273">
        <v>-0.53539253539253506</v>
      </c>
      <c r="H273">
        <v>-0.79569892473118209</v>
      </c>
      <c r="I273">
        <v>-0.70650406504065011</v>
      </c>
    </row>
    <row r="274" spans="1:9" x14ac:dyDescent="0.25">
      <c r="A274" s="1" t="s">
        <v>286</v>
      </c>
      <c r="B274" t="str">
        <f>HYPERLINK("https://www.suredividend.com/sure-analysis-research-database/","Chico`s Fas, Inc.")</f>
        <v>Chico`s Fas, Inc.</v>
      </c>
      <c r="C274">
        <v>2.6773761713519998E-3</v>
      </c>
      <c r="D274">
        <v>0.23393739703459601</v>
      </c>
      <c r="E274">
        <v>0.525458248472505</v>
      </c>
      <c r="F274">
        <v>0.52235772357723509</v>
      </c>
      <c r="G274">
        <v>0.28034188034188001</v>
      </c>
      <c r="H274">
        <v>0.235973597359736</v>
      </c>
      <c r="I274">
        <v>0.105796202793279</v>
      </c>
    </row>
    <row r="275" spans="1:9" x14ac:dyDescent="0.25">
      <c r="A275" s="1" t="s">
        <v>287</v>
      </c>
      <c r="B275" t="str">
        <f>HYPERLINK("https://www.suredividend.com/sure-analysis-research-database/","Chuy`s Holdings Inc")</f>
        <v>Chuy`s Holdings Inc</v>
      </c>
      <c r="C275">
        <v>-2.2975301550832002E-2</v>
      </c>
      <c r="D275">
        <v>-0.13895216400911101</v>
      </c>
      <c r="E275">
        <v>-2.5214899713466001E-2</v>
      </c>
      <c r="F275">
        <v>0.20212014134275599</v>
      </c>
      <c r="G275">
        <v>0.107421875</v>
      </c>
      <c r="H275">
        <v>0.10025873221216</v>
      </c>
      <c r="I275">
        <v>0.35645933014353998</v>
      </c>
    </row>
    <row r="276" spans="1:9" x14ac:dyDescent="0.25">
      <c r="A276" s="1" t="s">
        <v>288</v>
      </c>
      <c r="B276" t="str">
        <f>HYPERLINK("https://www.suredividend.com/sure-analysis-research-database/","ChampionX Corp.")</f>
        <v>ChampionX Corp.</v>
      </c>
      <c r="C276">
        <v>-6.3313875168388004E-2</v>
      </c>
      <c r="D276">
        <v>-0.123264180760566</v>
      </c>
      <c r="E276">
        <v>0.21260269725623901</v>
      </c>
      <c r="F276">
        <v>9.4151586677156007E-2</v>
      </c>
      <c r="G276">
        <v>5.2404992617357003E-2</v>
      </c>
      <c r="H276">
        <v>0.206231230941816</v>
      </c>
      <c r="I276">
        <v>-0.24602409638554201</v>
      </c>
    </row>
    <row r="277" spans="1:9" x14ac:dyDescent="0.25">
      <c r="A277" s="1" t="s">
        <v>289</v>
      </c>
      <c r="B277" t="str">
        <f>HYPERLINK("https://www.suredividend.com/sure-analysis-research-database/","Cipher Mining Inc")</f>
        <v>Cipher Mining Inc</v>
      </c>
      <c r="C277">
        <v>0.64658634538152504</v>
      </c>
      <c r="D277">
        <v>0.181556195965417</v>
      </c>
      <c r="E277">
        <v>0.72268907563025209</v>
      </c>
      <c r="F277">
        <v>6.3214285714285703</v>
      </c>
      <c r="G277">
        <v>3.4789163207341049</v>
      </c>
      <c r="H277">
        <v>-0.51821386603995301</v>
      </c>
      <c r="I277">
        <v>-0.58163265306122403</v>
      </c>
    </row>
    <row r="278" spans="1:9" x14ac:dyDescent="0.25">
      <c r="A278" s="1" t="s">
        <v>290</v>
      </c>
      <c r="B278" t="str">
        <f>HYPERLINK("https://www.suredividend.com/sure-analysis-CIM/","Chimera Investment Corp")</f>
        <v>Chimera Investment Corp</v>
      </c>
      <c r="C278">
        <v>-3.3663366336632999E-2</v>
      </c>
      <c r="D278">
        <v>-0.16210229906766699</v>
      </c>
      <c r="E278">
        <v>2.6331286279128001E-2</v>
      </c>
      <c r="F278">
        <v>-1.4201159525685E-2</v>
      </c>
      <c r="G278">
        <v>-9.9431608474200003E-2</v>
      </c>
      <c r="H278">
        <v>-0.60943440018567807</v>
      </c>
      <c r="I278">
        <v>-0.52058629937813705</v>
      </c>
    </row>
    <row r="279" spans="1:9" x14ac:dyDescent="0.25">
      <c r="A279" s="1" t="s">
        <v>291</v>
      </c>
      <c r="B279" t="str">
        <f>HYPERLINK("https://www.suredividend.com/sure-analysis-CIO/","City Office REIT Inc")</f>
        <v>City Office REIT Inc</v>
      </c>
      <c r="C279">
        <v>0.12410071942445999</v>
      </c>
      <c r="D279">
        <v>-0.17081260364842399</v>
      </c>
      <c r="E279">
        <v>-0.20450716879422001</v>
      </c>
      <c r="F279">
        <v>-0.44146559428060711</v>
      </c>
      <c r="G279">
        <v>-0.55167357616802204</v>
      </c>
      <c r="H279">
        <v>-0.7206373412562771</v>
      </c>
      <c r="I279">
        <v>-0.43900314158240711</v>
      </c>
    </row>
    <row r="280" spans="1:9" x14ac:dyDescent="0.25">
      <c r="A280" s="1" t="s">
        <v>292</v>
      </c>
      <c r="B280" t="str">
        <f>HYPERLINK("https://www.suredividend.com/sure-analysis-research-database/","Circor International Inc")</f>
        <v>Circor International Inc</v>
      </c>
      <c r="C280">
        <v>3.9440659734670007E-3</v>
      </c>
      <c r="D280">
        <v>-1.7853954650899999E-4</v>
      </c>
      <c r="E280">
        <v>0.90865712338104998</v>
      </c>
      <c r="F280">
        <v>1.337228714524207</v>
      </c>
      <c r="G280">
        <v>2.1981724728726442</v>
      </c>
      <c r="H280">
        <v>0.73374613003096001</v>
      </c>
      <c r="I280">
        <v>0.45152928978745399</v>
      </c>
    </row>
    <row r="281" spans="1:9" x14ac:dyDescent="0.25">
      <c r="A281" s="1" t="s">
        <v>293</v>
      </c>
      <c r="B281" t="str">
        <f>HYPERLINK("https://www.suredividend.com/sure-analysis-research-database/","CISO Global Inc")</f>
        <v>CISO Global Inc</v>
      </c>
      <c r="C281">
        <v>-0.188002926115581</v>
      </c>
      <c r="D281">
        <v>-0.44527736131933998</v>
      </c>
      <c r="E281">
        <v>-0.56943366951124907</v>
      </c>
      <c r="F281">
        <v>-0.95647058823529407</v>
      </c>
      <c r="G281">
        <v>-0.96626139817629109</v>
      </c>
      <c r="H281">
        <v>-0.97952029520295203</v>
      </c>
      <c r="I281">
        <v>-0.97952029520295203</v>
      </c>
    </row>
    <row r="282" spans="1:9" x14ac:dyDescent="0.25">
      <c r="A282" s="1" t="s">
        <v>294</v>
      </c>
      <c r="B282" t="str">
        <f>HYPERLINK("https://www.suredividend.com/sure-analysis-research-database/","Civista Bancshares Inc")</f>
        <v>Civista Bancshares Inc</v>
      </c>
      <c r="C282">
        <v>-4.4388078630310003E-2</v>
      </c>
      <c r="D282">
        <v>-0.16998050252806099</v>
      </c>
      <c r="E282">
        <v>6.6864889738416006E-2</v>
      </c>
      <c r="F282">
        <v>-0.28482277177446502</v>
      </c>
      <c r="G282">
        <v>-0.32959651230036902</v>
      </c>
      <c r="H282">
        <v>-0.34827077684220498</v>
      </c>
      <c r="I282">
        <v>-0.24886232797850699</v>
      </c>
    </row>
    <row r="283" spans="1:9" x14ac:dyDescent="0.25">
      <c r="A283" s="1" t="s">
        <v>295</v>
      </c>
      <c r="B283" t="str">
        <f>HYPERLINK("https://www.suredividend.com/sure-analysis-research-database/","Civitas Resources Inc")</f>
        <v>Civitas Resources Inc</v>
      </c>
      <c r="C283">
        <v>8.4707540521493013E-2</v>
      </c>
      <c r="D283">
        <v>3.3058960605230003E-2</v>
      </c>
      <c r="E283">
        <v>0.22759276332789899</v>
      </c>
      <c r="F283">
        <v>0.39050244909832299</v>
      </c>
      <c r="G283">
        <v>0.17198623951707301</v>
      </c>
      <c r="H283">
        <v>0.60494161858028506</v>
      </c>
      <c r="I283">
        <v>2.0754721505127121</v>
      </c>
    </row>
    <row r="284" spans="1:9" x14ac:dyDescent="0.25">
      <c r="A284" s="1" t="s">
        <v>296</v>
      </c>
      <c r="B284" t="str">
        <f>HYPERLINK("https://www.suredividend.com/sure-analysis-research-database/","Compx International, Inc.")</f>
        <v>Compx International, Inc.</v>
      </c>
      <c r="C284">
        <v>5.1585169263836002E-2</v>
      </c>
      <c r="D284">
        <v>-7.8755354705079009E-2</v>
      </c>
      <c r="E284">
        <v>9.7452922241787004E-2</v>
      </c>
      <c r="F284">
        <v>0.12671353150134401</v>
      </c>
      <c r="G284">
        <v>0.13589533743114601</v>
      </c>
      <c r="H284">
        <v>7.444232764726201E-2</v>
      </c>
      <c r="I284">
        <v>0.90303006729160995</v>
      </c>
    </row>
    <row r="285" spans="1:9" x14ac:dyDescent="0.25">
      <c r="A285" s="1" t="s">
        <v>297</v>
      </c>
      <c r="B285" t="str">
        <f>HYPERLINK("https://www.suredividend.com/sure-analysis-research-database/","Clarus Corp")</f>
        <v>Clarus Corp</v>
      </c>
      <c r="C285">
        <v>-0.126436781609195</v>
      </c>
      <c r="D285">
        <v>-0.28474795600258801</v>
      </c>
      <c r="E285">
        <v>-0.279706195948347</v>
      </c>
      <c r="F285">
        <v>-0.213403195549518</v>
      </c>
      <c r="G285">
        <v>-0.46754941369133601</v>
      </c>
      <c r="H285">
        <v>-0.78555077826021003</v>
      </c>
      <c r="I285">
        <v>-0.37790328851781302</v>
      </c>
    </row>
    <row r="286" spans="1:9" x14ac:dyDescent="0.25">
      <c r="A286" s="1" t="s">
        <v>298</v>
      </c>
      <c r="B286" t="str">
        <f>HYPERLINK("https://www.suredividend.com/sure-analysis-research-database/","Columbia Financial, Inc")</f>
        <v>Columbia Financial, Inc</v>
      </c>
      <c r="C286">
        <v>9.1318327974276012E-2</v>
      </c>
      <c r="D286">
        <v>-4.8233314638250001E-2</v>
      </c>
      <c r="E286">
        <v>0.12235449735449699</v>
      </c>
      <c r="F286">
        <v>-0.21507863089731699</v>
      </c>
      <c r="G286">
        <v>-0.213259156235512</v>
      </c>
      <c r="H286">
        <v>-0.11568525273580001</v>
      </c>
      <c r="I286">
        <v>8.9216944801026002E-2</v>
      </c>
    </row>
    <row r="287" spans="1:9" x14ac:dyDescent="0.25">
      <c r="A287" s="1" t="s">
        <v>299</v>
      </c>
      <c r="B287" t="str">
        <f>HYPERLINK("https://www.suredividend.com/sure-analysis-research-database/","Chatham Lodging Trust")</f>
        <v>Chatham Lodging Trust</v>
      </c>
      <c r="C287">
        <v>6.0950413223140001E-2</v>
      </c>
      <c r="D287">
        <v>0.106454497462803</v>
      </c>
      <c r="E287">
        <v>4.1444839929826012E-2</v>
      </c>
      <c r="F287">
        <v>-0.144551618438369</v>
      </c>
      <c r="G287">
        <v>-0.13391803002192601</v>
      </c>
      <c r="H287">
        <v>-0.20380807665769901</v>
      </c>
      <c r="I287">
        <v>-0.40671503835844303</v>
      </c>
    </row>
    <row r="288" spans="1:9" x14ac:dyDescent="0.25">
      <c r="A288" s="1" t="s">
        <v>300</v>
      </c>
      <c r="B288" t="str">
        <f>HYPERLINK("https://www.suredividend.com/sure-analysis-research-database/","Celldex Therapeutics Inc.")</f>
        <v>Celldex Therapeutics Inc.</v>
      </c>
      <c r="C288">
        <v>-1.9622641509432999E-2</v>
      </c>
      <c r="D288">
        <v>-0.22770511296076101</v>
      </c>
      <c r="E288">
        <v>-0.174976182915211</v>
      </c>
      <c r="F288">
        <v>-0.41709670181736502</v>
      </c>
      <c r="G288">
        <v>-0.224246043595103</v>
      </c>
      <c r="H288">
        <v>-0.44165054803352599</v>
      </c>
      <c r="I288">
        <v>4.0202898550724644</v>
      </c>
    </row>
    <row r="289" spans="1:9" x14ac:dyDescent="0.25">
      <c r="A289" s="1" t="s">
        <v>301</v>
      </c>
      <c r="B289" t="str">
        <f>HYPERLINK("https://www.suredividend.com/sure-analysis-research-database/","Clearfield Inc")</f>
        <v>Clearfield Inc</v>
      </c>
      <c r="C289">
        <v>-7.6977904490377003E-2</v>
      </c>
      <c r="D289">
        <v>-0.35875216637781598</v>
      </c>
      <c r="E289">
        <v>-0.38538205980066398</v>
      </c>
      <c r="F289">
        <v>-0.72487784151264001</v>
      </c>
      <c r="G289">
        <v>-0.7523900573613761</v>
      </c>
      <c r="H289">
        <v>-0.5762434554973821</v>
      </c>
      <c r="I289">
        <v>1.097165991902834</v>
      </c>
    </row>
    <row r="290" spans="1:9" x14ac:dyDescent="0.25">
      <c r="A290" s="1" t="s">
        <v>302</v>
      </c>
      <c r="B290" t="str">
        <f>HYPERLINK("https://www.suredividend.com/sure-analysis-research-database/","Clean Energy Fuels Corp")</f>
        <v>Clean Energy Fuels Corp</v>
      </c>
      <c r="C290">
        <v>9.9715099715099009E-2</v>
      </c>
      <c r="D290">
        <v>-0.16810344827586199</v>
      </c>
      <c r="E290">
        <v>-6.7632850241545001E-2</v>
      </c>
      <c r="F290">
        <v>-0.257692307692307</v>
      </c>
      <c r="G290">
        <v>-0.42729970326409411</v>
      </c>
      <c r="H290">
        <v>-0.58628081457663406</v>
      </c>
      <c r="I290">
        <v>0.67099567099567003</v>
      </c>
    </row>
    <row r="291" spans="1:9" x14ac:dyDescent="0.25">
      <c r="A291" s="1" t="s">
        <v>303</v>
      </c>
      <c r="B291" t="str">
        <f>HYPERLINK("https://www.suredividend.com/sure-analysis-research-database/","Clover Health Investments Corp")</f>
        <v>Clover Health Investments Corp</v>
      </c>
      <c r="C291">
        <v>3.8095238095238002E-2</v>
      </c>
      <c r="D291">
        <v>-0.174242424242424</v>
      </c>
      <c r="E291">
        <v>0.43647865050078999</v>
      </c>
      <c r="F291">
        <v>0.172673480365788</v>
      </c>
      <c r="G291">
        <v>-0.20437956204379501</v>
      </c>
      <c r="H291">
        <v>-0.85825747724317203</v>
      </c>
      <c r="I291">
        <v>-0.89313725490196005</v>
      </c>
    </row>
    <row r="292" spans="1:9" x14ac:dyDescent="0.25">
      <c r="A292" s="1" t="s">
        <v>304</v>
      </c>
      <c r="B292" t="str">
        <f>HYPERLINK("https://www.suredividend.com/sure-analysis-CLPR/","Clipper Realty Inc")</f>
        <v>Clipper Realty Inc</v>
      </c>
      <c r="C292">
        <v>2.0533880903490002E-3</v>
      </c>
      <c r="D292">
        <v>-0.244500178037867</v>
      </c>
      <c r="E292">
        <v>-5.3291171164180001E-2</v>
      </c>
      <c r="F292">
        <v>-0.198225581204304</v>
      </c>
      <c r="G292">
        <v>-0.237881059470264</v>
      </c>
      <c r="H292">
        <v>-0.41780699347418898</v>
      </c>
      <c r="I292">
        <v>-0.54921667159326004</v>
      </c>
    </row>
    <row r="293" spans="1:9" x14ac:dyDescent="0.25">
      <c r="A293" s="1" t="s">
        <v>305</v>
      </c>
      <c r="B293" t="str">
        <f>HYPERLINK("https://www.suredividend.com/sure-analysis-research-database/","Cleanspark Inc")</f>
        <v>Cleanspark Inc</v>
      </c>
      <c r="C293">
        <v>0.225895316804407</v>
      </c>
      <c r="D293">
        <v>-0.160377358490566</v>
      </c>
      <c r="E293">
        <v>0.115288220551378</v>
      </c>
      <c r="F293">
        <v>1.1813725490196081</v>
      </c>
      <c r="G293">
        <v>0.46864686468646799</v>
      </c>
      <c r="H293">
        <v>-0.79745106964041801</v>
      </c>
      <c r="I293">
        <v>-0.12745098039215599</v>
      </c>
    </row>
    <row r="294" spans="1:9" x14ac:dyDescent="0.25">
      <c r="A294" s="1" t="s">
        <v>306</v>
      </c>
      <c r="B294" t="str">
        <f>HYPERLINK("https://www.suredividend.com/sure-analysis-research-database/","Clearwater Paper Corp")</f>
        <v>Clearwater Paper Corp</v>
      </c>
      <c r="C294">
        <v>-2.2527472527472E-2</v>
      </c>
      <c r="D294">
        <v>-4.1981528127620002E-3</v>
      </c>
      <c r="E294">
        <v>0.121689785624211</v>
      </c>
      <c r="F294">
        <v>-5.8979106056598007E-2</v>
      </c>
      <c r="G294">
        <v>-8.8159917990774009E-2</v>
      </c>
      <c r="H294">
        <v>-8.979278587874101E-2</v>
      </c>
      <c r="I294">
        <v>0.35028462998102411</v>
      </c>
    </row>
    <row r="295" spans="1:9" x14ac:dyDescent="0.25">
      <c r="A295" s="1" t="s">
        <v>307</v>
      </c>
      <c r="B295" t="str">
        <f>HYPERLINK("https://www.suredividend.com/sure-analysis-research-database/","CareMax Inc")</f>
        <v>CareMax Inc</v>
      </c>
      <c r="C295">
        <v>-0.120535714285714</v>
      </c>
      <c r="D295">
        <v>-0.27306273062730602</v>
      </c>
      <c r="E295">
        <v>-0.18930041152263299</v>
      </c>
      <c r="F295">
        <v>-0.46027397260273911</v>
      </c>
      <c r="G295">
        <v>-0.67598684210526305</v>
      </c>
      <c r="H295">
        <v>-0.78817204301075205</v>
      </c>
      <c r="I295">
        <v>-0.80101010101010106</v>
      </c>
    </row>
    <row r="296" spans="1:9" x14ac:dyDescent="0.25">
      <c r="A296" s="1" t="s">
        <v>308</v>
      </c>
      <c r="B296" t="str">
        <f>HYPERLINK("https://www.suredividend.com/sure-analysis-research-database/","Cambium Networks Corp")</f>
        <v>Cambium Networks Corp</v>
      </c>
      <c r="C296">
        <v>-0.42297979797979701</v>
      </c>
      <c r="D296">
        <v>-0.54162487462387099</v>
      </c>
      <c r="E296">
        <v>-0.68241834607366203</v>
      </c>
      <c r="F296">
        <v>-0.78910936778957008</v>
      </c>
      <c r="G296">
        <v>-0.80078465562336509</v>
      </c>
      <c r="H296">
        <v>-0.85070238484155503</v>
      </c>
      <c r="I296">
        <v>-0.52886597938144309</v>
      </c>
    </row>
    <row r="297" spans="1:9" x14ac:dyDescent="0.25">
      <c r="A297" s="1" t="s">
        <v>309</v>
      </c>
      <c r="B297" t="str">
        <f>HYPERLINK("https://www.suredividend.com/sure-analysis-research-database/","Commercial Metals Co.")</f>
        <v>Commercial Metals Co.</v>
      </c>
      <c r="C297">
        <v>-4.2830149065714002E-2</v>
      </c>
      <c r="D297">
        <v>-0.18162268120442701</v>
      </c>
      <c r="E297">
        <v>7.1211227628274004E-2</v>
      </c>
      <c r="F297">
        <v>-4.3508910326075012E-2</v>
      </c>
      <c r="G297">
        <v>7.821169771112E-3</v>
      </c>
      <c r="H297">
        <v>0.43311601355471802</v>
      </c>
      <c r="I297">
        <v>1.4681532972773981</v>
      </c>
    </row>
    <row r="298" spans="1:9" x14ac:dyDescent="0.25">
      <c r="A298" s="1" t="s">
        <v>310</v>
      </c>
      <c r="B298" t="str">
        <f>HYPERLINK("https://www.suredividend.com/sure-analysis-research-database/","Columbus Mckinnon Corp.")</f>
        <v>Columbus Mckinnon Corp.</v>
      </c>
      <c r="C298">
        <v>-1.9347386658966001E-2</v>
      </c>
      <c r="D298">
        <v>-0.124719709270857</v>
      </c>
      <c r="E298">
        <v>1.00127810204E-4</v>
      </c>
      <c r="F298">
        <v>5.3814024787592007E-2</v>
      </c>
      <c r="G298">
        <v>0.19016745053235101</v>
      </c>
      <c r="H298">
        <v>-0.32471932901439998</v>
      </c>
      <c r="I298">
        <v>-6.4107015890338001E-2</v>
      </c>
    </row>
    <row r="299" spans="1:9" x14ac:dyDescent="0.25">
      <c r="A299" s="1" t="s">
        <v>311</v>
      </c>
      <c r="B299" t="str">
        <f>HYPERLINK("https://www.suredividend.com/sure-analysis-research-database/","Cumulus Media Inc.")</f>
        <v>Cumulus Media Inc.</v>
      </c>
      <c r="C299">
        <v>-6.6539923954371999E-2</v>
      </c>
      <c r="D299">
        <v>-6.831119544592E-2</v>
      </c>
      <c r="E299">
        <v>0.8320895522388051</v>
      </c>
      <c r="F299">
        <v>-0.20933977455716499</v>
      </c>
      <c r="G299">
        <v>-0.32647462277091899</v>
      </c>
      <c r="H299">
        <v>-0.60814046288906609</v>
      </c>
      <c r="I299">
        <v>-0.67244829886591007</v>
      </c>
    </row>
    <row r="300" spans="1:9" x14ac:dyDescent="0.25">
      <c r="A300" s="1" t="s">
        <v>312</v>
      </c>
      <c r="B300" t="str">
        <f>HYPERLINK("https://www.suredividend.com/sure-analysis-CMP/","Compass Minerals International Inc")</f>
        <v>Compass Minerals International Inc</v>
      </c>
      <c r="C300">
        <v>-6.7491563554555004E-2</v>
      </c>
      <c r="D300">
        <v>-0.35946800044298899</v>
      </c>
      <c r="E300">
        <v>-0.18802442130007499</v>
      </c>
      <c r="F300">
        <v>-0.38522614630480601</v>
      </c>
      <c r="G300">
        <v>-0.36165625433134302</v>
      </c>
      <c r="H300">
        <v>-0.63592126413055805</v>
      </c>
      <c r="I300">
        <v>-0.43046236288272599</v>
      </c>
    </row>
    <row r="301" spans="1:9" x14ac:dyDescent="0.25">
      <c r="A301" s="1" t="s">
        <v>313</v>
      </c>
      <c r="B301" t="str">
        <f>HYPERLINK("https://www.suredividend.com/sure-analysis-research-database/","CompoSecure Inc")</f>
        <v>CompoSecure Inc</v>
      </c>
      <c r="C301">
        <v>-5.0393700787401012E-2</v>
      </c>
      <c r="D301">
        <v>-0.13362068965517199</v>
      </c>
      <c r="E301">
        <v>-0.13857142857142801</v>
      </c>
      <c r="F301">
        <v>0.228105906313645</v>
      </c>
      <c r="G301">
        <v>0.18235294117647</v>
      </c>
      <c r="H301">
        <v>-0.40766208251473401</v>
      </c>
      <c r="I301">
        <v>-0.38905775075987797</v>
      </c>
    </row>
    <row r="302" spans="1:9" x14ac:dyDescent="0.25">
      <c r="A302" s="1" t="s">
        <v>314</v>
      </c>
      <c r="B302" t="str">
        <f>HYPERLINK("https://www.suredividend.com/sure-analysis-research-database/","Cimpress plc")</f>
        <v>Cimpress plc</v>
      </c>
      <c r="C302">
        <v>-8.7020216818048002E-2</v>
      </c>
      <c r="D302">
        <v>-0.13070163202678101</v>
      </c>
      <c r="E302">
        <v>0.329918907383696</v>
      </c>
      <c r="F302">
        <v>1.2571532053603769</v>
      </c>
      <c r="G302">
        <v>1.5149313962873281</v>
      </c>
      <c r="H302">
        <v>-0.32150244964616198</v>
      </c>
      <c r="I302">
        <v>-0.44781144781144699</v>
      </c>
    </row>
    <row r="303" spans="1:9" x14ac:dyDescent="0.25">
      <c r="A303" s="1" t="s">
        <v>315</v>
      </c>
      <c r="B303" t="str">
        <f>HYPERLINK("https://www.suredividend.com/sure-analysis-research-database/","Costamare Inc")</f>
        <v>Costamare Inc</v>
      </c>
      <c r="C303">
        <v>2.6889454464977001E-2</v>
      </c>
      <c r="D303">
        <v>-0.177224729361905</v>
      </c>
      <c r="E303">
        <v>0.18227103053775401</v>
      </c>
      <c r="F303">
        <v>4.8362498446660997E-2</v>
      </c>
      <c r="G303">
        <v>-1.0291686663467E-2</v>
      </c>
      <c r="H303">
        <v>-0.251178103414886</v>
      </c>
      <c r="I303">
        <v>1.2548352609583051</v>
      </c>
    </row>
    <row r="304" spans="1:9" x14ac:dyDescent="0.25">
      <c r="A304" s="1" t="s">
        <v>316</v>
      </c>
      <c r="B304" t="str">
        <f>HYPERLINK("https://www.suredividend.com/sure-analysis-research-database/","Chimerix Inc")</f>
        <v>Chimerix Inc</v>
      </c>
      <c r="C304">
        <v>0.108786610878661</v>
      </c>
      <c r="D304">
        <v>-3.6363636363636001E-2</v>
      </c>
      <c r="E304">
        <v>-7.0175438596491002E-2</v>
      </c>
      <c r="F304">
        <v>-0.43010752688171999</v>
      </c>
      <c r="G304">
        <v>-0.41436464088397701</v>
      </c>
      <c r="H304">
        <v>-0.82622950819672103</v>
      </c>
      <c r="I304">
        <v>-0.71733333333333305</v>
      </c>
    </row>
    <row r="305" spans="1:9" x14ac:dyDescent="0.25">
      <c r="A305" s="1" t="s">
        <v>317</v>
      </c>
      <c r="B305" t="str">
        <f>HYPERLINK("https://www.suredividend.com/sure-analysis-research-database/","Claros Mortgage Trust Inc")</f>
        <v>Claros Mortgage Trust Inc</v>
      </c>
      <c r="C305">
        <v>1.3035381750465E-2</v>
      </c>
      <c r="D305">
        <v>-5.3208023257930014E-3</v>
      </c>
      <c r="E305">
        <v>5.6638955792091002E-2</v>
      </c>
      <c r="F305">
        <v>-0.193440775720195</v>
      </c>
      <c r="G305">
        <v>-0.23976689911539001</v>
      </c>
      <c r="H305">
        <v>-0.21493357962868001</v>
      </c>
      <c r="I305">
        <v>-0.21493357962868001</v>
      </c>
    </row>
    <row r="306" spans="1:9" x14ac:dyDescent="0.25">
      <c r="A306" s="1" t="s">
        <v>318</v>
      </c>
      <c r="B306" t="str">
        <f>HYPERLINK("https://www.suredividend.com/sure-analysis-research-database/","Comtech Telecommunications Corp.")</f>
        <v>Comtech Telecommunications Corp.</v>
      </c>
      <c r="C306">
        <v>0.53883495145631</v>
      </c>
      <c r="D306">
        <v>0.28080808080808001</v>
      </c>
      <c r="E306">
        <v>0.21223709369024801</v>
      </c>
      <c r="F306">
        <v>4.4481054365733012E-2</v>
      </c>
      <c r="G306">
        <v>0.16010978956999</v>
      </c>
      <c r="H306">
        <v>-0.51240333626865509</v>
      </c>
      <c r="I306">
        <v>-0.51614688071188908</v>
      </c>
    </row>
    <row r="307" spans="1:9" x14ac:dyDescent="0.25">
      <c r="A307" s="1" t="s">
        <v>319</v>
      </c>
      <c r="B307" t="str">
        <f>HYPERLINK("https://www.suredividend.com/sure-analysis-research-database/","Conduent Inc")</f>
        <v>Conduent Inc</v>
      </c>
      <c r="C307">
        <v>-0.22126436781609099</v>
      </c>
      <c r="D307">
        <v>-0.21676300578034599</v>
      </c>
      <c r="E307">
        <v>-1.0948905109489E-2</v>
      </c>
      <c r="F307">
        <v>-0.33086419753086399</v>
      </c>
      <c r="G307">
        <v>-0.27733333333333299</v>
      </c>
      <c r="H307">
        <v>-0.61450924608819302</v>
      </c>
      <c r="I307">
        <v>-0.8577427821522311</v>
      </c>
    </row>
    <row r="308" spans="1:9" x14ac:dyDescent="0.25">
      <c r="A308" s="1" t="s">
        <v>320</v>
      </c>
      <c r="B308" t="str">
        <f>HYPERLINK("https://www.suredividend.com/sure-analysis-research-database/","Cinemark Holdings Inc")</f>
        <v>Cinemark Holdings Inc</v>
      </c>
      <c r="C308">
        <v>-0.11612903225806399</v>
      </c>
      <c r="D308">
        <v>-6.2179121505988998E-2</v>
      </c>
      <c r="E308">
        <v>-4.2398546335549996E-3</v>
      </c>
      <c r="F308">
        <v>0.89838337182448003</v>
      </c>
      <c r="G308">
        <v>0.41602067183462499</v>
      </c>
      <c r="H308">
        <v>-0.195301027900146</v>
      </c>
      <c r="I308">
        <v>-0.56944077060673703</v>
      </c>
    </row>
    <row r="309" spans="1:9" x14ac:dyDescent="0.25">
      <c r="A309" s="1" t="s">
        <v>321</v>
      </c>
      <c r="B309" t="str">
        <f>HYPERLINK("https://www.suredividend.com/sure-analysis-research-database/","Conmed Corp.")</f>
        <v>Conmed Corp.</v>
      </c>
      <c r="C309">
        <v>5.1976121860847997E-2</v>
      </c>
      <c r="D309">
        <v>-0.10847537164304399</v>
      </c>
      <c r="E309">
        <v>-0.16601322335358801</v>
      </c>
      <c r="F309">
        <v>0.159554783603094</v>
      </c>
      <c r="G309">
        <v>0.35710378305459201</v>
      </c>
      <c r="H309">
        <v>-0.32885465346482601</v>
      </c>
      <c r="I309">
        <v>0.58881904157883902</v>
      </c>
    </row>
    <row r="310" spans="1:9" x14ac:dyDescent="0.25">
      <c r="A310" s="1" t="s">
        <v>322</v>
      </c>
      <c r="B310" t="str">
        <f>HYPERLINK("https://www.suredividend.com/sure-analysis-research-database/","Cannae Holdings Inc")</f>
        <v>Cannae Holdings Inc</v>
      </c>
      <c r="C310">
        <v>-3.1607629427793001E-2</v>
      </c>
      <c r="D310">
        <v>-0.109719438877755</v>
      </c>
      <c r="E310">
        <v>4.5223289994340008E-3</v>
      </c>
      <c r="F310">
        <v>-0.13946731234866799</v>
      </c>
      <c r="G310">
        <v>-0.18821379625399701</v>
      </c>
      <c r="H310">
        <v>-0.5</v>
      </c>
      <c r="I310">
        <v>-3.365114974761E-3</v>
      </c>
    </row>
    <row r="311" spans="1:9" x14ac:dyDescent="0.25">
      <c r="A311" s="1" t="s">
        <v>323</v>
      </c>
      <c r="B311" t="str">
        <f>HYPERLINK("https://www.suredividend.com/sure-analysis-research-database/","CNO Financial Group Inc")</f>
        <v>CNO Financial Group Inc</v>
      </c>
      <c r="C311">
        <v>6.3774403470715002E-2</v>
      </c>
      <c r="D311">
        <v>-3.3168574401659999E-3</v>
      </c>
      <c r="E311">
        <v>0.21260076158449101</v>
      </c>
      <c r="F311">
        <v>9.3027713512622012E-2</v>
      </c>
      <c r="G311">
        <v>0.155453770068469</v>
      </c>
      <c r="H311">
        <v>2.4608145885479001E-2</v>
      </c>
      <c r="I311">
        <v>0.51197494018696199</v>
      </c>
    </row>
    <row r="312" spans="1:9" x14ac:dyDescent="0.25">
      <c r="A312" s="1" t="s">
        <v>324</v>
      </c>
      <c r="B312" t="str">
        <f>HYPERLINK("https://www.suredividend.com/sure-analysis-research-database/","ConnectOne Bancorp Inc.")</f>
        <v>ConnectOne Bancorp Inc.</v>
      </c>
      <c r="C312">
        <v>7.7367205542725012E-2</v>
      </c>
      <c r="D312">
        <v>-8.7383294125702005E-2</v>
      </c>
      <c r="E312">
        <v>0.39345241651233598</v>
      </c>
      <c r="F312">
        <v>-0.20183074192099501</v>
      </c>
      <c r="G312">
        <v>-0.207935921761387</v>
      </c>
      <c r="H312">
        <v>-0.41859921669798011</v>
      </c>
      <c r="I312">
        <v>-2.7628685474876999E-2</v>
      </c>
    </row>
    <row r="313" spans="1:9" x14ac:dyDescent="0.25">
      <c r="A313" s="1" t="s">
        <v>325</v>
      </c>
      <c r="B313" t="str">
        <f>HYPERLINK("https://www.suredividend.com/sure-analysis-CNS/","Cohen &amp; Steers Inc.")</f>
        <v>Cohen &amp; Steers Inc.</v>
      </c>
      <c r="C313">
        <v>-5.1689528270323998E-2</v>
      </c>
      <c r="D313">
        <v>-0.113191992603936</v>
      </c>
      <c r="E313">
        <v>6.5335169966905998E-2</v>
      </c>
      <c r="F313">
        <v>-9.7744121569788012E-2</v>
      </c>
      <c r="G313">
        <v>-3.5278346150999998E-5</v>
      </c>
      <c r="H313">
        <v>-0.38450013028750102</v>
      </c>
      <c r="I313">
        <v>0.88641574353530705</v>
      </c>
    </row>
    <row r="314" spans="1:9" x14ac:dyDescent="0.25">
      <c r="A314" s="1" t="s">
        <v>326</v>
      </c>
      <c r="B314" t="str">
        <f>HYPERLINK("https://www.suredividend.com/sure-analysis-research-database/","Consolidated Communications Holdings Inc")</f>
        <v>Consolidated Communications Holdings Inc</v>
      </c>
      <c r="C314">
        <v>0.23546511627906899</v>
      </c>
      <c r="D314">
        <v>0.18715083798882601</v>
      </c>
      <c r="E314">
        <v>0.15176151761517601</v>
      </c>
      <c r="F314">
        <v>0.18715083798882601</v>
      </c>
      <c r="G314">
        <v>-0.12909836065573699</v>
      </c>
      <c r="H314">
        <v>-0.46875000000000011</v>
      </c>
      <c r="I314">
        <v>-0.637192467261955</v>
      </c>
    </row>
    <row r="315" spans="1:9" x14ac:dyDescent="0.25">
      <c r="A315" s="1" t="s">
        <v>327</v>
      </c>
      <c r="B315" t="str">
        <f>HYPERLINK("https://www.suredividend.com/sure-analysis-research-database/","Century Casinos Inc.")</f>
        <v>Century Casinos Inc.</v>
      </c>
      <c r="C315">
        <v>-6.1143984220907013E-2</v>
      </c>
      <c r="D315">
        <v>-0.37368421052631501</v>
      </c>
      <c r="E315">
        <v>-0.296898079763663</v>
      </c>
      <c r="F315">
        <v>-0.32290184921763798</v>
      </c>
      <c r="G315">
        <v>-0.32097004279600511</v>
      </c>
      <c r="H315">
        <v>-0.6528081692195471</v>
      </c>
      <c r="I315">
        <v>-0.262015503875969</v>
      </c>
    </row>
    <row r="316" spans="1:9" x14ac:dyDescent="0.25">
      <c r="A316" s="1" t="s">
        <v>328</v>
      </c>
      <c r="B316" t="str">
        <f>HYPERLINK("https://www.suredividend.com/sure-analysis-research-database/","CNX Resources Corp")</f>
        <v>CNX Resources Corp</v>
      </c>
      <c r="C316">
        <v>5.4245283018868003E-2</v>
      </c>
      <c r="D316">
        <v>5.9743954480796002E-2</v>
      </c>
      <c r="E316">
        <v>0.52768284347231709</v>
      </c>
      <c r="F316">
        <v>0.327197149643705</v>
      </c>
      <c r="G316">
        <v>0.26414027149321201</v>
      </c>
      <c r="H316">
        <v>0.548856548856548</v>
      </c>
      <c r="I316">
        <v>0.50403768506056501</v>
      </c>
    </row>
    <row r="317" spans="1:9" x14ac:dyDescent="0.25">
      <c r="A317" s="1" t="s">
        <v>329</v>
      </c>
      <c r="B317" t="str">
        <f>HYPERLINK("https://www.suredividend.com/sure-analysis-research-database/","PC Connection, Inc.")</f>
        <v>PC Connection, Inc.</v>
      </c>
      <c r="C317">
        <v>0.114120283899887</v>
      </c>
      <c r="D317">
        <v>0.14905330721235599</v>
      </c>
      <c r="E317">
        <v>0.51668866055922902</v>
      </c>
      <c r="F317">
        <v>0.28297503952165298</v>
      </c>
      <c r="G317">
        <v>0.25971447879709397</v>
      </c>
      <c r="H317">
        <v>0.31964355244062098</v>
      </c>
      <c r="I317">
        <v>1.0596166661487409</v>
      </c>
    </row>
    <row r="318" spans="1:9" x14ac:dyDescent="0.25">
      <c r="A318" s="1" t="s">
        <v>330</v>
      </c>
      <c r="B318" t="str">
        <f>HYPERLINK("https://www.suredividend.com/sure-analysis-research-database/","Vita Coco Company Inc (The)")</f>
        <v>Vita Coco Company Inc (The)</v>
      </c>
      <c r="C318">
        <v>6.0483870967741007E-2</v>
      </c>
      <c r="D318">
        <v>0.176973148901546</v>
      </c>
      <c r="E318">
        <v>0.261665939816833</v>
      </c>
      <c r="F318">
        <v>1.0933429811866859</v>
      </c>
      <c r="G318">
        <v>2.0166840458811262</v>
      </c>
      <c r="H318">
        <v>1.0857966834895461</v>
      </c>
      <c r="I318">
        <v>1.139792899408284</v>
      </c>
    </row>
    <row r="319" spans="1:9" x14ac:dyDescent="0.25">
      <c r="A319" s="1" t="s">
        <v>331</v>
      </c>
      <c r="B319" t="str">
        <f>HYPERLINK("https://www.suredividend.com/sure-analysis-CODI/","Compass Diversified Holdings")</f>
        <v>Compass Diversified Holdings</v>
      </c>
      <c r="C319">
        <v>3.6785411975590002E-2</v>
      </c>
      <c r="D319">
        <v>-0.14364704000731099</v>
      </c>
      <c r="E319">
        <v>2.1631994417549E-2</v>
      </c>
      <c r="F319">
        <v>7.996588368179601E-2</v>
      </c>
      <c r="G319">
        <v>9.1110776057030003E-3</v>
      </c>
      <c r="H319">
        <v>-0.32472605281838601</v>
      </c>
      <c r="I319">
        <v>0.81830530840359705</v>
      </c>
    </row>
    <row r="320" spans="1:9" x14ac:dyDescent="0.25">
      <c r="A320" s="1" t="s">
        <v>332</v>
      </c>
      <c r="B320" t="str">
        <f>HYPERLINK("https://www.suredividend.com/sure-analysis-research-database/","Cogent Biosciences Inc")</f>
        <v>Cogent Biosciences Inc</v>
      </c>
      <c r="C320">
        <v>-0.103266596417281</v>
      </c>
      <c r="D320">
        <v>-0.26064291920069499</v>
      </c>
      <c r="E320">
        <v>-0.25022026431717997</v>
      </c>
      <c r="F320">
        <v>-0.26384083044982698</v>
      </c>
      <c r="G320">
        <v>-0.30016447368421001</v>
      </c>
      <c r="H320">
        <v>-1.6184971098265999E-2</v>
      </c>
      <c r="I320">
        <v>0.11387434554973801</v>
      </c>
    </row>
    <row r="321" spans="1:9" x14ac:dyDescent="0.25">
      <c r="A321" s="1" t="s">
        <v>333</v>
      </c>
      <c r="B321" t="str">
        <f>HYPERLINK("https://www.suredividend.com/sure-analysis-research-database/","Cohu, Inc.")</f>
        <v>Cohu, Inc.</v>
      </c>
      <c r="C321">
        <v>-9.188405797101401E-2</v>
      </c>
      <c r="D321">
        <v>-0.21182389937106899</v>
      </c>
      <c r="E321">
        <v>-7.0326409495549011E-2</v>
      </c>
      <c r="F321">
        <v>-2.2464898595943E-2</v>
      </c>
      <c r="G321">
        <v>-6.6169895678092006E-2</v>
      </c>
      <c r="H321">
        <v>-0.107915717539863</v>
      </c>
      <c r="I321">
        <v>0.45415220095427211</v>
      </c>
    </row>
    <row r="322" spans="1:9" x14ac:dyDescent="0.25">
      <c r="A322" s="1" t="s">
        <v>334</v>
      </c>
      <c r="B322" t="str">
        <f>HYPERLINK("https://www.suredividend.com/sure-analysis-research-database/","Coca-Cola Consolidated Inc")</f>
        <v>Coca-Cola Consolidated Inc</v>
      </c>
      <c r="C322">
        <v>1.4003969367451999E-2</v>
      </c>
      <c r="D322">
        <v>-5.9013676292346003E-2</v>
      </c>
      <c r="E322">
        <v>-4.7785868587480003E-3</v>
      </c>
      <c r="F322">
        <v>0.28103191927419402</v>
      </c>
      <c r="G322">
        <v>0.33502067953165898</v>
      </c>
      <c r="H322">
        <v>0.58473990122677799</v>
      </c>
      <c r="I322">
        <v>2.8103574033552148</v>
      </c>
    </row>
    <row r="323" spans="1:9" x14ac:dyDescent="0.25">
      <c r="A323" s="1" t="s">
        <v>335</v>
      </c>
      <c r="B323" t="str">
        <f>HYPERLINK("https://www.suredividend.com/sure-analysis-research-database/","Collegium Pharmaceutical Inc")</f>
        <v>Collegium Pharmaceutical Inc</v>
      </c>
      <c r="C323">
        <v>-5.8524173027989013E-2</v>
      </c>
      <c r="D323">
        <v>-5.4916985951468003E-2</v>
      </c>
      <c r="E323">
        <v>0</v>
      </c>
      <c r="F323">
        <v>-4.3103448275862002E-2</v>
      </c>
      <c r="G323">
        <v>0.178343949044585</v>
      </c>
      <c r="H323">
        <v>0.14728682170542601</v>
      </c>
      <c r="I323">
        <v>0.35531135531135499</v>
      </c>
    </row>
    <row r="324" spans="1:9" x14ac:dyDescent="0.25">
      <c r="A324" s="1" t="s">
        <v>336</v>
      </c>
      <c r="B324" t="str">
        <f>HYPERLINK("https://www.suredividend.com/sure-analysis-research-database/","CommScope Holding Company Inc")</f>
        <v>CommScope Holding Company Inc</v>
      </c>
      <c r="C324">
        <v>-0.43696027633851398</v>
      </c>
      <c r="D324">
        <v>-0.49378881987577611</v>
      </c>
      <c r="E324">
        <v>-0.66182572614107804</v>
      </c>
      <c r="F324">
        <v>-0.77823129251700607</v>
      </c>
      <c r="G324">
        <v>-0.82205240174672412</v>
      </c>
      <c r="H324">
        <v>-0.83213182286302712</v>
      </c>
      <c r="I324">
        <v>-0.93384740259740207</v>
      </c>
    </row>
    <row r="325" spans="1:9" x14ac:dyDescent="0.25">
      <c r="A325" s="1" t="s">
        <v>337</v>
      </c>
      <c r="B325" t="str">
        <f>HYPERLINK("https://www.suredividend.com/sure-analysis-research-database/","Compass Inc")</f>
        <v>Compass Inc</v>
      </c>
      <c r="C325">
        <v>-0.127490039840637</v>
      </c>
      <c r="D325">
        <v>-0.46059113300492599</v>
      </c>
      <c r="E325">
        <v>0</v>
      </c>
      <c r="F325">
        <v>-6.0085836909871002E-2</v>
      </c>
      <c r="G325">
        <v>-2.2321428571427999E-2</v>
      </c>
      <c r="H325">
        <v>-0.82970451010886404</v>
      </c>
      <c r="I325">
        <v>-0.89131513647642602</v>
      </c>
    </row>
    <row r="326" spans="1:9" x14ac:dyDescent="0.25">
      <c r="A326" s="1" t="s">
        <v>338</v>
      </c>
      <c r="B326" t="str">
        <f>HYPERLINK("https://www.suredividend.com/sure-analysis-research-database/","Conns Inc")</f>
        <v>Conns Inc</v>
      </c>
      <c r="C326">
        <v>-2.8409090909089999E-2</v>
      </c>
      <c r="D326">
        <v>-0.24336283185840701</v>
      </c>
      <c r="E326">
        <v>-0.211981566820276</v>
      </c>
      <c r="F326">
        <v>-0.50290697674418605</v>
      </c>
      <c r="G326">
        <v>-0.57620817843866101</v>
      </c>
      <c r="H326">
        <v>-0.86209677419354802</v>
      </c>
      <c r="I326">
        <v>-0.88484848484848411</v>
      </c>
    </row>
    <row r="327" spans="1:9" x14ac:dyDescent="0.25">
      <c r="A327" s="1" t="s">
        <v>339</v>
      </c>
      <c r="B327" t="str">
        <f>HYPERLINK("https://www.suredividend.com/sure-analysis-research-database/","Traeger Inc")</f>
        <v>Traeger Inc</v>
      </c>
      <c r="C327">
        <v>3.9285714285714E-2</v>
      </c>
      <c r="D327">
        <v>-0.51092436974789901</v>
      </c>
      <c r="E327">
        <v>3.9285714285714E-2</v>
      </c>
      <c r="F327">
        <v>3.1914893617021003E-2</v>
      </c>
      <c r="G327">
        <v>-0.28850855745721199</v>
      </c>
      <c r="H327">
        <v>-0.86169201520912508</v>
      </c>
      <c r="I327">
        <v>-0.86772727272727201</v>
      </c>
    </row>
    <row r="328" spans="1:9" x14ac:dyDescent="0.25">
      <c r="A328" s="1" t="s">
        <v>340</v>
      </c>
      <c r="B328" t="str">
        <f>HYPERLINK("https://www.suredividend.com/sure-analysis-research-database/","Mr. Cooper Group Inc")</f>
        <v>Mr. Cooper Group Inc</v>
      </c>
      <c r="C328">
        <v>7.8485687903970008E-2</v>
      </c>
      <c r="D328">
        <v>-1.4179608372721E-2</v>
      </c>
      <c r="E328">
        <v>0.39346218086375501</v>
      </c>
      <c r="F328">
        <v>0.45527037129329612</v>
      </c>
      <c r="G328">
        <v>0.45963509122719298</v>
      </c>
      <c r="H328">
        <v>0.34160349184470401</v>
      </c>
      <c r="I328">
        <v>3.1097818437719909</v>
      </c>
    </row>
    <row r="329" spans="1:9" x14ac:dyDescent="0.25">
      <c r="A329" s="1" t="s">
        <v>341</v>
      </c>
      <c r="B329" t="str">
        <f>HYPERLINK("https://www.suredividend.com/sure-analysis-research-database/","Corcept Therapeutics Inc")</f>
        <v>Corcept Therapeutics Inc</v>
      </c>
      <c r="C329">
        <v>-1.081081081081E-2</v>
      </c>
      <c r="D329">
        <v>-0.178582879127925</v>
      </c>
      <c r="E329">
        <v>6.7500000000000004E-2</v>
      </c>
      <c r="F329">
        <v>0.26144756277695702</v>
      </c>
      <c r="G329">
        <v>2.7397260273970001E-3</v>
      </c>
      <c r="H329">
        <v>0.27526132404181097</v>
      </c>
      <c r="I329">
        <v>1.0349483717235901</v>
      </c>
    </row>
    <row r="330" spans="1:9" x14ac:dyDescent="0.25">
      <c r="A330" s="1" t="s">
        <v>342</v>
      </c>
      <c r="B330" t="str">
        <f>HYPERLINK("https://www.suredividend.com/sure-analysis-research-database/","Coursera Inc")</f>
        <v>Coursera Inc</v>
      </c>
      <c r="C330">
        <v>-6.0572687224660004E-3</v>
      </c>
      <c r="D330">
        <v>0.13736609955891599</v>
      </c>
      <c r="E330">
        <v>0.62612612612612606</v>
      </c>
      <c r="F330">
        <v>0.52578191039729505</v>
      </c>
      <c r="G330">
        <v>0.42125984251968501</v>
      </c>
      <c r="H330">
        <v>-0.43839452395768502</v>
      </c>
      <c r="I330">
        <v>-0.59888888888888803</v>
      </c>
    </row>
    <row r="331" spans="1:9" x14ac:dyDescent="0.25">
      <c r="A331" s="1" t="s">
        <v>343</v>
      </c>
      <c r="B331" t="str">
        <f>HYPERLINK("https://www.suredividend.com/sure-analysis-research-database/","Callon Petroleum Co.")</f>
        <v>Callon Petroleum Co.</v>
      </c>
      <c r="C331">
        <v>7.7288941736028002E-2</v>
      </c>
      <c r="D331">
        <v>-1.3877551020408E-2</v>
      </c>
      <c r="E331">
        <v>0.152305246422893</v>
      </c>
      <c r="F331">
        <v>-2.2917228363440002E-2</v>
      </c>
      <c r="G331">
        <v>-0.217785452190805</v>
      </c>
      <c r="H331">
        <v>-0.35354976810560101</v>
      </c>
      <c r="I331">
        <v>-0.65053037608486008</v>
      </c>
    </row>
    <row r="332" spans="1:9" x14ac:dyDescent="0.25">
      <c r="A332" s="1" t="s">
        <v>344</v>
      </c>
      <c r="B332" t="str">
        <f>HYPERLINK("https://www.suredividend.com/sure-analysis-research-database/","Central Pacific Financial Corp.")</f>
        <v>Central Pacific Financial Corp.</v>
      </c>
      <c r="C332">
        <v>0.100692259282567</v>
      </c>
      <c r="D332">
        <v>-1.3553070168017E-2</v>
      </c>
      <c r="E332">
        <v>0.31919354960363799</v>
      </c>
      <c r="F332">
        <v>-9.9382080329557004E-2</v>
      </c>
      <c r="G332">
        <v>-7.0620117965885007E-2</v>
      </c>
      <c r="H332">
        <v>-0.311349542277783</v>
      </c>
      <c r="I332">
        <v>-0.21956225876263299</v>
      </c>
    </row>
    <row r="333" spans="1:9" x14ac:dyDescent="0.25">
      <c r="A333" s="1" t="s">
        <v>345</v>
      </c>
      <c r="B333" t="str">
        <f>HYPERLINK("https://www.suredividend.com/sure-analysis-CPK/","Chesapeake Utilities Corp")</f>
        <v>Chesapeake Utilities Corp</v>
      </c>
      <c r="C333">
        <v>-1.5712920692217001E-2</v>
      </c>
      <c r="D333">
        <v>-0.17302589032847901</v>
      </c>
      <c r="E333">
        <v>-0.25052182953191299</v>
      </c>
      <c r="F333">
        <v>-0.20419507907404699</v>
      </c>
      <c r="G333">
        <v>-0.121784129973296</v>
      </c>
      <c r="H333">
        <v>-0.27429650752748103</v>
      </c>
      <c r="I333">
        <v>0.27122072017101301</v>
      </c>
    </row>
    <row r="334" spans="1:9" x14ac:dyDescent="0.25">
      <c r="A334" s="1" t="s">
        <v>346</v>
      </c>
      <c r="B334" t="str">
        <f>HYPERLINK("https://www.suredividend.com/sure-analysis-research-database/","Catalyst Pharmaceuticals Inc")</f>
        <v>Catalyst Pharmaceuticals Inc</v>
      </c>
      <c r="C334">
        <v>8.8502894954507014E-2</v>
      </c>
      <c r="D334">
        <v>-5.4597701149425013E-2</v>
      </c>
      <c r="E334">
        <v>-0.21008403361344499</v>
      </c>
      <c r="F334">
        <v>-0.29247311827956901</v>
      </c>
      <c r="G334">
        <v>-6.4011379800853002E-2</v>
      </c>
      <c r="H334">
        <v>1.1055999999999999</v>
      </c>
      <c r="I334">
        <v>3.1383647798742129</v>
      </c>
    </row>
    <row r="335" spans="1:9" x14ac:dyDescent="0.25">
      <c r="A335" s="1" t="s">
        <v>347</v>
      </c>
      <c r="B335" t="str">
        <f>HYPERLINK("https://www.suredividend.com/sure-analysis-research-database/","Computer Programs &amp; Systems Inc")</f>
        <v>Computer Programs &amp; Systems Inc</v>
      </c>
      <c r="C335">
        <v>-0.16883886255924099</v>
      </c>
      <c r="D335">
        <v>-0.46100653092585397</v>
      </c>
      <c r="E335">
        <v>-0.45088062622309211</v>
      </c>
      <c r="F335">
        <v>-0.48457016899338712</v>
      </c>
      <c r="G335">
        <v>-0.48362164151637799</v>
      </c>
      <c r="H335">
        <v>-0.61750272628135205</v>
      </c>
      <c r="I335">
        <v>-0.46230789867014099</v>
      </c>
    </row>
    <row r="336" spans="1:9" x14ac:dyDescent="0.25">
      <c r="A336" s="1" t="s">
        <v>348</v>
      </c>
      <c r="B336" t="str">
        <f>HYPERLINK("https://www.suredividend.com/sure-analysis-research-database/","Consumer Portfolio Service, Inc.")</f>
        <v>Consumer Portfolio Service, Inc.</v>
      </c>
      <c r="C336">
        <v>0.160609613130129</v>
      </c>
      <c r="D336">
        <v>-0.136878814298169</v>
      </c>
      <c r="E336">
        <v>-1.00908173562E-3</v>
      </c>
      <c r="F336">
        <v>0.11864406779661001</v>
      </c>
      <c r="G336">
        <v>0.64179104477611904</v>
      </c>
      <c r="H336">
        <v>0.35989010989010911</v>
      </c>
      <c r="I336">
        <v>1.544987146529563</v>
      </c>
    </row>
    <row r="337" spans="1:9" x14ac:dyDescent="0.25">
      <c r="A337" s="1" t="s">
        <v>349</v>
      </c>
      <c r="B337" t="str">
        <f>HYPERLINK("https://www.suredividend.com/sure-analysis-research-database/","Cepton Inc")</f>
        <v>Cepton Inc</v>
      </c>
      <c r="C337">
        <v>-2.8423772609819001E-2</v>
      </c>
      <c r="D337">
        <v>-0.55238095238095208</v>
      </c>
      <c r="E337">
        <v>3.0984370715656E-2</v>
      </c>
      <c r="F337">
        <v>-0.70393700787401503</v>
      </c>
      <c r="G337">
        <v>-0.83139013452914812</v>
      </c>
      <c r="H337">
        <v>-0.95430182671155406</v>
      </c>
      <c r="I337">
        <v>-0.95430182671155406</v>
      </c>
    </row>
    <row r="338" spans="1:9" x14ac:dyDescent="0.25">
      <c r="A338" s="1" t="s">
        <v>350</v>
      </c>
      <c r="B338" t="str">
        <f>HYPERLINK("https://www.suredividend.com/sure-analysis-research-database/","CRA International Inc.")</f>
        <v>CRA International Inc.</v>
      </c>
      <c r="C338">
        <v>-0.14249999999999899</v>
      </c>
      <c r="D338">
        <v>-0.19686049724403701</v>
      </c>
      <c r="E338">
        <v>-8.2982834935840008E-2</v>
      </c>
      <c r="F338">
        <v>-0.28726324879956799</v>
      </c>
      <c r="G338">
        <v>-0.24523817906559101</v>
      </c>
      <c r="H338">
        <v>-7.6047487387913004E-2</v>
      </c>
      <c r="I338">
        <v>1.1393482908914909</v>
      </c>
    </row>
    <row r="339" spans="1:9" x14ac:dyDescent="0.25">
      <c r="A339" s="1" t="s">
        <v>351</v>
      </c>
      <c r="B339" t="str">
        <f>HYPERLINK("https://www.suredividend.com/sure-analysis-research-database/","Caribou Biosciences Inc")</f>
        <v>Caribou Biosciences Inc</v>
      </c>
      <c r="C339">
        <v>-7.5221238938053006E-2</v>
      </c>
      <c r="D339">
        <v>-0.37797619047619002</v>
      </c>
      <c r="E339">
        <v>-0.05</v>
      </c>
      <c r="F339">
        <v>-0.33439490445859799</v>
      </c>
      <c r="G339">
        <v>-0.55246252676659502</v>
      </c>
      <c r="H339">
        <v>-0.82029234737747203</v>
      </c>
      <c r="I339">
        <v>-0.74387254901960709</v>
      </c>
    </row>
    <row r="340" spans="1:9" x14ac:dyDescent="0.25">
      <c r="A340" s="1" t="s">
        <v>352</v>
      </c>
      <c r="B340" t="str">
        <f>HYPERLINK("https://www.suredividend.com/sure-analysis-research-database/","California Resources Corporation")</f>
        <v>California Resources Corporation</v>
      </c>
      <c r="C340">
        <v>-1.5942304042511998E-2</v>
      </c>
      <c r="D340">
        <v>-2.7219103653228001E-2</v>
      </c>
      <c r="E340">
        <v>0.36648025258142197</v>
      </c>
      <c r="F340">
        <v>0.214487654855959</v>
      </c>
      <c r="G340">
        <v>8.9500867818434013E-2</v>
      </c>
      <c r="H340">
        <v>0.20185899887579201</v>
      </c>
      <c r="I340">
        <v>2.6007694604748708</v>
      </c>
    </row>
    <row r="341" spans="1:9" x14ac:dyDescent="0.25">
      <c r="A341" s="1" t="s">
        <v>353</v>
      </c>
      <c r="B341" t="str">
        <f>HYPERLINK("https://www.suredividend.com/sure-analysis-research-database/","Credo Technology Group Holding Ltd")</f>
        <v>Credo Technology Group Holding Ltd</v>
      </c>
      <c r="C341">
        <v>-7.4189526184538002E-2</v>
      </c>
      <c r="D341">
        <v>-9.7264437689969008E-2</v>
      </c>
      <c r="E341">
        <v>1.0204081632653059</v>
      </c>
      <c r="F341">
        <v>0.11570247933884199</v>
      </c>
      <c r="G341">
        <v>4.6511627906976001E-2</v>
      </c>
      <c r="H341">
        <v>0.274678111587982</v>
      </c>
      <c r="I341">
        <v>0.274678111587982</v>
      </c>
    </row>
    <row r="342" spans="1:9" x14ac:dyDescent="0.25">
      <c r="A342" s="1" t="s">
        <v>354</v>
      </c>
      <c r="B342" t="str">
        <f>HYPERLINK("https://www.suredividend.com/sure-analysis-research-database/","Charge Enterprises Inc")</f>
        <v>Charge Enterprises Inc</v>
      </c>
      <c r="C342">
        <v>-0.19886492622020399</v>
      </c>
      <c r="D342">
        <v>-0.62004737295434909</v>
      </c>
      <c r="E342">
        <v>-0.57057678267218304</v>
      </c>
      <c r="F342">
        <v>-0.7154032258064511</v>
      </c>
      <c r="G342">
        <v>-0.83274881516587607</v>
      </c>
      <c r="H342">
        <v>3528</v>
      </c>
      <c r="I342">
        <v>3528</v>
      </c>
    </row>
    <row r="343" spans="1:9" x14ac:dyDescent="0.25">
      <c r="A343" s="1" t="s">
        <v>355</v>
      </c>
      <c r="B343" t="str">
        <f>HYPERLINK("https://www.suredividend.com/sure-analysis-research-database/","Crescent Energy Co.")</f>
        <v>Crescent Energy Co.</v>
      </c>
      <c r="C343">
        <v>0.139598540145985</v>
      </c>
      <c r="D343">
        <v>4.9297667854022002E-2</v>
      </c>
      <c r="E343">
        <v>0.19616537536990999</v>
      </c>
      <c r="F343">
        <v>8.0917351795759013E-2</v>
      </c>
      <c r="G343">
        <v>-9.077673436703701E-2</v>
      </c>
      <c r="H343">
        <v>-0.19774417738267999</v>
      </c>
      <c r="I343">
        <v>-0.19774417738267999</v>
      </c>
    </row>
    <row r="344" spans="1:9" x14ac:dyDescent="0.25">
      <c r="A344" s="1" t="s">
        <v>356</v>
      </c>
      <c r="B344" t="str">
        <f>HYPERLINK("https://www.suredividend.com/sure-analysis-research-database/","Comstock Resources, Inc.")</f>
        <v>Comstock Resources, Inc.</v>
      </c>
      <c r="C344">
        <v>0.28972868217054198</v>
      </c>
      <c r="D344">
        <v>0.100691343323078</v>
      </c>
      <c r="E344">
        <v>0.47374714883628211</v>
      </c>
      <c r="F344">
        <v>4.5207205983350002E-3</v>
      </c>
      <c r="G344">
        <v>-0.247631537296221</v>
      </c>
      <c r="H344">
        <v>0.46886794535060811</v>
      </c>
      <c r="I344">
        <v>0.90208071338744711</v>
      </c>
    </row>
    <row r="345" spans="1:9" x14ac:dyDescent="0.25">
      <c r="A345" s="1" t="s">
        <v>357</v>
      </c>
      <c r="B345" t="str">
        <f>HYPERLINK("https://www.suredividend.com/sure-analysis-research-database/","Americas Car Mart, Inc.")</f>
        <v>Americas Car Mart, Inc.</v>
      </c>
      <c r="C345">
        <v>-0.18681559351730101</v>
      </c>
      <c r="D345">
        <v>-0.35616438356164298</v>
      </c>
      <c r="E345">
        <v>-1.9799366420273998E-2</v>
      </c>
      <c r="F345">
        <v>2.7677830058123E-2</v>
      </c>
      <c r="G345">
        <v>0.12515151515151501</v>
      </c>
      <c r="H345">
        <v>-0.38516310647458102</v>
      </c>
      <c r="I345">
        <v>-3.7334716100596001E-2</v>
      </c>
    </row>
    <row r="346" spans="1:9" x14ac:dyDescent="0.25">
      <c r="A346" s="1" t="s">
        <v>358</v>
      </c>
      <c r="B346" t="str">
        <f>HYPERLINK("https://www.suredividend.com/sure-analysis-research-database/","Cerence Inc")</f>
        <v>Cerence Inc</v>
      </c>
      <c r="C346">
        <v>-0.134133611691023</v>
      </c>
      <c r="D346">
        <v>-0.36509758897818601</v>
      </c>
      <c r="E346">
        <v>-0.35472578763127111</v>
      </c>
      <c r="F346">
        <v>-0.10469508904479199</v>
      </c>
      <c r="G346">
        <v>1.7791411042943999E-2</v>
      </c>
      <c r="H346">
        <v>-0.84898962315674509</v>
      </c>
      <c r="I346">
        <v>8.0781758957654007E-2</v>
      </c>
    </row>
    <row r="347" spans="1:9" x14ac:dyDescent="0.25">
      <c r="A347" s="1" t="s">
        <v>359</v>
      </c>
      <c r="B347" t="str">
        <f>HYPERLINK("https://www.suredividend.com/sure-analysis-research-database/","Crinetics Pharmaceuticals Inc")</f>
        <v>Crinetics Pharmaceuticals Inc</v>
      </c>
      <c r="C347">
        <v>0.19828259172521401</v>
      </c>
      <c r="D347">
        <v>0.64171122994652408</v>
      </c>
      <c r="E347">
        <v>0.43659335517080011</v>
      </c>
      <c r="F347">
        <v>0.67759562841530008</v>
      </c>
      <c r="G347">
        <v>0.71700223713646505</v>
      </c>
      <c r="H347">
        <v>0.11151339608979</v>
      </c>
      <c r="I347">
        <v>0.16597037599696099</v>
      </c>
    </row>
    <row r="348" spans="1:9" x14ac:dyDescent="0.25">
      <c r="A348" s="1" t="s">
        <v>360</v>
      </c>
      <c r="B348" t="str">
        <f>HYPERLINK("https://www.suredividend.com/sure-analysis-research-database/","Crocs Inc")</f>
        <v>Crocs Inc</v>
      </c>
      <c r="C348">
        <v>-1.8247748274651001E-2</v>
      </c>
      <c r="D348">
        <v>-0.207534699272967</v>
      </c>
      <c r="E348">
        <v>-0.23595812471552099</v>
      </c>
      <c r="F348">
        <v>-0.22595222724338199</v>
      </c>
      <c r="G348">
        <v>-1.6982899976575001E-2</v>
      </c>
      <c r="H348">
        <v>-0.52694172021192609</v>
      </c>
      <c r="I348">
        <v>2.9833887043189371</v>
      </c>
    </row>
    <row r="349" spans="1:9" x14ac:dyDescent="0.25">
      <c r="A349" s="1" t="s">
        <v>361</v>
      </c>
      <c r="B349" t="str">
        <f>HYPERLINK("https://www.suredividend.com/sure-analysis-research-database/","Carpenter Technology Corp.")</f>
        <v>Carpenter Technology Corp.</v>
      </c>
      <c r="C349">
        <v>2.4031318611250001E-2</v>
      </c>
      <c r="D349">
        <v>0.15590996909480001</v>
      </c>
      <c r="E349">
        <v>0.34957002071433002</v>
      </c>
      <c r="F349">
        <v>0.83084276453137007</v>
      </c>
      <c r="G349">
        <v>0.74442190669371111</v>
      </c>
      <c r="H349">
        <v>1.220253105522817</v>
      </c>
      <c r="I349">
        <v>0.62537189679559102</v>
      </c>
    </row>
    <row r="350" spans="1:9" x14ac:dyDescent="0.25">
      <c r="A350" s="1" t="s">
        <v>362</v>
      </c>
      <c r="B350" t="str">
        <f>HYPERLINK("https://www.suredividend.com/sure-analysis-research-database/","Corsair Gaming Inc")</f>
        <v>Corsair Gaming Inc</v>
      </c>
      <c r="C350">
        <v>-8.3275017494751011E-2</v>
      </c>
      <c r="D350">
        <v>-0.20557913887204299</v>
      </c>
      <c r="E350">
        <v>-0.23969820081253601</v>
      </c>
      <c r="F350">
        <v>-3.4635224760501002E-2</v>
      </c>
      <c r="G350">
        <v>-0.12666666666666601</v>
      </c>
      <c r="H350">
        <v>-0.50621937429325303</v>
      </c>
      <c r="I350">
        <v>-8.0701754385964011E-2</v>
      </c>
    </row>
    <row r="351" spans="1:9" x14ac:dyDescent="0.25">
      <c r="A351" s="1" t="s">
        <v>363</v>
      </c>
      <c r="B351" t="str">
        <f>HYPERLINK("https://www.suredividend.com/sure-analysis-research-database/","Corvel Corp.")</f>
        <v>Corvel Corp.</v>
      </c>
      <c r="C351">
        <v>1.6238228556884001E-2</v>
      </c>
      <c r="D351">
        <v>-6.5049407577389001E-2</v>
      </c>
      <c r="E351">
        <v>-3.2892505934214999E-2</v>
      </c>
      <c r="F351">
        <v>0.37370123167962499</v>
      </c>
      <c r="G351">
        <v>0.26997455470737902</v>
      </c>
      <c r="H351">
        <v>8.8549618320610007E-2</v>
      </c>
      <c r="I351">
        <v>2.340137192571524</v>
      </c>
    </row>
    <row r="352" spans="1:9" x14ac:dyDescent="0.25">
      <c r="A352" s="1" t="s">
        <v>364</v>
      </c>
      <c r="B352" t="str">
        <f>HYPERLINK("https://www.suredividend.com/sure-analysis-research-database/","CSG Systems International Inc.")</f>
        <v>CSG Systems International Inc.</v>
      </c>
      <c r="C352">
        <v>-3.4449202024132999E-2</v>
      </c>
      <c r="D352">
        <v>-8.1172084374369E-2</v>
      </c>
      <c r="E352">
        <v>2.0364089601171E-2</v>
      </c>
      <c r="F352">
        <v>-0.108649210972185</v>
      </c>
      <c r="G352">
        <v>-0.116371441039479</v>
      </c>
      <c r="H352">
        <v>-2.0608482268887E-2</v>
      </c>
      <c r="I352">
        <v>0.54671156214438199</v>
      </c>
    </row>
    <row r="353" spans="1:9" x14ac:dyDescent="0.25">
      <c r="A353" s="1" t="s">
        <v>365</v>
      </c>
      <c r="B353" t="str">
        <f>HYPERLINK("https://www.suredividend.com/sure-analysis-research-database/","Centerspace")</f>
        <v>Centerspace</v>
      </c>
      <c r="C353">
        <v>-0.122713151536071</v>
      </c>
      <c r="D353">
        <v>-0.19729261945069099</v>
      </c>
      <c r="E353">
        <v>-9.8381592297486012E-2</v>
      </c>
      <c r="F353">
        <v>-9.9770824994598009E-2</v>
      </c>
      <c r="G353">
        <v>-0.14657918109881901</v>
      </c>
      <c r="H353">
        <v>-0.42979066148994799</v>
      </c>
      <c r="I353">
        <v>4.3904362505698007E-2</v>
      </c>
    </row>
    <row r="354" spans="1:9" x14ac:dyDescent="0.25">
      <c r="A354" s="1" t="s">
        <v>366</v>
      </c>
      <c r="B354" t="str">
        <f>HYPERLINK("https://www.suredividend.com/sure-analysis-research-database/","Caesarstone Ltd")</f>
        <v>Caesarstone Ltd</v>
      </c>
      <c r="C354">
        <v>-5.3364269141531001E-2</v>
      </c>
      <c r="D354">
        <v>-0.24022346368715</v>
      </c>
      <c r="E354">
        <v>-0.128205128205128</v>
      </c>
      <c r="F354">
        <v>-0.28546409807355499</v>
      </c>
      <c r="G354">
        <v>-0.50665054413542909</v>
      </c>
      <c r="H354">
        <v>-0.677646185084815</v>
      </c>
      <c r="I354">
        <v>-0.7298567843687721</v>
      </c>
    </row>
    <row r="355" spans="1:9" x14ac:dyDescent="0.25">
      <c r="A355" s="1" t="s">
        <v>367</v>
      </c>
      <c r="B355" t="str">
        <f>HYPERLINK("https://www.suredividend.com/sure-analysis-research-database/","Castle Biosciences Inc")</f>
        <v>Castle Biosciences Inc</v>
      </c>
      <c r="C355">
        <v>0.166774821544451</v>
      </c>
      <c r="D355">
        <v>-2.8108108108108001E-2</v>
      </c>
      <c r="E355">
        <v>-0.183098591549295</v>
      </c>
      <c r="F355">
        <v>-0.23619371282922599</v>
      </c>
      <c r="G355">
        <v>-0.180492251595259</v>
      </c>
      <c r="H355">
        <v>-0.69998331386617707</v>
      </c>
      <c r="I355">
        <v>-0.15981308411214901</v>
      </c>
    </row>
    <row r="356" spans="1:9" x14ac:dyDescent="0.25">
      <c r="A356" s="1" t="s">
        <v>368</v>
      </c>
      <c r="B356" t="str">
        <f>HYPERLINK("https://www.suredividend.com/sure-analysis-research-database/","Constellium SE")</f>
        <v>Constellium SE</v>
      </c>
      <c r="C356">
        <v>-9.8722415795580009E-3</v>
      </c>
      <c r="D356">
        <v>-6.3701263042284004E-2</v>
      </c>
      <c r="E356">
        <v>0.17829993089149901</v>
      </c>
      <c r="F356">
        <v>0.44125105663567199</v>
      </c>
      <c r="G356">
        <v>0.49038461538461497</v>
      </c>
      <c r="H356">
        <v>-0.112903225806451</v>
      </c>
      <c r="I356">
        <v>0.79852320675105404</v>
      </c>
    </row>
    <row r="357" spans="1:9" x14ac:dyDescent="0.25">
      <c r="A357" s="1" t="s">
        <v>369</v>
      </c>
      <c r="B357" t="str">
        <f>HYPERLINK("https://www.suredividend.com/sure-analysis-research-database/","CapStar Financial Holdings Inc")</f>
        <v>CapStar Financial Holdings Inc</v>
      </c>
      <c r="C357">
        <v>0.12786657400972801</v>
      </c>
      <c r="D357">
        <v>0.13224922040141401</v>
      </c>
      <c r="E357">
        <v>0.47343192526622502</v>
      </c>
      <c r="F357">
        <v>-4.4760307230511012E-2</v>
      </c>
      <c r="G357">
        <v>-2.8783436060079999E-2</v>
      </c>
      <c r="H357">
        <v>-0.22821233433670399</v>
      </c>
      <c r="I357">
        <v>0.199929024530896</v>
      </c>
    </row>
    <row r="358" spans="1:9" x14ac:dyDescent="0.25">
      <c r="A358" s="1" t="s">
        <v>370</v>
      </c>
      <c r="B358" t="str">
        <f>HYPERLINK("https://www.suredividend.com/sure-analysis-research-database/","Carriage Services, Inc.")</f>
        <v>Carriage Services, Inc.</v>
      </c>
      <c r="C358">
        <v>-7.2833421065224002E-2</v>
      </c>
      <c r="D358">
        <v>-0.249208035573007</v>
      </c>
      <c r="E358">
        <v>-0.119378224211985</v>
      </c>
      <c r="F358">
        <v>-0.142006266121978</v>
      </c>
      <c r="G358">
        <v>-1.5452108626333E-2</v>
      </c>
      <c r="H358">
        <v>-0.50462245839361308</v>
      </c>
      <c r="I358">
        <v>0.63171635506147905</v>
      </c>
    </row>
    <row r="359" spans="1:9" x14ac:dyDescent="0.25">
      <c r="A359" s="1" t="s">
        <v>371</v>
      </c>
      <c r="B359" t="str">
        <f>HYPERLINK("https://www.suredividend.com/sure-analysis-research-database/","CSW Industrials Inc")</f>
        <v>CSW Industrials Inc</v>
      </c>
      <c r="C359">
        <v>-6.0117774787900001E-3</v>
      </c>
      <c r="D359">
        <v>-3.4546632504185999E-2</v>
      </c>
      <c r="E359">
        <v>0.315934343548603</v>
      </c>
      <c r="F359">
        <v>0.51638258028355</v>
      </c>
      <c r="G359">
        <v>0.40826883811768111</v>
      </c>
      <c r="H359">
        <v>0.31545817898372702</v>
      </c>
      <c r="I359">
        <v>2.866333430822543</v>
      </c>
    </row>
    <row r="360" spans="1:9" x14ac:dyDescent="0.25">
      <c r="A360" s="1" t="s">
        <v>372</v>
      </c>
      <c r="B360" t="str">
        <f>HYPERLINK("https://www.suredividend.com/sure-analysis-CTBI/","Community Trust Bancorp, Inc.")</f>
        <v>Community Trust Bancorp, Inc.</v>
      </c>
      <c r="C360">
        <v>0.15691951360741099</v>
      </c>
      <c r="D360">
        <v>4.4320916995303002E-2</v>
      </c>
      <c r="E360">
        <v>0.25239368287110298</v>
      </c>
      <c r="F360">
        <v>-7.6295751792624003E-2</v>
      </c>
      <c r="G360">
        <v>-9.0756019531907012E-2</v>
      </c>
      <c r="H360">
        <v>-4.1692314210020004E-3</v>
      </c>
      <c r="I360">
        <v>9.025428353159401E-2</v>
      </c>
    </row>
    <row r="361" spans="1:9" x14ac:dyDescent="0.25">
      <c r="A361" s="1" t="s">
        <v>373</v>
      </c>
      <c r="B361" t="str">
        <f>HYPERLINK("https://www.suredividend.com/sure-analysis-research-database/","CTI BioPharma Corp")</f>
        <v>CTI BioPharma Corp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 s="1" t="s">
        <v>374</v>
      </c>
      <c r="B362" t="str">
        <f>HYPERLINK("https://www.suredividend.com/sure-analysis-research-database/","Cytek BioSciences Inc")</f>
        <v>Cytek BioSciences Inc</v>
      </c>
      <c r="C362">
        <v>-0.19152854511970499</v>
      </c>
      <c r="D362">
        <v>-0.51705170517051702</v>
      </c>
      <c r="E362">
        <v>-0.63386155129274302</v>
      </c>
      <c r="F362">
        <v>-0.57002938295788408</v>
      </c>
      <c r="G362">
        <v>-0.70397842211732908</v>
      </c>
      <c r="H362">
        <v>-0.8191927512355841</v>
      </c>
      <c r="I362">
        <v>-0.76599147121535105</v>
      </c>
    </row>
    <row r="363" spans="1:9" x14ac:dyDescent="0.25">
      <c r="A363" s="1" t="s">
        <v>375</v>
      </c>
      <c r="B363" t="str">
        <f>HYPERLINK("https://www.suredividend.com/sure-analysis-research-database/","Cantaloupe Inc")</f>
        <v>Cantaloupe Inc</v>
      </c>
      <c r="C363">
        <v>-1.7341040462427001E-2</v>
      </c>
      <c r="D363">
        <v>-8.3557951482479006E-2</v>
      </c>
      <c r="E363">
        <v>0.24314442413162701</v>
      </c>
      <c r="F363">
        <v>0.56321839080459701</v>
      </c>
      <c r="G363">
        <v>1.0178041543026699</v>
      </c>
      <c r="H363">
        <v>-0.44032921810699499</v>
      </c>
      <c r="I363">
        <v>0.14671163575042101</v>
      </c>
    </row>
    <row r="364" spans="1:9" x14ac:dyDescent="0.25">
      <c r="A364" s="1" t="s">
        <v>376</v>
      </c>
      <c r="B364" t="str">
        <f>HYPERLINK("https://www.suredividend.com/sure-analysis-CTO/","CTO Realty Growth Inc")</f>
        <v>CTO Realty Growth Inc</v>
      </c>
      <c r="C364">
        <v>6.2146892655367013E-2</v>
      </c>
      <c r="D364">
        <v>-2.2919806662855001E-2</v>
      </c>
      <c r="E364">
        <v>8.3129553049022004E-2</v>
      </c>
      <c r="F364">
        <v>-1.0404786552734E-2</v>
      </c>
      <c r="G364">
        <v>-9.6313149925493002E-2</v>
      </c>
      <c r="H364">
        <v>9.5904607074155004E-2</v>
      </c>
      <c r="I364">
        <v>0.34112219905994601</v>
      </c>
    </row>
    <row r="365" spans="1:9" x14ac:dyDescent="0.25">
      <c r="A365" s="1" t="s">
        <v>377</v>
      </c>
      <c r="B365" t="str">
        <f>HYPERLINK("https://www.suredividend.com/sure-analysis-research-database/","Custom Truck One Source Inc")</f>
        <v>Custom Truck One Source Inc</v>
      </c>
      <c r="C365">
        <v>5.5091819699499008E-2</v>
      </c>
      <c r="D365">
        <v>-6.2314540059347008E-2</v>
      </c>
      <c r="E365">
        <v>4.6357615894039E-2</v>
      </c>
      <c r="F365">
        <v>0</v>
      </c>
      <c r="G365">
        <v>-7.0588235294117008E-2</v>
      </c>
      <c r="H365">
        <v>-0.369261477045908</v>
      </c>
      <c r="I365">
        <v>-0.27771428571428503</v>
      </c>
    </row>
    <row r="366" spans="1:9" x14ac:dyDescent="0.25">
      <c r="A366" s="1" t="s">
        <v>378</v>
      </c>
      <c r="B366" t="str">
        <f>HYPERLINK("https://www.suredividend.com/sure-analysis-CTRE/","CareTrust REIT Inc")</f>
        <v>CareTrust REIT Inc</v>
      </c>
      <c r="C366">
        <v>6.2224399804017012E-2</v>
      </c>
      <c r="D366">
        <v>7.4517384085445004E-2</v>
      </c>
      <c r="E366">
        <v>0.14301982886335901</v>
      </c>
      <c r="F366">
        <v>0.21810755080598401</v>
      </c>
      <c r="G366">
        <v>0.207147112702327</v>
      </c>
      <c r="H366">
        <v>0.222869004106312</v>
      </c>
      <c r="I366">
        <v>0.620655887211918</v>
      </c>
    </row>
    <row r="367" spans="1:9" x14ac:dyDescent="0.25">
      <c r="A367" s="1" t="s">
        <v>379</v>
      </c>
      <c r="B367" t="str">
        <f>HYPERLINK("https://www.suredividend.com/sure-analysis-research-database/","Citi Trends Inc")</f>
        <v>Citi Trends Inc</v>
      </c>
      <c r="C367">
        <v>0.12849413886384101</v>
      </c>
      <c r="D367">
        <v>0.19020446980503999</v>
      </c>
      <c r="E367">
        <v>0.58719086873810999</v>
      </c>
      <c r="F367">
        <v>-5.4758308157099013E-2</v>
      </c>
      <c r="G367">
        <v>0.143444495203289</v>
      </c>
      <c r="H367">
        <v>-0.70539077212806001</v>
      </c>
      <c r="I367">
        <v>-2.9358222094750001E-3</v>
      </c>
    </row>
    <row r="368" spans="1:9" x14ac:dyDescent="0.25">
      <c r="A368" s="1" t="s">
        <v>380</v>
      </c>
      <c r="B368" t="str">
        <f>HYPERLINK("https://www.suredividend.com/sure-analysis-research-database/","CTS Corp.")</f>
        <v>CTS Corp.</v>
      </c>
      <c r="C368">
        <v>-2.5131641933938999E-2</v>
      </c>
      <c r="D368">
        <v>-9.979998010851901E-2</v>
      </c>
      <c r="E368">
        <v>5.9099990862090009E-3</v>
      </c>
      <c r="F368">
        <v>3.6189022451186E-2</v>
      </c>
      <c r="G368">
        <v>-7.8292092352510011E-3</v>
      </c>
      <c r="H368">
        <v>0.119149742950015</v>
      </c>
      <c r="I368">
        <v>0.50166093358846409</v>
      </c>
    </row>
    <row r="369" spans="1:9" x14ac:dyDescent="0.25">
      <c r="A369" s="1" t="s">
        <v>381</v>
      </c>
      <c r="B369" t="str">
        <f>HYPERLINK("https://www.suredividend.com/sure-analysis-research-database/","Innovid Corp")</f>
        <v>Innovid Corp</v>
      </c>
      <c r="C369">
        <v>-6.0869565217391002E-2</v>
      </c>
      <c r="D369">
        <v>-3.5714285714284998E-2</v>
      </c>
      <c r="E369">
        <v>0.19231618458820901</v>
      </c>
      <c r="F369">
        <v>-0.36842105263157798</v>
      </c>
      <c r="G369">
        <v>-0.67371601208459209</v>
      </c>
      <c r="H369">
        <v>-0.88865979381443205</v>
      </c>
      <c r="I369">
        <v>-0.88865979381443205</v>
      </c>
    </row>
    <row r="370" spans="1:9" x14ac:dyDescent="0.25">
      <c r="A370" s="1" t="s">
        <v>382</v>
      </c>
      <c r="B370" t="str">
        <f>HYPERLINK("https://www.suredividend.com/sure-analysis-research-database/","Customers Bancorp Inc")</f>
        <v>Customers Bancorp Inc</v>
      </c>
      <c r="C370">
        <v>0.36875957120980002</v>
      </c>
      <c r="D370">
        <v>8.6290714632960008E-2</v>
      </c>
      <c r="E370">
        <v>1.7896379525593</v>
      </c>
      <c r="F370">
        <v>0.57692307692307609</v>
      </c>
      <c r="G370">
        <v>0.35301241295791602</v>
      </c>
      <c r="H370">
        <v>-0.228151986183074</v>
      </c>
      <c r="I370">
        <v>1.454995413020429</v>
      </c>
    </row>
    <row r="371" spans="1:9" x14ac:dyDescent="0.25">
      <c r="A371" s="1" t="s">
        <v>383</v>
      </c>
      <c r="B371" t="str">
        <f>HYPERLINK("https://www.suredividend.com/sure-analysis-research-database/","CURO Group Holdings Corp")</f>
        <v>CURO Group Holdings Corp</v>
      </c>
      <c r="C371">
        <v>-0.264607843137254</v>
      </c>
      <c r="D371">
        <v>-0.52222929936305706</v>
      </c>
      <c r="E371">
        <v>-0.52525316455696203</v>
      </c>
      <c r="F371">
        <v>-0.78870422535211204</v>
      </c>
      <c r="G371">
        <v>-0.77938235294117608</v>
      </c>
      <c r="H371">
        <v>-0.95292929039383512</v>
      </c>
      <c r="I371">
        <v>-0.94655389855144711</v>
      </c>
    </row>
    <row r="372" spans="1:9" x14ac:dyDescent="0.25">
      <c r="A372" s="1" t="s">
        <v>384</v>
      </c>
      <c r="B372" t="str">
        <f>HYPERLINK("https://www.suredividend.com/sure-analysis-research-database/","Torrid Holdings Inc")</f>
        <v>Torrid Holdings Inc</v>
      </c>
      <c r="C372">
        <v>0.35858585858585801</v>
      </c>
      <c r="D372">
        <v>-2.5362318840579001E-2</v>
      </c>
      <c r="E372">
        <v>-0.24438202247190999</v>
      </c>
      <c r="F372">
        <v>-9.1216216216216006E-2</v>
      </c>
      <c r="G372">
        <v>-0.38584474885844711</v>
      </c>
      <c r="H372">
        <v>-0.85380434782608605</v>
      </c>
      <c r="I372">
        <v>-0.88861283643892308</v>
      </c>
    </row>
    <row r="373" spans="1:9" x14ac:dyDescent="0.25">
      <c r="A373" s="1" t="s">
        <v>385</v>
      </c>
      <c r="B373" t="str">
        <f>HYPERLINK("https://www.suredividend.com/sure-analysis-research-database/","Cutera Inc")</f>
        <v>Cutera Inc</v>
      </c>
      <c r="C373">
        <v>-0.31868131868131799</v>
      </c>
      <c r="D373">
        <v>-0.83342289091886002</v>
      </c>
      <c r="E373">
        <v>-0.84914841849148404</v>
      </c>
      <c r="F373">
        <v>-0.92989597467209406</v>
      </c>
      <c r="G373">
        <v>-0.92922374429223709</v>
      </c>
      <c r="H373">
        <v>-0.93126385809312606</v>
      </c>
      <c r="I373">
        <v>-0.85459662288930505</v>
      </c>
    </row>
    <row r="374" spans="1:9" x14ac:dyDescent="0.25">
      <c r="A374" s="1" t="s">
        <v>386</v>
      </c>
      <c r="B374" t="str">
        <f>HYPERLINK("https://www.suredividend.com/sure-analysis-research-database/","CVB Financial Corp.")</f>
        <v>CVB Financial Corp.</v>
      </c>
      <c r="C374">
        <v>0.103944896681277</v>
      </c>
      <c r="D374">
        <v>-7.6973015989361002E-2</v>
      </c>
      <c r="E374">
        <v>0.53655751849882705</v>
      </c>
      <c r="F374">
        <v>-0.27763368693635498</v>
      </c>
      <c r="G374">
        <v>-0.34069797011263803</v>
      </c>
      <c r="H374">
        <v>-6.0565046412243008E-2</v>
      </c>
      <c r="I374">
        <v>-4.2196591458545013E-2</v>
      </c>
    </row>
    <row r="375" spans="1:9" x14ac:dyDescent="0.25">
      <c r="A375" s="1" t="s">
        <v>387</v>
      </c>
      <c r="B375" t="str">
        <f>HYPERLINK("https://www.suredividend.com/sure-analysis-research-database/","Cavco Industries Inc")</f>
        <v>Cavco Industries Inc</v>
      </c>
      <c r="C375">
        <v>5.9191982461634013E-2</v>
      </c>
      <c r="D375">
        <v>-6.7066652874037999E-2</v>
      </c>
      <c r="E375">
        <v>-7.5356276272171008E-2</v>
      </c>
      <c r="F375">
        <v>0.19584530386740301</v>
      </c>
      <c r="G375">
        <v>0.34219664649270698</v>
      </c>
      <c r="H375">
        <v>2.9371480748743999E-2</v>
      </c>
      <c r="I375">
        <v>0.30705314009661799</v>
      </c>
    </row>
    <row r="376" spans="1:9" x14ac:dyDescent="0.25">
      <c r="A376" s="1" t="s">
        <v>388</v>
      </c>
      <c r="B376" t="str">
        <f>HYPERLINK("https://www.suredividend.com/sure-analysis-research-database/","Calavo Growers, Inc")</f>
        <v>Calavo Growers, Inc</v>
      </c>
      <c r="C376">
        <v>1.9090170593013E-2</v>
      </c>
      <c r="D376">
        <v>-0.32582035490493211</v>
      </c>
      <c r="E376">
        <v>-0.18014037931169599</v>
      </c>
      <c r="F376">
        <v>-0.13118756168083501</v>
      </c>
      <c r="G376">
        <v>-0.26168532316348198</v>
      </c>
      <c r="H376">
        <v>-0.36791295387956302</v>
      </c>
      <c r="I376">
        <v>-0.7205032945855171</v>
      </c>
    </row>
    <row r="377" spans="1:9" x14ac:dyDescent="0.25">
      <c r="A377" s="1" t="s">
        <v>389</v>
      </c>
      <c r="B377" t="str">
        <f>HYPERLINK("https://www.suredividend.com/sure-analysis-research-database/","CVR Energy Inc")</f>
        <v>CVR Energy Inc</v>
      </c>
      <c r="C377">
        <v>6.9462647444298004E-2</v>
      </c>
      <c r="D377">
        <v>-8.9664174213287012E-2</v>
      </c>
      <c r="E377">
        <v>0.45213816667556411</v>
      </c>
      <c r="F377">
        <v>9.3826448884390012E-2</v>
      </c>
      <c r="G377">
        <v>-0.106164833720369</v>
      </c>
      <c r="H377">
        <v>1.0644116679737889</v>
      </c>
      <c r="I377">
        <v>7.2167657589593009E-2</v>
      </c>
    </row>
    <row r="378" spans="1:9" x14ac:dyDescent="0.25">
      <c r="A378" s="1" t="s">
        <v>390</v>
      </c>
      <c r="B378" t="str">
        <f>HYPERLINK("https://www.suredividend.com/sure-analysis-research-database/","Covenant Logistics Group Inc")</f>
        <v>Covenant Logistics Group Inc</v>
      </c>
      <c r="C378">
        <v>-6.2600321027287006E-2</v>
      </c>
      <c r="D378">
        <v>-0.26665016270751002</v>
      </c>
      <c r="E378">
        <v>7.0720457622990007E-2</v>
      </c>
      <c r="F378">
        <v>0.19836660989473201</v>
      </c>
      <c r="G378">
        <v>0.11000086888522</v>
      </c>
      <c r="H378">
        <v>0.39027757939342</v>
      </c>
      <c r="I378">
        <v>0.61198738170347</v>
      </c>
    </row>
    <row r="379" spans="1:9" x14ac:dyDescent="0.25">
      <c r="A379" s="1" t="s">
        <v>391</v>
      </c>
      <c r="B379" t="str">
        <f>HYPERLINK("https://www.suredividend.com/sure-analysis-research-database/","Commvault Systems Inc")</f>
        <v>Commvault Systems Inc</v>
      </c>
      <c r="C379">
        <v>-6.0445230723860004E-3</v>
      </c>
      <c r="D379">
        <v>-4.9753347427766013E-2</v>
      </c>
      <c r="E379">
        <v>0.10797041906327</v>
      </c>
      <c r="F379">
        <v>7.2883513685550003E-2</v>
      </c>
      <c r="G379">
        <v>6.1899511734131003E-2</v>
      </c>
      <c r="H379">
        <v>2.2444646648468E-2</v>
      </c>
      <c r="I379">
        <v>0.15464976879602599</v>
      </c>
    </row>
    <row r="380" spans="1:9" x14ac:dyDescent="0.25">
      <c r="A380" s="1" t="s">
        <v>392</v>
      </c>
      <c r="B380" t="str">
        <f>HYPERLINK("https://www.suredividend.com/sure-analysis-research-database/","Cvent Holding Corp")</f>
        <v>Cvent Holding Corp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 s="1" t="s">
        <v>393</v>
      </c>
      <c r="B381" t="str">
        <f>HYPERLINK("https://www.suredividend.com/sure-analysis-CWEN/","Clearway Energy Inc")</f>
        <v>Clearway Energy Inc</v>
      </c>
      <c r="C381">
        <v>0.18681888946549</v>
      </c>
      <c r="D381">
        <v>-6.8204041720990011E-2</v>
      </c>
      <c r="E381">
        <v>-0.19779437298527799</v>
      </c>
      <c r="F381">
        <v>-0.25260949417970002</v>
      </c>
      <c r="G381">
        <v>-0.32654677805490601</v>
      </c>
      <c r="H381">
        <v>-0.31989579863919598</v>
      </c>
      <c r="I381">
        <v>0.48241776049262602</v>
      </c>
    </row>
    <row r="382" spans="1:9" x14ac:dyDescent="0.25">
      <c r="A382" s="1" t="s">
        <v>394</v>
      </c>
      <c r="B382" t="str">
        <f>HYPERLINK("https://www.suredividend.com/sure-analysis-CWH/","Camping World Holdings Inc")</f>
        <v>Camping World Holdings Inc</v>
      </c>
      <c r="C382">
        <v>3.0156165858911999E-2</v>
      </c>
      <c r="D382">
        <v>-0.29862254307073499</v>
      </c>
      <c r="E382">
        <v>-0.167833932191298</v>
      </c>
      <c r="F382">
        <v>-9.3257494963858004E-2</v>
      </c>
      <c r="G382">
        <v>-0.19873338722580799</v>
      </c>
      <c r="H382">
        <v>-0.47346691621710801</v>
      </c>
      <c r="I382">
        <v>0.26983073348821701</v>
      </c>
    </row>
    <row r="383" spans="1:9" x14ac:dyDescent="0.25">
      <c r="A383" s="1" t="s">
        <v>395</v>
      </c>
      <c r="B383" t="str">
        <f>HYPERLINK("https://www.suredividend.com/sure-analysis-research-database/","Cushman &amp; Wakefield plc")</f>
        <v>Cushman &amp; Wakefield plc</v>
      </c>
      <c r="C383">
        <v>0.216494845360824</v>
      </c>
      <c r="D383">
        <v>-0.19961240310077499</v>
      </c>
      <c r="E383">
        <v>-7.606263982102901E-2</v>
      </c>
      <c r="F383">
        <v>-0.33707865168539303</v>
      </c>
      <c r="G383">
        <v>-0.22001888574126499</v>
      </c>
      <c r="H383">
        <v>-0.5634249471458771</v>
      </c>
      <c r="I383">
        <v>-0.49756690997566899</v>
      </c>
    </row>
    <row r="384" spans="1:9" x14ac:dyDescent="0.25">
      <c r="A384" s="1" t="s">
        <v>396</v>
      </c>
      <c r="B384" t="str">
        <f>HYPERLINK("https://www.suredividend.com/sure-analysis-research-database/","Casella Waste Systems, Inc.")</f>
        <v>Casella Waste Systems, Inc.</v>
      </c>
      <c r="C384">
        <v>5.3241048848662001E-2</v>
      </c>
      <c r="D384">
        <v>-2.5852517542779001E-2</v>
      </c>
      <c r="E384">
        <v>-0.111497866606782</v>
      </c>
      <c r="F384">
        <v>-2.2695750851089999E-3</v>
      </c>
      <c r="G384">
        <v>-1.8116391611862001E-2</v>
      </c>
      <c r="H384">
        <v>-9.3065902578796003E-2</v>
      </c>
      <c r="I384">
        <v>1.628903654485049</v>
      </c>
    </row>
    <row r="385" spans="1:9" x14ac:dyDescent="0.25">
      <c r="A385" s="1" t="s">
        <v>397</v>
      </c>
      <c r="B385" t="str">
        <f>HYPERLINK("https://www.suredividend.com/sure-analysis-CWT/","California Water Service Group")</f>
        <v>California Water Service Group</v>
      </c>
      <c r="C385">
        <v>0.12354017919266901</v>
      </c>
      <c r="D385">
        <v>2.5072075380299999E-2</v>
      </c>
      <c r="E385">
        <v>-6.4234055603897E-2</v>
      </c>
      <c r="F385">
        <v>-0.118051377540559</v>
      </c>
      <c r="G385">
        <v>-0.105813236281355</v>
      </c>
      <c r="H385">
        <v>-0.12743185971072901</v>
      </c>
      <c r="I385">
        <v>0.36408768838082101</v>
      </c>
    </row>
    <row r="386" spans="1:9" x14ac:dyDescent="0.25">
      <c r="A386" s="1" t="s">
        <v>398</v>
      </c>
      <c r="B386" t="str">
        <f>HYPERLINK("https://www.suredividend.com/sure-analysis-research-database/","CoreCivic Inc")</f>
        <v>CoreCivic Inc</v>
      </c>
      <c r="C386">
        <v>0.204710144927536</v>
      </c>
      <c r="D386">
        <v>0.39705882352941102</v>
      </c>
      <c r="E386">
        <v>0.58900836320191108</v>
      </c>
      <c r="F386">
        <v>0.15051903114186799</v>
      </c>
      <c r="G386">
        <v>0.186440677966101</v>
      </c>
      <c r="H386">
        <v>0.45993413830954999</v>
      </c>
      <c r="I386">
        <v>-0.31435877079477598</v>
      </c>
    </row>
    <row r="387" spans="1:9" x14ac:dyDescent="0.25">
      <c r="A387" s="1" t="s">
        <v>399</v>
      </c>
      <c r="B387" t="str">
        <f>HYPERLINK("https://www.suredividend.com/sure-analysis-research-database/","Community Health Systems, Inc.")</f>
        <v>Community Health Systems, Inc.</v>
      </c>
      <c r="C387">
        <v>-0.128919860627177</v>
      </c>
      <c r="D387">
        <v>-0.44690265486725611</v>
      </c>
      <c r="E387">
        <v>-0.30362116991643401</v>
      </c>
      <c r="F387">
        <v>-0.42129629629629611</v>
      </c>
      <c r="G387">
        <v>-0.14965986394557801</v>
      </c>
      <c r="H387">
        <v>-0.81725146198830412</v>
      </c>
      <c r="I387">
        <v>-0.30555555555555503</v>
      </c>
    </row>
    <row r="388" spans="1:9" x14ac:dyDescent="0.25">
      <c r="A388" s="1" t="s">
        <v>400</v>
      </c>
      <c r="B388" t="str">
        <f>HYPERLINK("https://www.suredividend.com/sure-analysis-research-database/","CryoPort Inc")</f>
        <v>CryoPort Inc</v>
      </c>
      <c r="C388">
        <v>-0.192</v>
      </c>
      <c r="D388">
        <v>-0.28923293455313098</v>
      </c>
      <c r="E388">
        <v>-0.51927653498334103</v>
      </c>
      <c r="F388">
        <v>-0.41786743515850111</v>
      </c>
      <c r="G388">
        <v>-0.43888888888888811</v>
      </c>
      <c r="H388">
        <v>-0.87873694321046902</v>
      </c>
      <c r="I388">
        <v>-0.12250217202432601</v>
      </c>
    </row>
    <row r="389" spans="1:9" x14ac:dyDescent="0.25">
      <c r="A389" s="1" t="s">
        <v>401</v>
      </c>
      <c r="B389" t="str">
        <f>HYPERLINK("https://www.suredividend.com/sure-analysis-research-database/","Cytokinetics Inc")</f>
        <v>Cytokinetics Inc</v>
      </c>
      <c r="C389">
        <v>0.34269870609981501</v>
      </c>
      <c r="D389">
        <v>9.4305513708948005E-2</v>
      </c>
      <c r="E389">
        <v>-7.5591753626877006E-2</v>
      </c>
      <c r="F389">
        <v>-0.20733304233958899</v>
      </c>
      <c r="G389">
        <v>-3.7880794701986013E-2</v>
      </c>
      <c r="H389">
        <v>-6.8001026430587003E-2</v>
      </c>
      <c r="I389">
        <v>3.9081081081081082</v>
      </c>
    </row>
    <row r="390" spans="1:9" x14ac:dyDescent="0.25">
      <c r="A390" s="1" t="s">
        <v>402</v>
      </c>
      <c r="B390" t="str">
        <f>HYPERLINK("https://www.suredividend.com/sure-analysis-research-database/","Citizens &amp; Northern Corp")</f>
        <v>Citizens &amp; Northern Corp</v>
      </c>
      <c r="C390">
        <v>0.106767821621871</v>
      </c>
      <c r="D390">
        <v>-5.6180440153259008E-2</v>
      </c>
      <c r="E390">
        <v>0.14925274553718801</v>
      </c>
      <c r="F390">
        <v>-7.5768623455389011E-2</v>
      </c>
      <c r="G390">
        <v>-0.11893867555400001</v>
      </c>
      <c r="H390">
        <v>-0.16743876499066901</v>
      </c>
      <c r="I390">
        <v>-1.0274734082435E-2</v>
      </c>
    </row>
    <row r="391" spans="1:9" x14ac:dyDescent="0.25">
      <c r="A391" s="1" t="s">
        <v>403</v>
      </c>
      <c r="B391" t="str">
        <f>HYPERLINK("https://www.suredividend.com/sure-analysis-research-database/","Dana Inc")</f>
        <v>Dana Inc</v>
      </c>
      <c r="C391">
        <v>-0.11358734723220699</v>
      </c>
      <c r="D391">
        <v>-0.31224899598393502</v>
      </c>
      <c r="E391">
        <v>-6.5760461891663999E-2</v>
      </c>
      <c r="F391">
        <v>-0.16921024438559901</v>
      </c>
      <c r="G391">
        <v>-0.23640957677396901</v>
      </c>
      <c r="H391">
        <v>-0.44291833083331811</v>
      </c>
      <c r="I391">
        <v>-0.13013418368066801</v>
      </c>
    </row>
    <row r="392" spans="1:9" x14ac:dyDescent="0.25">
      <c r="A392" s="1" t="s">
        <v>404</v>
      </c>
      <c r="B392" t="str">
        <f>HYPERLINK("https://www.suredividend.com/sure-analysis-research-database/","Day One Biopharmaceuticals Inc")</f>
        <v>Day One Biopharmaceuticals Inc</v>
      </c>
      <c r="C392">
        <v>0.101899827288428</v>
      </c>
      <c r="D392">
        <v>-1.0852713178293999E-2</v>
      </c>
      <c r="E392">
        <v>-6.0382916053019008E-2</v>
      </c>
      <c r="F392">
        <v>-0.40706319702602201</v>
      </c>
      <c r="G392">
        <v>-0.33714285714285702</v>
      </c>
      <c r="H392">
        <v>-0.50847457627118609</v>
      </c>
      <c r="I392">
        <v>-0.50714561606797903</v>
      </c>
    </row>
    <row r="393" spans="1:9" x14ac:dyDescent="0.25">
      <c r="A393" s="1" t="s">
        <v>405</v>
      </c>
      <c r="B393" t="str">
        <f>HYPERLINK("https://www.suredividend.com/sure-analysis-research-database/","Designer Brands Inc")</f>
        <v>Designer Brands Inc</v>
      </c>
      <c r="C393">
        <v>-0.13888888888888801</v>
      </c>
      <c r="D393">
        <v>5.6547184326098003E-2</v>
      </c>
      <c r="E393">
        <v>0.46987103067085711</v>
      </c>
      <c r="F393">
        <v>0.12614950283353699</v>
      </c>
      <c r="G393">
        <v>-0.27564774449392099</v>
      </c>
      <c r="H393">
        <v>-0.24720738222437999</v>
      </c>
      <c r="I393">
        <v>-0.60041247744263904</v>
      </c>
    </row>
    <row r="394" spans="1:9" x14ac:dyDescent="0.25">
      <c r="A394" s="1" t="s">
        <v>406</v>
      </c>
      <c r="B394" t="str">
        <f>HYPERLINK("https://www.suredividend.com/sure-analysis-research-database/","DigitalBridge Group Inc")</f>
        <v>DigitalBridge Group Inc</v>
      </c>
      <c r="C394">
        <v>1.7587939698492001E-2</v>
      </c>
      <c r="D394">
        <v>9.9561728895340013E-3</v>
      </c>
      <c r="E394">
        <v>0.51887340846443708</v>
      </c>
      <c r="F394">
        <v>0.48406009527299299</v>
      </c>
      <c r="G394">
        <v>0.30742163540691397</v>
      </c>
      <c r="H394">
        <v>-0.45278774244543002</v>
      </c>
      <c r="I394">
        <v>1.7979274611398961</v>
      </c>
    </row>
    <row r="395" spans="1:9" x14ac:dyDescent="0.25">
      <c r="A395" s="1" t="s">
        <v>407</v>
      </c>
      <c r="B395" t="str">
        <f>HYPERLINK("https://www.suredividend.com/sure-analysis-research-database/","Dakota Gold Corp")</f>
        <v>Dakota Gold Corp</v>
      </c>
      <c r="C395">
        <v>0.183673469387755</v>
      </c>
      <c r="D395">
        <v>-3.3333333333333E-2</v>
      </c>
      <c r="E395">
        <v>-0.16184971098265899</v>
      </c>
      <c r="F395">
        <v>-4.9180327868852007E-2</v>
      </c>
      <c r="G395">
        <v>-0.24281984334203599</v>
      </c>
      <c r="H395">
        <v>-0.57971014492753603</v>
      </c>
      <c r="I395">
        <v>-0.57971014492753603</v>
      </c>
    </row>
    <row r="396" spans="1:9" x14ac:dyDescent="0.25">
      <c r="A396" s="1" t="s">
        <v>408</v>
      </c>
      <c r="B396" t="str">
        <f>HYPERLINK("https://www.suredividend.com/sure-analysis-research-database/","DocGo Inc")</f>
        <v>DocGo Inc</v>
      </c>
      <c r="C396">
        <v>4.8611111111111001E-2</v>
      </c>
      <c r="D396">
        <v>-0.32513966480446899</v>
      </c>
      <c r="E396">
        <v>-0.29024676850763798</v>
      </c>
      <c r="F396">
        <v>-0.145685997171145</v>
      </c>
      <c r="G396">
        <v>-0.28436018957345899</v>
      </c>
      <c r="H396">
        <v>-0.401980198019802</v>
      </c>
      <c r="I396">
        <v>-0.401980198019802</v>
      </c>
    </row>
    <row r="397" spans="1:9" x14ac:dyDescent="0.25">
      <c r="A397" s="1" t="s">
        <v>409</v>
      </c>
      <c r="B397" t="str">
        <f>HYPERLINK("https://www.suredividend.com/sure-analysis-research-database/","Ducommun Inc.")</f>
        <v>Ducommun Inc.</v>
      </c>
      <c r="C397">
        <v>0.124507303501043</v>
      </c>
      <c r="D397">
        <v>0.1002722323049</v>
      </c>
      <c r="E397">
        <v>6.4328698900180002E-3</v>
      </c>
      <c r="F397">
        <v>-2.9223378702961999E-2</v>
      </c>
      <c r="G397">
        <v>3.6103396710104013E-2</v>
      </c>
      <c r="H397">
        <v>-6.2982998454403999E-2</v>
      </c>
      <c r="I397">
        <v>0.24646620406065201</v>
      </c>
    </row>
    <row r="398" spans="1:9" x14ac:dyDescent="0.25">
      <c r="A398" s="1" t="s">
        <v>410</v>
      </c>
      <c r="B398" t="str">
        <f>HYPERLINK("https://www.suredividend.com/sure-analysis-research-database/","Dime Community Bancshares Inc")</f>
        <v>Dime Community Bancshares Inc</v>
      </c>
      <c r="C398">
        <v>0.10019874217815</v>
      </c>
      <c r="D398">
        <v>-5.6838261545483007E-2</v>
      </c>
      <c r="E398">
        <v>0.24224711610576</v>
      </c>
      <c r="F398">
        <v>-0.29634687031136703</v>
      </c>
      <c r="G398">
        <v>-0.34086896651917498</v>
      </c>
      <c r="H398">
        <v>-0.37545449376501799</v>
      </c>
      <c r="I398">
        <v>-0.26548482576821397</v>
      </c>
    </row>
    <row r="399" spans="1:9" x14ac:dyDescent="0.25">
      <c r="A399" s="1" t="s">
        <v>411</v>
      </c>
      <c r="B399" t="str">
        <f>HYPERLINK("https://www.suredividend.com/sure-analysis-research-database/","Deciphera Pharmaceuticals Inc")</f>
        <v>Deciphera Pharmaceuticals Inc</v>
      </c>
      <c r="C399">
        <v>-2.4879614767255E-2</v>
      </c>
      <c r="D399">
        <v>-7.1100917431192012E-2</v>
      </c>
      <c r="E399">
        <v>-8.5090361445783011E-2</v>
      </c>
      <c r="F399">
        <v>-0.258694325808419</v>
      </c>
      <c r="G399">
        <v>-0.236329352608422</v>
      </c>
      <c r="H399">
        <v>-0.66249999999999998</v>
      </c>
      <c r="I399">
        <v>-0.40470357667809898</v>
      </c>
    </row>
    <row r="400" spans="1:9" x14ac:dyDescent="0.25">
      <c r="A400" s="1" t="s">
        <v>412</v>
      </c>
      <c r="B400" t="str">
        <f>HYPERLINK("https://www.suredividend.com/sure-analysis-research-database/","3D Systems Corp.")</f>
        <v>3D Systems Corp.</v>
      </c>
      <c r="C400">
        <v>3.5460992907800998E-2</v>
      </c>
      <c r="D400">
        <v>-0.45522388059701402</v>
      </c>
      <c r="E400">
        <v>-0.49828178694157998</v>
      </c>
      <c r="F400">
        <v>-0.40810810810810799</v>
      </c>
      <c r="G400">
        <v>-0.45454545454545398</v>
      </c>
      <c r="H400">
        <v>-0.86230745048726809</v>
      </c>
      <c r="I400">
        <v>-0.6612529002320181</v>
      </c>
    </row>
    <row r="401" spans="1:9" x14ac:dyDescent="0.25">
      <c r="A401" s="1" t="s">
        <v>413</v>
      </c>
      <c r="B401" t="str">
        <f>HYPERLINK("https://www.suredividend.com/sure-analysis-DDS/","Dillard`s Inc.")</f>
        <v>Dillard`s Inc.</v>
      </c>
      <c r="C401">
        <v>7.4832560535806003E-2</v>
      </c>
      <c r="D401">
        <v>4.7673773885800004E-3</v>
      </c>
      <c r="E401">
        <v>0.17717756690304201</v>
      </c>
      <c r="F401">
        <v>3.4944732153016002E-2</v>
      </c>
      <c r="G401">
        <v>0.117090718274607</v>
      </c>
      <c r="H401">
        <v>0.27822931924140998</v>
      </c>
      <c r="I401">
        <v>4.1724672265782372</v>
      </c>
    </row>
    <row r="402" spans="1:9" x14ac:dyDescent="0.25">
      <c r="A402" s="1" t="s">
        <v>414</v>
      </c>
      <c r="B402" t="str">
        <f>HYPERLINK("https://www.suredividend.com/sure-analysis-DEA/","Easterly Government Properties Inc")</f>
        <v>Easterly Government Properties Inc</v>
      </c>
      <c r="C402">
        <v>4.8300536672629013E-2</v>
      </c>
      <c r="D402">
        <v>-0.17324473225685799</v>
      </c>
      <c r="E402">
        <v>-0.14400070115983499</v>
      </c>
      <c r="F402">
        <v>-0.13231461738924399</v>
      </c>
      <c r="G402">
        <v>-0.21120466277653199</v>
      </c>
      <c r="H402">
        <v>-0.35129270979204802</v>
      </c>
      <c r="I402">
        <v>-0.13015726934694899</v>
      </c>
    </row>
    <row r="403" spans="1:9" x14ac:dyDescent="0.25">
      <c r="A403" s="1" t="s">
        <v>415</v>
      </c>
      <c r="B403" t="str">
        <f>HYPERLINK("https://www.suredividend.com/sure-analysis-research-database/","Denbury Inc.")</f>
        <v>Denbury Inc.</v>
      </c>
      <c r="C403">
        <v>-9.5398428731762006E-2</v>
      </c>
      <c r="D403">
        <v>1.4648661020827999E-2</v>
      </c>
      <c r="E403">
        <v>-4.8916541514696002E-2</v>
      </c>
      <c r="F403">
        <v>1.8846242243162E-2</v>
      </c>
      <c r="G403">
        <v>-3.4730538922155003E-2</v>
      </c>
      <c r="H403">
        <v>1.9197608920565001E-2</v>
      </c>
      <c r="I403">
        <v>3.8983425414364632</v>
      </c>
    </row>
    <row r="404" spans="1:9" x14ac:dyDescent="0.25">
      <c r="A404" s="1" t="s">
        <v>416</v>
      </c>
      <c r="B404" t="str">
        <f>HYPERLINK("https://www.suredividend.com/sure-analysis-research-database/","Denny`s Corp.")</f>
        <v>Denny`s Corp.</v>
      </c>
      <c r="C404">
        <v>8.7781731909845007E-2</v>
      </c>
      <c r="D404">
        <v>-0.105365853658536</v>
      </c>
      <c r="E404">
        <v>-0.14218896164639799</v>
      </c>
      <c r="F404">
        <v>-4.3431053203040002E-3</v>
      </c>
      <c r="G404">
        <v>-0.221561969439728</v>
      </c>
      <c r="H404">
        <v>-0.43395061728395001</v>
      </c>
      <c r="I404">
        <v>-0.45221027479091902</v>
      </c>
    </row>
    <row r="405" spans="1:9" x14ac:dyDescent="0.25">
      <c r="A405" s="1" t="s">
        <v>417</v>
      </c>
      <c r="B405" t="str">
        <f>HYPERLINK("https://www.suredividend.com/sure-analysis-research-database/","Dream Finders Homes Inc")</f>
        <v>Dream Finders Homes Inc</v>
      </c>
      <c r="C405">
        <v>7.8796561604584009E-2</v>
      </c>
      <c r="D405">
        <v>-0.25641869651086202</v>
      </c>
      <c r="E405">
        <v>0.46688311688311601</v>
      </c>
      <c r="F405">
        <v>1.608545034642032</v>
      </c>
      <c r="G405">
        <v>1.117150890346766</v>
      </c>
      <c r="H405">
        <v>0.43155893536121598</v>
      </c>
      <c r="I405">
        <v>7.8281622911694007E-2</v>
      </c>
    </row>
    <row r="406" spans="1:9" x14ac:dyDescent="0.25">
      <c r="A406" s="1" t="s">
        <v>418</v>
      </c>
      <c r="B406" t="str">
        <f>HYPERLINK("https://www.suredividend.com/sure-analysis-research-database/","Donnelley Financial Solutions Inc")</f>
        <v>Donnelley Financial Solutions Inc</v>
      </c>
      <c r="C406">
        <v>6.9673634030060008E-3</v>
      </c>
      <c r="D406">
        <v>0.122649223221586</v>
      </c>
      <c r="E406">
        <v>0.29345266132830911</v>
      </c>
      <c r="F406">
        <v>0.42095730918499302</v>
      </c>
      <c r="G406">
        <v>0.61910377358490509</v>
      </c>
      <c r="H406">
        <v>0.202276707530648</v>
      </c>
      <c r="I406">
        <v>2.471554993678887</v>
      </c>
    </row>
    <row r="407" spans="1:9" x14ac:dyDescent="0.25">
      <c r="A407" s="1" t="s">
        <v>419</v>
      </c>
      <c r="B407" t="str">
        <f>HYPERLINK("https://www.suredividend.com/sure-analysis-DGICA/","Donegal Group Inc.")</f>
        <v>Donegal Group Inc.</v>
      </c>
      <c r="C407">
        <v>5.2981520427263007E-2</v>
      </c>
      <c r="D407">
        <v>6.1181929923900006E-3</v>
      </c>
      <c r="E407">
        <v>6.9059638412773003E-2</v>
      </c>
      <c r="F407">
        <v>0.112493987034902</v>
      </c>
      <c r="G407">
        <v>5.3164190971845007E-2</v>
      </c>
      <c r="H407">
        <v>0.163756609530503</v>
      </c>
      <c r="I407">
        <v>0.37776474926950998</v>
      </c>
    </row>
    <row r="408" spans="1:9" x14ac:dyDescent="0.25">
      <c r="A408" s="1" t="s">
        <v>420</v>
      </c>
      <c r="B408" t="str">
        <f>HYPERLINK("https://www.suredividend.com/sure-analysis-research-database/","Digi International, Inc.")</f>
        <v>Digi International, Inc.</v>
      </c>
      <c r="C408">
        <v>-4.8374905517762003E-2</v>
      </c>
      <c r="D408">
        <v>-0.21361648969394101</v>
      </c>
      <c r="E408">
        <v>-0.215820616630333</v>
      </c>
      <c r="F408">
        <v>-0.31108071135430898</v>
      </c>
      <c r="G408">
        <v>-0.32220726783310899</v>
      </c>
      <c r="H408">
        <v>9.5258808177468013E-2</v>
      </c>
      <c r="I408">
        <v>1.159519725557461</v>
      </c>
    </row>
    <row r="409" spans="1:9" x14ac:dyDescent="0.25">
      <c r="A409" s="1" t="s">
        <v>421</v>
      </c>
      <c r="B409" t="str">
        <f>HYPERLINK("https://www.suredividend.com/sure-analysis-research-database/","Diversified Healthcare Trust")</f>
        <v>Diversified Healthcare Trust</v>
      </c>
      <c r="C409">
        <v>0.31720430107526798</v>
      </c>
      <c r="D409">
        <v>-8.2809224318658003E-2</v>
      </c>
      <c r="E409">
        <v>1.902155887230514</v>
      </c>
      <c r="F409">
        <v>2.976627170913813</v>
      </c>
      <c r="G409">
        <v>1.1434820647419071</v>
      </c>
      <c r="H409">
        <v>-0.22878368169226801</v>
      </c>
      <c r="I409">
        <v>-0.82756800506738903</v>
      </c>
    </row>
    <row r="410" spans="1:9" x14ac:dyDescent="0.25">
      <c r="A410" s="1" t="s">
        <v>422</v>
      </c>
      <c r="B410" t="str">
        <f>HYPERLINK("https://www.suredividend.com/sure-analysis-research-database/","Diamond Hill Investment Group, Inc.")</f>
        <v>Diamond Hill Investment Group, Inc.</v>
      </c>
      <c r="C410">
        <v>-8.7856843617212008E-2</v>
      </c>
      <c r="D410">
        <v>-0.11883703370516201</v>
      </c>
      <c r="E410">
        <v>1.9419569193219999E-3</v>
      </c>
      <c r="F410">
        <v>-0.138779124335973</v>
      </c>
      <c r="G410">
        <v>-0.111131588217317</v>
      </c>
      <c r="H410">
        <v>-0.22518058869193699</v>
      </c>
      <c r="I410">
        <v>0.20522324030368999</v>
      </c>
    </row>
    <row r="411" spans="1:9" x14ac:dyDescent="0.25">
      <c r="A411" s="1" t="s">
        <v>423</v>
      </c>
      <c r="B411" t="str">
        <f>HYPERLINK("https://www.suredividend.com/sure-analysis-research-database/","DHT Holdings Inc")</f>
        <v>DHT Holdings Inc</v>
      </c>
      <c r="C411">
        <v>0.18611987381703399</v>
      </c>
      <c r="D411">
        <v>0.18633194156684099</v>
      </c>
      <c r="E411">
        <v>0.45531486666064502</v>
      </c>
      <c r="F411">
        <v>0.40045937053820801</v>
      </c>
      <c r="G411">
        <v>0.32104418705423499</v>
      </c>
      <c r="H411">
        <v>0.99656618935518604</v>
      </c>
      <c r="I411">
        <v>2.0873658857017729</v>
      </c>
    </row>
    <row r="412" spans="1:9" x14ac:dyDescent="0.25">
      <c r="A412" s="1" t="s">
        <v>424</v>
      </c>
      <c r="B412" t="str">
        <f>HYPERLINK("https://www.suredividend.com/sure-analysis-research-database/","DHI Group Inc")</f>
        <v>DHI Group Inc</v>
      </c>
      <c r="C412">
        <v>-5.4151624548736003E-2</v>
      </c>
      <c r="D412">
        <v>-0.34663341645885198</v>
      </c>
      <c r="E412">
        <v>-0.22023809523809501</v>
      </c>
      <c r="F412">
        <v>-0.50472589792060407</v>
      </c>
      <c r="G412">
        <v>-0.51838235294117607</v>
      </c>
      <c r="H412">
        <v>-0.47704590818363202</v>
      </c>
      <c r="I412">
        <v>0.43956043956043911</v>
      </c>
    </row>
    <row r="413" spans="1:9" x14ac:dyDescent="0.25">
      <c r="A413" s="1" t="s">
        <v>425</v>
      </c>
      <c r="B413" t="str">
        <f>HYPERLINK("https://www.suredividend.com/sure-analysis-research-database/","1stdibs.com Inc")</f>
        <v>1stdibs.com Inc</v>
      </c>
      <c r="C413">
        <v>0.156164383561643</v>
      </c>
      <c r="D413">
        <v>0.11640211640211599</v>
      </c>
      <c r="E413">
        <v>0.13136729222519999</v>
      </c>
      <c r="F413">
        <v>-0.169291338582677</v>
      </c>
      <c r="G413">
        <v>-0.35375191424196001</v>
      </c>
      <c r="H413">
        <v>-0.74715398442180903</v>
      </c>
      <c r="I413">
        <v>-0.85192982456140309</v>
      </c>
    </row>
    <row r="414" spans="1:9" x14ac:dyDescent="0.25">
      <c r="A414" s="1" t="s">
        <v>426</v>
      </c>
      <c r="B414" t="str">
        <f>HYPERLINK("https://www.suredividend.com/sure-analysis-research-database/","DICE Therapeutics Inc")</f>
        <v>DICE Therapeutics Inc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 s="1" t="s">
        <v>427</v>
      </c>
      <c r="B415" t="str">
        <f>HYPERLINK("https://www.suredividend.com/sure-analysis-research-database/","Dine Brands Global Inc")</f>
        <v>Dine Brands Global Inc</v>
      </c>
      <c r="C415">
        <v>-7.1967380224260011E-2</v>
      </c>
      <c r="D415">
        <v>-0.19728997194394399</v>
      </c>
      <c r="E415">
        <v>-0.28852988893438902</v>
      </c>
      <c r="F415">
        <v>-0.277054090711288</v>
      </c>
      <c r="G415">
        <v>-0.35411002832153698</v>
      </c>
      <c r="H415">
        <v>-0.45975199863276411</v>
      </c>
      <c r="I415">
        <v>-0.39674811185604603</v>
      </c>
    </row>
    <row r="416" spans="1:9" x14ac:dyDescent="0.25">
      <c r="A416" s="1" t="s">
        <v>428</v>
      </c>
      <c r="B416" t="str">
        <f>HYPERLINK("https://www.suredividend.com/sure-analysis-research-database/","Diodes, Inc.")</f>
        <v>Diodes, Inc.</v>
      </c>
      <c r="C416">
        <v>-0.109240506329113</v>
      </c>
      <c r="D416">
        <v>-0.183358477428339</v>
      </c>
      <c r="E416">
        <v>-0.155424867978876</v>
      </c>
      <c r="F416">
        <v>-7.5781455214079002E-2</v>
      </c>
      <c r="G416">
        <v>-1.1518471695461999E-2</v>
      </c>
      <c r="H416">
        <v>-0.33006473724295499</v>
      </c>
      <c r="I416">
        <v>1.26124678663239</v>
      </c>
    </row>
    <row r="417" spans="1:9" x14ac:dyDescent="0.25">
      <c r="A417" s="1" t="s">
        <v>429</v>
      </c>
      <c r="B417" t="str">
        <f>HYPERLINK("https://www.suredividend.com/sure-analysis-research-database/","Daily Journal Corporation")</f>
        <v>Daily Journal Corporation</v>
      </c>
      <c r="C417">
        <v>6.1301369863010014E-3</v>
      </c>
      <c r="D417">
        <v>-1.7818935544263E-2</v>
      </c>
      <c r="E417">
        <v>7.2539427570093004E-2</v>
      </c>
      <c r="F417">
        <v>0.172767554189453</v>
      </c>
      <c r="G417">
        <v>9.6640537513998009E-2</v>
      </c>
      <c r="H417">
        <v>-0.18139262726740699</v>
      </c>
      <c r="I417">
        <v>0.24963845172267099</v>
      </c>
    </row>
    <row r="418" spans="1:9" x14ac:dyDescent="0.25">
      <c r="A418" s="1" t="s">
        <v>430</v>
      </c>
      <c r="B418" t="str">
        <f>HYPERLINK("https://www.suredividend.com/sure-analysis-research-database/","Delek US Holdings Inc")</f>
        <v>Delek US Holdings Inc</v>
      </c>
      <c r="C418">
        <v>4.1649979975971002E-2</v>
      </c>
      <c r="D418">
        <v>-4.7155019562445007E-2</v>
      </c>
      <c r="E418">
        <v>0.35100039475597811</v>
      </c>
      <c r="F418">
        <v>-9.3956970982640008E-3</v>
      </c>
      <c r="G418">
        <v>-0.138850078466947</v>
      </c>
      <c r="H418">
        <v>0.53090052972336599</v>
      </c>
      <c r="I418">
        <v>-0.19342584696487999</v>
      </c>
    </row>
    <row r="419" spans="1:9" x14ac:dyDescent="0.25">
      <c r="A419" s="1" t="s">
        <v>431</v>
      </c>
      <c r="B419" t="str">
        <f>HYPERLINK("https://www.suredividend.com/sure-analysis-research-database/","Duluth Holdings Inc")</f>
        <v>Duluth Holdings Inc</v>
      </c>
      <c r="C419">
        <v>-0.107964601769911</v>
      </c>
      <c r="D419">
        <v>-0.328894806924101</v>
      </c>
      <c r="E419">
        <v>-9.3525179856115012E-2</v>
      </c>
      <c r="F419">
        <v>-0.18446601941747501</v>
      </c>
      <c r="G419">
        <v>-0.43497757847533602</v>
      </c>
      <c r="H419">
        <v>-0.68161718256475001</v>
      </c>
      <c r="I419">
        <v>-0.84318606098319804</v>
      </c>
    </row>
    <row r="420" spans="1:9" x14ac:dyDescent="0.25">
      <c r="A420" s="1" t="s">
        <v>432</v>
      </c>
      <c r="B420" t="str">
        <f>HYPERLINK("https://www.suredividend.com/sure-analysis-research-database/","Deluxe Corp.")</f>
        <v>Deluxe Corp.</v>
      </c>
      <c r="C420">
        <v>1.4786418400876E-2</v>
      </c>
      <c r="D420">
        <v>-8.5710338430263003E-2</v>
      </c>
      <c r="E420">
        <v>0.38942001274697202</v>
      </c>
      <c r="F420">
        <v>0.14687842345994601</v>
      </c>
      <c r="G420">
        <v>3.8473393672765997E-2</v>
      </c>
      <c r="H420">
        <v>-0.40788885054385998</v>
      </c>
      <c r="I420">
        <v>-0.54448241107205109</v>
      </c>
    </row>
    <row r="421" spans="1:9" x14ac:dyDescent="0.25">
      <c r="A421" s="1" t="s">
        <v>433</v>
      </c>
      <c r="B421" t="str">
        <f>HYPERLINK("https://www.suredividend.com/sure-analysis-research-database/","Desktop Metal Inc")</f>
        <v>Desktop Metal Inc</v>
      </c>
      <c r="C421">
        <v>-0.249</v>
      </c>
      <c r="D421">
        <v>-0.44211428571428502</v>
      </c>
      <c r="E421">
        <v>-0.45151685393258412</v>
      </c>
      <c r="F421">
        <v>-0.282132352941176</v>
      </c>
      <c r="G421">
        <v>-0.607911646586345</v>
      </c>
      <c r="H421">
        <v>-0.88993235625704603</v>
      </c>
      <c r="I421">
        <v>-0.89935051546391709</v>
      </c>
    </row>
    <row r="422" spans="1:9" x14ac:dyDescent="0.25">
      <c r="A422" s="1" t="s">
        <v>434</v>
      </c>
      <c r="B422" t="str">
        <f>HYPERLINK("https://www.suredividend.com/sure-analysis-research-database/","Digimarc Corporation")</f>
        <v>Digimarc Corporation</v>
      </c>
      <c r="C422">
        <v>-0.106860575403098</v>
      </c>
      <c r="D422">
        <v>-0.229405346426622</v>
      </c>
      <c r="E422">
        <v>0.53950953678474101</v>
      </c>
      <c r="F422">
        <v>0.52785289345592201</v>
      </c>
      <c r="G422">
        <v>0.49076517150395699</v>
      </c>
      <c r="H422">
        <v>-0.43590255591054311</v>
      </c>
      <c r="I422">
        <v>0.39506172839506098</v>
      </c>
    </row>
    <row r="423" spans="1:9" x14ac:dyDescent="0.25">
      <c r="A423" s="1" t="s">
        <v>435</v>
      </c>
      <c r="B423" t="str">
        <f>HYPERLINK("https://www.suredividend.com/sure-analysis-research-database/","Denali Therapeutics Inc")</f>
        <v>Denali Therapeutics Inc</v>
      </c>
      <c r="C423">
        <v>5.8680892337535998E-2</v>
      </c>
      <c r="D423">
        <v>-0.21020260492040499</v>
      </c>
      <c r="E423">
        <v>-0.17560422960725</v>
      </c>
      <c r="F423">
        <v>-0.21503056454512701</v>
      </c>
      <c r="G423">
        <v>-0.22916666666666599</v>
      </c>
      <c r="H423">
        <v>-0.58561123766135104</v>
      </c>
      <c r="I423">
        <v>0.286387743076016</v>
      </c>
    </row>
    <row r="424" spans="1:9" x14ac:dyDescent="0.25">
      <c r="A424" s="1" t="s">
        <v>436</v>
      </c>
      <c r="B424" t="str">
        <f>HYPERLINK("https://www.suredividend.com/sure-analysis-research-database/","Danimer Scientific Inc")</f>
        <v>Danimer Scientific Inc</v>
      </c>
      <c r="C424">
        <v>-9.8901098901099008E-2</v>
      </c>
      <c r="D424">
        <v>-0.37642585551330798</v>
      </c>
      <c r="E424">
        <v>-0.46753246753246702</v>
      </c>
      <c r="F424">
        <v>-8.3798882681564005E-2</v>
      </c>
      <c r="G424">
        <v>-0.36186770428015502</v>
      </c>
      <c r="H424">
        <v>-0.9179179179179181</v>
      </c>
      <c r="I424">
        <v>-0.83005181347150203</v>
      </c>
    </row>
    <row r="425" spans="1:9" x14ac:dyDescent="0.25">
      <c r="A425" s="1" t="s">
        <v>437</v>
      </c>
      <c r="B425" t="str">
        <f>HYPERLINK("https://www.suredividend.com/sure-analysis-research-database/","NOW Inc")</f>
        <v>NOW Inc</v>
      </c>
      <c r="C425">
        <v>-6.7986230636831999E-2</v>
      </c>
      <c r="D425">
        <v>6.5055762081780008E-3</v>
      </c>
      <c r="E425">
        <v>0.141201264488935</v>
      </c>
      <c r="F425">
        <v>-0.14724409448818801</v>
      </c>
      <c r="G425">
        <v>-0.130818619582664</v>
      </c>
      <c r="H425">
        <v>0.19404630650496099</v>
      </c>
      <c r="I425">
        <v>-0.27510040160642502</v>
      </c>
    </row>
    <row r="426" spans="1:9" x14ac:dyDescent="0.25">
      <c r="A426" s="1" t="s">
        <v>438</v>
      </c>
      <c r="B426" t="str">
        <f>HYPERLINK("https://www.suredividend.com/sure-analysis-research-database/","Krispy Kreme Inc")</f>
        <v>Krispy Kreme Inc</v>
      </c>
      <c r="C426">
        <v>5.2115305508970013E-2</v>
      </c>
      <c r="D426">
        <v>-9.8897674071966007E-2</v>
      </c>
      <c r="E426">
        <v>-8.9951144745665013E-2</v>
      </c>
      <c r="F426">
        <v>0.30841121495327101</v>
      </c>
      <c r="G426">
        <v>-5.7065275188055008E-2</v>
      </c>
      <c r="H426">
        <v>-1.6337669829669998E-2</v>
      </c>
      <c r="I426">
        <v>-0.34902525096789611</v>
      </c>
    </row>
    <row r="427" spans="1:9" x14ac:dyDescent="0.25">
      <c r="A427" s="1" t="s">
        <v>439</v>
      </c>
      <c r="B427" t="str">
        <f>HYPERLINK("https://www.suredividend.com/sure-analysis-research-database/","Diamond Offshore Drilling, Inc.")</f>
        <v>Diamond Offshore Drilling, Inc.</v>
      </c>
      <c r="C427">
        <v>-6.6716085989620014E-3</v>
      </c>
      <c r="D427">
        <v>-0.146496815286624</v>
      </c>
      <c r="E427">
        <v>0.214868540344514</v>
      </c>
      <c r="F427">
        <v>0.28846153846153799</v>
      </c>
      <c r="G427">
        <v>0.34</v>
      </c>
      <c r="H427">
        <v>13.27962489343564</v>
      </c>
      <c r="I427">
        <v>-5.7002111189302998E-2</v>
      </c>
    </row>
    <row r="428" spans="1:9" x14ac:dyDescent="0.25">
      <c r="A428" s="1" t="s">
        <v>440</v>
      </c>
      <c r="B428" t="str">
        <f>HYPERLINK("https://www.suredividend.com/sure-analysis-DOC/","Physicians Realty Trust")</f>
        <v>Physicians Realty Trust</v>
      </c>
      <c r="C428">
        <v>1.2864493996569E-2</v>
      </c>
      <c r="D428">
        <v>-0.17156525764951799</v>
      </c>
      <c r="E428">
        <v>-0.15305895598918501</v>
      </c>
      <c r="F428">
        <v>-0.12711845616006001</v>
      </c>
      <c r="G428">
        <v>-0.1216588079549</v>
      </c>
      <c r="H428">
        <v>-0.287661648330438</v>
      </c>
      <c r="I428">
        <v>-4.2266770468404997E-2</v>
      </c>
    </row>
    <row r="429" spans="1:9" x14ac:dyDescent="0.25">
      <c r="A429" s="1" t="s">
        <v>441</v>
      </c>
      <c r="B429" t="str">
        <f>HYPERLINK("https://www.suredividend.com/sure-analysis-research-database/","DigitalOcean Holdings Inc")</f>
        <v>DigitalOcean Holdings Inc</v>
      </c>
      <c r="C429">
        <v>0.105850826261723</v>
      </c>
      <c r="D429">
        <v>-0.29478780974081398</v>
      </c>
      <c r="E429">
        <v>-0.230099502487562</v>
      </c>
      <c r="F429">
        <v>-2.7875932469570999E-2</v>
      </c>
      <c r="G429">
        <v>-0.18872870249017001</v>
      </c>
      <c r="H429">
        <v>-0.76490695024686606</v>
      </c>
      <c r="I429">
        <v>-0.41741176470588198</v>
      </c>
    </row>
    <row r="430" spans="1:9" x14ac:dyDescent="0.25">
      <c r="A430" s="1" t="s">
        <v>442</v>
      </c>
      <c r="B430" t="str">
        <f>HYPERLINK("https://www.suredividend.com/sure-analysis-research-database/","Doma Holdings Inc")</f>
        <v>Doma Holdings Inc</v>
      </c>
      <c r="C430">
        <v>-5.6795131845841007E-2</v>
      </c>
      <c r="D430">
        <v>-0.40537084398976903</v>
      </c>
      <c r="E430">
        <v>-0.52295460374454905</v>
      </c>
      <c r="F430">
        <v>-0.58931331419739408</v>
      </c>
      <c r="G430">
        <v>-0.63464938126104808</v>
      </c>
      <c r="H430">
        <v>-0.97155963302752213</v>
      </c>
      <c r="I430">
        <v>-0.97280701754385912</v>
      </c>
    </row>
    <row r="431" spans="1:9" x14ac:dyDescent="0.25">
      <c r="A431" s="1" t="s">
        <v>443</v>
      </c>
      <c r="B431" t="str">
        <f>HYPERLINK("https://www.suredividend.com/sure-analysis-research-database/","Domo Inc.")</f>
        <v>Domo Inc.</v>
      </c>
      <c r="C431">
        <v>-7.5451647183847004E-2</v>
      </c>
      <c r="D431">
        <v>-0.49506674405107298</v>
      </c>
      <c r="E431">
        <v>-0.39032936229852799</v>
      </c>
      <c r="F431">
        <v>-0.38904494382022398</v>
      </c>
      <c r="G431">
        <v>-0.42687747035573098</v>
      </c>
      <c r="H431">
        <v>-0.90338700721821208</v>
      </c>
      <c r="I431">
        <v>-0.47368421052631499</v>
      </c>
    </row>
    <row r="432" spans="1:9" x14ac:dyDescent="0.25">
      <c r="A432" s="1" t="s">
        <v>444</v>
      </c>
      <c r="B432" t="str">
        <f>HYPERLINK("https://www.suredividend.com/sure-analysis-research-database/","Masonite International Corp")</f>
        <v>Masonite International Corp</v>
      </c>
      <c r="C432">
        <v>-3.1995540691192002E-2</v>
      </c>
      <c r="D432">
        <v>-0.151553644713699</v>
      </c>
      <c r="E432">
        <v>-4.9278019711200003E-3</v>
      </c>
      <c r="F432">
        <v>7.7161642476119008E-2</v>
      </c>
      <c r="G432">
        <v>0.21644718408517799</v>
      </c>
      <c r="H432">
        <v>-0.292050550346514</v>
      </c>
      <c r="I432">
        <v>0.53681415929203502</v>
      </c>
    </row>
    <row r="433" spans="1:9" x14ac:dyDescent="0.25">
      <c r="A433" s="1" t="s">
        <v>445</v>
      </c>
      <c r="B433" t="str">
        <f>HYPERLINK("https://www.suredividend.com/sure-analysis-research-database/","Dorman Products Inc")</f>
        <v>Dorman Products Inc</v>
      </c>
      <c r="C433">
        <v>-0.10741419963321901</v>
      </c>
      <c r="D433">
        <v>-0.237381085618354</v>
      </c>
      <c r="E433">
        <v>-0.196841112682696</v>
      </c>
      <c r="F433">
        <v>-0.157413132187461</v>
      </c>
      <c r="G433">
        <v>-0.14051463168516601</v>
      </c>
      <c r="H433">
        <v>-0.38745055735346901</v>
      </c>
      <c r="I433">
        <v>-0.162487708947885</v>
      </c>
    </row>
    <row r="434" spans="1:9" x14ac:dyDescent="0.25">
      <c r="A434" s="1" t="s">
        <v>446</v>
      </c>
      <c r="B434" t="str">
        <f>HYPERLINK("https://www.suredividend.com/sure-analysis-research-database/","Douglas Elliman Inc")</f>
        <v>Douglas Elliman Inc</v>
      </c>
      <c r="C434">
        <v>-0.127962085308056</v>
      </c>
      <c r="D434">
        <v>-0.119617224880382</v>
      </c>
      <c r="E434">
        <v>-0.25976586072333702</v>
      </c>
      <c r="F434">
        <v>-0.51738970781094207</v>
      </c>
      <c r="G434">
        <v>-0.51256986940051308</v>
      </c>
      <c r="H434">
        <v>-0.82225485176634205</v>
      </c>
      <c r="I434">
        <v>-0.82225485176634205</v>
      </c>
    </row>
    <row r="435" spans="1:9" x14ac:dyDescent="0.25">
      <c r="A435" s="1" t="s">
        <v>447</v>
      </c>
      <c r="B435" t="str">
        <f>HYPERLINK("https://www.suredividend.com/sure-analysis-research-database/","Diamondrock Hospitality Co.")</f>
        <v>Diamondrock Hospitality Co.</v>
      </c>
      <c r="C435">
        <v>6.6919191919191004E-2</v>
      </c>
      <c r="D435">
        <v>6.9593174856331999E-2</v>
      </c>
      <c r="E435">
        <v>1.127360635726E-2</v>
      </c>
      <c r="F435">
        <v>4.3725296442687002E-2</v>
      </c>
      <c r="G435">
        <v>-3.4554739188370001E-3</v>
      </c>
      <c r="H435">
        <v>-0.15881058803619599</v>
      </c>
      <c r="I435">
        <v>-0.10980478914488501</v>
      </c>
    </row>
    <row r="436" spans="1:9" x14ac:dyDescent="0.25">
      <c r="A436" s="1" t="s">
        <v>448</v>
      </c>
      <c r="B436" t="str">
        <f>HYPERLINK("https://www.suredividend.com/sure-analysis-research-database/","Dril-Quip, Inc.")</f>
        <v>Dril-Quip, Inc.</v>
      </c>
      <c r="C436">
        <v>-0.103931490852471</v>
      </c>
      <c r="D436">
        <v>-0.17045045045044999</v>
      </c>
      <c r="E436">
        <v>-0.121038564337533</v>
      </c>
      <c r="F436">
        <v>-0.15274199484725801</v>
      </c>
      <c r="G436">
        <v>-8.4691848906560008E-2</v>
      </c>
      <c r="H436">
        <v>-6.9025021570310006E-3</v>
      </c>
      <c r="I436">
        <v>-0.46051089758612601</v>
      </c>
    </row>
    <row r="437" spans="1:9" x14ac:dyDescent="0.25">
      <c r="A437" s="1" t="s">
        <v>449</v>
      </c>
      <c r="B437" t="str">
        <f>HYPERLINK("https://www.suredividend.com/sure-analysis-research-database/","Diversey Holdings Ltd")</f>
        <v>Diversey Holdings Ltd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s="1" t="s">
        <v>450</v>
      </c>
      <c r="B438" t="str">
        <f>HYPERLINK("https://www.suredividend.com/sure-analysis-research-database/","Design Therapeutics Inc")</f>
        <v>Design Therapeutics Inc</v>
      </c>
      <c r="C438">
        <v>-3.5242290748898002E-2</v>
      </c>
      <c r="D438">
        <v>-0.71335078534031404</v>
      </c>
      <c r="E438">
        <v>-0.71108179419525008</v>
      </c>
      <c r="F438">
        <v>-0.78654970760233911</v>
      </c>
      <c r="G438">
        <v>-0.85834411384217302</v>
      </c>
      <c r="H438">
        <v>-0.87661971830985908</v>
      </c>
      <c r="I438">
        <v>-0.94721619667389712</v>
      </c>
    </row>
    <row r="439" spans="1:9" x14ac:dyDescent="0.25">
      <c r="A439" s="1" t="s">
        <v>451</v>
      </c>
      <c r="B439" t="str">
        <f>HYPERLINK("https://www.suredividend.com/sure-analysis-research-database/","Distribution Solutions Group Inc")</f>
        <v>Distribution Solutions Group Inc</v>
      </c>
      <c r="C439">
        <v>-0.124140427072023</v>
      </c>
      <c r="D439">
        <v>-8.1768165433504E-2</v>
      </c>
      <c r="E439">
        <v>3.6846615252784001E-2</v>
      </c>
      <c r="F439">
        <v>0.321018385082318</v>
      </c>
      <c r="G439">
        <v>0.37124465951201802</v>
      </c>
      <c r="H439">
        <v>-0.54365453516877205</v>
      </c>
      <c r="I439">
        <v>-0.24844720496894401</v>
      </c>
    </row>
    <row r="440" spans="1:9" x14ac:dyDescent="0.25">
      <c r="A440" s="1" t="s">
        <v>452</v>
      </c>
      <c r="B440" t="str">
        <f>HYPERLINK("https://www.suredividend.com/sure-analysis-research-database/","Daseke Inc")</f>
        <v>Daseke Inc</v>
      </c>
      <c r="C440">
        <v>-1.2820512820512E-2</v>
      </c>
      <c r="D440">
        <v>-0.19791666666666599</v>
      </c>
      <c r="E440">
        <v>-0.40232858990944298</v>
      </c>
      <c r="F440">
        <v>-0.18804920913883999</v>
      </c>
      <c r="G440">
        <v>-0.13805970149253699</v>
      </c>
      <c r="H440">
        <v>-0.5121436114044351</v>
      </c>
      <c r="I440">
        <v>-0.238879736408566</v>
      </c>
    </row>
    <row r="441" spans="1:9" x14ac:dyDescent="0.25">
      <c r="A441" s="1" t="s">
        <v>453</v>
      </c>
      <c r="B441" t="str">
        <f>HYPERLINK("https://www.suredividend.com/sure-analysis-research-database/","Viant Technology Inc")</f>
        <v>Viant Technology Inc</v>
      </c>
      <c r="C441">
        <v>-1.4440433212996E-2</v>
      </c>
      <c r="D441">
        <v>0.174193548387096</v>
      </c>
      <c r="E441">
        <v>0.34152334152334102</v>
      </c>
      <c r="F441">
        <v>0.35820895522388002</v>
      </c>
      <c r="G441">
        <v>9.8591549295774003E-2</v>
      </c>
      <c r="H441">
        <v>-0.54913294797687806</v>
      </c>
      <c r="I441">
        <v>-0.88558256496227905</v>
      </c>
    </row>
    <row r="442" spans="1:9" x14ac:dyDescent="0.25">
      <c r="A442" s="1" t="s">
        <v>454</v>
      </c>
      <c r="B442" t="str">
        <f>HYPERLINK("https://www.suredividend.com/sure-analysis-research-database/","Solo Brands Inc")</f>
        <v>Solo Brands Inc</v>
      </c>
      <c r="C442">
        <v>-0.14897959183673401</v>
      </c>
      <c r="D442">
        <v>-0.31862745098039202</v>
      </c>
      <c r="E442">
        <v>-0.43648648648648602</v>
      </c>
      <c r="F442">
        <v>0.120967741935483</v>
      </c>
      <c r="G442">
        <v>2.4570024570024E-2</v>
      </c>
      <c r="H442">
        <v>-0.78348909657320809</v>
      </c>
      <c r="I442">
        <v>-0.76320272572402004</v>
      </c>
    </row>
    <row r="443" spans="1:9" x14ac:dyDescent="0.25">
      <c r="A443" s="1" t="s">
        <v>455</v>
      </c>
      <c r="B443" t="str">
        <f>HYPERLINK("https://www.suredividend.com/sure-analysis-research-database/","Duolingo Inc")</f>
        <v>Duolingo Inc</v>
      </c>
      <c r="C443">
        <v>-2.3294305155396999E-2</v>
      </c>
      <c r="D443">
        <v>0.159944670937681</v>
      </c>
      <c r="E443">
        <v>0.33152264750125299</v>
      </c>
      <c r="F443">
        <v>1.239983129481232</v>
      </c>
      <c r="G443">
        <v>0.99561623246493003</v>
      </c>
      <c r="H443">
        <v>4.6661201841220008E-3</v>
      </c>
      <c r="I443">
        <v>0.146176534062297</v>
      </c>
    </row>
    <row r="444" spans="1:9" x14ac:dyDescent="0.25">
      <c r="A444" s="1" t="s">
        <v>456</v>
      </c>
      <c r="B444" t="str">
        <f>HYPERLINK("https://www.suredividend.com/sure-analysis-research-database/","Dynavax Technologies Corp.")</f>
        <v>Dynavax Technologies Corp.</v>
      </c>
      <c r="C444">
        <v>-8.3682008368190005E-3</v>
      </c>
      <c r="D444">
        <v>-1.9310344827586E-2</v>
      </c>
      <c r="E444">
        <v>0.30339138405132898</v>
      </c>
      <c r="F444">
        <v>0.33646616541353302</v>
      </c>
      <c r="G444">
        <v>0.13036565977742401</v>
      </c>
      <c r="H444">
        <v>-0.31502890173410403</v>
      </c>
      <c r="I444">
        <v>0.24736842105263099</v>
      </c>
    </row>
    <row r="445" spans="1:9" x14ac:dyDescent="0.25">
      <c r="A445" s="1" t="s">
        <v>457</v>
      </c>
      <c r="B445" t="str">
        <f>HYPERLINK("https://www.suredividend.com/sure-analysis-DX/","Dynex Capital, Inc.")</f>
        <v>Dynex Capital, Inc.</v>
      </c>
      <c r="C445">
        <v>-8.5862709385680011E-3</v>
      </c>
      <c r="D445">
        <v>-0.11483157768254</v>
      </c>
      <c r="E445">
        <v>0.10312468803034799</v>
      </c>
      <c r="F445">
        <v>-3.3643208829264998E-2</v>
      </c>
      <c r="G445">
        <v>6.4208873864763011E-2</v>
      </c>
      <c r="H445">
        <v>-0.21759387103397901</v>
      </c>
      <c r="I445">
        <v>7.8848707334218004E-2</v>
      </c>
    </row>
    <row r="446" spans="1:9" x14ac:dyDescent="0.25">
      <c r="A446" s="1" t="s">
        <v>458</v>
      </c>
      <c r="B446" t="str">
        <f>HYPERLINK("https://www.suredividend.com/sure-analysis-research-database/","Destination XL Group Inc")</f>
        <v>Destination XL Group Inc</v>
      </c>
      <c r="C446">
        <v>2.4943310657595998E-2</v>
      </c>
      <c r="D446">
        <v>-9.2369477911646014E-2</v>
      </c>
      <c r="E446">
        <v>4.3879907621247001E-2</v>
      </c>
      <c r="F446">
        <v>-0.33037037037036998</v>
      </c>
      <c r="G446">
        <v>-0.33136094674556199</v>
      </c>
      <c r="H446">
        <v>-0.40132450331125802</v>
      </c>
      <c r="I446">
        <v>0.39938080495355999</v>
      </c>
    </row>
    <row r="447" spans="1:9" x14ac:dyDescent="0.25">
      <c r="A447" s="1" t="s">
        <v>459</v>
      </c>
      <c r="B447" t="str">
        <f>HYPERLINK("https://www.suredividend.com/sure-analysis-research-database/","DXP Enterprises, Inc.")</f>
        <v>DXP Enterprises, Inc.</v>
      </c>
      <c r="C447">
        <v>-1.6152293048744999E-2</v>
      </c>
      <c r="D447">
        <v>-7.984893444834E-2</v>
      </c>
      <c r="E447">
        <v>0.41711674283340211</v>
      </c>
      <c r="F447">
        <v>0.23811252268602501</v>
      </c>
      <c r="G447">
        <v>0.17015437392795801</v>
      </c>
      <c r="H447">
        <v>-1.7852001151741001E-2</v>
      </c>
      <c r="I447">
        <v>-1.9263944795858998E-2</v>
      </c>
    </row>
    <row r="448" spans="1:9" x14ac:dyDescent="0.25">
      <c r="A448" s="1" t="s">
        <v>460</v>
      </c>
      <c r="B448" t="str">
        <f>HYPERLINK("https://www.suredividend.com/sure-analysis-research-database/","Dycom Industries, Inc.")</f>
        <v>Dycom Industries, Inc.</v>
      </c>
      <c r="C448">
        <v>-2.1449275362317999E-2</v>
      </c>
      <c r="D448">
        <v>-0.10763374920702</v>
      </c>
      <c r="E448">
        <v>-7.5372480280455012E-2</v>
      </c>
      <c r="F448">
        <v>-9.8290598290598011E-2</v>
      </c>
      <c r="G448">
        <v>-0.27046417149278201</v>
      </c>
      <c r="H448">
        <v>5.0143088216996007E-2</v>
      </c>
      <c r="I448">
        <v>0.14363143631436301</v>
      </c>
    </row>
    <row r="449" spans="1:9" x14ac:dyDescent="0.25">
      <c r="A449" s="1" t="s">
        <v>461</v>
      </c>
      <c r="B449" t="str">
        <f>HYPERLINK("https://www.suredividend.com/sure-analysis-research-database/","Dyne Therapeutics Inc")</f>
        <v>Dyne Therapeutics Inc</v>
      </c>
      <c r="C449">
        <v>-9.6269554753300006E-3</v>
      </c>
      <c r="D449">
        <v>-0.28744588744588701</v>
      </c>
      <c r="E449">
        <v>-0.31983471074380099</v>
      </c>
      <c r="F449">
        <v>-0.28990509059533998</v>
      </c>
      <c r="G449">
        <v>-0.211685823754789</v>
      </c>
      <c r="H449">
        <v>-0.44579124579124502</v>
      </c>
      <c r="I449">
        <v>-0.65564853556485303</v>
      </c>
    </row>
    <row r="450" spans="1:9" x14ac:dyDescent="0.25">
      <c r="A450" s="1" t="s">
        <v>462</v>
      </c>
      <c r="B450" t="str">
        <f>HYPERLINK("https://www.suredividend.com/sure-analysis-research-database/","DZS Inc")</f>
        <v>DZS Inc</v>
      </c>
      <c r="C450">
        <v>-0.24744897959183601</v>
      </c>
      <c r="D450">
        <v>-0.54049844236760103</v>
      </c>
      <c r="E450">
        <v>-0.77651515151515105</v>
      </c>
      <c r="F450">
        <v>-0.88367507886435304</v>
      </c>
      <c r="G450">
        <v>-0.89649122807017512</v>
      </c>
      <c r="H450">
        <v>-0.89634574841883308</v>
      </c>
      <c r="I450">
        <v>-0.89057863501483603</v>
      </c>
    </row>
    <row r="451" spans="1:9" x14ac:dyDescent="0.25">
      <c r="A451" s="1" t="s">
        <v>463</v>
      </c>
      <c r="B451" t="str">
        <f>HYPERLINK("https://www.suredividend.com/sure-analysis-research-database/","GrafTech International Ltd.")</f>
        <v>GrafTech International Ltd.</v>
      </c>
      <c r="C451">
        <v>-0.14857142857142799</v>
      </c>
      <c r="D451">
        <v>-0.26419753086419701</v>
      </c>
      <c r="E451">
        <v>-0.29216152019002301</v>
      </c>
      <c r="F451">
        <v>-0.37282963274755299</v>
      </c>
      <c r="G451">
        <v>-0.35114420711128502</v>
      </c>
      <c r="H451">
        <v>-0.73121189161886202</v>
      </c>
      <c r="I451">
        <v>-0.81631357368722701</v>
      </c>
    </row>
    <row r="452" spans="1:9" x14ac:dyDescent="0.25">
      <c r="A452" s="1" t="s">
        <v>464</v>
      </c>
      <c r="B452" t="str">
        <f>HYPERLINK("https://www.suredividend.com/sure-analysis-research-database/","Brinker International, Inc.")</f>
        <v>Brinker International, Inc.</v>
      </c>
      <c r="C452">
        <v>0.15181194906953899</v>
      </c>
      <c r="D452">
        <v>-8.8607594936708001E-2</v>
      </c>
      <c r="E452">
        <v>-9.5384615384615012E-2</v>
      </c>
      <c r="F452">
        <v>0.105609526794108</v>
      </c>
      <c r="G452">
        <v>0.164356435643564</v>
      </c>
      <c r="H452">
        <v>-0.173963942870522</v>
      </c>
      <c r="I452">
        <v>-0.17779486820946599</v>
      </c>
    </row>
    <row r="453" spans="1:9" x14ac:dyDescent="0.25">
      <c r="A453" s="1" t="s">
        <v>465</v>
      </c>
      <c r="B453" t="str">
        <f>HYPERLINK("https://www.suredividend.com/sure-analysis-research-database/","Eventbrite Inc")</f>
        <v>Eventbrite Inc</v>
      </c>
      <c r="C453">
        <v>-0.13043478260869501</v>
      </c>
      <c r="D453">
        <v>-0.27111111111111103</v>
      </c>
      <c r="E453">
        <v>0.299524564183835</v>
      </c>
      <c r="F453">
        <v>0.39931740614334399</v>
      </c>
      <c r="G453">
        <v>0.22938530734632601</v>
      </c>
      <c r="H453">
        <v>-0.60595867371456003</v>
      </c>
      <c r="I453">
        <v>-0.72766522749916906</v>
      </c>
    </row>
    <row r="454" spans="1:9" x14ac:dyDescent="0.25">
      <c r="A454" s="1" t="s">
        <v>466</v>
      </c>
      <c r="B454" t="str">
        <f>HYPERLINK("https://www.suredividend.com/sure-analysis-research-database/","Eastern Bankshares Inc.")</f>
        <v>Eastern Bankshares Inc.</v>
      </c>
      <c r="C454">
        <v>-1.1007620660457001E-2</v>
      </c>
      <c r="D454">
        <v>-0.17795107119731901</v>
      </c>
      <c r="E454">
        <v>0.13916766636431899</v>
      </c>
      <c r="F454">
        <v>-0.29548155162950002</v>
      </c>
      <c r="G454">
        <v>-0.36213205177215801</v>
      </c>
      <c r="H454">
        <v>-0.41946578923824701</v>
      </c>
      <c r="I454">
        <v>3.6324596738416003E-2</v>
      </c>
    </row>
    <row r="455" spans="1:9" x14ac:dyDescent="0.25">
      <c r="A455" s="1" t="s">
        <v>467</v>
      </c>
      <c r="B455" t="str">
        <f>HYPERLINK("https://www.suredividend.com/sure-analysis-EBF/","Ennis Inc.")</f>
        <v>Ennis Inc.</v>
      </c>
      <c r="C455">
        <v>3.4548035967817997E-2</v>
      </c>
      <c r="D455">
        <v>1.9760780728107E-2</v>
      </c>
      <c r="E455">
        <v>0.16736712254150601</v>
      </c>
      <c r="F455">
        <v>3.4034199758755997E-2</v>
      </c>
      <c r="G455">
        <v>1.4352202016639001E-2</v>
      </c>
      <c r="H455">
        <v>0.24458412329695201</v>
      </c>
      <c r="I455">
        <v>0.37533581220940798</v>
      </c>
    </row>
    <row r="456" spans="1:9" x14ac:dyDescent="0.25">
      <c r="A456" s="1" t="s">
        <v>468</v>
      </c>
      <c r="B456" t="str">
        <f>HYPERLINK("https://www.suredividend.com/sure-analysis-research-database/","Ebix Inc.")</f>
        <v>Ebix Inc.</v>
      </c>
      <c r="C456">
        <v>-0.10662824207492699</v>
      </c>
      <c r="D456">
        <v>-0.77809591982820303</v>
      </c>
      <c r="E456">
        <v>-0.61030798240100503</v>
      </c>
      <c r="F456">
        <v>-0.68937875751503008</v>
      </c>
      <c r="G456">
        <v>-0.65150527238797507</v>
      </c>
      <c r="H456">
        <v>-0.83586029063318201</v>
      </c>
      <c r="I456">
        <v>-0.88558225712988603</v>
      </c>
    </row>
    <row r="457" spans="1:9" x14ac:dyDescent="0.25">
      <c r="A457" s="1" t="s">
        <v>469</v>
      </c>
      <c r="B457" t="str">
        <f>HYPERLINK("https://www.suredividend.com/sure-analysis-research-database/","Emergent Biosolutions Inc")</f>
        <v>Emergent Biosolutions Inc</v>
      </c>
      <c r="C457">
        <v>-0.17406143344709901</v>
      </c>
      <c r="D457">
        <v>-0.66894664842681206</v>
      </c>
      <c r="E457">
        <v>-0.71662763466042101</v>
      </c>
      <c r="F457">
        <v>-0.79508890770533402</v>
      </c>
      <c r="G457">
        <v>-0.87875751503006005</v>
      </c>
      <c r="H457">
        <v>-0.9540011404675911</v>
      </c>
      <c r="I457">
        <v>-0.96267735965453405</v>
      </c>
    </row>
    <row r="458" spans="1:9" x14ac:dyDescent="0.25">
      <c r="A458" s="1" t="s">
        <v>470</v>
      </c>
      <c r="B458" t="str">
        <f>HYPERLINK("https://www.suredividend.com/sure-analysis-EBTC/","Enterprise Bancorp, Inc.")</f>
        <v>Enterprise Bancorp, Inc.</v>
      </c>
      <c r="C458">
        <v>1.1507052709725E-2</v>
      </c>
      <c r="D458">
        <v>-0.121978882383835</v>
      </c>
      <c r="E458">
        <v>4.5559537421439013E-2</v>
      </c>
      <c r="F458">
        <v>-0.19809543988511399</v>
      </c>
      <c r="G458">
        <v>-0.14281759787607401</v>
      </c>
      <c r="H458">
        <v>-0.24373619298187099</v>
      </c>
      <c r="I458">
        <v>-1.0062847386202001E-2</v>
      </c>
    </row>
    <row r="459" spans="1:9" x14ac:dyDescent="0.25">
      <c r="A459" s="1" t="s">
        <v>471</v>
      </c>
      <c r="B459" t="str">
        <f>HYPERLINK("https://www.suredividend.com/sure-analysis-research-database/","Encore Capital Group, Inc.")</f>
        <v>Encore Capital Group, Inc.</v>
      </c>
      <c r="C459">
        <v>-0.100568062276456</v>
      </c>
      <c r="D459">
        <v>-0.15363294397148999</v>
      </c>
      <c r="E459">
        <v>-8.9262888794205006E-2</v>
      </c>
      <c r="F459">
        <v>-0.10826032540675801</v>
      </c>
      <c r="G459">
        <v>-6.1882817643185997E-2</v>
      </c>
      <c r="H459">
        <v>-0.274316754371074</v>
      </c>
      <c r="I459">
        <v>0.59514925373134309</v>
      </c>
    </row>
    <row r="460" spans="1:9" x14ac:dyDescent="0.25">
      <c r="A460" s="1" t="s">
        <v>472</v>
      </c>
      <c r="B460" t="str">
        <f>HYPERLINK("https://www.suredividend.com/sure-analysis-research-database/","Ecovyst Inc")</f>
        <v>Ecovyst Inc</v>
      </c>
      <c r="C460">
        <v>-3.9755351681957013E-2</v>
      </c>
      <c r="D460">
        <v>-5.8941058941058007E-2</v>
      </c>
      <c r="E460">
        <v>-0.113828786453433</v>
      </c>
      <c r="F460">
        <v>6.3205417607223008E-2</v>
      </c>
      <c r="G460">
        <v>-2.5853154084798002E-2</v>
      </c>
      <c r="H460">
        <v>-0.20773759461732499</v>
      </c>
      <c r="I460">
        <v>-0.31619960873841702</v>
      </c>
    </row>
    <row r="461" spans="1:9" x14ac:dyDescent="0.25">
      <c r="A461" s="1" t="s">
        <v>473</v>
      </c>
      <c r="B461" t="str">
        <f>HYPERLINK("https://www.suredividend.com/sure-analysis-research-database/","Editas Medicine Inc")</f>
        <v>Editas Medicine Inc</v>
      </c>
      <c r="C461">
        <v>0.17872340425531899</v>
      </c>
      <c r="D461">
        <v>-8.1767955801104006E-2</v>
      </c>
      <c r="E461">
        <v>-4.7018348623853012E-2</v>
      </c>
      <c r="F461">
        <v>-6.3134160090191002E-2</v>
      </c>
      <c r="G461">
        <v>-0.277391304347826</v>
      </c>
      <c r="H461">
        <v>-0.78039112050739901</v>
      </c>
      <c r="I461">
        <v>-0.70321428571428501</v>
      </c>
    </row>
    <row r="462" spans="1:9" x14ac:dyDescent="0.25">
      <c r="A462" s="1" t="s">
        <v>474</v>
      </c>
      <c r="B462" t="str">
        <f>HYPERLINK("https://www.suredividend.com/sure-analysis-research-database/","Excelerate Energy Inc")</f>
        <v>Excelerate Energy Inc</v>
      </c>
      <c r="C462">
        <v>-1.7891373801916001E-2</v>
      </c>
      <c r="D462">
        <v>-0.27370843433842201</v>
      </c>
      <c r="E462">
        <v>-0.229921338744426</v>
      </c>
      <c r="F462">
        <v>-0.38419500625019998</v>
      </c>
      <c r="G462">
        <v>-0.41998030121777702</v>
      </c>
      <c r="H462">
        <v>-0.42437906342691001</v>
      </c>
      <c r="I462">
        <v>-0.42437906342691001</v>
      </c>
    </row>
    <row r="463" spans="1:9" x14ac:dyDescent="0.25">
      <c r="A463" s="1" t="s">
        <v>475</v>
      </c>
      <c r="B463" t="str">
        <f>HYPERLINK("https://www.suredividend.com/sure-analysis-EFC/","Ellington Financial Inc")</f>
        <v>Ellington Financial Inc</v>
      </c>
      <c r="C463">
        <v>7.6571120979679011E-2</v>
      </c>
      <c r="D463">
        <v>-3.185134998325E-3</v>
      </c>
      <c r="E463">
        <v>0.16479056519642099</v>
      </c>
      <c r="F463">
        <v>0.16259003260701699</v>
      </c>
      <c r="G463">
        <v>0.11332422958833099</v>
      </c>
      <c r="H463">
        <v>-9.5630056169851013E-2</v>
      </c>
      <c r="I463">
        <v>0.372330388541041</v>
      </c>
    </row>
    <row r="464" spans="1:9" x14ac:dyDescent="0.25">
      <c r="A464" s="1" t="s">
        <v>476</v>
      </c>
      <c r="B464" t="str">
        <f>HYPERLINK("https://www.suredividend.com/sure-analysis-research-database/","Enterprise Financial Services Corp.")</f>
        <v>Enterprise Financial Services Corp.</v>
      </c>
      <c r="C464">
        <v>8.6603518267920013E-3</v>
      </c>
      <c r="D464">
        <v>-7.9964353864421009E-2</v>
      </c>
      <c r="E464">
        <v>1.5694621206132998E-2</v>
      </c>
      <c r="F464">
        <v>-0.21550880368776101</v>
      </c>
      <c r="G464">
        <v>-0.26962240634626899</v>
      </c>
      <c r="H464">
        <v>-0.194999362824824</v>
      </c>
      <c r="I464">
        <v>-5.2594117796588007E-2</v>
      </c>
    </row>
    <row r="465" spans="1:9" x14ac:dyDescent="0.25">
      <c r="A465" s="1" t="s">
        <v>477</v>
      </c>
      <c r="B465" t="str">
        <f>HYPERLINK("https://www.suredividend.com/sure-analysis-research-database/","eGain Corp")</f>
        <v>eGain Corp</v>
      </c>
      <c r="C465">
        <v>3.9808917197452012E-2</v>
      </c>
      <c r="D465">
        <v>-0.109140518417462</v>
      </c>
      <c r="E465">
        <v>-9.3055555555555003E-2</v>
      </c>
      <c r="F465">
        <v>-0.27685492801771799</v>
      </c>
      <c r="G465">
        <v>-0.14973958333333301</v>
      </c>
      <c r="H465">
        <v>-0.39648798521256901</v>
      </c>
      <c r="I465">
        <v>-0.174462705436156</v>
      </c>
    </row>
    <row r="466" spans="1:9" x14ac:dyDescent="0.25">
      <c r="A466" s="1" t="s">
        <v>478</v>
      </c>
      <c r="B466" t="str">
        <f>HYPERLINK("https://www.suredividend.com/sure-analysis-research-database/","Eagle Bancorp Inc (MD)")</f>
        <v>Eagle Bancorp Inc (MD)</v>
      </c>
      <c r="C466">
        <v>0.20643640847158701</v>
      </c>
      <c r="D466">
        <v>-0.106702619414483</v>
      </c>
      <c r="E466">
        <v>0.24299841878165701</v>
      </c>
      <c r="F466">
        <v>-0.41435844596642202</v>
      </c>
      <c r="G466">
        <v>-0.43990512925173297</v>
      </c>
      <c r="H466">
        <v>-0.54025221695971704</v>
      </c>
      <c r="I466">
        <v>-0.42730135210224102</v>
      </c>
    </row>
    <row r="467" spans="1:9" x14ac:dyDescent="0.25">
      <c r="A467" s="1" t="s">
        <v>479</v>
      </c>
      <c r="B467" t="str">
        <f>HYPERLINK("https://www.suredividend.com/sure-analysis-research-database/","8X8 Inc.")</f>
        <v>8X8 Inc.</v>
      </c>
      <c r="C467">
        <v>0.33877551020408098</v>
      </c>
      <c r="D467">
        <v>-0.28070175438596401</v>
      </c>
      <c r="E467">
        <v>0.27131782945736399</v>
      </c>
      <c r="F467">
        <v>-0.24074074074074001</v>
      </c>
      <c r="G467">
        <v>-0.13684210526315699</v>
      </c>
      <c r="H467">
        <v>-0.85231877532642908</v>
      </c>
      <c r="I467">
        <v>-0.81614349775784711</v>
      </c>
    </row>
    <row r="468" spans="1:9" x14ac:dyDescent="0.25">
      <c r="A468" s="1" t="s">
        <v>480</v>
      </c>
      <c r="B468" t="str">
        <f>HYPERLINK("https://www.suredividend.com/sure-analysis-research-database/","Edgio Inc")</f>
        <v>Edgio Inc</v>
      </c>
      <c r="C468">
        <v>3.5325721961047003E-2</v>
      </c>
      <c r="D468">
        <v>-4.4857496902105998E-2</v>
      </c>
      <c r="E468">
        <v>0.41952117863720001</v>
      </c>
      <c r="F468">
        <v>-0.31787610619468998</v>
      </c>
      <c r="G468">
        <v>-0.66340611353711709</v>
      </c>
      <c r="H468">
        <v>-0.75912499999999994</v>
      </c>
      <c r="I468">
        <v>-0.80386768447837109</v>
      </c>
    </row>
    <row r="469" spans="1:9" x14ac:dyDescent="0.25">
      <c r="A469" s="1" t="s">
        <v>481</v>
      </c>
      <c r="B469" t="str">
        <f>HYPERLINK("https://www.suredividend.com/sure-analysis-research-database/","Eagle Bulk Shipping Inc")</f>
        <v>Eagle Bulk Shipping Inc</v>
      </c>
      <c r="C469">
        <v>-1.0498687664041001E-2</v>
      </c>
      <c r="D469">
        <v>-6.1471681203633013E-2</v>
      </c>
      <c r="E469">
        <v>1.5373842187350001E-2</v>
      </c>
      <c r="F469">
        <v>-0.14660948586668399</v>
      </c>
      <c r="G469">
        <v>-0.15032679738561999</v>
      </c>
      <c r="H469">
        <v>0.29423881155982701</v>
      </c>
      <c r="I469">
        <v>0.44813160642387911</v>
      </c>
    </row>
    <row r="470" spans="1:9" x14ac:dyDescent="0.25">
      <c r="A470" s="1" t="s">
        <v>482</v>
      </c>
      <c r="B470" t="str">
        <f>HYPERLINK("https://www.suredividend.com/sure-analysis-research-database/","Eagle Pharmaceuticals Inc")</f>
        <v>Eagle Pharmaceuticals Inc</v>
      </c>
      <c r="C470">
        <v>-2.7662517289069998E-3</v>
      </c>
      <c r="D470">
        <v>-0.33023687877380398</v>
      </c>
      <c r="E470">
        <v>-0.49171660204441298</v>
      </c>
      <c r="F470">
        <v>-0.50667122819021504</v>
      </c>
      <c r="G470">
        <v>-0.54294770206022103</v>
      </c>
      <c r="H470">
        <v>-0.72237196765498601</v>
      </c>
      <c r="I470">
        <v>-0.71764245153710504</v>
      </c>
    </row>
    <row r="471" spans="1:9" x14ac:dyDescent="0.25">
      <c r="A471" s="1" t="s">
        <v>483</v>
      </c>
      <c r="B471" t="str">
        <f>HYPERLINK("https://www.suredividend.com/sure-analysis-research-database/","VAALCO Energy, Inc.")</f>
        <v>VAALCO Energy, Inc.</v>
      </c>
      <c r="C471">
        <v>0.14578005115089501</v>
      </c>
      <c r="D471">
        <v>4.8934675719972003E-2</v>
      </c>
      <c r="E471">
        <v>0.12252568278626901</v>
      </c>
      <c r="F471">
        <v>2.7146001467351001E-2</v>
      </c>
      <c r="G471">
        <v>-8.8523122622123002E-2</v>
      </c>
      <c r="H471">
        <v>0.28539867443261702</v>
      </c>
      <c r="I471">
        <v>1.563955817547072</v>
      </c>
    </row>
    <row r="472" spans="1:9" x14ac:dyDescent="0.25">
      <c r="A472" s="1" t="s">
        <v>484</v>
      </c>
      <c r="B472" t="str">
        <f>HYPERLINK("https://www.suredividend.com/sure-analysis-research-database/","eHealth Inc")</f>
        <v>eHealth Inc</v>
      </c>
      <c r="C472">
        <v>0.106683804627249</v>
      </c>
      <c r="D472">
        <v>-6.9204152249130006E-3</v>
      </c>
      <c r="E472">
        <v>0.46428571428571402</v>
      </c>
      <c r="F472">
        <v>0.77892561983471009</v>
      </c>
      <c r="G472">
        <v>1.8509933774834431</v>
      </c>
      <c r="H472">
        <v>-0.80930232558139503</v>
      </c>
      <c r="I472">
        <v>-0.74934497816593804</v>
      </c>
    </row>
    <row r="473" spans="1:9" x14ac:dyDescent="0.25">
      <c r="A473" s="1" t="s">
        <v>485</v>
      </c>
      <c r="B473" t="str">
        <f>HYPERLINK("https://www.suredividend.com/sure-analysis-research-database/","Employers Holdings Inc")</f>
        <v>Employers Holdings Inc</v>
      </c>
      <c r="C473">
        <v>-1.0952623535404001E-2</v>
      </c>
      <c r="D473">
        <v>3.8902586377900002E-4</v>
      </c>
      <c r="E473">
        <v>4.1219944867670003E-3</v>
      </c>
      <c r="F473">
        <v>-8.1233792046035008E-2</v>
      </c>
      <c r="G473">
        <v>-6.6364351131639007E-2</v>
      </c>
      <c r="H473">
        <v>8.2490033731984005E-2</v>
      </c>
      <c r="I473">
        <v>1.2880775872412001E-2</v>
      </c>
    </row>
    <row r="474" spans="1:9" x14ac:dyDescent="0.25">
      <c r="A474" s="1" t="s">
        <v>486</v>
      </c>
      <c r="B474" t="str">
        <f>HYPERLINK("https://www.suredividend.com/sure-analysis-research-database/","Eiger BioPharmaceuticals Inc")</f>
        <v>Eiger BioPharmaceuticals Inc</v>
      </c>
      <c r="C474">
        <v>0.30289903365544801</v>
      </c>
      <c r="D474">
        <v>-0.46438356164383499</v>
      </c>
      <c r="E474">
        <v>-0.65999999999999903</v>
      </c>
      <c r="F474">
        <v>-0.66864406779661001</v>
      </c>
      <c r="G474">
        <v>-0.90928074245939605</v>
      </c>
      <c r="H474">
        <v>-0.95081761006289311</v>
      </c>
      <c r="I474">
        <v>-0.96797706797706806</v>
      </c>
    </row>
    <row r="475" spans="1:9" x14ac:dyDescent="0.25">
      <c r="A475" s="1" t="s">
        <v>487</v>
      </c>
      <c r="B475" t="str">
        <f>HYPERLINK("https://www.suredividend.com/sure-analysis-research-database/","e.l.f. Beauty Inc")</f>
        <v>e.l.f. Beauty Inc</v>
      </c>
      <c r="C475">
        <v>-3.3474065138720997E-2</v>
      </c>
      <c r="D475">
        <v>-0.249707374170893</v>
      </c>
      <c r="E475">
        <v>7.5262804741668007E-2</v>
      </c>
      <c r="F475">
        <v>0.73869801084990905</v>
      </c>
      <c r="G475">
        <v>0.97676809210526305</v>
      </c>
      <c r="H475">
        <v>2.1827209533267129</v>
      </c>
      <c r="I475">
        <v>7.8454461821527151</v>
      </c>
    </row>
    <row r="476" spans="1:9" x14ac:dyDescent="0.25">
      <c r="A476" s="1" t="s">
        <v>488</v>
      </c>
      <c r="B476" t="str">
        <f>HYPERLINK("https://www.suredividend.com/sure-analysis-research-database/","Elme Communities")</f>
        <v>Elme Communities</v>
      </c>
      <c r="C476">
        <v>1.484780994803E-3</v>
      </c>
      <c r="D476">
        <v>-0.127984020581904</v>
      </c>
      <c r="E476">
        <v>-0.158190327613104</v>
      </c>
      <c r="F476">
        <v>-0.21592560302237701</v>
      </c>
      <c r="G476">
        <v>-0.24964262074412699</v>
      </c>
      <c r="H476">
        <v>-0.45556761817895602</v>
      </c>
      <c r="I476">
        <v>-0.42665278279533297</v>
      </c>
    </row>
    <row r="477" spans="1:9" x14ac:dyDescent="0.25">
      <c r="A477" s="1" t="s">
        <v>489</v>
      </c>
      <c r="B477" t="str">
        <f>HYPERLINK("https://www.suredividend.com/sure-analysis-research-database/","Embecta Corp")</f>
        <v>Embecta Corp</v>
      </c>
      <c r="C477">
        <v>0.21879699248120299</v>
      </c>
      <c r="D477">
        <v>-0.23055745424166399</v>
      </c>
      <c r="E477">
        <v>-0.41872140224048598</v>
      </c>
      <c r="F477">
        <v>-0.34140762439513911</v>
      </c>
      <c r="G477">
        <v>-0.42587155248440711</v>
      </c>
      <c r="H477">
        <v>-0.44815330512253898</v>
      </c>
      <c r="I477">
        <v>-0.44815330512253898</v>
      </c>
    </row>
    <row r="478" spans="1:9" x14ac:dyDescent="0.25">
      <c r="A478" s="1" t="s">
        <v>490</v>
      </c>
      <c r="B478" t="str">
        <f>HYPERLINK("https://www.suredividend.com/sure-analysis-research-database/","Emcor Group, Inc.")</f>
        <v>Emcor Group, Inc.</v>
      </c>
      <c r="C478">
        <v>2.4508372926506001E-2</v>
      </c>
      <c r="D478">
        <v>-2.9863247729140001E-2</v>
      </c>
      <c r="E478">
        <v>0.27428920582116501</v>
      </c>
      <c r="F478">
        <v>0.42497881714963498</v>
      </c>
      <c r="G478">
        <v>0.46209588405611601</v>
      </c>
      <c r="H478">
        <v>0.67187719949832503</v>
      </c>
      <c r="I478">
        <v>1.9484243139113959</v>
      </c>
    </row>
    <row r="479" spans="1:9" x14ac:dyDescent="0.25">
      <c r="A479" s="1" t="s">
        <v>491</v>
      </c>
      <c r="B479" t="str">
        <f>HYPERLINK("https://www.suredividend.com/sure-analysis-research-database/","Enfusion Inc")</f>
        <v>Enfusion Inc</v>
      </c>
      <c r="C479">
        <v>-4.3381535038932002E-2</v>
      </c>
      <c r="D479">
        <v>-0.14851485148514801</v>
      </c>
      <c r="E479">
        <v>7.025761124121001E-3</v>
      </c>
      <c r="F479">
        <v>-0.110651499482936</v>
      </c>
      <c r="G479">
        <v>-0.32176656151419503</v>
      </c>
      <c r="H479">
        <v>-0.59869342043863705</v>
      </c>
      <c r="I479">
        <v>-0.56587582029278105</v>
      </c>
    </row>
    <row r="480" spans="1:9" x14ac:dyDescent="0.25">
      <c r="A480" s="1" t="s">
        <v>492</v>
      </c>
      <c r="B480" t="str">
        <f>HYPERLINK("https://www.suredividend.com/sure-analysis-research-database/","Enochian Biosciences Inc")</f>
        <v>Enochian Biosciences Inc</v>
      </c>
      <c r="C480">
        <v>0.53172866520787709</v>
      </c>
      <c r="D480">
        <v>-0.44000000000000011</v>
      </c>
      <c r="E480">
        <v>-0.36363636363636298</v>
      </c>
      <c r="F480">
        <v>-0.32038834951456302</v>
      </c>
      <c r="G480">
        <v>-0.75524475524475509</v>
      </c>
      <c r="H480">
        <v>-0.87868284228769511</v>
      </c>
      <c r="I480">
        <v>-0.91666666666666607</v>
      </c>
    </row>
    <row r="481" spans="1:9" x14ac:dyDescent="0.25">
      <c r="A481" s="1" t="s">
        <v>493</v>
      </c>
      <c r="B481" t="str">
        <f>HYPERLINK("https://www.suredividend.com/sure-analysis-research-database/","Energizer Holdings Inc")</f>
        <v>Energizer Holdings Inc</v>
      </c>
      <c r="C481">
        <v>0.102437417654808</v>
      </c>
      <c r="D481">
        <v>-6.4752020968332005E-2</v>
      </c>
      <c r="E481">
        <v>5.9190622666109013E-2</v>
      </c>
      <c r="F481">
        <v>2.3594354481092001E-2</v>
      </c>
      <c r="G481">
        <v>0.192168093207812</v>
      </c>
      <c r="H481">
        <v>-5.0453353911099001E-2</v>
      </c>
      <c r="I481">
        <v>-0.33742846226786699</v>
      </c>
    </row>
    <row r="482" spans="1:9" x14ac:dyDescent="0.25">
      <c r="A482" s="1" t="s">
        <v>494</v>
      </c>
      <c r="B482" t="str">
        <f>HYPERLINK("https://www.suredividend.com/sure-analysis-research-database/","Enersys")</f>
        <v>Enersys</v>
      </c>
      <c r="C482">
        <v>-2.8997959402855999E-2</v>
      </c>
      <c r="D482">
        <v>-0.132783581495418</v>
      </c>
      <c r="E482">
        <v>0.117640950581998</v>
      </c>
      <c r="F482">
        <v>0.23201746436879001</v>
      </c>
      <c r="G482">
        <v>0.37538336091909202</v>
      </c>
      <c r="H482">
        <v>0.10688050930460299</v>
      </c>
      <c r="I482">
        <v>0.15225697586390599</v>
      </c>
    </row>
    <row r="483" spans="1:9" x14ac:dyDescent="0.25">
      <c r="A483" s="1" t="s">
        <v>495</v>
      </c>
      <c r="B483" t="str">
        <f>HYPERLINK("https://www.suredividend.com/sure-analysis-ENSG/","Ensign Group Inc")</f>
        <v>Ensign Group Inc</v>
      </c>
      <c r="C483">
        <v>0.116217990807616</v>
      </c>
      <c r="D483">
        <v>5.3507871356360003E-2</v>
      </c>
      <c r="E483">
        <v>0.10674441365332001</v>
      </c>
      <c r="F483">
        <v>8.1454747480316003E-2</v>
      </c>
      <c r="G483">
        <v>0.122088757220696</v>
      </c>
      <c r="H483">
        <v>0.326806831234073</v>
      </c>
      <c r="I483">
        <v>1.416334420683822</v>
      </c>
    </row>
    <row r="484" spans="1:9" x14ac:dyDescent="0.25">
      <c r="A484" s="1" t="s">
        <v>496</v>
      </c>
      <c r="B484" t="str">
        <f>HYPERLINK("https://www.suredividend.com/sure-analysis-research-database/","Enanta Pharmaceuticals Inc")</f>
        <v>Enanta Pharmaceuticals Inc</v>
      </c>
      <c r="C484">
        <v>-6.8588469184890005E-2</v>
      </c>
      <c r="D484">
        <v>-0.52724520686175502</v>
      </c>
      <c r="E484">
        <v>-0.74187327823691407</v>
      </c>
      <c r="F484">
        <v>-0.79858125537403202</v>
      </c>
      <c r="G484">
        <v>-0.77174177831912305</v>
      </c>
      <c r="H484">
        <v>-0.89308534915563609</v>
      </c>
      <c r="I484">
        <v>-0.88269904857285908</v>
      </c>
    </row>
    <row r="485" spans="1:9" x14ac:dyDescent="0.25">
      <c r="A485" s="1" t="s">
        <v>497</v>
      </c>
      <c r="B485" t="str">
        <f>HYPERLINK("https://www.suredividend.com/sure-analysis-research-database/","Envestnet Inc.")</f>
        <v>Envestnet Inc.</v>
      </c>
      <c r="C485">
        <v>1.4753688422104999E-2</v>
      </c>
      <c r="D485">
        <v>-0.26432197244379901</v>
      </c>
      <c r="E485">
        <v>-0.33322379231021998</v>
      </c>
      <c r="F485">
        <v>-0.34230145867098799</v>
      </c>
      <c r="G485">
        <v>-0.14061838204150701</v>
      </c>
      <c r="H485">
        <v>-0.50996256490761904</v>
      </c>
      <c r="I485">
        <v>-0.22141212586339201</v>
      </c>
    </row>
    <row r="486" spans="1:9" x14ac:dyDescent="0.25">
      <c r="A486" s="1" t="s">
        <v>498</v>
      </c>
      <c r="B486" t="str">
        <f>HYPERLINK("https://www.suredividend.com/sure-analysis-research-database/","Enova International Inc.")</f>
        <v>Enova International Inc.</v>
      </c>
      <c r="C486">
        <v>-0.11366459627329099</v>
      </c>
      <c r="D486">
        <v>-0.222907968778362</v>
      </c>
      <c r="E486">
        <v>1.5417457305503E-2</v>
      </c>
      <c r="F486">
        <v>0.115715402658326</v>
      </c>
      <c r="G486">
        <v>0.14710610932475801</v>
      </c>
      <c r="H486">
        <v>0.160477094063431</v>
      </c>
      <c r="I486">
        <v>0.74095160634404211</v>
      </c>
    </row>
    <row r="487" spans="1:9" x14ac:dyDescent="0.25">
      <c r="A487" s="1" t="s">
        <v>499</v>
      </c>
      <c r="B487" t="str">
        <f>HYPERLINK("https://www.suredividend.com/sure-analysis-research-database/","Enovix Corporation")</f>
        <v>Enovix Corporation</v>
      </c>
      <c r="C487">
        <v>3.2163742690058013E-2</v>
      </c>
      <c r="D487">
        <v>-0.40605720695456998</v>
      </c>
      <c r="E487">
        <v>-0.100254885301614</v>
      </c>
      <c r="F487">
        <v>-0.148713826366559</v>
      </c>
      <c r="G487">
        <v>-1.3966480446927E-2</v>
      </c>
      <c r="H487">
        <v>-0.65380843412880008</v>
      </c>
      <c r="I487">
        <v>-0.15617529880478001</v>
      </c>
    </row>
    <row r="488" spans="1:9" x14ac:dyDescent="0.25">
      <c r="A488" s="1" t="s">
        <v>500</v>
      </c>
      <c r="B488" t="str">
        <f>HYPERLINK("https://www.suredividend.com/sure-analysis-research-database/","Evolus Inc")</f>
        <v>Evolus Inc</v>
      </c>
      <c r="C488">
        <v>-5.9311981020166007E-2</v>
      </c>
      <c r="D488">
        <v>-0.197368421052631</v>
      </c>
      <c r="E488">
        <v>-4.5728038507822012E-2</v>
      </c>
      <c r="F488">
        <v>5.5925432756325007E-2</v>
      </c>
      <c r="G488">
        <v>4.4795783926217997E-2</v>
      </c>
      <c r="H488">
        <v>9.6818810511756004E-2</v>
      </c>
      <c r="I488">
        <v>-0.51439069197795406</v>
      </c>
    </row>
    <row r="489" spans="1:9" x14ac:dyDescent="0.25">
      <c r="A489" s="1" t="s">
        <v>501</v>
      </c>
      <c r="B489" t="str">
        <f>HYPERLINK("https://www.suredividend.com/sure-analysis-research-database/","Empire Petroleum Corporation")</f>
        <v>Empire Petroleum Corporation</v>
      </c>
      <c r="C489">
        <v>-2.5522041763340001E-2</v>
      </c>
      <c r="D489">
        <v>-0.112050739957716</v>
      </c>
      <c r="E489">
        <v>-9.287257019438401E-2</v>
      </c>
      <c r="F489">
        <v>-0.31707317073170699</v>
      </c>
      <c r="G489">
        <v>-0.50148367952522199</v>
      </c>
      <c r="H489">
        <v>32.6</v>
      </c>
      <c r="I489">
        <v>32.6</v>
      </c>
    </row>
    <row r="490" spans="1:9" x14ac:dyDescent="0.25">
      <c r="A490" s="1" t="s">
        <v>502</v>
      </c>
      <c r="B490" t="str">
        <f>HYPERLINK("https://www.suredividend.com/sure-analysis-research-database/","Enerpac Tool Group Corp")</f>
        <v>Enerpac Tool Group Corp</v>
      </c>
      <c r="C490">
        <v>2.7838827838827001E-2</v>
      </c>
      <c r="D490">
        <v>3.0477302690772E-2</v>
      </c>
      <c r="E490">
        <v>0.21491847143685899</v>
      </c>
      <c r="F490">
        <v>0.104167978341622</v>
      </c>
      <c r="G490">
        <v>5.9219665398321013E-2</v>
      </c>
      <c r="H490">
        <v>0.296289452287678</v>
      </c>
      <c r="I490">
        <v>0.144820157973758</v>
      </c>
    </row>
    <row r="491" spans="1:9" x14ac:dyDescent="0.25">
      <c r="A491" s="1" t="s">
        <v>503</v>
      </c>
      <c r="B491" t="str">
        <f>HYPERLINK("https://www.suredividend.com/sure-analysis-research-database/","Edgewell Personal Care Co")</f>
        <v>Edgewell Personal Care Co</v>
      </c>
      <c r="C491">
        <v>-4.4028618602089996E-3</v>
      </c>
      <c r="D491">
        <v>-6.4325670527810005E-2</v>
      </c>
      <c r="E491">
        <v>-0.15609452301146901</v>
      </c>
      <c r="F491">
        <v>-5.0715112206103002E-2</v>
      </c>
      <c r="G491">
        <v>-5.7554800140663012E-2</v>
      </c>
      <c r="H491">
        <v>-9.2231520834240004E-3</v>
      </c>
      <c r="I491">
        <v>-0.209125009836753</v>
      </c>
    </row>
    <row r="492" spans="1:9" x14ac:dyDescent="0.25">
      <c r="A492" s="1" t="s">
        <v>504</v>
      </c>
      <c r="B492" t="str">
        <f>HYPERLINK("https://www.suredividend.com/sure-analysis-EPRT/","Essential Properties Realty Trust Inc")</f>
        <v>Essential Properties Realty Trust Inc</v>
      </c>
      <c r="C492">
        <v>9.8823529411764005E-2</v>
      </c>
      <c r="D492">
        <v>-7.2447747487279996E-3</v>
      </c>
      <c r="E492">
        <v>-4.9119977846734997E-2</v>
      </c>
      <c r="F492">
        <v>3.1893690644016003E-2</v>
      </c>
      <c r="G492">
        <v>0.144837933114008</v>
      </c>
      <c r="H492">
        <v>-0.148018550208525</v>
      </c>
      <c r="I492">
        <v>1.1885837473052769</v>
      </c>
    </row>
    <row r="493" spans="1:9" x14ac:dyDescent="0.25">
      <c r="A493" s="1" t="s">
        <v>505</v>
      </c>
      <c r="B493" t="str">
        <f>HYPERLINK("https://www.suredividend.com/sure-analysis-research-database/","Equity Bancshares Inc")</f>
        <v>Equity Bancshares Inc</v>
      </c>
      <c r="C493">
        <v>9.0984628167843001E-2</v>
      </c>
      <c r="D493">
        <v>-4.6554015292894997E-2</v>
      </c>
      <c r="E493">
        <v>0.24167801482826401</v>
      </c>
      <c r="F493">
        <v>-0.18181166712883101</v>
      </c>
      <c r="G493">
        <v>-0.25017703360211901</v>
      </c>
      <c r="H493">
        <v>-0.17563961701459699</v>
      </c>
      <c r="I493">
        <v>-0.25279703167503198</v>
      </c>
    </row>
    <row r="494" spans="1:9" x14ac:dyDescent="0.25">
      <c r="A494" s="1" t="s">
        <v>506</v>
      </c>
      <c r="B494" t="str">
        <f>HYPERLINK("https://www.suredividend.com/sure-analysis-research-database/","Equity Commonwealth")</f>
        <v>Equity Commonwealth</v>
      </c>
      <c r="C494">
        <v>3.6157582298974013E-2</v>
      </c>
      <c r="D494">
        <v>-6.7252974650800004E-3</v>
      </c>
      <c r="E494">
        <v>-7.2463768115942004E-2</v>
      </c>
      <c r="F494">
        <v>-8.0063245651861001E-2</v>
      </c>
      <c r="G494">
        <v>-0.117865970760932</v>
      </c>
      <c r="H494">
        <v>-7.7224753445988004E-2</v>
      </c>
      <c r="I494">
        <v>9.1029495238290001E-3</v>
      </c>
    </row>
    <row r="495" spans="1:9" x14ac:dyDescent="0.25">
      <c r="A495" s="1" t="s">
        <v>507</v>
      </c>
      <c r="B495" t="str">
        <f>HYPERLINK("https://www.suredividend.com/sure-analysis-research-database/","EQRx Inc")</f>
        <v>EQRx Inc</v>
      </c>
      <c r="C495">
        <v>0.122727272727272</v>
      </c>
      <c r="D495">
        <v>0.10762331838564999</v>
      </c>
      <c r="E495">
        <v>0.40340909090909111</v>
      </c>
      <c r="F495">
        <v>4.0650406504060014E-3</v>
      </c>
      <c r="G495">
        <v>-0.55009107468123808</v>
      </c>
      <c r="H495">
        <v>-0.69767441860465107</v>
      </c>
      <c r="I495">
        <v>-0.69767441860465107</v>
      </c>
    </row>
    <row r="496" spans="1:9" x14ac:dyDescent="0.25">
      <c r="A496" s="1" t="s">
        <v>508</v>
      </c>
      <c r="B496" t="str">
        <f>HYPERLINK("https://www.suredividend.com/sure-analysis-research-database/","Erasca Inc")</f>
        <v>Erasca Inc</v>
      </c>
      <c r="C496">
        <v>0.28042328042328002</v>
      </c>
      <c r="D496">
        <v>-7.2796934865900012E-2</v>
      </c>
      <c r="E496">
        <v>-0.15384615384615299</v>
      </c>
      <c r="F496">
        <v>-0.43851508120649602</v>
      </c>
      <c r="G496">
        <v>-0.64464023494860501</v>
      </c>
      <c r="H496">
        <v>-0.88072942336126103</v>
      </c>
      <c r="I496">
        <v>-0.86115892139988504</v>
      </c>
    </row>
    <row r="497" spans="1:9" x14ac:dyDescent="0.25">
      <c r="A497" s="1" t="s">
        <v>509</v>
      </c>
      <c r="B497" t="str">
        <f>HYPERLINK("https://www.suredividend.com/sure-analysis-research-database/","Energy Recovery Inc")</f>
        <v>Energy Recovery Inc</v>
      </c>
      <c r="C497">
        <v>-0.114159725624693</v>
      </c>
      <c r="D497">
        <v>-0.34302325581395299</v>
      </c>
      <c r="E497">
        <v>-0.22303394929093201</v>
      </c>
      <c r="F497">
        <v>-0.117618350414836</v>
      </c>
      <c r="G497">
        <v>-6.1754021795536997E-2</v>
      </c>
      <c r="H497">
        <v>-0.178181818181818</v>
      </c>
      <c r="I497">
        <v>0.96949891067538108</v>
      </c>
    </row>
    <row r="498" spans="1:9" x14ac:dyDescent="0.25">
      <c r="A498" s="1" t="s">
        <v>510</v>
      </c>
      <c r="B498" t="str">
        <f>HYPERLINK("https://www.suredividend.com/sure-analysis-research-database/","Esco Technologies, Inc.")</f>
        <v>Esco Technologies, Inc.</v>
      </c>
      <c r="C498">
        <v>-6.1996628582131008E-2</v>
      </c>
      <c r="D498">
        <v>-1.3805346679519E-2</v>
      </c>
      <c r="E498">
        <v>6.7399864656766006E-2</v>
      </c>
      <c r="F498">
        <v>0.147962984612069</v>
      </c>
      <c r="G498">
        <v>0.170697953850001</v>
      </c>
      <c r="H498">
        <v>0.14065496553891799</v>
      </c>
      <c r="I498">
        <v>0.59740230742977007</v>
      </c>
    </row>
    <row r="499" spans="1:9" x14ac:dyDescent="0.25">
      <c r="A499" s="1" t="s">
        <v>511</v>
      </c>
      <c r="B499" t="str">
        <f>HYPERLINK("https://www.suredividend.com/sure-analysis-research-database/","Enstar Group Limited")</f>
        <v>Enstar Group Limited</v>
      </c>
      <c r="C499">
        <v>5.6999791362402998E-2</v>
      </c>
      <c r="D499">
        <v>1.8985088794840001E-3</v>
      </c>
      <c r="E499">
        <v>5.5150581080518013E-2</v>
      </c>
      <c r="F499">
        <v>9.6390235457063003E-2</v>
      </c>
      <c r="G499">
        <v>0.32922285774256099</v>
      </c>
      <c r="H499">
        <v>7.9292714103110007E-2</v>
      </c>
      <c r="I499">
        <v>0.38883710729754911</v>
      </c>
    </row>
    <row r="500" spans="1:9" x14ac:dyDescent="0.25">
      <c r="A500" s="1" t="s">
        <v>512</v>
      </c>
      <c r="B500" t="str">
        <f>HYPERLINK("https://www.suredividend.com/sure-analysis-research-database/","Engagesmart Inc")</f>
        <v>Engagesmart Inc</v>
      </c>
      <c r="C500">
        <v>0.219134152859433</v>
      </c>
      <c r="D500">
        <v>0.32078749276201401</v>
      </c>
      <c r="E500">
        <v>0.41150990099009799</v>
      </c>
      <c r="F500">
        <v>0.29602272727272699</v>
      </c>
      <c r="G500">
        <v>0.25813568670711501</v>
      </c>
      <c r="H500">
        <v>-0.28896508728179499</v>
      </c>
      <c r="I500">
        <v>-0.33147713950761998</v>
      </c>
    </row>
    <row r="501" spans="1:9" x14ac:dyDescent="0.25">
      <c r="A501" s="1" t="s">
        <v>513</v>
      </c>
      <c r="B501" t="str">
        <f>HYPERLINK("https://www.suredividend.com/sure-analysis-research-database/","Essent Group Ltd")</f>
        <v>Essent Group Ltd</v>
      </c>
      <c r="C501">
        <v>4.4496487119437003E-2</v>
      </c>
      <c r="D501">
        <v>-6.5511349675138011E-2</v>
      </c>
      <c r="E501">
        <v>0.20833866979301099</v>
      </c>
      <c r="F501">
        <v>0.282540612043228</v>
      </c>
      <c r="G501">
        <v>0.32876868157762101</v>
      </c>
      <c r="H501">
        <v>8.4373832684609004E-2</v>
      </c>
      <c r="I501">
        <v>0.33213497302331602</v>
      </c>
    </row>
    <row r="502" spans="1:9" x14ac:dyDescent="0.25">
      <c r="A502" s="1" t="s">
        <v>514</v>
      </c>
      <c r="B502" t="str">
        <f>HYPERLINK("https://www.suredividend.com/sure-analysis-research-database/","Esperion Therapeutics Inc.")</f>
        <v>Esperion Therapeutics Inc.</v>
      </c>
      <c r="C502">
        <v>0.135987647512959</v>
      </c>
      <c r="D502">
        <v>-0.36809815950920199</v>
      </c>
      <c r="E502">
        <v>-0.26950354609929</v>
      </c>
      <c r="F502">
        <v>-0.83467094703049705</v>
      </c>
      <c r="G502">
        <v>-0.87967289719626107</v>
      </c>
      <c r="H502">
        <v>-0.90227703984819707</v>
      </c>
      <c r="I502">
        <v>-0.98156764495347104</v>
      </c>
    </row>
    <row r="503" spans="1:9" x14ac:dyDescent="0.25">
      <c r="A503" s="1" t="s">
        <v>515</v>
      </c>
      <c r="B503" t="str">
        <f>HYPERLINK("https://www.suredividend.com/sure-analysis-research-database/","Esquire Financial Holdings Inc")</f>
        <v>Esquire Financial Holdings Inc</v>
      </c>
      <c r="C503">
        <v>5.0881057268722003E-2</v>
      </c>
      <c r="D503">
        <v>-5.5746763592317998E-2</v>
      </c>
      <c r="E503">
        <v>0.32364895420357698</v>
      </c>
      <c r="F503">
        <v>0.11438374882336801</v>
      </c>
      <c r="G503">
        <v>2.2621563575724001E-2</v>
      </c>
      <c r="H503">
        <v>0.45424064619370502</v>
      </c>
      <c r="I503">
        <v>1.0198470826312629</v>
      </c>
    </row>
    <row r="504" spans="1:9" x14ac:dyDescent="0.25">
      <c r="A504" s="1" t="s">
        <v>516</v>
      </c>
      <c r="B504" t="str">
        <f>HYPERLINK("https://www.suredividend.com/sure-analysis-ESRT/","Empire State Realty Trust Inc")</f>
        <v>Empire State Realty Trust Inc</v>
      </c>
      <c r="C504">
        <v>0.18552631578947301</v>
      </c>
      <c r="D504">
        <v>3.8592770195498997E-2</v>
      </c>
      <c r="E504">
        <v>0.58392518107024804</v>
      </c>
      <c r="F504">
        <v>0.35566188197767101</v>
      </c>
      <c r="G504">
        <v>0.26849596643624402</v>
      </c>
      <c r="H504">
        <v>-6.2337392028306002E-2</v>
      </c>
      <c r="I504">
        <v>-0.36475929947263003</v>
      </c>
    </row>
    <row r="505" spans="1:9" x14ac:dyDescent="0.25">
      <c r="A505" s="1" t="s">
        <v>517</v>
      </c>
      <c r="B505" t="str">
        <f>HYPERLINK("https://www.suredividend.com/sure-analysis-research-database/","Earthstone Energy Inc")</f>
        <v>Earthstone Energy Inc</v>
      </c>
      <c r="C505">
        <v>4.5948616600790013E-2</v>
      </c>
      <c r="D505">
        <v>0.32478097622027502</v>
      </c>
      <c r="E505">
        <v>0.56120943952802305</v>
      </c>
      <c r="F505">
        <v>0.48770203794799699</v>
      </c>
      <c r="G505">
        <v>0.31002475247524702</v>
      </c>
      <c r="H505">
        <v>1.0857142857142861</v>
      </c>
      <c r="I505">
        <v>1.572296476306196</v>
      </c>
    </row>
    <row r="506" spans="1:9" x14ac:dyDescent="0.25">
      <c r="A506" s="1" t="s">
        <v>518</v>
      </c>
      <c r="B506" t="str">
        <f>HYPERLINK("https://www.suredividend.com/sure-analysis-ETD/","Ethan Allen Interiors, Inc.")</f>
        <v>Ethan Allen Interiors, Inc.</v>
      </c>
      <c r="C506">
        <v>-8.5406859448554001E-2</v>
      </c>
      <c r="D506">
        <v>-0.223300970873786</v>
      </c>
      <c r="E506">
        <v>4.5964767907339013E-2</v>
      </c>
      <c r="F506">
        <v>6.5855780308314002E-2</v>
      </c>
      <c r="G506">
        <v>5.0188995409284003E-2</v>
      </c>
      <c r="H506">
        <v>0.23127622686264401</v>
      </c>
      <c r="I506">
        <v>0.58453678513797702</v>
      </c>
    </row>
    <row r="507" spans="1:9" x14ac:dyDescent="0.25">
      <c r="A507" s="1" t="s">
        <v>519</v>
      </c>
      <c r="B507" t="str">
        <f>HYPERLINK("https://www.suredividend.com/sure-analysis-research-database/","Equitrans Midstream Corporation")</f>
        <v>Equitrans Midstream Corporation</v>
      </c>
      <c r="C507">
        <v>6.2521214510170009E-3</v>
      </c>
      <c r="D507">
        <v>-3.7272936788954013E-2</v>
      </c>
      <c r="E507">
        <v>0.94148093376993702</v>
      </c>
      <c r="F507">
        <v>0.49171360397357411</v>
      </c>
      <c r="G507">
        <v>0.24310139595281799</v>
      </c>
      <c r="H507">
        <v>7.4602432179607006E-2</v>
      </c>
      <c r="I507">
        <v>-0.52383419689119104</v>
      </c>
    </row>
    <row r="508" spans="1:9" x14ac:dyDescent="0.25">
      <c r="A508" s="1" t="s">
        <v>520</v>
      </c>
      <c r="B508" t="str">
        <f>HYPERLINK("https://www.suredividend.com/sure-analysis-research-database/","E2open Parent Holdings Inc")</f>
        <v>E2open Parent Holdings Inc</v>
      </c>
      <c r="C508">
        <v>-0.228365384615384</v>
      </c>
      <c r="D508">
        <v>-0.35412474849094511</v>
      </c>
      <c r="E508">
        <v>-0.26879271070615002</v>
      </c>
      <c r="F508">
        <v>-0.45315161839863699</v>
      </c>
      <c r="G508">
        <v>-0.38973384030418201</v>
      </c>
      <c r="H508">
        <v>-0.74092009685230009</v>
      </c>
      <c r="I508">
        <v>-0.675757575757575</v>
      </c>
    </row>
    <row r="509" spans="1:9" x14ac:dyDescent="0.25">
      <c r="A509" s="1" t="s">
        <v>521</v>
      </c>
      <c r="B509" t="str">
        <f>HYPERLINK("https://www.suredividend.com/sure-analysis-research-database/","Everbridge Inc")</f>
        <v>Everbridge Inc</v>
      </c>
      <c r="C509">
        <v>-4.3713384407389998E-2</v>
      </c>
      <c r="D509">
        <v>-0.264216366158113</v>
      </c>
      <c r="E509">
        <v>-7.7792264232942013E-2</v>
      </c>
      <c r="F509">
        <v>-0.28262339418526</v>
      </c>
      <c r="G509">
        <v>-0.20494567253653001</v>
      </c>
      <c r="H509">
        <v>-0.86466836734693808</v>
      </c>
      <c r="I509">
        <v>-0.59066358024691301</v>
      </c>
    </row>
    <row r="510" spans="1:9" x14ac:dyDescent="0.25">
      <c r="A510" s="1" t="s">
        <v>522</v>
      </c>
      <c r="B510" t="str">
        <f>HYPERLINK("https://www.suredividend.com/sure-analysis-research-database/","Entravision Communications Corp.")</f>
        <v>Entravision Communications Corp.</v>
      </c>
      <c r="C510">
        <v>0.15449438202247201</v>
      </c>
      <c r="D510">
        <v>8.2290980908492004E-2</v>
      </c>
      <c r="E510">
        <v>-0.282259050346646</v>
      </c>
      <c r="F510">
        <v>-0.115196658844804</v>
      </c>
      <c r="G510">
        <v>-0.16833606507618501</v>
      </c>
      <c r="H510">
        <v>-0.50780211489407501</v>
      </c>
      <c r="I510">
        <v>-4.4810463848850004E-3</v>
      </c>
    </row>
    <row r="511" spans="1:9" x14ac:dyDescent="0.25">
      <c r="A511" s="1" t="s">
        <v>523</v>
      </c>
      <c r="B511" t="str">
        <f>HYPERLINK("https://www.suredividend.com/sure-analysis-research-database/","EverCommerce Inc")</f>
        <v>EverCommerce Inc</v>
      </c>
      <c r="C511">
        <v>-4.5725646123260001E-2</v>
      </c>
      <c r="D511">
        <v>-0.11111111111111099</v>
      </c>
      <c r="E511">
        <v>-0.204639602319801</v>
      </c>
      <c r="F511">
        <v>0.29032258064516098</v>
      </c>
      <c r="G511">
        <v>0.18372379778051701</v>
      </c>
      <c r="H511">
        <v>-0.523336643495531</v>
      </c>
      <c r="I511">
        <v>-0.45454545454545398</v>
      </c>
    </row>
    <row r="512" spans="1:9" x14ac:dyDescent="0.25">
      <c r="A512" s="1" t="s">
        <v>524</v>
      </c>
      <c r="B512" t="str">
        <f>HYPERLINK("https://www.suredividend.com/sure-analysis-research-database/","EverQuote Inc")</f>
        <v>EverQuote Inc</v>
      </c>
      <c r="C512">
        <v>6.6305818673883007E-2</v>
      </c>
      <c r="D512">
        <v>0.16740740740740701</v>
      </c>
      <c r="E512">
        <v>0.24881141045958799</v>
      </c>
      <c r="F512">
        <v>-0.46540027137042012</v>
      </c>
      <c r="G512">
        <v>-5.0505050505050006E-3</v>
      </c>
      <c r="H512">
        <v>-0.41369047619047611</v>
      </c>
      <c r="I512">
        <v>-0.35144032921810697</v>
      </c>
    </row>
    <row r="513" spans="1:9" x14ac:dyDescent="0.25">
      <c r="A513" s="1" t="s">
        <v>525</v>
      </c>
      <c r="B513" t="str">
        <f>HYPERLINK("https://www.suredividend.com/sure-analysis-research-database/","EVgo Inc")</f>
        <v>EVgo Inc</v>
      </c>
      <c r="C513">
        <v>-0.209523809523809</v>
      </c>
      <c r="D513">
        <v>-0.52480916030534308</v>
      </c>
      <c r="E513">
        <v>-0.58151260504201607</v>
      </c>
      <c r="F513">
        <v>-0.44295302013422799</v>
      </c>
      <c r="G513">
        <v>-0.6546463245492371</v>
      </c>
      <c r="H513">
        <v>-0.75</v>
      </c>
      <c r="I513">
        <v>-0.74621358827486406</v>
      </c>
    </row>
    <row r="514" spans="1:9" x14ac:dyDescent="0.25">
      <c r="A514" s="1" t="s">
        <v>526</v>
      </c>
      <c r="B514" t="str">
        <f>HYPERLINK("https://www.suredividend.com/sure-analysis-research-database/","Evolent Health Inc")</f>
        <v>Evolent Health Inc</v>
      </c>
      <c r="C514">
        <v>4.1252864782276001E-2</v>
      </c>
      <c r="D514">
        <v>-8.4620550705171008E-2</v>
      </c>
      <c r="E514">
        <v>-0.18748137108792801</v>
      </c>
      <c r="F514">
        <v>-2.9202279202279E-2</v>
      </c>
      <c r="G514">
        <v>0.118588428395568</v>
      </c>
      <c r="H514">
        <v>-0.102403687849851</v>
      </c>
      <c r="I514">
        <v>0.19456617002629201</v>
      </c>
    </row>
    <row r="515" spans="1:9" x14ac:dyDescent="0.25">
      <c r="A515" s="1" t="s">
        <v>527</v>
      </c>
      <c r="B515" t="str">
        <f>HYPERLINK("https://www.suredividend.com/sure-analysis-research-database/","Evolv Technologies Holdings Inc")</f>
        <v>Evolv Technologies Holdings Inc</v>
      </c>
      <c r="C515">
        <v>-2.3758099352051001E-2</v>
      </c>
      <c r="D515">
        <v>-0.28367670364500802</v>
      </c>
      <c r="E515">
        <v>0.26610644257702998</v>
      </c>
      <c r="F515">
        <v>0.74517374517374502</v>
      </c>
      <c r="G515">
        <v>0.67407407407407305</v>
      </c>
      <c r="H515">
        <v>-0.24666666666666601</v>
      </c>
      <c r="I515">
        <v>-0.535457348406988</v>
      </c>
    </row>
    <row r="516" spans="1:9" x14ac:dyDescent="0.25">
      <c r="A516" s="1" t="s">
        <v>528</v>
      </c>
      <c r="B516" t="str">
        <f>HYPERLINK("https://www.suredividend.com/sure-analysis-research-database/","Everi Holdings Inc")</f>
        <v>Everi Holdings Inc</v>
      </c>
      <c r="C516">
        <v>-9.4488188976377008E-2</v>
      </c>
      <c r="D516">
        <v>-0.22663080026899801</v>
      </c>
      <c r="E516">
        <v>-0.221921515561569</v>
      </c>
      <c r="F516">
        <v>-0.19860627177700299</v>
      </c>
      <c r="G516">
        <v>-0.37533948940792999</v>
      </c>
      <c r="H516">
        <v>-0.52440033085194304</v>
      </c>
      <c r="I516">
        <v>0.54155495978552204</v>
      </c>
    </row>
    <row r="517" spans="1:9" x14ac:dyDescent="0.25">
      <c r="A517" s="1" t="s">
        <v>529</v>
      </c>
      <c r="B517" t="str">
        <f>HYPERLINK("https://www.suredividend.com/sure-analysis-research-database/","Evertec Inc")</f>
        <v>Evertec Inc</v>
      </c>
      <c r="C517">
        <v>-8.7670589124968001E-2</v>
      </c>
      <c r="D517">
        <v>-0.16533032213109999</v>
      </c>
      <c r="E517">
        <v>-5.2359104535620003E-3</v>
      </c>
      <c r="F517">
        <v>4.9025971001170003E-2</v>
      </c>
      <c r="G517">
        <v>3.1819000986611001E-2</v>
      </c>
      <c r="H517">
        <v>-0.19360614177062799</v>
      </c>
      <c r="I517">
        <v>0.21870704490599899</v>
      </c>
    </row>
    <row r="518" spans="1:9" x14ac:dyDescent="0.25">
      <c r="A518" s="1" t="s">
        <v>530</v>
      </c>
      <c r="B518" t="str">
        <f>HYPERLINK("https://www.suredividend.com/sure-analysis-research-database/","European Wax Center Inc")</f>
        <v>European Wax Center Inc</v>
      </c>
      <c r="C518">
        <v>4.8844884488448002E-2</v>
      </c>
      <c r="D518">
        <v>-0.11869107043815801</v>
      </c>
      <c r="E518">
        <v>-9.6645821489482003E-2</v>
      </c>
      <c r="F518">
        <v>0.27630522088353399</v>
      </c>
      <c r="G518">
        <v>0.106545961002785</v>
      </c>
      <c r="H518">
        <v>-0.41154686516312999</v>
      </c>
      <c r="I518">
        <v>-0.16944997621773</v>
      </c>
    </row>
    <row r="519" spans="1:9" x14ac:dyDescent="0.25">
      <c r="A519" s="1" t="s">
        <v>531</v>
      </c>
      <c r="B519" t="str">
        <f>HYPERLINK("https://www.suredividend.com/sure-analysis-research-database/","Edgewise Therapeutics Inc")</f>
        <v>Edgewise Therapeutics Inc</v>
      </c>
      <c r="C519">
        <v>0.121464226289517</v>
      </c>
      <c r="D519">
        <v>1.5060240963855E-2</v>
      </c>
      <c r="E519">
        <v>-0.29275970619097502</v>
      </c>
      <c r="F519">
        <v>-0.24608501118568199</v>
      </c>
      <c r="G519">
        <v>-0.295715778474399</v>
      </c>
      <c r="H519">
        <v>-0.65577119509703707</v>
      </c>
      <c r="I519">
        <v>-0.7753333333333331</v>
      </c>
    </row>
    <row r="520" spans="1:9" x14ac:dyDescent="0.25">
      <c r="A520" s="1" t="s">
        <v>532</v>
      </c>
      <c r="B520" t="str">
        <f>HYPERLINK("https://www.suredividend.com/sure-analysis-research-database/","ExlService Holdings Inc")</f>
        <v>ExlService Holdings Inc</v>
      </c>
      <c r="C520">
        <v>-3.6501626310083003E-2</v>
      </c>
      <c r="D520">
        <v>-3.6153289949384999E-2</v>
      </c>
      <c r="E520">
        <v>-0.187145557655954</v>
      </c>
      <c r="F520">
        <v>-0.213244407720002</v>
      </c>
      <c r="G520">
        <v>-0.24693520140104999</v>
      </c>
      <c r="H520">
        <v>-1.0540380047505E-2</v>
      </c>
      <c r="I520">
        <v>1.267392413675795</v>
      </c>
    </row>
    <row r="521" spans="1:9" x14ac:dyDescent="0.25">
      <c r="A521" s="1" t="s">
        <v>533</v>
      </c>
      <c r="B521" t="str">
        <f>HYPERLINK("https://www.suredividend.com/sure-analysis-research-database/","eXp World Holdings Inc")</f>
        <v>eXp World Holdings Inc</v>
      </c>
      <c r="C521">
        <v>-3.4788540245565998E-2</v>
      </c>
      <c r="D521">
        <v>-0.41538830198189503</v>
      </c>
      <c r="E521">
        <v>0.12228549674021599</v>
      </c>
      <c r="F521">
        <v>0.289587605377079</v>
      </c>
      <c r="G521">
        <v>0.27416638902145801</v>
      </c>
      <c r="H521">
        <v>-0.68000325650396209</v>
      </c>
      <c r="I521">
        <v>1.493699663394604</v>
      </c>
    </row>
    <row r="522" spans="1:9" x14ac:dyDescent="0.25">
      <c r="A522" s="1" t="s">
        <v>534</v>
      </c>
      <c r="B522" t="str">
        <f>HYPERLINK("https://www.suredividend.com/sure-analysis-EXPO/","Exponent Inc.")</f>
        <v>Exponent Inc.</v>
      </c>
      <c r="C522">
        <v>-0.125160387262335</v>
      </c>
      <c r="D522">
        <v>-0.14470945780281499</v>
      </c>
      <c r="E522">
        <v>-0.142693519791777</v>
      </c>
      <c r="F522">
        <v>-0.234722770670903</v>
      </c>
      <c r="G522">
        <v>-0.221598463124005</v>
      </c>
      <c r="H522">
        <v>-0.34872088782368499</v>
      </c>
      <c r="I522">
        <v>0.55812103068667407</v>
      </c>
    </row>
    <row r="523" spans="1:9" x14ac:dyDescent="0.25">
      <c r="A523" s="1" t="s">
        <v>535</v>
      </c>
      <c r="B523" t="str">
        <f>HYPERLINK("https://www.suredividend.com/sure-analysis-research-database/","Express Inc.")</f>
        <v>Express Inc.</v>
      </c>
      <c r="C523">
        <v>2.1590909090907998E-2</v>
      </c>
      <c r="D523">
        <v>-0.47768998373227911</v>
      </c>
      <c r="E523">
        <v>-0.44451309935738997</v>
      </c>
      <c r="F523">
        <v>-0.55931372549019609</v>
      </c>
      <c r="G523">
        <v>-0.60913043478260809</v>
      </c>
      <c r="H523">
        <v>-0.89473067915690807</v>
      </c>
      <c r="I523">
        <v>-0.95166666666666611</v>
      </c>
    </row>
    <row r="524" spans="1:9" x14ac:dyDescent="0.25">
      <c r="A524" s="1" t="s">
        <v>536</v>
      </c>
      <c r="B524" t="str">
        <f>HYPERLINK("https://www.suredividend.com/sure-analysis-research-database/","Extreme Networks Inc.")</f>
        <v>Extreme Networks Inc.</v>
      </c>
      <c r="C524">
        <v>-0.30750206100576999</v>
      </c>
      <c r="D524">
        <v>-0.44809461235216802</v>
      </c>
      <c r="E524">
        <v>2.2519780888617998E-2</v>
      </c>
      <c r="F524">
        <v>-8.2468596395412E-2</v>
      </c>
      <c r="G524">
        <v>-5.9876888640179003E-2</v>
      </c>
      <c r="H524">
        <v>0.46086956521739098</v>
      </c>
      <c r="I524">
        <v>1.568807339449541</v>
      </c>
    </row>
    <row r="525" spans="1:9" x14ac:dyDescent="0.25">
      <c r="A525" s="1" t="s">
        <v>537</v>
      </c>
      <c r="B525" t="str">
        <f>HYPERLINK("https://www.suredividend.com/sure-analysis-research-database/","National Vision Holdings Inc")</f>
        <v>National Vision Holdings Inc</v>
      </c>
      <c r="C525">
        <v>9.9935525467440015E-2</v>
      </c>
      <c r="D525">
        <v>-0.203919738684087</v>
      </c>
      <c r="E525">
        <v>-0.232913669064748</v>
      </c>
      <c r="F525">
        <v>-0.55985552115583004</v>
      </c>
      <c r="G525">
        <v>-0.52742382271468102</v>
      </c>
      <c r="H525">
        <v>-0.73517541136293008</v>
      </c>
      <c r="I525">
        <v>-0.60527533549282708</v>
      </c>
    </row>
    <row r="526" spans="1:9" x14ac:dyDescent="0.25">
      <c r="A526" s="1" t="s">
        <v>538</v>
      </c>
      <c r="B526" t="str">
        <f>HYPERLINK("https://www.suredividend.com/sure-analysis-research-database/","EyePoint Pharmaceuticals Inc")</f>
        <v>EyePoint Pharmaceuticals Inc</v>
      </c>
      <c r="C526">
        <v>-2.1464646464645999E-2</v>
      </c>
      <c r="D526">
        <v>-0.39922480620154999</v>
      </c>
      <c r="E526">
        <v>0.143067846607669</v>
      </c>
      <c r="F526">
        <v>1.214285714285714</v>
      </c>
      <c r="G526">
        <v>0.47338403041825111</v>
      </c>
      <c r="H526">
        <v>-0.42550037064492202</v>
      </c>
      <c r="I526">
        <v>-0.68623481781376505</v>
      </c>
    </row>
    <row r="527" spans="1:9" x14ac:dyDescent="0.25">
      <c r="A527" s="1" t="s">
        <v>539</v>
      </c>
      <c r="B527" t="str">
        <f>HYPERLINK("https://www.suredividend.com/sure-analysis-research-database/","EZCorp, Inc.")</f>
        <v>EZCorp, Inc.</v>
      </c>
      <c r="C527">
        <v>1.6766467065867999E-2</v>
      </c>
      <c r="D527">
        <v>-8.0173347778981011E-2</v>
      </c>
      <c r="E527">
        <v>-1.2790697674418001E-2</v>
      </c>
      <c r="F527">
        <v>4.1717791411042003E-2</v>
      </c>
      <c r="G527">
        <v>-7.6169749727965003E-2</v>
      </c>
      <c r="H527">
        <v>0.117105263157894</v>
      </c>
      <c r="I527">
        <v>-0.15940594059405899</v>
      </c>
    </row>
    <row r="528" spans="1:9" x14ac:dyDescent="0.25">
      <c r="A528" s="1" t="s">
        <v>540</v>
      </c>
      <c r="B528" t="str">
        <f>HYPERLINK("https://www.suredividend.com/sure-analysis-research-database/","First Advantage Corp.")</f>
        <v>First Advantage Corp.</v>
      </c>
      <c r="C528">
        <v>-5.4648687012065003E-2</v>
      </c>
      <c r="D528">
        <v>4.0096825830632003E-2</v>
      </c>
      <c r="E528">
        <v>0.201482911341024</v>
      </c>
      <c r="F528">
        <v>0.13770306974837199</v>
      </c>
      <c r="G528">
        <v>0.44718114753207799</v>
      </c>
      <c r="H528">
        <v>-0.275701188676577</v>
      </c>
      <c r="I528">
        <v>-0.24922639882311101</v>
      </c>
    </row>
    <row r="529" spans="1:9" x14ac:dyDescent="0.25">
      <c r="A529" s="1" t="s">
        <v>541</v>
      </c>
      <c r="B529" t="str">
        <f>HYPERLINK("https://www.suredividend.com/sure-analysis-research-database/","Faro Technologies Inc.")</f>
        <v>Faro Technologies Inc.</v>
      </c>
      <c r="C529">
        <v>0.15745276417074799</v>
      </c>
      <c r="D529">
        <v>-7.9064587973273009E-2</v>
      </c>
      <c r="E529">
        <v>0.24267468069120901</v>
      </c>
      <c r="F529">
        <v>-0.43760625637538197</v>
      </c>
      <c r="G529">
        <v>-0.43044077134986197</v>
      </c>
      <c r="H529">
        <v>-0.79105608893380508</v>
      </c>
      <c r="I529">
        <v>-0.62409090909090903</v>
      </c>
    </row>
    <row r="530" spans="1:9" x14ac:dyDescent="0.25">
      <c r="A530" s="1" t="s">
        <v>542</v>
      </c>
      <c r="B530" t="str">
        <f>HYPERLINK("https://www.suredividend.com/sure-analysis-research-database/","Fate Therapeutics Inc")</f>
        <v>Fate Therapeutics Inc</v>
      </c>
      <c r="C530">
        <v>0.35795454545454503</v>
      </c>
      <c r="D530">
        <v>-0.35924932975871299</v>
      </c>
      <c r="E530">
        <v>-0.61264181523500805</v>
      </c>
      <c r="F530">
        <v>-0.76313181367690708</v>
      </c>
      <c r="G530">
        <v>-0.87953629032258007</v>
      </c>
      <c r="H530">
        <v>-0.95993294216261504</v>
      </c>
      <c r="I530">
        <v>-0.83796610169491503</v>
      </c>
    </row>
    <row r="531" spans="1:9" x14ac:dyDescent="0.25">
      <c r="A531" s="1" t="s">
        <v>543</v>
      </c>
      <c r="B531" t="str">
        <f>HYPERLINK("https://www.suredividend.com/sure-analysis-research-database/","First Business Financial Services Inc")</f>
        <v>First Business Financial Services Inc</v>
      </c>
      <c r="C531">
        <v>0.14234679571723799</v>
      </c>
      <c r="D531">
        <v>-1.1739338763775E-2</v>
      </c>
      <c r="E531">
        <v>0.34066773378401399</v>
      </c>
      <c r="F531">
        <v>-4.872817840094E-2</v>
      </c>
      <c r="G531">
        <v>-0.10296835924757999</v>
      </c>
      <c r="H531">
        <v>0.16578938071855001</v>
      </c>
      <c r="I531">
        <v>0.88946081659061105</v>
      </c>
    </row>
    <row r="532" spans="1:9" x14ac:dyDescent="0.25">
      <c r="A532" s="1" t="s">
        <v>544</v>
      </c>
      <c r="B532" t="str">
        <f>HYPERLINK("https://www.suredividend.com/sure-analysis-research-database/","FB Financial Corp")</f>
        <v>FB Financial Corp</v>
      </c>
      <c r="C532">
        <v>0.156828501571777</v>
      </c>
      <c r="D532">
        <v>-5.3589900386907002E-2</v>
      </c>
      <c r="E532">
        <v>0.33347827662426999</v>
      </c>
      <c r="F532">
        <v>-7.0680995538595012E-2</v>
      </c>
      <c r="G532">
        <v>-0.19805907050397301</v>
      </c>
      <c r="H532">
        <v>-0.26969797865983403</v>
      </c>
      <c r="I532">
        <v>-5.5492658109445002E-2</v>
      </c>
    </row>
    <row r="533" spans="1:9" x14ac:dyDescent="0.25">
      <c r="A533" s="1" t="s">
        <v>545</v>
      </c>
      <c r="B533" t="str">
        <f>HYPERLINK("https://www.suredividend.com/sure-analysis-research-database/","First Bancshares Inc Miss")</f>
        <v>First Bancshares Inc Miss</v>
      </c>
      <c r="C533">
        <v>-7.6045627376400003E-4</v>
      </c>
      <c r="D533">
        <v>-0.16232102102484899</v>
      </c>
      <c r="E533">
        <v>0.120663186981885</v>
      </c>
      <c r="F533">
        <v>-0.14608786067065199</v>
      </c>
      <c r="G533">
        <v>-0.15688702671141</v>
      </c>
      <c r="H533">
        <v>-0.32055627515919599</v>
      </c>
      <c r="I533">
        <v>-0.224431013315704</v>
      </c>
    </row>
    <row r="534" spans="1:9" x14ac:dyDescent="0.25">
      <c r="A534" s="1" t="s">
        <v>546</v>
      </c>
      <c r="B534" t="str">
        <f>HYPERLINK("https://www.suredividend.com/sure-analysis-research-database/","First Bancorp")</f>
        <v>First Bancorp</v>
      </c>
      <c r="C534">
        <v>0.14631502890173401</v>
      </c>
      <c r="D534">
        <v>-4.4397997843646002E-2</v>
      </c>
      <c r="E534">
        <v>0.173047631722934</v>
      </c>
      <c r="F534">
        <v>-0.23191068571276399</v>
      </c>
      <c r="G534">
        <v>-0.27355563950227202</v>
      </c>
      <c r="H534">
        <v>-0.30134600437291698</v>
      </c>
      <c r="I534">
        <v>-4.4961744291741997E-2</v>
      </c>
    </row>
    <row r="535" spans="1:9" x14ac:dyDescent="0.25">
      <c r="A535" s="1" t="s">
        <v>547</v>
      </c>
      <c r="B535" t="str">
        <f>HYPERLINK("https://www.suredividend.com/sure-analysis-research-database/","First Bancorp PR")</f>
        <v>First Bancorp PR</v>
      </c>
      <c r="C535">
        <v>7.211895910780601E-2</v>
      </c>
      <c r="D535">
        <v>-4.8963224819288997E-2</v>
      </c>
      <c r="E535">
        <v>0.37044886477034</v>
      </c>
      <c r="F535">
        <v>0.17067309643845799</v>
      </c>
      <c r="G535">
        <v>-1.5168589205099999E-2</v>
      </c>
      <c r="H535">
        <v>9.9194279921028014E-2</v>
      </c>
      <c r="I535">
        <v>0.76765509886365002</v>
      </c>
    </row>
    <row r="536" spans="1:9" x14ac:dyDescent="0.25">
      <c r="A536" s="1" t="s">
        <v>548</v>
      </c>
      <c r="B536" t="str">
        <f>HYPERLINK("https://www.suredividend.com/sure-analysis-research-database/","Franklin BSP Realty Trust Inc.")</f>
        <v>Franklin BSP Realty Trust Inc.</v>
      </c>
      <c r="C536">
        <v>7.1258907363419999E-2</v>
      </c>
      <c r="D536">
        <v>1.3225096230172999E-2</v>
      </c>
      <c r="E536">
        <v>0.14890798546244999</v>
      </c>
      <c r="F536">
        <v>0.13860136329209699</v>
      </c>
      <c r="G536">
        <v>0.153039832285115</v>
      </c>
      <c r="H536">
        <v>2.4169801751610001E-2</v>
      </c>
      <c r="I536">
        <v>-1.2841091492775999E-2</v>
      </c>
    </row>
    <row r="537" spans="1:9" x14ac:dyDescent="0.25">
      <c r="A537" s="1" t="s">
        <v>549</v>
      </c>
      <c r="B537" t="str">
        <f>HYPERLINK("https://www.suredividend.com/sure-analysis-research-database/","Franklin Covey Co.")</f>
        <v>Franklin Covey Co.</v>
      </c>
      <c r="C537">
        <v>-0.14329995231282699</v>
      </c>
      <c r="D537">
        <v>-0.25703060380479698</v>
      </c>
      <c r="E537">
        <v>2.7158376214980001E-2</v>
      </c>
      <c r="F537">
        <v>-0.23177250374171399</v>
      </c>
      <c r="G537">
        <v>-0.26658501735047901</v>
      </c>
      <c r="H537">
        <v>-0.182107898930116</v>
      </c>
      <c r="I537">
        <v>0.56013894919669904</v>
      </c>
    </row>
    <row r="538" spans="1:9" x14ac:dyDescent="0.25">
      <c r="A538" s="1" t="s">
        <v>550</v>
      </c>
      <c r="B538" t="str">
        <f>HYPERLINK("https://www.suredividend.com/sure-analysis-research-database/","First Community Bankshares Inc.")</f>
        <v>First Community Bankshares Inc.</v>
      </c>
      <c r="C538">
        <v>0.15693553830577101</v>
      </c>
      <c r="D538">
        <v>3.0119269060060998E-2</v>
      </c>
      <c r="E538">
        <v>0.51598908558616308</v>
      </c>
      <c r="F538">
        <v>5.0811712197753003E-2</v>
      </c>
      <c r="G538">
        <v>-4.0340416001791002E-2</v>
      </c>
      <c r="H538">
        <v>0.102608885843955</v>
      </c>
      <c r="I538">
        <v>0.193277544939361</v>
      </c>
    </row>
    <row r="539" spans="1:9" x14ac:dyDescent="0.25">
      <c r="A539" s="1" t="s">
        <v>551</v>
      </c>
      <c r="B539" t="str">
        <f>HYPERLINK("https://www.suredividend.com/sure-analysis-research-database/","Fuelcell Energy Inc")</f>
        <v>Fuelcell Energy Inc</v>
      </c>
      <c r="C539">
        <v>8.0645161290320011E-3</v>
      </c>
      <c r="D539">
        <v>-0.37185929648241201</v>
      </c>
      <c r="E539">
        <v>-0.44196428571428498</v>
      </c>
      <c r="F539">
        <v>-0.55035971223021507</v>
      </c>
      <c r="G539">
        <v>-0.59807073954983903</v>
      </c>
      <c r="H539">
        <v>-0.86530172413793105</v>
      </c>
      <c r="I539">
        <v>-0.87986775842847809</v>
      </c>
    </row>
    <row r="540" spans="1:9" x14ac:dyDescent="0.25">
      <c r="A540" s="1" t="s">
        <v>552</v>
      </c>
      <c r="B540" t="str">
        <f>HYPERLINK("https://www.suredividend.com/sure-analysis-research-database/","First Commonwealth Financial Corp.")</f>
        <v>First Commonwealth Financial Corp.</v>
      </c>
      <c r="C540">
        <v>0.10004237323341</v>
      </c>
      <c r="D540">
        <v>-5.2654927410757002E-2</v>
      </c>
      <c r="E540">
        <v>0.14852790645222799</v>
      </c>
      <c r="F540">
        <v>-1.5891421011164E-2</v>
      </c>
      <c r="G540">
        <v>-4.3946680530883013E-2</v>
      </c>
      <c r="H540">
        <v>-8.4009602678787001E-2</v>
      </c>
      <c r="I540">
        <v>0.17894286935460799</v>
      </c>
    </row>
    <row r="541" spans="1:9" x14ac:dyDescent="0.25">
      <c r="A541" s="1" t="s">
        <v>553</v>
      </c>
      <c r="B541" t="str">
        <f>HYPERLINK("https://www.suredividend.com/sure-analysis-research-database/","FirstCash Holdings Inc")</f>
        <v>FirstCash Holdings Inc</v>
      </c>
      <c r="C541">
        <v>8.4816545689569006E-2</v>
      </c>
      <c r="D541">
        <v>0.100762664067615</v>
      </c>
      <c r="E541">
        <v>8.2346638624199012E-2</v>
      </c>
      <c r="F541">
        <v>0.27334564273025802</v>
      </c>
      <c r="G541">
        <v>0.16376312566935</v>
      </c>
      <c r="H541">
        <v>0.721499013806706</v>
      </c>
      <c r="I541">
        <v>0.721499013806706</v>
      </c>
    </row>
    <row r="542" spans="1:9" x14ac:dyDescent="0.25">
      <c r="A542" s="1" t="s">
        <v>554</v>
      </c>
      <c r="B542" t="str">
        <f>HYPERLINK("https://www.suredividend.com/sure-analysis-FCPT/","Four Corners Property Trust Inc")</f>
        <v>Four Corners Property Trust Inc</v>
      </c>
      <c r="C542">
        <v>9.041591320072E-3</v>
      </c>
      <c r="D542">
        <v>-0.11416971270047201</v>
      </c>
      <c r="E542">
        <v>-0.112348379399482</v>
      </c>
      <c r="F542">
        <v>-0.102601731271032</v>
      </c>
      <c r="G542">
        <v>-0.110601061540668</v>
      </c>
      <c r="H542">
        <v>-0.14059311396382099</v>
      </c>
      <c r="I542">
        <v>9.5632197449415007E-2</v>
      </c>
    </row>
    <row r="543" spans="1:9" x14ac:dyDescent="0.25">
      <c r="A543" s="1" t="s">
        <v>555</v>
      </c>
      <c r="B543" t="str">
        <f>HYPERLINK("https://www.suredividend.com/sure-analysis-research-database/","Focus Universal Inc")</f>
        <v>Focus Universal Inc</v>
      </c>
      <c r="C543">
        <v>-0.12690355329949199</v>
      </c>
      <c r="D543">
        <v>-1.7142857142857001E-2</v>
      </c>
      <c r="E543">
        <v>-8.5106382978723E-2</v>
      </c>
      <c r="F543">
        <v>-0.59750076053635304</v>
      </c>
      <c r="G543">
        <v>-0.77005347593582807</v>
      </c>
      <c r="H543">
        <v>-0.67424242424242409</v>
      </c>
      <c r="I543">
        <v>-0.49411764705882311</v>
      </c>
    </row>
    <row r="544" spans="1:9" x14ac:dyDescent="0.25">
      <c r="A544" s="1" t="s">
        <v>556</v>
      </c>
      <c r="B544" t="str">
        <f>HYPERLINK("https://www.suredividend.com/sure-analysis-research-database/","4D Molecular Therapeutics Inc")</f>
        <v>4D Molecular Therapeutics Inc</v>
      </c>
      <c r="C544">
        <v>-3.8142620232172013E-2</v>
      </c>
      <c r="D544">
        <v>-0.36017650303364501</v>
      </c>
      <c r="E544">
        <v>-0.27860696517412897</v>
      </c>
      <c r="F544">
        <v>-0.47771274200810399</v>
      </c>
      <c r="G544">
        <v>0.39759036144578203</v>
      </c>
      <c r="H544">
        <v>-0.52691680261011409</v>
      </c>
      <c r="I544">
        <v>-0.71358024691358002</v>
      </c>
    </row>
    <row r="545" spans="1:9" x14ac:dyDescent="0.25">
      <c r="A545" s="1" t="s">
        <v>557</v>
      </c>
      <c r="B545" t="str">
        <f>HYPERLINK("https://www.suredividend.com/sure-analysis-research-database/","Fresh Del Monte Produce Inc")</f>
        <v>Fresh Del Monte Produce Inc</v>
      </c>
      <c r="C545">
        <v>-0.104710003892565</v>
      </c>
      <c r="D545">
        <v>-0.16952218639532901</v>
      </c>
      <c r="E545">
        <v>-0.11938126962248199</v>
      </c>
      <c r="F545">
        <v>-0.10436834604091801</v>
      </c>
      <c r="G545">
        <v>-0.141493130078721</v>
      </c>
      <c r="H545">
        <v>-0.16437475249143399</v>
      </c>
      <c r="I545">
        <v>-0.24261633248484399</v>
      </c>
    </row>
    <row r="546" spans="1:9" x14ac:dyDescent="0.25">
      <c r="A546" s="1" t="s">
        <v>558</v>
      </c>
      <c r="B546" t="str">
        <f>HYPERLINK("https://www.suredividend.com/sure-analysis-research-database/","5E Advanced Materials Inc")</f>
        <v>5E Advanced Materials Inc</v>
      </c>
      <c r="C546">
        <v>0.124444444444444</v>
      </c>
      <c r="D546">
        <v>-0.29526462395543102</v>
      </c>
      <c r="E546">
        <v>-0.45591397849462312</v>
      </c>
      <c r="F546">
        <v>-0.67893401015228405</v>
      </c>
      <c r="G546">
        <v>-0.80745814307458108</v>
      </c>
      <c r="H546">
        <v>-0.92335655861860011</v>
      </c>
      <c r="I546">
        <v>-0.92335655861860011</v>
      </c>
    </row>
    <row r="547" spans="1:9" x14ac:dyDescent="0.25">
      <c r="A547" s="1" t="s">
        <v>559</v>
      </c>
      <c r="B547" t="str">
        <f>HYPERLINK("https://www.suredividend.com/sure-analysis-FELE/","Franklin Electric Co., Inc.")</f>
        <v>Franklin Electric Co., Inc.</v>
      </c>
      <c r="C547">
        <v>-1.3937121313669001E-2</v>
      </c>
      <c r="D547">
        <v>-9.0759902033897014E-2</v>
      </c>
      <c r="E547">
        <v>-5.6437009571440003E-2</v>
      </c>
      <c r="F547">
        <v>0.11643922969009</v>
      </c>
      <c r="G547">
        <v>9.6908632297531008E-2</v>
      </c>
      <c r="H547">
        <v>-6.3045289538380001E-3</v>
      </c>
      <c r="I547">
        <v>1.1108014004494551</v>
      </c>
    </row>
    <row r="548" spans="1:9" x14ac:dyDescent="0.25">
      <c r="A548" s="1" t="s">
        <v>560</v>
      </c>
      <c r="B548" t="str">
        <f>HYPERLINK("https://www.suredividend.com/sure-analysis-research-database/","Futurefuel Corp")</f>
        <v>Futurefuel Corp</v>
      </c>
      <c r="C548">
        <v>-2.7417027417027E-2</v>
      </c>
      <c r="D548">
        <v>-0.31490836645287201</v>
      </c>
      <c r="E548">
        <v>-9.8593056224255002E-2</v>
      </c>
      <c r="F548">
        <v>-0.15257433834160999</v>
      </c>
      <c r="G548">
        <v>-1.6293882387790001E-3</v>
      </c>
      <c r="H548">
        <v>-6.3108145676952998E-2</v>
      </c>
      <c r="I548">
        <v>-0.30403535582999403</v>
      </c>
    </row>
    <row r="549" spans="1:9" x14ac:dyDescent="0.25">
      <c r="A549" s="1" t="s">
        <v>561</v>
      </c>
      <c r="B549" t="str">
        <f>HYPERLINK("https://www.suredividend.com/sure-analysis-research-database/","First Financial Bancorp")</f>
        <v>First Financial Bancorp</v>
      </c>
      <c r="C549">
        <v>3.5567010309278002E-2</v>
      </c>
      <c r="D549">
        <v>-0.114681567397013</v>
      </c>
      <c r="E549">
        <v>0.110208502572434</v>
      </c>
      <c r="F549">
        <v>-0.124080589817709</v>
      </c>
      <c r="G549">
        <v>-0.17037979178969101</v>
      </c>
      <c r="H549">
        <v>-8.773873636603001E-2</v>
      </c>
      <c r="I549">
        <v>-4.5410701473460012E-2</v>
      </c>
    </row>
    <row r="550" spans="1:9" x14ac:dyDescent="0.25">
      <c r="A550" s="1" t="s">
        <v>562</v>
      </c>
      <c r="B550" t="str">
        <f>HYPERLINK("https://www.suredividend.com/sure-analysis-research-database/","Flushing Financial Corp.")</f>
        <v>Flushing Financial Corp.</v>
      </c>
      <c r="C550">
        <v>0.100969305331179</v>
      </c>
      <c r="D550">
        <v>-0.121744397334948</v>
      </c>
      <c r="E550">
        <v>0.48997573186995702</v>
      </c>
      <c r="F550">
        <v>-0.23665832199241599</v>
      </c>
      <c r="G550">
        <v>-0.26601651058971698</v>
      </c>
      <c r="H550">
        <v>-0.35357808520628098</v>
      </c>
      <c r="I550">
        <v>-0.22287916711803901</v>
      </c>
    </row>
    <row r="551" spans="1:9" x14ac:dyDescent="0.25">
      <c r="A551" s="1" t="s">
        <v>563</v>
      </c>
      <c r="B551" t="str">
        <f>HYPERLINK("https://www.suredividend.com/sure-analysis-research-database/","Faraday Future Intelligent Electric Inc")</f>
        <v>Faraday Future Intelligent Electric Inc</v>
      </c>
      <c r="C551">
        <v>-5.0847457627118002E-2</v>
      </c>
      <c r="D551">
        <v>-0.95701565858151605</v>
      </c>
      <c r="E551">
        <v>-0.9381352187361901</v>
      </c>
      <c r="F551">
        <v>-0.95177402686875612</v>
      </c>
      <c r="G551">
        <v>-0.97590776114266009</v>
      </c>
      <c r="H551">
        <v>-0.9791075958812111</v>
      </c>
      <c r="I551">
        <v>-0.9791075958812111</v>
      </c>
    </row>
    <row r="552" spans="1:9" x14ac:dyDescent="0.25">
      <c r="A552" s="1" t="s">
        <v>564</v>
      </c>
      <c r="B552" t="str">
        <f>HYPERLINK("https://www.suredividend.com/sure-analysis-FFIN/","First Financial Bankshares, Inc.")</f>
        <v>First Financial Bankshares, Inc.</v>
      </c>
      <c r="C552">
        <v>7.4089403973509008E-2</v>
      </c>
      <c r="D552">
        <v>-0.19373129969271599</v>
      </c>
      <c r="E552">
        <v>-2.4135259741724001E-2</v>
      </c>
      <c r="F552">
        <v>-0.22361409880894301</v>
      </c>
      <c r="G552">
        <v>-0.26881841619588298</v>
      </c>
      <c r="H552">
        <v>-0.48277408488883111</v>
      </c>
      <c r="I552">
        <v>-7.5304757459030008E-2</v>
      </c>
    </row>
    <row r="553" spans="1:9" x14ac:dyDescent="0.25">
      <c r="A553" s="1" t="s">
        <v>565</v>
      </c>
      <c r="B553" t="str">
        <f>HYPERLINK("https://www.suredividend.com/sure-analysis-research-database/","First Foundation Inc")</f>
        <v>First Foundation Inc</v>
      </c>
      <c r="C553">
        <v>-5.2173913043470008E-3</v>
      </c>
      <c r="D553">
        <v>-0.214285714285714</v>
      </c>
      <c r="E553">
        <v>0.36570923763818203</v>
      </c>
      <c r="F553">
        <v>-0.59510444464893708</v>
      </c>
      <c r="G553">
        <v>-0.60204543082756401</v>
      </c>
      <c r="H553">
        <v>-0.78382055594398903</v>
      </c>
      <c r="I553">
        <v>-0.62171063508964508</v>
      </c>
    </row>
    <row r="554" spans="1:9" x14ac:dyDescent="0.25">
      <c r="A554" s="1" t="s">
        <v>566</v>
      </c>
      <c r="B554" t="str">
        <f>HYPERLINK("https://www.suredividend.com/sure-analysis-research-database/","First Guaranty Bancshares Inc")</f>
        <v>First Guaranty Bancshares Inc</v>
      </c>
      <c r="C554">
        <v>-5.6502242152466013E-2</v>
      </c>
      <c r="D554">
        <v>-0.12476288728410199</v>
      </c>
      <c r="E554">
        <v>-5.2951873390828012E-2</v>
      </c>
      <c r="F554">
        <v>-0.52243033929236105</v>
      </c>
      <c r="G554">
        <v>-0.52432412879421608</v>
      </c>
      <c r="H554">
        <v>-0.44445617963287598</v>
      </c>
      <c r="I554">
        <v>-0.299572552831671</v>
      </c>
    </row>
    <row r="555" spans="1:9" x14ac:dyDescent="0.25">
      <c r="A555" s="1" t="s">
        <v>567</v>
      </c>
      <c r="B555" t="str">
        <f>HYPERLINK("https://www.suredividend.com/sure-analysis-research-database/","FibroGen Inc")</f>
        <v>FibroGen Inc</v>
      </c>
      <c r="C555">
        <v>-0.13645458183273301</v>
      </c>
      <c r="D555">
        <v>-0.66104712041884806</v>
      </c>
      <c r="E555">
        <v>-0.96123353293413105</v>
      </c>
      <c r="F555">
        <v>-0.95958801498127311</v>
      </c>
      <c r="G555">
        <v>-0.96016000000000012</v>
      </c>
      <c r="H555">
        <v>-0.94977501939487907</v>
      </c>
      <c r="I555">
        <v>-0.98555877760428212</v>
      </c>
    </row>
    <row r="556" spans="1:9" x14ac:dyDescent="0.25">
      <c r="A556" s="1" t="s">
        <v>568</v>
      </c>
      <c r="B556" t="str">
        <f>HYPERLINK("https://www.suredividend.com/sure-analysis-research-database/","Federated Hermes Inc")</f>
        <v>Federated Hermes Inc</v>
      </c>
      <c r="C556">
        <v>-7.2771376591869996E-3</v>
      </c>
      <c r="D556">
        <v>6.1124694376500004E-4</v>
      </c>
      <c r="E556">
        <v>-0.14984004320910699</v>
      </c>
      <c r="F556">
        <v>-7.7865966663474007E-2</v>
      </c>
      <c r="G556">
        <v>-4.6892648788383007E-2</v>
      </c>
      <c r="H556">
        <v>2.0026668992934E-2</v>
      </c>
      <c r="I556">
        <v>0.37765042015392303</v>
      </c>
    </row>
    <row r="557" spans="1:9" x14ac:dyDescent="0.25">
      <c r="A557" s="1" t="s">
        <v>569</v>
      </c>
      <c r="B557" t="str">
        <f>HYPERLINK("https://www.suredividend.com/sure-analysis-research-database/","Foghorn Therapeutics Inc")</f>
        <v>Foghorn Therapeutics Inc</v>
      </c>
      <c r="C557">
        <v>-4.9627791563275001E-2</v>
      </c>
      <c r="D557">
        <v>-0.58414766558089004</v>
      </c>
      <c r="E557">
        <v>-0.35845896147403611</v>
      </c>
      <c r="F557">
        <v>-0.39968652037617503</v>
      </c>
      <c r="G557">
        <v>-0.57349665924276105</v>
      </c>
      <c r="H557">
        <v>-0.71734317343173404</v>
      </c>
      <c r="I557">
        <v>-0.78863134657836609</v>
      </c>
    </row>
    <row r="558" spans="1:9" x14ac:dyDescent="0.25">
      <c r="A558" s="1" t="s">
        <v>570</v>
      </c>
      <c r="B558" t="str">
        <f>HYPERLINK("https://www.suredividend.com/sure-analysis-research-database/","First Interstate BancSystem Inc.")</f>
        <v>First Interstate BancSystem Inc.</v>
      </c>
      <c r="C558">
        <v>7.0761891592920012E-2</v>
      </c>
      <c r="D558">
        <v>-0.122592706684653</v>
      </c>
      <c r="E558">
        <v>0.200459255598994</v>
      </c>
      <c r="F558">
        <v>-0.27375038466610901</v>
      </c>
      <c r="G558">
        <v>-0.38308641022513101</v>
      </c>
      <c r="H558">
        <v>-0.30185973522509202</v>
      </c>
      <c r="I558">
        <v>-0.19478004302305099</v>
      </c>
    </row>
    <row r="559" spans="1:9" x14ac:dyDescent="0.25">
      <c r="A559" s="1" t="s">
        <v>571</v>
      </c>
      <c r="B559" t="str">
        <f>HYPERLINK("https://www.suredividend.com/sure-analysis-research-database/","Figs Inc")</f>
        <v>Figs Inc</v>
      </c>
      <c r="C559">
        <v>0.13311148086522401</v>
      </c>
      <c r="D559">
        <v>-3.8135593220338E-2</v>
      </c>
      <c r="E559">
        <v>-1.7316017316017E-2</v>
      </c>
      <c r="F559">
        <v>1.188707280832E-2</v>
      </c>
      <c r="G559">
        <v>0</v>
      </c>
      <c r="H559">
        <v>-0.8369252873563211</v>
      </c>
      <c r="I559">
        <v>-0.77315123251165907</v>
      </c>
    </row>
    <row r="560" spans="1:9" x14ac:dyDescent="0.25">
      <c r="A560" s="1" t="s">
        <v>572</v>
      </c>
      <c r="B560" t="str">
        <f>HYPERLINK("https://www.suredividend.com/sure-analysis-FISI/","Financial Institutions Inc.")</f>
        <v>Financial Institutions Inc.</v>
      </c>
      <c r="C560">
        <v>4.0337146297411003E-2</v>
      </c>
      <c r="D560">
        <v>-0.11108824815453</v>
      </c>
      <c r="E560">
        <v>0.227438361710742</v>
      </c>
      <c r="F560">
        <v>-0.22875391090500899</v>
      </c>
      <c r="G560">
        <v>-0.20638565615556301</v>
      </c>
      <c r="H560">
        <v>-0.38920288856133911</v>
      </c>
      <c r="I560">
        <v>-0.22594170373456199</v>
      </c>
    </row>
    <row r="561" spans="1:9" x14ac:dyDescent="0.25">
      <c r="A561" s="1" t="s">
        <v>573</v>
      </c>
      <c r="B561" t="str">
        <f>HYPERLINK("https://www.suredividend.com/sure-analysis-research-database/","Comfort Systems USA, Inc.")</f>
        <v>Comfort Systems USA, Inc.</v>
      </c>
      <c r="C561">
        <v>0.12839461667868299</v>
      </c>
      <c r="D561">
        <v>5.9356928998660997E-2</v>
      </c>
      <c r="E561">
        <v>0.27235909779774298</v>
      </c>
      <c r="F561">
        <v>0.63814886822849404</v>
      </c>
      <c r="G561">
        <v>0.58109854400195304</v>
      </c>
      <c r="H561">
        <v>1.0176768300740311</v>
      </c>
      <c r="I561">
        <v>2.5831277628011771</v>
      </c>
    </row>
    <row r="562" spans="1:9" x14ac:dyDescent="0.25">
      <c r="A562" s="1" t="s">
        <v>574</v>
      </c>
      <c r="B562" t="str">
        <f>HYPERLINK("https://www.suredividend.com/sure-analysis-research-database/","National Beverage Corp.")</f>
        <v>National Beverage Corp.</v>
      </c>
      <c r="C562">
        <v>3.7225042301184001E-2</v>
      </c>
      <c r="D562">
        <v>-7.7675380853865009E-2</v>
      </c>
      <c r="E562">
        <v>-8.3707025411061009E-2</v>
      </c>
      <c r="F562">
        <v>5.3943692241564013E-2</v>
      </c>
      <c r="G562">
        <v>5.2586391929598013E-2</v>
      </c>
      <c r="H562">
        <v>-0.14015597823037601</v>
      </c>
      <c r="I562">
        <v>0.20532268926564701</v>
      </c>
    </row>
    <row r="563" spans="1:9" x14ac:dyDescent="0.25">
      <c r="A563" s="1" t="s">
        <v>575</v>
      </c>
      <c r="B563" t="str">
        <f>HYPERLINK("https://www.suredividend.com/sure-analysis-research-database/","Foot Locker Inc")</f>
        <v>Foot Locker Inc</v>
      </c>
      <c r="C563">
        <v>0.25985464908371703</v>
      </c>
      <c r="D563">
        <v>-9.7949311841680001E-2</v>
      </c>
      <c r="E563">
        <v>-0.39772503123150699</v>
      </c>
      <c r="F563">
        <v>-0.35982734907021202</v>
      </c>
      <c r="G563">
        <v>-0.23852466648045401</v>
      </c>
      <c r="H563">
        <v>-0.51277528728173205</v>
      </c>
      <c r="I563">
        <v>-0.43697708324625711</v>
      </c>
    </row>
    <row r="564" spans="1:9" x14ac:dyDescent="0.25">
      <c r="A564" s="1" t="s">
        <v>576</v>
      </c>
      <c r="B564" t="str">
        <f>HYPERLINK("https://www.suredividend.com/sure-analysis-research-database/","Fulgent Genetics Inc")</f>
        <v>Fulgent Genetics Inc</v>
      </c>
      <c r="C564">
        <v>5.5991041433370008E-3</v>
      </c>
      <c r="D564">
        <v>-0.30718786164330703</v>
      </c>
      <c r="E564">
        <v>-5.5399719495091003E-2</v>
      </c>
      <c r="F564">
        <v>-9.5366017461383012E-2</v>
      </c>
      <c r="G564">
        <v>-0.29067930489731397</v>
      </c>
      <c r="H564">
        <v>-0.68487542402620105</v>
      </c>
      <c r="I564">
        <v>6.0894736842105273</v>
      </c>
    </row>
    <row r="565" spans="1:9" x14ac:dyDescent="0.25">
      <c r="A565" s="1" t="s">
        <v>577</v>
      </c>
      <c r="B565" t="str">
        <f>HYPERLINK("https://www.suredividend.com/sure-analysis-FLIC/","First Of Long Island Corp.")</f>
        <v>First Of Long Island Corp.</v>
      </c>
      <c r="C565">
        <v>6.0821015056518997E-2</v>
      </c>
      <c r="D565">
        <v>-0.14751204442646401</v>
      </c>
      <c r="E565">
        <v>0.28347101946800701</v>
      </c>
      <c r="F565">
        <v>-0.31122191253290798</v>
      </c>
      <c r="G565">
        <v>-0.291118491470791</v>
      </c>
      <c r="H565">
        <v>-0.37537725273777711</v>
      </c>
      <c r="I565">
        <v>-0.30080476828223601</v>
      </c>
    </row>
    <row r="566" spans="1:9" x14ac:dyDescent="0.25">
      <c r="A566" s="1" t="s">
        <v>578</v>
      </c>
      <c r="B566" t="str">
        <f>HYPERLINK("https://www.suredividend.com/sure-analysis-research-database/","Full House Resorts, Inc.")</f>
        <v>Full House Resorts, Inc.</v>
      </c>
      <c r="C566">
        <v>-3.6764705882352013E-2</v>
      </c>
      <c r="D566">
        <v>-0.35573770491803203</v>
      </c>
      <c r="E566">
        <v>-0.40544629349470401</v>
      </c>
      <c r="F566">
        <v>-0.47739361702127597</v>
      </c>
      <c r="G566">
        <v>-0.42877906976744101</v>
      </c>
      <c r="H566">
        <v>-0.61356932153392307</v>
      </c>
      <c r="I566">
        <v>0.42909090909090902</v>
      </c>
    </row>
    <row r="567" spans="1:9" x14ac:dyDescent="0.25">
      <c r="A567" s="1" t="s">
        <v>579</v>
      </c>
      <c r="B567" t="str">
        <f>HYPERLINK("https://www.suredividend.com/sure-analysis-research-database/","Fluence Energy Inc")</f>
        <v>Fluence Energy Inc</v>
      </c>
      <c r="C567">
        <v>-9.9052132701421006E-2</v>
      </c>
      <c r="D567">
        <v>-0.33086941217881011</v>
      </c>
      <c r="E567">
        <v>0.15562310030395099</v>
      </c>
      <c r="F567">
        <v>0.108454810495627</v>
      </c>
      <c r="G567">
        <v>0.38556851311953311</v>
      </c>
      <c r="H567">
        <v>-0.44898550724637598</v>
      </c>
      <c r="I567">
        <v>-0.45685714285714202</v>
      </c>
    </row>
    <row r="568" spans="1:9" x14ac:dyDescent="0.25">
      <c r="A568" s="1" t="s">
        <v>580</v>
      </c>
      <c r="B568" t="str">
        <f>HYPERLINK("https://www.suredividend.com/sure-analysis-research-database/","Flex Lng Ltd")</f>
        <v>Flex Lng Ltd</v>
      </c>
      <c r="C568">
        <v>0.10127478753541</v>
      </c>
      <c r="D568">
        <v>1.6877310967670001E-3</v>
      </c>
      <c r="E568">
        <v>3.5148448941552002E-2</v>
      </c>
      <c r="F568">
        <v>5.6686079412240006E-3</v>
      </c>
      <c r="G568">
        <v>3.348797594543E-3</v>
      </c>
      <c r="H568">
        <v>0.78785979959873709</v>
      </c>
      <c r="I568">
        <v>2.8082876175548588</v>
      </c>
    </row>
    <row r="569" spans="1:9" x14ac:dyDescent="0.25">
      <c r="A569" s="1" t="s">
        <v>581</v>
      </c>
      <c r="B569" t="str">
        <f>HYPERLINK("https://www.suredividend.com/sure-analysis-research-database/","Fluor Corporation")</f>
        <v>Fluor Corporation</v>
      </c>
      <c r="C569">
        <v>3.3840947546530997E-2</v>
      </c>
      <c r="D569">
        <v>2.0033388981635002E-2</v>
      </c>
      <c r="E569">
        <v>0.337468077344034</v>
      </c>
      <c r="F569">
        <v>5.7703404500865002E-2</v>
      </c>
      <c r="G569">
        <v>0.155373463599117</v>
      </c>
      <c r="H569">
        <v>0.80680137999014201</v>
      </c>
      <c r="I569">
        <v>-0.16497163044641899</v>
      </c>
    </row>
    <row r="570" spans="1:9" x14ac:dyDescent="0.25">
      <c r="A570" s="1" t="s">
        <v>582</v>
      </c>
      <c r="B570" t="str">
        <f>HYPERLINK("https://www.suredividend.com/sure-analysis-research-database/","1-800 Flowers.com Inc.")</f>
        <v>1-800 Flowers.com Inc.</v>
      </c>
      <c r="C570">
        <v>0.28093158660844197</v>
      </c>
      <c r="D570">
        <v>2.9239766081871E-2</v>
      </c>
      <c r="E570">
        <v>0.171770972037283</v>
      </c>
      <c r="F570">
        <v>-7.9497907949790003E-2</v>
      </c>
      <c r="G570">
        <v>7.9754601226993002E-2</v>
      </c>
      <c r="H570">
        <v>-0.74336541265675105</v>
      </c>
      <c r="I570">
        <v>-0.341810022438294</v>
      </c>
    </row>
    <row r="571" spans="1:9" x14ac:dyDescent="0.25">
      <c r="A571" s="1" t="s">
        <v>583</v>
      </c>
      <c r="B571" t="str">
        <f>HYPERLINK("https://www.suredividend.com/sure-analysis-research-database/","Flywire Corp")</f>
        <v>Flywire Corp</v>
      </c>
      <c r="C571">
        <v>-5.0050050050049998E-2</v>
      </c>
      <c r="D571">
        <v>-0.152930675394227</v>
      </c>
      <c r="E571">
        <v>8.5015940488840005E-3</v>
      </c>
      <c r="F571">
        <v>0.16346546791990099</v>
      </c>
      <c r="G571">
        <v>0.55743982494529509</v>
      </c>
      <c r="H571">
        <v>-0.338060916066031</v>
      </c>
      <c r="I571">
        <v>-0.18888888888888899</v>
      </c>
    </row>
    <row r="572" spans="1:9" x14ac:dyDescent="0.25">
      <c r="A572" s="1" t="s">
        <v>584</v>
      </c>
      <c r="B572" t="str">
        <f>HYPERLINK("https://www.suredividend.com/sure-analysis-FMAO/","Farmers &amp; Merchants Bancorp Inc.")</f>
        <v>Farmers &amp; Merchants Bancorp Inc.</v>
      </c>
      <c r="C572">
        <v>0.101472334501295</v>
      </c>
      <c r="D572">
        <v>-8.5069579413822011E-2</v>
      </c>
      <c r="E572">
        <v>-3.0565752148149002E-2</v>
      </c>
      <c r="F572">
        <v>-0.27148218361898802</v>
      </c>
      <c r="G572">
        <v>-0.30319906747830511</v>
      </c>
      <c r="H572">
        <v>-0.23303762718215601</v>
      </c>
      <c r="I572">
        <v>-0.47011481314723103</v>
      </c>
    </row>
    <row r="573" spans="1:9" x14ac:dyDescent="0.25">
      <c r="A573" s="1" t="s">
        <v>585</v>
      </c>
      <c r="B573" t="str">
        <f>HYPERLINK("https://www.suredividend.com/sure-analysis-FMBH/","First Mid Bancshares Inc.")</f>
        <v>First Mid Bancshares Inc.</v>
      </c>
      <c r="C573">
        <v>0.13363705391040201</v>
      </c>
      <c r="D573">
        <v>-8.3292373500530002E-3</v>
      </c>
      <c r="E573">
        <v>0.33780762630991701</v>
      </c>
      <c r="F573">
        <v>-2.8437561007353E-2</v>
      </c>
      <c r="G573">
        <v>-0.113267724251801</v>
      </c>
      <c r="H573">
        <v>-0.27433916502829903</v>
      </c>
      <c r="I573">
        <v>-8.786270898055E-2</v>
      </c>
    </row>
    <row r="574" spans="1:9" x14ac:dyDescent="0.25">
      <c r="A574" s="1" t="s">
        <v>586</v>
      </c>
      <c r="B574" t="str">
        <f>HYPERLINK("https://www.suredividend.com/sure-analysis-research-database/","Farmers National Banc Corp.")</f>
        <v>Farmers National Banc Corp.</v>
      </c>
      <c r="C574">
        <v>8.1850533807829001E-2</v>
      </c>
      <c r="D574">
        <v>-0.10819056559493</v>
      </c>
      <c r="E574">
        <v>0.15816141874773801</v>
      </c>
      <c r="F574">
        <v>-7.9833522512296001E-2</v>
      </c>
      <c r="G574">
        <v>-6.9959540180654006E-2</v>
      </c>
      <c r="H574">
        <v>-0.22569470976286801</v>
      </c>
      <c r="I574">
        <v>5.5244111980838007E-2</v>
      </c>
    </row>
    <row r="575" spans="1:9" x14ac:dyDescent="0.25">
      <c r="A575" s="1" t="s">
        <v>587</v>
      </c>
      <c r="B575" t="str">
        <f>HYPERLINK("https://www.suredividend.com/sure-analysis-research-database/","Fabrinet")</f>
        <v>Fabrinet</v>
      </c>
      <c r="C575">
        <v>-4.45620223398E-2</v>
      </c>
      <c r="D575">
        <v>0.28565778023890498</v>
      </c>
      <c r="E575">
        <v>0.78143154664035908</v>
      </c>
      <c r="F575">
        <v>0.26750896895960002</v>
      </c>
      <c r="G575">
        <v>0.44745279657997811</v>
      </c>
      <c r="H575">
        <v>0.39072394317987302</v>
      </c>
      <c r="I575">
        <v>2.491299677765844</v>
      </c>
    </row>
    <row r="576" spans="1:9" x14ac:dyDescent="0.25">
      <c r="A576" s="1" t="s">
        <v>588</v>
      </c>
      <c r="B576" t="str">
        <f>HYPERLINK("https://www.suredividend.com/sure-analysis-research-database/","Paragon 28 Inc")</f>
        <v>Paragon 28 Inc</v>
      </c>
      <c r="C576">
        <v>-0.130136986301369</v>
      </c>
      <c r="D576">
        <v>-0.34196891191709811</v>
      </c>
      <c r="E576">
        <v>-0.46186440677966112</v>
      </c>
      <c r="F576">
        <v>-0.46834118262689611</v>
      </c>
      <c r="G576">
        <v>-0.42533936651583698</v>
      </c>
      <c r="H576">
        <v>-0.56244616709732909</v>
      </c>
      <c r="I576">
        <v>-0.45697487974345202</v>
      </c>
    </row>
    <row r="577" spans="1:9" x14ac:dyDescent="0.25">
      <c r="A577" s="1" t="s">
        <v>589</v>
      </c>
      <c r="B577" t="str">
        <f>HYPERLINK("https://www.suredividend.com/sure-analysis-research-database/","Funko Inc")</f>
        <v>Funko Inc</v>
      </c>
      <c r="C577">
        <v>0.218662952646239</v>
      </c>
      <c r="D577">
        <v>0.37362637362637302</v>
      </c>
      <c r="E577">
        <v>-6.4171122994652011E-2</v>
      </c>
      <c r="F577">
        <v>-0.19798350137488499</v>
      </c>
      <c r="G577">
        <v>0.104797979797979</v>
      </c>
      <c r="H577">
        <v>-0.49770378874856402</v>
      </c>
      <c r="I577">
        <v>-0.57503642544924705</v>
      </c>
    </row>
    <row r="578" spans="1:9" x14ac:dyDescent="0.25">
      <c r="A578" s="1" t="s">
        <v>590</v>
      </c>
      <c r="B578" t="str">
        <f>HYPERLINK("https://www.suredividend.com/sure-analysis-research-database/","First Bancorp Inc (ME)")</f>
        <v>First Bancorp Inc (ME)</v>
      </c>
      <c r="C578">
        <v>0.10154385060255899</v>
      </c>
      <c r="D578">
        <v>-4.7245547660790997E-2</v>
      </c>
      <c r="E578">
        <v>0.122918318794607</v>
      </c>
      <c r="F578">
        <v>-8.9235111860893002E-2</v>
      </c>
      <c r="G578">
        <v>-0.11466483740273101</v>
      </c>
      <c r="H578">
        <v>-5.5848935829732008E-2</v>
      </c>
      <c r="I578">
        <v>0.17155919494310001</v>
      </c>
    </row>
    <row r="579" spans="1:9" x14ac:dyDescent="0.25">
      <c r="A579" s="1" t="s">
        <v>591</v>
      </c>
      <c r="B579" t="str">
        <f>HYPERLINK("https://www.suredividend.com/sure-analysis-research-database/","Finance of America Companies Inc")</f>
        <v>Finance of America Companies Inc</v>
      </c>
      <c r="C579">
        <v>-0.138211382113821</v>
      </c>
      <c r="D579">
        <v>-0.45918367346938699</v>
      </c>
      <c r="E579">
        <v>-0.341614906832298</v>
      </c>
      <c r="F579">
        <v>-0.16535433070866101</v>
      </c>
      <c r="G579">
        <v>-0.288590604026845</v>
      </c>
      <c r="H579">
        <v>-0.79417475728155307</v>
      </c>
      <c r="I579">
        <v>-0.89055240061951402</v>
      </c>
    </row>
    <row r="580" spans="1:9" x14ac:dyDescent="0.25">
      <c r="A580" s="1" t="s">
        <v>592</v>
      </c>
      <c r="B580" t="str">
        <f>HYPERLINK("https://www.suredividend.com/sure-analysis-research-database/","Focus Financial Partners Inc")</f>
        <v>Focus Financial Partners Inc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5">
      <c r="A581" s="1" t="s">
        <v>593</v>
      </c>
      <c r="B581" t="str">
        <f>HYPERLINK("https://www.suredividend.com/sure-analysis-research-database/","Amicus Therapeutics Inc")</f>
        <v>Amicus Therapeutics Inc</v>
      </c>
      <c r="C581">
        <v>7.421150278293101E-2</v>
      </c>
      <c r="D581">
        <v>-0.11872146118721399</v>
      </c>
      <c r="E581">
        <v>-2.2784810126582001E-2</v>
      </c>
      <c r="F581">
        <v>-5.1597051597050997E-2</v>
      </c>
      <c r="G581">
        <v>0.14540059347181</v>
      </c>
      <c r="H581">
        <v>-6.9131832797427004E-2</v>
      </c>
      <c r="I581">
        <v>-2.2784810126582001E-2</v>
      </c>
    </row>
    <row r="582" spans="1:9" x14ac:dyDescent="0.25">
      <c r="A582" s="1" t="s">
        <v>594</v>
      </c>
      <c r="B582" t="str">
        <f>HYPERLINK("https://www.suredividend.com/sure-analysis-research-database/","Forestar Group Inc")</f>
        <v>Forestar Group Inc</v>
      </c>
      <c r="C582">
        <v>1.514004542013E-3</v>
      </c>
      <c r="D582">
        <v>-0.14451988360814699</v>
      </c>
      <c r="E582">
        <v>0.35137895812053099</v>
      </c>
      <c r="F582">
        <v>0.71706683971447105</v>
      </c>
      <c r="G582">
        <v>1.3499111900532861</v>
      </c>
      <c r="H582">
        <v>0.27150408457472303</v>
      </c>
      <c r="I582">
        <v>0.45785123966942098</v>
      </c>
    </row>
    <row r="583" spans="1:9" x14ac:dyDescent="0.25">
      <c r="A583" s="1" t="s">
        <v>595</v>
      </c>
      <c r="B583" t="str">
        <f>HYPERLINK("https://www.suredividend.com/sure-analysis-research-database/","ForgeRock Inc")</f>
        <v>ForgeRock Inc</v>
      </c>
      <c r="C583">
        <v>0.137745098039215</v>
      </c>
      <c r="D583">
        <v>0.16926952141057899</v>
      </c>
      <c r="E583">
        <v>0.13886162904808599</v>
      </c>
      <c r="F583">
        <v>1.9323671497583999E-2</v>
      </c>
      <c r="G583">
        <v>0.24250535331905801</v>
      </c>
      <c r="H583">
        <v>-0.36410958904109503</v>
      </c>
      <c r="I583">
        <v>-0.36410958904109503</v>
      </c>
    </row>
    <row r="584" spans="1:9" x14ac:dyDescent="0.25">
      <c r="A584" s="1" t="s">
        <v>596</v>
      </c>
      <c r="B584" t="str">
        <f>HYPERLINK("https://www.suredividend.com/sure-analysis-research-database/","FormFactor Inc.")</f>
        <v>FormFactor Inc.</v>
      </c>
      <c r="C584">
        <v>-1.7794632438739001E-2</v>
      </c>
      <c r="D584">
        <v>-1.3766842413591E-2</v>
      </c>
      <c r="E584">
        <v>0.26769578313253001</v>
      </c>
      <c r="F584">
        <v>0.51461988304093509</v>
      </c>
      <c r="G584">
        <v>0.75455966649296502</v>
      </c>
      <c r="H584">
        <v>-0.241837424003602</v>
      </c>
      <c r="I584">
        <v>1.058068459657701</v>
      </c>
    </row>
    <row r="585" spans="1:9" x14ac:dyDescent="0.25">
      <c r="A585" s="1" t="s">
        <v>597</v>
      </c>
      <c r="B585" t="str">
        <f>HYPERLINK("https://www.suredividend.com/sure-analysis-research-database/","Forrester Research Inc.")</f>
        <v>Forrester Research Inc.</v>
      </c>
      <c r="C585">
        <v>-0.18743527787366199</v>
      </c>
      <c r="D585">
        <v>-0.25600505689001202</v>
      </c>
      <c r="E585">
        <v>-0.20095044127630601</v>
      </c>
      <c r="F585">
        <v>-0.34172259507829911</v>
      </c>
      <c r="G585">
        <v>-0.32781267846944601</v>
      </c>
      <c r="H585">
        <v>-0.584978843441466</v>
      </c>
      <c r="I585">
        <v>-0.42576262090331402</v>
      </c>
    </row>
    <row r="586" spans="1:9" x14ac:dyDescent="0.25">
      <c r="A586" s="1" t="s">
        <v>598</v>
      </c>
      <c r="B586" t="str">
        <f>HYPERLINK("https://www.suredividend.com/sure-analysis-research-database/","Fossil Group Inc")</f>
        <v>Fossil Group Inc</v>
      </c>
      <c r="C586">
        <v>-2.4456521739129999E-2</v>
      </c>
      <c r="D586">
        <v>-0.30155642023346302</v>
      </c>
      <c r="E586">
        <v>-0.41720779220779203</v>
      </c>
      <c r="F586">
        <v>-0.58352668213457004</v>
      </c>
      <c r="G586">
        <v>-0.55569306930693008</v>
      </c>
      <c r="H586">
        <v>-0.86878654970760205</v>
      </c>
      <c r="I586">
        <v>-0.92410147991543312</v>
      </c>
    </row>
    <row r="587" spans="1:9" x14ac:dyDescent="0.25">
      <c r="A587" s="1" t="s">
        <v>599</v>
      </c>
      <c r="B587" t="str">
        <f>HYPERLINK("https://www.suredividend.com/sure-analysis-research-database/","Fox Factory Holding Corp")</f>
        <v>Fox Factory Holding Corp</v>
      </c>
      <c r="C587">
        <v>-0.36544711185658801</v>
      </c>
      <c r="D587">
        <v>-0.45226676318885112</v>
      </c>
      <c r="E587">
        <v>-0.43276169056320801</v>
      </c>
      <c r="F587">
        <v>-0.33651211224377903</v>
      </c>
      <c r="G587">
        <v>-0.31192451972263202</v>
      </c>
      <c r="H587">
        <v>-0.6522863051470581</v>
      </c>
      <c r="I587">
        <v>-5.3035043804755003E-2</v>
      </c>
    </row>
    <row r="588" spans="1:9" x14ac:dyDescent="0.25">
      <c r="A588" s="1" t="s">
        <v>600</v>
      </c>
      <c r="B588" t="str">
        <f>HYPERLINK("https://www.suredividend.com/sure-analysis-research-database/","Farmland Partners Inc")</f>
        <v>Farmland Partners Inc</v>
      </c>
      <c r="C588">
        <v>9.0643274853801012E-2</v>
      </c>
      <c r="D588">
        <v>-9.1733371112840013E-3</v>
      </c>
      <c r="E588">
        <v>7.1182416909174012E-2</v>
      </c>
      <c r="F588">
        <v>-8.6888402911512008E-2</v>
      </c>
      <c r="G588">
        <v>-0.17630345010342199</v>
      </c>
      <c r="H588">
        <v>-1.4895415170081999E-2</v>
      </c>
      <c r="I588">
        <v>0.80332624250628504</v>
      </c>
    </row>
    <row r="589" spans="1:9" x14ac:dyDescent="0.25">
      <c r="A589" s="1" t="s">
        <v>601</v>
      </c>
      <c r="B589" t="str">
        <f>HYPERLINK("https://www.suredividend.com/sure-analysis-research-database/","First Bank (NJ)")</f>
        <v>First Bank (NJ)</v>
      </c>
      <c r="C589">
        <v>0.11317254174397</v>
      </c>
      <c r="D589">
        <v>-4.8208252034454002E-2</v>
      </c>
      <c r="E589">
        <v>0.41148240940047298</v>
      </c>
      <c r="F589">
        <v>-0.109884730072544</v>
      </c>
      <c r="G589">
        <v>-0.187091005161972</v>
      </c>
      <c r="H589">
        <v>-0.155886635575157</v>
      </c>
      <c r="I589">
        <v>0.104301253381922</v>
      </c>
    </row>
    <row r="590" spans="1:9" x14ac:dyDescent="0.25">
      <c r="A590" s="1" t="s">
        <v>602</v>
      </c>
      <c r="B590" t="str">
        <f>HYPERLINK("https://www.suredividend.com/sure-analysis-research-database/","Republic First Bancorp, Inc.")</f>
        <v>Republic First Bancorp, Inc.</v>
      </c>
      <c r="C590">
        <v>-0.336666666666666</v>
      </c>
      <c r="D590">
        <v>-0.41470588235294098</v>
      </c>
      <c r="E590">
        <v>-0.41470588235294098</v>
      </c>
      <c r="F590">
        <v>-0.41470588235294098</v>
      </c>
      <c r="G590">
        <v>-0.41470588235294098</v>
      </c>
      <c r="H590">
        <v>-0.41470588235294098</v>
      </c>
      <c r="I590">
        <v>-0.41470588235294098</v>
      </c>
    </row>
    <row r="591" spans="1:9" x14ac:dyDescent="0.25">
      <c r="A591" s="1" t="s">
        <v>603</v>
      </c>
      <c r="B591" t="str">
        <f>HYPERLINK("https://www.suredividend.com/sure-analysis-research-database/","Whole Earth Brands Inc")</f>
        <v>Whole Earth Brands Inc</v>
      </c>
      <c r="C591">
        <v>-1.6528925619834E-2</v>
      </c>
      <c r="D591">
        <v>-0.111940298507462</v>
      </c>
      <c r="E591">
        <v>0.56578947368421006</v>
      </c>
      <c r="F591">
        <v>-0.12285012285012201</v>
      </c>
      <c r="G591">
        <v>4.6920821114369002E-2</v>
      </c>
      <c r="H591">
        <v>-0.70568837592745204</v>
      </c>
      <c r="I591">
        <v>-0.63195876288659703</v>
      </c>
    </row>
    <row r="592" spans="1:9" x14ac:dyDescent="0.25">
      <c r="A592" s="1" t="s">
        <v>604</v>
      </c>
      <c r="B592" t="str">
        <f>HYPERLINK("https://www.suredividend.com/sure-analysis-research-database/","Franchise Group Inc")</f>
        <v>Franchise Group Inc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s="1" t="s">
        <v>605</v>
      </c>
      <c r="B593" t="str">
        <f>HYPERLINK("https://www.suredividend.com/sure-analysis-research-database/","First Merchants Corp.")</f>
        <v>First Merchants Corp.</v>
      </c>
      <c r="C593">
        <v>8.0539358600582006E-2</v>
      </c>
      <c r="D593">
        <v>-6.6606224304125008E-2</v>
      </c>
      <c r="E593">
        <v>0.18589564118357499</v>
      </c>
      <c r="F593">
        <v>-0.23677287493371599</v>
      </c>
      <c r="G593">
        <v>-0.28105003067358197</v>
      </c>
      <c r="H593">
        <v>-0.222011434988756</v>
      </c>
      <c r="I593">
        <v>-0.13846708159719101</v>
      </c>
    </row>
    <row r="594" spans="1:9" x14ac:dyDescent="0.25">
      <c r="A594" s="1" t="s">
        <v>606</v>
      </c>
      <c r="B594" t="str">
        <f>HYPERLINK("https://www.suredividend.com/sure-analysis-research-database/","Frontline Plc")</f>
        <v>Frontline Plc</v>
      </c>
      <c r="C594">
        <v>0.30587557603686599</v>
      </c>
      <c r="D594">
        <v>0.38108756838424301</v>
      </c>
      <c r="E594">
        <v>0.69050424303888103</v>
      </c>
      <c r="F594">
        <v>1.1451551854655559</v>
      </c>
      <c r="G594">
        <v>0.90505802569769511</v>
      </c>
      <c r="H594">
        <v>1.933184970499948</v>
      </c>
      <c r="I594">
        <v>3.380422390972504</v>
      </c>
    </row>
    <row r="595" spans="1:9" x14ac:dyDescent="0.25">
      <c r="A595" s="1" t="s">
        <v>607</v>
      </c>
      <c r="B595" t="str">
        <f>HYPERLINK("https://www.suredividend.com/sure-analysis-research-database/","FRP Holdings Inc")</f>
        <v>FRP Holdings Inc</v>
      </c>
      <c r="C595">
        <v>1.7397741995187E-2</v>
      </c>
      <c r="D595">
        <v>-2.7595966743322001E-2</v>
      </c>
      <c r="E595">
        <v>-2.9655781112090999E-2</v>
      </c>
      <c r="F595">
        <v>2.0608986260675002E-2</v>
      </c>
      <c r="G595">
        <v>-2.4489795918366999E-2</v>
      </c>
      <c r="H595">
        <v>-8.0461692873870005E-2</v>
      </c>
      <c r="I595">
        <v>0.101382488479262</v>
      </c>
    </row>
    <row r="596" spans="1:9" x14ac:dyDescent="0.25">
      <c r="A596" s="1" t="s">
        <v>608</v>
      </c>
      <c r="B596" t="str">
        <f>HYPERLINK("https://www.suredividend.com/sure-analysis-research-database/","Primis Financial Corp")</f>
        <v>Primis Financial Corp</v>
      </c>
      <c r="C596">
        <v>0.27064803049555203</v>
      </c>
      <c r="D596">
        <v>4.5052200357407E-2</v>
      </c>
      <c r="E596">
        <v>0.43727722203058511</v>
      </c>
      <c r="F596">
        <v>-0.119353958063635</v>
      </c>
      <c r="G596">
        <v>-0.15153572034617299</v>
      </c>
      <c r="H596">
        <v>-0.30274231447716099</v>
      </c>
      <c r="I596">
        <v>-0.33454446241174401</v>
      </c>
    </row>
    <row r="597" spans="1:9" x14ac:dyDescent="0.25">
      <c r="A597" s="1" t="s">
        <v>609</v>
      </c>
      <c r="B597" t="str">
        <f>HYPERLINK("https://www.suredividend.com/sure-analysis-research-database/","Five Star Bancorp")</f>
        <v>Five Star Bancorp</v>
      </c>
      <c r="C597">
        <v>7.0071771205246006E-2</v>
      </c>
      <c r="D597">
        <v>-0.121763127700503</v>
      </c>
      <c r="E597">
        <v>0.112822591541683</v>
      </c>
      <c r="F597">
        <v>-0.19587902646296099</v>
      </c>
      <c r="G597">
        <v>-0.21742567634337401</v>
      </c>
      <c r="H597">
        <v>-0.191162894843319</v>
      </c>
      <c r="I597">
        <v>-6.5008900352381008E-2</v>
      </c>
    </row>
    <row r="598" spans="1:9" x14ac:dyDescent="0.25">
      <c r="A598" s="1" t="s">
        <v>610</v>
      </c>
      <c r="B598" t="str">
        <f>HYPERLINK("https://www.suredividend.com/sure-analysis-research-database/","Fastly Inc")</f>
        <v>Fastly Inc</v>
      </c>
      <c r="C598">
        <v>-3.7808219178081998E-2</v>
      </c>
      <c r="D598">
        <v>-0.16301239275500401</v>
      </c>
      <c r="E598">
        <v>0.48185654008438811</v>
      </c>
      <c r="F598">
        <v>1.144078144078144</v>
      </c>
      <c r="G598">
        <v>1.02771362586605</v>
      </c>
      <c r="H598">
        <v>-0.67714653428939109</v>
      </c>
      <c r="I598">
        <v>-0.26802834514380902</v>
      </c>
    </row>
    <row r="599" spans="1:9" x14ac:dyDescent="0.25">
      <c r="A599" s="1" t="s">
        <v>611</v>
      </c>
      <c r="B599" t="str">
        <f>HYPERLINK("https://www.suredividend.com/sure-analysis-research-database/","Franklin Street Properties Corp.")</f>
        <v>Franklin Street Properties Corp.</v>
      </c>
      <c r="C599">
        <v>0.152203237410071</v>
      </c>
      <c r="D599">
        <v>0.152203237410071</v>
      </c>
      <c r="E599">
        <v>0.84634783391876012</v>
      </c>
      <c r="F599">
        <v>-0.227289860535243</v>
      </c>
      <c r="G599">
        <v>-0.27258533815910801</v>
      </c>
      <c r="H599">
        <v>-0.50649975926817503</v>
      </c>
      <c r="I599">
        <v>-0.64247719702122408</v>
      </c>
    </row>
    <row r="600" spans="1:9" x14ac:dyDescent="0.25">
      <c r="A600" s="1" t="s">
        <v>612</v>
      </c>
      <c r="B600" t="str">
        <f>HYPERLINK("https://www.suredividend.com/sure-analysis-research-database/","Fisker Inc")</f>
        <v>Fisker Inc</v>
      </c>
      <c r="C600">
        <v>-0.28006329113924</v>
      </c>
      <c r="D600">
        <v>-0.22222222222222199</v>
      </c>
      <c r="E600">
        <v>-0.21821305841924399</v>
      </c>
      <c r="F600">
        <v>-0.37414030261348002</v>
      </c>
      <c r="G600">
        <v>-0.39333333333333298</v>
      </c>
      <c r="H600">
        <v>-0.74162407722884705</v>
      </c>
      <c r="I600">
        <v>-0.52849740932642508</v>
      </c>
    </row>
    <row r="601" spans="1:9" x14ac:dyDescent="0.25">
      <c r="A601" s="1" t="s">
        <v>613</v>
      </c>
      <c r="B601" t="str">
        <f>HYPERLINK("https://www.suredividend.com/sure-analysis-research-database/","Federal Signal Corp.")</f>
        <v>Federal Signal Corp.</v>
      </c>
      <c r="C601">
        <v>7.6446972231515004E-2</v>
      </c>
      <c r="D601">
        <v>7.0348599315375002E-2</v>
      </c>
      <c r="E601">
        <v>0.246423915843626</v>
      </c>
      <c r="F601">
        <v>0.39210986310378798</v>
      </c>
      <c r="G601">
        <v>0.40038344609666199</v>
      </c>
      <c r="H601">
        <v>0.45765990653761002</v>
      </c>
      <c r="I601">
        <v>2.007937027307487</v>
      </c>
    </row>
    <row r="602" spans="1:9" x14ac:dyDescent="0.25">
      <c r="A602" s="1" t="s">
        <v>614</v>
      </c>
      <c r="B602" t="str">
        <f>HYPERLINK("https://www.suredividend.com/sure-analysis-research-database/","FTC Solar Inc")</f>
        <v>FTC Solar Inc</v>
      </c>
      <c r="C602">
        <v>0.126126126126125</v>
      </c>
      <c r="D602">
        <v>-0.63976945244956707</v>
      </c>
      <c r="E602">
        <v>-0.50396825396825407</v>
      </c>
      <c r="F602">
        <v>-0.53358208955223807</v>
      </c>
      <c r="G602">
        <v>-0.34210526315789402</v>
      </c>
      <c r="H602">
        <v>-0.8736097067745191</v>
      </c>
      <c r="I602">
        <v>-0.91234221598877907</v>
      </c>
    </row>
    <row r="603" spans="1:9" x14ac:dyDescent="0.25">
      <c r="A603" s="1" t="s">
        <v>615</v>
      </c>
      <c r="B603" t="str">
        <f>HYPERLINK("https://www.suredividend.com/sure-analysis-research-database/","Frontdoor Inc.")</f>
        <v>Frontdoor Inc.</v>
      </c>
      <c r="C603">
        <v>0.15001704739174901</v>
      </c>
      <c r="D603">
        <v>-8.8378378378378003E-2</v>
      </c>
      <c r="E603">
        <v>0.122836218375499</v>
      </c>
      <c r="F603">
        <v>0.62163461538461506</v>
      </c>
      <c r="G603">
        <v>0.44515852613538898</v>
      </c>
      <c r="H603">
        <v>-0.111198945981554</v>
      </c>
      <c r="I603">
        <v>-3.6836093660765012E-2</v>
      </c>
    </row>
    <row r="604" spans="1:9" x14ac:dyDescent="0.25">
      <c r="A604" s="1" t="s">
        <v>616</v>
      </c>
      <c r="B604" t="str">
        <f>HYPERLINK("https://www.suredividend.com/sure-analysis-research-database/","fuboTV Inc")</f>
        <v>fuboTV Inc</v>
      </c>
      <c r="C604">
        <v>0.2</v>
      </c>
      <c r="D604">
        <v>-5.0632911392405007E-2</v>
      </c>
      <c r="E604">
        <v>1.6785714285714279</v>
      </c>
      <c r="F604">
        <v>0.7241379310344821</v>
      </c>
      <c r="G604">
        <v>-0.11504424778760999</v>
      </c>
      <c r="H604">
        <v>-0.90822881615172812</v>
      </c>
      <c r="I604">
        <v>5.9767441860465116</v>
      </c>
    </row>
    <row r="605" spans="1:9" x14ac:dyDescent="0.25">
      <c r="A605" s="1" t="s">
        <v>617</v>
      </c>
      <c r="B605" t="str">
        <f>HYPERLINK("https://www.suredividend.com/sure-analysis-FUL/","H.B. Fuller Company")</f>
        <v>H.B. Fuller Company</v>
      </c>
      <c r="C605">
        <v>6.3074556408900006E-4</v>
      </c>
      <c r="D605">
        <v>-2.8668949543978001E-2</v>
      </c>
      <c r="E605">
        <v>8.9484732142441001E-2</v>
      </c>
      <c r="F605">
        <v>-9.7779484948960008E-3</v>
      </c>
      <c r="G605">
        <v>1.1549436377118E-2</v>
      </c>
      <c r="H605">
        <v>-2.5010185111799001E-2</v>
      </c>
      <c r="I605">
        <v>0.58188725556548104</v>
      </c>
    </row>
    <row r="606" spans="1:9" x14ac:dyDescent="0.25">
      <c r="A606" s="1" t="s">
        <v>618</v>
      </c>
      <c r="B606" t="str">
        <f>HYPERLINK("https://www.suredividend.com/sure-analysis-research-database/","Fulcrum Therapeutics Inc")</f>
        <v>Fulcrum Therapeutics Inc</v>
      </c>
      <c r="C606">
        <v>0</v>
      </c>
      <c r="D606">
        <v>-1.5189873417721E-2</v>
      </c>
      <c r="E606">
        <v>0.41970802919708011</v>
      </c>
      <c r="F606">
        <v>-0.46565934065934012</v>
      </c>
      <c r="G606">
        <v>-0.32698961937716198</v>
      </c>
      <c r="H606">
        <v>-0.81607565011820304</v>
      </c>
      <c r="I606">
        <v>-0.71185185185185107</v>
      </c>
    </row>
    <row r="607" spans="1:9" x14ac:dyDescent="0.25">
      <c r="A607" s="1" t="s">
        <v>619</v>
      </c>
      <c r="B607" t="str">
        <f>HYPERLINK("https://www.suredividend.com/sure-analysis-FULT/","Fulton Financial Corp.")</f>
        <v>Fulton Financial Corp.</v>
      </c>
      <c r="C607">
        <v>0.17818484596169801</v>
      </c>
      <c r="D607">
        <v>1.4366900925000001E-3</v>
      </c>
      <c r="E607">
        <v>0.46800983514716399</v>
      </c>
      <c r="F607">
        <v>-0.104078815737821</v>
      </c>
      <c r="G607">
        <v>-0.167847754365123</v>
      </c>
      <c r="H607">
        <v>-3.6293920138392E-2</v>
      </c>
      <c r="I607">
        <v>0.102333987722414</v>
      </c>
    </row>
    <row r="608" spans="1:9" x14ac:dyDescent="0.25">
      <c r="A608" s="1" t="s">
        <v>620</v>
      </c>
      <c r="B608" t="str">
        <f>HYPERLINK("https://www.suredividend.com/sure-analysis-research-database/","FVCBankcorp Inc")</f>
        <v>FVCBankcorp Inc</v>
      </c>
      <c r="C608">
        <v>-6.2166962699820002E-3</v>
      </c>
      <c r="D608">
        <v>-0.161797752808988</v>
      </c>
      <c r="E608">
        <v>0.264406779661017</v>
      </c>
      <c r="F608">
        <v>-0.26651809124278902</v>
      </c>
      <c r="G608">
        <v>-0.31231563421828901</v>
      </c>
      <c r="H608">
        <v>-0.33329361296472798</v>
      </c>
      <c r="I608">
        <v>-0.24310064935064901</v>
      </c>
    </row>
    <row r="609" spans="1:9" x14ac:dyDescent="0.25">
      <c r="A609" s="1" t="s">
        <v>621</v>
      </c>
      <c r="B609" t="str">
        <f>HYPERLINK("https://www.suredividend.com/sure-analysis-research-database/","Forward Air Corp.")</f>
        <v>Forward Air Corp.</v>
      </c>
      <c r="C609">
        <v>-6.5867418899858005E-2</v>
      </c>
      <c r="D609">
        <v>-0.39762049636507601</v>
      </c>
      <c r="E609">
        <v>-0.31346461435121198</v>
      </c>
      <c r="F609">
        <v>-0.36172406781163702</v>
      </c>
      <c r="G609">
        <v>-0.36257671841058903</v>
      </c>
      <c r="H609">
        <v>-0.35857703467538499</v>
      </c>
      <c r="I609">
        <v>0.162588624782113</v>
      </c>
    </row>
    <row r="610" spans="1:9" x14ac:dyDescent="0.25">
      <c r="A610" s="1" t="s">
        <v>622</v>
      </c>
      <c r="B610" t="str">
        <f>HYPERLINK("https://www.suredividend.com/sure-analysis-research-database/","First Watch Restaurant Group Inc")</f>
        <v>First Watch Restaurant Group Inc</v>
      </c>
      <c r="C610">
        <v>-1.4891179839632999E-2</v>
      </c>
      <c r="D610">
        <v>-0.10695742471443399</v>
      </c>
      <c r="E610">
        <v>2.0166073546856001E-2</v>
      </c>
      <c r="F610">
        <v>0.27124907612712401</v>
      </c>
      <c r="G610">
        <v>6.3040791100123006E-2</v>
      </c>
      <c r="H610">
        <v>-0.155621011291114</v>
      </c>
      <c r="I610">
        <v>-0.22277451423407099</v>
      </c>
    </row>
    <row r="611" spans="1:9" x14ac:dyDescent="0.25">
      <c r="A611" s="1" t="s">
        <v>623</v>
      </c>
      <c r="B611" t="str">
        <f>HYPERLINK("https://www.suredividend.com/sure-analysis-research-database/","F45 Training Holdings Inc")</f>
        <v>F45 Training Holdings Inc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 s="1" t="s">
        <v>624</v>
      </c>
      <c r="B612" t="str">
        <f>HYPERLINK("https://www.suredividend.com/sure-analysis-research-database/","German American Bancorp Inc")</f>
        <v>German American Bancorp Inc</v>
      </c>
      <c r="C612">
        <v>6.7638266068759001E-2</v>
      </c>
      <c r="D612">
        <v>-6.8780516424273005E-2</v>
      </c>
      <c r="E612">
        <v>7.643964854641E-2</v>
      </c>
      <c r="F612">
        <v>-0.208615756219305</v>
      </c>
      <c r="G612">
        <v>-0.25638462899917702</v>
      </c>
      <c r="H612">
        <v>-0.248066871252835</v>
      </c>
      <c r="I612">
        <v>3.6974661812690997E-2</v>
      </c>
    </row>
    <row r="613" spans="1:9" x14ac:dyDescent="0.25">
      <c r="A613" s="1" t="s">
        <v>625</v>
      </c>
      <c r="B613" t="str">
        <f>HYPERLINK("https://www.suredividend.com/sure-analysis-research-database/","Gambling.com Group Ltd")</f>
        <v>Gambling.com Group Ltd</v>
      </c>
      <c r="C613">
        <v>2.6415094339622001E-2</v>
      </c>
      <c r="D613">
        <v>0.11111111111111099</v>
      </c>
      <c r="E613">
        <v>0.44373673036093397</v>
      </c>
      <c r="F613">
        <v>0.48633879781420702</v>
      </c>
      <c r="G613">
        <v>0.67487684729064001</v>
      </c>
      <c r="H613">
        <v>-0.14626490897677299</v>
      </c>
      <c r="I613">
        <v>0.70000000000000007</v>
      </c>
    </row>
    <row r="614" spans="1:9" x14ac:dyDescent="0.25">
      <c r="A614" s="1" t="s">
        <v>626</v>
      </c>
      <c r="B614" t="str">
        <f>HYPERLINK("https://www.suredividend.com/sure-analysis-GATX/","GATX Corp.")</f>
        <v>GATX Corp.</v>
      </c>
      <c r="C614">
        <v>3.4243976475052E-2</v>
      </c>
      <c r="D614">
        <v>-9.4471316758135013E-2</v>
      </c>
      <c r="E614">
        <v>-9.4638313026870011E-3</v>
      </c>
      <c r="F614">
        <v>3.9995421463795998E-2</v>
      </c>
      <c r="G614">
        <v>5.0675861244872007E-2</v>
      </c>
      <c r="H614">
        <v>0.13293930363147399</v>
      </c>
      <c r="I614">
        <v>0.59401750012792409</v>
      </c>
    </row>
    <row r="615" spans="1:9" x14ac:dyDescent="0.25">
      <c r="A615" s="1" t="s">
        <v>627</v>
      </c>
      <c r="B615" t="str">
        <f>HYPERLINK("https://www.suredividend.com/sure-analysis-research-database/","Glacier Bancorp, Inc.")</f>
        <v>Glacier Bancorp, Inc.</v>
      </c>
      <c r="C615">
        <v>0.155136445647271</v>
      </c>
      <c r="D615">
        <v>-6.2239846234530003E-3</v>
      </c>
      <c r="E615">
        <v>0.17601475220457899</v>
      </c>
      <c r="F615">
        <v>-0.310543551647186</v>
      </c>
      <c r="G615">
        <v>-0.40644651952769201</v>
      </c>
      <c r="H615">
        <v>-0.37494875456918503</v>
      </c>
      <c r="I615">
        <v>-9.9707775800320003E-2</v>
      </c>
    </row>
    <row r="616" spans="1:9" x14ac:dyDescent="0.25">
      <c r="A616" s="1" t="s">
        <v>628</v>
      </c>
      <c r="B616" t="str">
        <f>HYPERLINK("https://www.suredividend.com/sure-analysis-research-database/","Generation Bio Co")</f>
        <v>Generation Bio Co</v>
      </c>
      <c r="C616">
        <v>-0.58620689655172409</v>
      </c>
      <c r="D616">
        <v>-0.70337078651685303</v>
      </c>
      <c r="E616">
        <v>-0.71551724137931005</v>
      </c>
      <c r="F616">
        <v>-0.66412213740458004</v>
      </c>
      <c r="G616">
        <v>-0.77852348993288512</v>
      </c>
      <c r="H616">
        <v>-0.93908629441624303</v>
      </c>
      <c r="I616">
        <v>-0.94653705953827405</v>
      </c>
    </row>
    <row r="617" spans="1:9" x14ac:dyDescent="0.25">
      <c r="A617" s="1" t="s">
        <v>629</v>
      </c>
      <c r="B617" t="str">
        <f>HYPERLINK("https://www.suredividend.com/sure-analysis-research-database/","Greenbrier Cos., Inc.")</f>
        <v>Greenbrier Cos., Inc.</v>
      </c>
      <c r="C617">
        <v>-2.4218749999999001E-2</v>
      </c>
      <c r="D617">
        <v>-0.19730077120822601</v>
      </c>
      <c r="E617">
        <v>0.46921010841649102</v>
      </c>
      <c r="F617">
        <v>0.14681496399178501</v>
      </c>
      <c r="G617">
        <v>2.7597309104671001E-2</v>
      </c>
      <c r="H617">
        <v>-7.3808582163338007E-2</v>
      </c>
      <c r="I617">
        <v>-0.103142233455882</v>
      </c>
    </row>
    <row r="618" spans="1:9" x14ac:dyDescent="0.25">
      <c r="A618" s="1" t="s">
        <v>630</v>
      </c>
      <c r="B618" t="str">
        <f>HYPERLINK("https://www.suredividend.com/sure-analysis-research-database/","Greene County Bancorp Inc")</f>
        <v>Greene County Bancorp Inc</v>
      </c>
      <c r="C618">
        <v>2.3529411764706E-2</v>
      </c>
      <c r="D618">
        <v>-0.25893942865199199</v>
      </c>
      <c r="E618">
        <v>0.39966825144099799</v>
      </c>
      <c r="F618">
        <v>2.5553739272578668</v>
      </c>
      <c r="G618">
        <v>1.9754112860428079</v>
      </c>
      <c r="H618">
        <v>4.8538283062645018</v>
      </c>
      <c r="I618">
        <v>5.7521276026334096</v>
      </c>
    </row>
    <row r="619" spans="1:9" x14ac:dyDescent="0.25">
      <c r="A619" s="1" t="s">
        <v>631</v>
      </c>
      <c r="B619" t="str">
        <f>HYPERLINK("https://www.suredividend.com/sure-analysis-research-database/","Gannett Co Inc.")</f>
        <v>Gannett Co Inc.</v>
      </c>
      <c r="C619">
        <v>-0.21912350597609501</v>
      </c>
      <c r="D619">
        <v>-0.39130434782608697</v>
      </c>
      <c r="E619">
        <v>0.18787878787878801</v>
      </c>
      <c r="F619">
        <v>-3.4482758620689002E-2</v>
      </c>
      <c r="G619">
        <v>7.6923076923076011E-2</v>
      </c>
      <c r="H619">
        <v>-0.68888888888888811</v>
      </c>
      <c r="I619">
        <v>-0.83615601959440211</v>
      </c>
    </row>
    <row r="620" spans="1:9" x14ac:dyDescent="0.25">
      <c r="A620" s="1" t="s">
        <v>632</v>
      </c>
      <c r="B620" t="str">
        <f>HYPERLINK("https://www.suredividend.com/sure-analysis-research-database/","GCM Grosvenor Inc")</f>
        <v>GCM Grosvenor Inc</v>
      </c>
      <c r="C620">
        <v>0.11330698287219999</v>
      </c>
      <c r="D620">
        <v>9.2041665589702004E-2</v>
      </c>
      <c r="E620">
        <v>0.188116027614909</v>
      </c>
      <c r="F620">
        <v>0.195005020435292</v>
      </c>
      <c r="G620">
        <v>0.15248226950354499</v>
      </c>
      <c r="H620">
        <v>-0.18168524418706</v>
      </c>
      <c r="I620">
        <v>-0.100441794858146</v>
      </c>
    </row>
    <row r="621" spans="1:9" x14ac:dyDescent="0.25">
      <c r="A621" s="1" t="s">
        <v>633</v>
      </c>
      <c r="B621" t="str">
        <f>HYPERLINK("https://www.suredividend.com/sure-analysis-research-database/","Genesco Inc.")</f>
        <v>Genesco Inc.</v>
      </c>
      <c r="C621">
        <v>2.6845637583890001E-3</v>
      </c>
      <c r="D621">
        <v>2.0491803278687999E-2</v>
      </c>
      <c r="E621">
        <v>-2.6710097719869E-2</v>
      </c>
      <c r="F621">
        <v>-0.35071707953063802</v>
      </c>
      <c r="G621">
        <v>-0.34545454545454501</v>
      </c>
      <c r="H621">
        <v>-0.55581983053367001</v>
      </c>
      <c r="I621">
        <v>-0.33064516129032201</v>
      </c>
    </row>
    <row r="622" spans="1:9" x14ac:dyDescent="0.25">
      <c r="A622" s="1" t="s">
        <v>634</v>
      </c>
      <c r="B622" t="str">
        <f>HYPERLINK("https://www.suredividend.com/sure-analysis-research-database/","Golden Entertainment Inc")</f>
        <v>Golden Entertainment Inc</v>
      </c>
      <c r="C622">
        <v>0.109737714802532</v>
      </c>
      <c r="D622">
        <v>-2.6563884224305001E-2</v>
      </c>
      <c r="E622">
        <v>4.4181263740160001E-2</v>
      </c>
      <c r="F622">
        <v>8.7178033155828005E-2</v>
      </c>
      <c r="G622">
        <v>-2.7029598811606E-2</v>
      </c>
      <c r="H622">
        <v>-0.19067595377552601</v>
      </c>
      <c r="I622">
        <v>1.1825232126551961</v>
      </c>
    </row>
    <row r="623" spans="1:9" x14ac:dyDescent="0.25">
      <c r="A623" s="1" t="s">
        <v>635</v>
      </c>
      <c r="B623" t="str">
        <f>HYPERLINK("https://www.suredividend.com/sure-analysis-research-database/","Green Dot Corp.")</f>
        <v>Green Dot Corp.</v>
      </c>
      <c r="C623">
        <v>-8.7509349289453003E-2</v>
      </c>
      <c r="D623">
        <v>-0.26150121065375298</v>
      </c>
      <c r="E623">
        <v>-0.26461723930078301</v>
      </c>
      <c r="F623">
        <v>-0.22882427307205999</v>
      </c>
      <c r="G623">
        <v>-0.305634604439385</v>
      </c>
      <c r="H623">
        <v>-0.72615039281705906</v>
      </c>
      <c r="I623">
        <v>-0.84523658505645005</v>
      </c>
    </row>
    <row r="624" spans="1:9" x14ac:dyDescent="0.25">
      <c r="A624" s="1" t="s">
        <v>636</v>
      </c>
      <c r="B624" t="str">
        <f>HYPERLINK("https://www.suredividend.com/sure-analysis-research-database/","Grid Dynamics Holdings Inc")</f>
        <v>Grid Dynamics Holdings Inc</v>
      </c>
      <c r="C624">
        <v>-8.3892617449600004E-4</v>
      </c>
      <c r="D624">
        <v>5.2120141342756013E-2</v>
      </c>
      <c r="E624">
        <v>5.3982300884955002E-2</v>
      </c>
      <c r="F624">
        <v>6.1497326203207997E-2</v>
      </c>
      <c r="G624">
        <v>2.8497409326424E-2</v>
      </c>
      <c r="H624">
        <v>-0.59254190899760506</v>
      </c>
      <c r="I624">
        <v>0.24062500000000001</v>
      </c>
    </row>
    <row r="625" spans="1:9" x14ac:dyDescent="0.25">
      <c r="A625" s="1" t="s">
        <v>637</v>
      </c>
      <c r="B625" t="str">
        <f>HYPERLINK("https://www.suredividend.com/sure-analysis-GEF/","Greif Inc")</f>
        <v>Greif Inc</v>
      </c>
      <c r="C625">
        <v>9.0675532718700012E-4</v>
      </c>
      <c r="D625">
        <v>-0.10892554422409299</v>
      </c>
      <c r="E625">
        <v>8.9820063681166004E-2</v>
      </c>
      <c r="F625">
        <v>1.0959824154353001E-2</v>
      </c>
      <c r="G625">
        <v>-5.679472378066E-3</v>
      </c>
      <c r="H625">
        <v>5.2266989512283007E-2</v>
      </c>
      <c r="I625">
        <v>0.62372208193385403</v>
      </c>
    </row>
    <row r="626" spans="1:9" x14ac:dyDescent="0.25">
      <c r="A626" s="1" t="s">
        <v>638</v>
      </c>
      <c r="B626" t="str">
        <f>HYPERLINK("https://www.suredividend.com/sure-analysis-research-database/","Geo Group, Inc.")</f>
        <v>Geo Group, Inc.</v>
      </c>
      <c r="C626">
        <v>0.11742892459826899</v>
      </c>
      <c r="D626">
        <v>0.25381414701803001</v>
      </c>
      <c r="E626">
        <v>0.24861878453038599</v>
      </c>
      <c r="F626">
        <v>-0.17442922374429201</v>
      </c>
      <c r="G626">
        <v>1.5730337078650999E-2</v>
      </c>
      <c r="H626">
        <v>1.8018018018017001E-2</v>
      </c>
      <c r="I626">
        <v>-0.47205204725834998</v>
      </c>
    </row>
    <row r="627" spans="1:9" x14ac:dyDescent="0.25">
      <c r="A627" s="1" t="s">
        <v>639</v>
      </c>
      <c r="B627" t="str">
        <f>HYPERLINK("https://www.suredividend.com/sure-analysis-research-database/","Geron Corp.")</f>
        <v>Geron Corp.</v>
      </c>
      <c r="C627">
        <v>9.3922651933701001E-2</v>
      </c>
      <c r="D627">
        <v>-0.33108108108108097</v>
      </c>
      <c r="E627">
        <v>-0.266666666666666</v>
      </c>
      <c r="F627">
        <v>-0.18181818181818099</v>
      </c>
      <c r="G627">
        <v>-5.7142857142857002E-2</v>
      </c>
      <c r="H627">
        <v>0.19277108433734899</v>
      </c>
      <c r="I627">
        <v>0.18562874251497</v>
      </c>
    </row>
    <row r="628" spans="1:9" x14ac:dyDescent="0.25">
      <c r="A628" s="1" t="s">
        <v>640</v>
      </c>
      <c r="B628" t="str">
        <f>HYPERLINK("https://www.suredividend.com/sure-analysis-research-database/","Guess Inc.")</f>
        <v>Guess Inc.</v>
      </c>
      <c r="C628">
        <v>0.11916110581506099</v>
      </c>
      <c r="D628">
        <v>0.118121860044286</v>
      </c>
      <c r="E628">
        <v>0.36238359105283002</v>
      </c>
      <c r="F628">
        <v>0.181550105172049</v>
      </c>
      <c r="G628">
        <v>0.43930756310762897</v>
      </c>
      <c r="H628">
        <v>0.15131901539668499</v>
      </c>
      <c r="I628">
        <v>0.240988562609669</v>
      </c>
    </row>
    <row r="629" spans="1:9" x14ac:dyDescent="0.25">
      <c r="A629" s="1" t="s">
        <v>641</v>
      </c>
      <c r="B629" t="str">
        <f>HYPERLINK("https://www.suredividend.com/sure-analysis-research-database/","Gevo Inc")</f>
        <v>Gevo Inc</v>
      </c>
      <c r="C629">
        <v>0.19811320754716899</v>
      </c>
      <c r="D629">
        <v>-0.19108280254776999</v>
      </c>
      <c r="E629">
        <v>0.114035087719298</v>
      </c>
      <c r="F629">
        <v>-0.33157894736842097</v>
      </c>
      <c r="G629">
        <v>-0.43805309734513198</v>
      </c>
      <c r="H629">
        <v>-0.82721088435374102</v>
      </c>
      <c r="I629">
        <v>-0.615151515151515</v>
      </c>
    </row>
    <row r="630" spans="1:9" x14ac:dyDescent="0.25">
      <c r="A630" s="1" t="s">
        <v>642</v>
      </c>
      <c r="B630" t="str">
        <f>HYPERLINK("https://www.suredividend.com/sure-analysis-research-database/","Griffon Corp.")</f>
        <v>Griffon Corp.</v>
      </c>
      <c r="C630">
        <v>8.1700178162382009E-2</v>
      </c>
      <c r="D630">
        <v>3.1220504060582001E-2</v>
      </c>
      <c r="E630">
        <v>0.49391712099322599</v>
      </c>
      <c r="F630">
        <v>0.27864157119476202</v>
      </c>
      <c r="G630">
        <v>0.48073820896874397</v>
      </c>
      <c r="H630">
        <v>0.84044031993348411</v>
      </c>
      <c r="I630">
        <v>3.0121213265489142</v>
      </c>
    </row>
    <row r="631" spans="1:9" x14ac:dyDescent="0.25">
      <c r="A631" s="1" t="s">
        <v>643</v>
      </c>
      <c r="B631" t="str">
        <f>HYPERLINK("https://www.suredividend.com/sure-analysis-research-database/","Graham Holdings Co.")</f>
        <v>Graham Holdings Co.</v>
      </c>
      <c r="C631">
        <v>5.9972903895665002E-2</v>
      </c>
      <c r="D631">
        <v>4.4839796490033001E-2</v>
      </c>
      <c r="E631">
        <v>0.115917463622531</v>
      </c>
      <c r="F631">
        <v>4.1766025515519001E-2</v>
      </c>
      <c r="G631">
        <v>-1.6645036880154E-2</v>
      </c>
      <c r="H631">
        <v>7.5616232347204007E-2</v>
      </c>
      <c r="I631">
        <v>7.3643226358774003E-2</v>
      </c>
    </row>
    <row r="632" spans="1:9" x14ac:dyDescent="0.25">
      <c r="A632" s="1" t="s">
        <v>644</v>
      </c>
      <c r="B632" t="str">
        <f>HYPERLINK("https://www.suredividend.com/sure-analysis-research-database/","Global Industrial Co")</f>
        <v>Global Industrial Co</v>
      </c>
      <c r="C632">
        <v>2.1245205075242999E-2</v>
      </c>
      <c r="D632">
        <v>9.4024118474498014E-2</v>
      </c>
      <c r="E632">
        <v>0.53691754999089603</v>
      </c>
      <c r="F632">
        <v>0.50340339949003299</v>
      </c>
      <c r="G632">
        <v>0.51097102044023701</v>
      </c>
      <c r="H632">
        <v>-8.7387703333764014E-2</v>
      </c>
      <c r="I632">
        <v>0.33567201359984999</v>
      </c>
    </row>
    <row r="633" spans="1:9" x14ac:dyDescent="0.25">
      <c r="A633" s="1" t="s">
        <v>645</v>
      </c>
      <c r="B633" t="str">
        <f>HYPERLINK("https://www.suredividend.com/sure-analysis-research-database/","G-III Apparel Group Ltd.")</f>
        <v>G-III Apparel Group Ltd.</v>
      </c>
      <c r="C633">
        <v>0.118058412176059</v>
      </c>
      <c r="D633">
        <v>0.302972195589645</v>
      </c>
      <c r="E633">
        <v>0.84271186440677903</v>
      </c>
      <c r="F633">
        <v>0.98249452954048111</v>
      </c>
      <c r="G633">
        <v>0.43885653785071399</v>
      </c>
      <c r="H633">
        <v>-0.112634671890303</v>
      </c>
      <c r="I633">
        <v>-0.35820543093270302</v>
      </c>
    </row>
    <row r="634" spans="1:9" x14ac:dyDescent="0.25">
      <c r="A634" s="1" t="s">
        <v>646</v>
      </c>
      <c r="B634" t="str">
        <f>HYPERLINK("https://www.suredividend.com/sure-analysis-research-database/","Glaukos Corporation")</f>
        <v>Glaukos Corporation</v>
      </c>
      <c r="C634">
        <v>-7.277978339350101E-2</v>
      </c>
      <c r="D634">
        <v>-0.137194302606826</v>
      </c>
      <c r="E634">
        <v>0.26972513347834598</v>
      </c>
      <c r="F634">
        <v>0.47000915750915712</v>
      </c>
      <c r="G634">
        <v>0.31929319909595211</v>
      </c>
      <c r="H634">
        <v>0.167242319578258</v>
      </c>
      <c r="I634">
        <v>6.8741677762982012E-2</v>
      </c>
    </row>
    <row r="635" spans="1:9" x14ac:dyDescent="0.25">
      <c r="A635" s="1" t="s">
        <v>647</v>
      </c>
      <c r="B635" t="str">
        <f>HYPERLINK("https://www.suredividend.com/sure-analysis-research-database/","Great Lakes Dredge &amp; Dock Corporation")</f>
        <v>Great Lakes Dredge &amp; Dock Corporation</v>
      </c>
      <c r="C635">
        <v>1.2064343163538001E-2</v>
      </c>
      <c r="D635">
        <v>-0.13118527042577599</v>
      </c>
      <c r="E635">
        <v>0.36036036036036001</v>
      </c>
      <c r="F635">
        <v>0.26890756302521002</v>
      </c>
      <c r="G635">
        <v>0.111929307805596</v>
      </c>
      <c r="H635">
        <v>-0.48882870683818502</v>
      </c>
      <c r="I635">
        <v>0.26677852348993197</v>
      </c>
    </row>
    <row r="636" spans="1:9" x14ac:dyDescent="0.25">
      <c r="A636" s="1" t="s">
        <v>648</v>
      </c>
      <c r="B636" t="str">
        <f>HYPERLINK("https://www.suredividend.com/sure-analysis-research-database/","Golar Lng")</f>
        <v>Golar Lng</v>
      </c>
      <c r="C636">
        <v>4.5784224841341002E-2</v>
      </c>
      <c r="D636">
        <v>-3.7426461384402997E-2</v>
      </c>
      <c r="E636">
        <v>0.13814079003843099</v>
      </c>
      <c r="F636">
        <v>4.7251135997385001E-2</v>
      </c>
      <c r="G636">
        <v>-0.136821467590583</v>
      </c>
      <c r="H636">
        <v>0.77977673715312801</v>
      </c>
      <c r="I636">
        <v>-0.15044521531628999</v>
      </c>
    </row>
    <row r="637" spans="1:9" x14ac:dyDescent="0.25">
      <c r="A637" s="1" t="s">
        <v>649</v>
      </c>
      <c r="B637" t="str">
        <f>HYPERLINK("https://www.suredividend.com/sure-analysis-research-database/","Greenlight Capital Re Ltd")</f>
        <v>Greenlight Capital Re Ltd</v>
      </c>
      <c r="C637">
        <v>3.7037037037036001E-2</v>
      </c>
      <c r="D637">
        <v>2.1352313167259E-2</v>
      </c>
      <c r="E637">
        <v>0.12992125984251901</v>
      </c>
      <c r="F637">
        <v>0.40858895705521397</v>
      </c>
      <c r="G637">
        <v>0.49090909090909002</v>
      </c>
      <c r="H637">
        <v>0.57909215955983506</v>
      </c>
      <c r="I637">
        <v>-2.5466893039049001E-2</v>
      </c>
    </row>
    <row r="638" spans="1:9" x14ac:dyDescent="0.25">
      <c r="A638" s="1" t="s">
        <v>650</v>
      </c>
      <c r="B638" t="str">
        <f>HYPERLINK("https://www.suredividend.com/sure-analysis-research-database/","Glatfelter Corporation")</f>
        <v>Glatfelter Corporation</v>
      </c>
      <c r="C638">
        <v>-0.102150537634408</v>
      </c>
      <c r="D638">
        <v>-0.28936170212765899</v>
      </c>
      <c r="E638">
        <v>-0.54246575342465708</v>
      </c>
      <c r="F638">
        <v>-0.39928057553956797</v>
      </c>
      <c r="G638">
        <v>-0.46129032258064512</v>
      </c>
      <c r="H638">
        <v>-0.90021331644329106</v>
      </c>
      <c r="I638">
        <v>-0.89551594476735108</v>
      </c>
    </row>
    <row r="639" spans="1:9" x14ac:dyDescent="0.25">
      <c r="A639" s="1" t="s">
        <v>651</v>
      </c>
      <c r="B639" t="str">
        <f>HYPERLINK("https://www.suredividend.com/sure-analysis-research-database/","Monte Rosa Therapeutics Inc")</f>
        <v>Monte Rosa Therapeutics Inc</v>
      </c>
      <c r="C639">
        <v>-0.15566037735849</v>
      </c>
      <c r="D639">
        <v>-0.47965116279069703</v>
      </c>
      <c r="E639">
        <v>-0.279678068410462</v>
      </c>
      <c r="F639">
        <v>-0.52956636005256208</v>
      </c>
      <c r="G639">
        <v>-0.56500607533414304</v>
      </c>
      <c r="H639">
        <v>-0.86251920122887804</v>
      </c>
      <c r="I639">
        <v>-0.83097261567516512</v>
      </c>
    </row>
    <row r="640" spans="1:9" x14ac:dyDescent="0.25">
      <c r="A640" s="1" t="s">
        <v>652</v>
      </c>
      <c r="B640" t="str">
        <f>HYPERLINK("https://www.suredividend.com/sure-analysis-GMRE/","Global Medical REIT Inc")</f>
        <v>Global Medical REIT Inc</v>
      </c>
      <c r="C640">
        <v>6.8807339449541011E-2</v>
      </c>
      <c r="D640">
        <v>-7.4781849046489005E-2</v>
      </c>
      <c r="E640">
        <v>0.108929740020227</v>
      </c>
      <c r="F640">
        <v>5.4358278183155001E-2</v>
      </c>
      <c r="G640">
        <v>0.151015165736303</v>
      </c>
      <c r="H640">
        <v>-0.35848900758524799</v>
      </c>
      <c r="I640">
        <v>0.47386732031311701</v>
      </c>
    </row>
    <row r="641" spans="1:9" x14ac:dyDescent="0.25">
      <c r="A641" s="1" t="s">
        <v>653</v>
      </c>
      <c r="B641" t="str">
        <f>HYPERLINK("https://www.suredividend.com/sure-analysis-research-database/","GMS Inc")</f>
        <v>GMS Inc</v>
      </c>
      <c r="C641">
        <v>-1.7616912235739999E-3</v>
      </c>
      <c r="D641">
        <v>-0.15622038716664399</v>
      </c>
      <c r="E641">
        <v>0.115026833631484</v>
      </c>
      <c r="F641">
        <v>0.251606425702811</v>
      </c>
      <c r="G641">
        <v>0.37290748898678411</v>
      </c>
      <c r="H641">
        <v>0.12712477396021701</v>
      </c>
      <c r="I641">
        <v>2.45509977827051</v>
      </c>
    </row>
    <row r="642" spans="1:9" x14ac:dyDescent="0.25">
      <c r="A642" s="1" t="s">
        <v>654</v>
      </c>
      <c r="B642" t="str">
        <f>HYPERLINK("https://www.suredividend.com/sure-analysis-research-database/","Genco Shipping &amp; Trading Limited")</f>
        <v>Genco Shipping &amp; Trading Limited</v>
      </c>
      <c r="C642">
        <v>-3.1746031746031002E-2</v>
      </c>
      <c r="D642">
        <v>-2.6936881412464E-2</v>
      </c>
      <c r="E642">
        <v>4.6679405685762003E-2</v>
      </c>
      <c r="F642">
        <v>-8.3927779105088002E-2</v>
      </c>
      <c r="G642">
        <v>-5.3622497616700006E-4</v>
      </c>
      <c r="H642">
        <v>-1.3438409739171001E-2</v>
      </c>
      <c r="I642">
        <v>0.55076382629596199</v>
      </c>
    </row>
    <row r="643" spans="1:9" x14ac:dyDescent="0.25">
      <c r="A643" s="1" t="s">
        <v>655</v>
      </c>
      <c r="B643" t="str">
        <f>HYPERLINK("https://www.suredividend.com/sure-analysis-GNL/","Global Net Lease Inc")</f>
        <v>Global Net Lease Inc</v>
      </c>
      <c r="C643">
        <v>4.2771507907187013E-2</v>
      </c>
      <c r="D643">
        <v>-0.14084285770393901</v>
      </c>
      <c r="E643">
        <v>-0.150493684527334</v>
      </c>
      <c r="F643">
        <v>-0.19932651922073799</v>
      </c>
      <c r="G643">
        <v>-0.20438633181181601</v>
      </c>
      <c r="H643">
        <v>-0.281644582368684</v>
      </c>
      <c r="I643">
        <v>-0.23333041268728599</v>
      </c>
    </row>
    <row r="644" spans="1:9" x14ac:dyDescent="0.25">
      <c r="A644" s="1" t="s">
        <v>656</v>
      </c>
      <c r="B644" t="str">
        <f>HYPERLINK("https://www.suredividend.com/sure-analysis-research-database/","Guaranty Bancshares, Inc. (TX)")</f>
        <v>Guaranty Bancshares, Inc. (TX)</v>
      </c>
      <c r="C644">
        <v>8.1149012567324E-2</v>
      </c>
      <c r="D644">
        <v>-6.2101876107738013E-2</v>
      </c>
      <c r="E644">
        <v>0.335882942758014</v>
      </c>
      <c r="F644">
        <v>-0.108813013520232</v>
      </c>
      <c r="G644">
        <v>-0.129046347693028</v>
      </c>
      <c r="H644">
        <v>-0.183468698729508</v>
      </c>
      <c r="I644">
        <v>0.27255821816491199</v>
      </c>
    </row>
    <row r="645" spans="1:9" x14ac:dyDescent="0.25">
      <c r="A645" s="1" t="s">
        <v>657</v>
      </c>
      <c r="B645" t="str">
        <f>HYPERLINK("https://www.suredividend.com/sure-analysis-research-database/","Genworth Financial Inc")</f>
        <v>Genworth Financial Inc</v>
      </c>
      <c r="C645">
        <v>5.4421768707483012E-2</v>
      </c>
      <c r="D645">
        <v>6.4935064935060004E-3</v>
      </c>
      <c r="E645">
        <v>0.31078224101479901</v>
      </c>
      <c r="F645">
        <v>0.17202268431001899</v>
      </c>
      <c r="G645">
        <v>0.35964912280701711</v>
      </c>
      <c r="H645">
        <v>0.45199063231850112</v>
      </c>
      <c r="I645">
        <v>0.49038461538461497</v>
      </c>
    </row>
    <row r="646" spans="1:9" x14ac:dyDescent="0.25">
      <c r="A646" s="1" t="s">
        <v>658</v>
      </c>
      <c r="B646" t="str">
        <f>HYPERLINK("https://www.suredividend.com/sure-analysis-research-database/","Canoo Inc")</f>
        <v>Canoo Inc</v>
      </c>
      <c r="C646">
        <v>-0.364798883980469</v>
      </c>
      <c r="D646">
        <v>-0.54670648747303807</v>
      </c>
      <c r="E646">
        <v>-0.6190210570352811</v>
      </c>
      <c r="F646">
        <v>-0.77788617886178801</v>
      </c>
      <c r="G646">
        <v>-0.79303030303030309</v>
      </c>
      <c r="H646">
        <v>-0.96724220623501211</v>
      </c>
      <c r="I646">
        <v>-0.97223577235772307</v>
      </c>
    </row>
    <row r="647" spans="1:9" x14ac:dyDescent="0.25">
      <c r="A647" s="1" t="s">
        <v>659</v>
      </c>
      <c r="B647" t="str">
        <f>HYPERLINK("https://www.suredividend.com/sure-analysis-research-database/","Golden Ocean Group Limited")</f>
        <v>Golden Ocean Group Limited</v>
      </c>
      <c r="C647">
        <v>-1.8252933507169999E-2</v>
      </c>
      <c r="D647">
        <v>1.1145427689002001E-2</v>
      </c>
      <c r="E647">
        <v>-5.2460707949010997E-2</v>
      </c>
      <c r="F647">
        <v>-8.0473806325558006E-2</v>
      </c>
      <c r="G647">
        <v>-0.11902004141658699</v>
      </c>
      <c r="H647">
        <v>0.25380888156251502</v>
      </c>
      <c r="I647">
        <v>0.61349075403372599</v>
      </c>
    </row>
    <row r="648" spans="1:9" x14ac:dyDescent="0.25">
      <c r="A648" s="1" t="s">
        <v>660</v>
      </c>
      <c r="B648" t="str">
        <f>HYPERLINK("https://www.suredividend.com/sure-analysis-research-database/","Gogo Inc")</f>
        <v>Gogo Inc</v>
      </c>
      <c r="C648">
        <v>-4.3029259896728997E-2</v>
      </c>
      <c r="D648">
        <v>-0.276983094928478</v>
      </c>
      <c r="E648">
        <v>-0.11111111111111099</v>
      </c>
      <c r="F648">
        <v>-0.24661246612466101</v>
      </c>
      <c r="G648">
        <v>-0.251178451178451</v>
      </c>
      <c r="H648">
        <v>-0.363480251860332</v>
      </c>
      <c r="I648">
        <v>0.98926654740608211</v>
      </c>
    </row>
    <row r="649" spans="1:9" x14ac:dyDescent="0.25">
      <c r="A649" s="1" t="s">
        <v>661</v>
      </c>
      <c r="B649" t="str">
        <f>HYPERLINK("https://www.suredividend.com/sure-analysis-research-database/","Acushnet Holdings Corp")</f>
        <v>Acushnet Holdings Corp</v>
      </c>
      <c r="C649">
        <v>6.7079064372704E-2</v>
      </c>
      <c r="D649">
        <v>-4.9013696270135007E-2</v>
      </c>
      <c r="E649">
        <v>4.6421692776657003E-2</v>
      </c>
      <c r="F649">
        <v>0.31518129011660301</v>
      </c>
      <c r="G649">
        <v>0.26499604688735301</v>
      </c>
      <c r="H649">
        <v>3.2580534734550012E-2</v>
      </c>
      <c r="I649">
        <v>1.421785540360899</v>
      </c>
    </row>
    <row r="650" spans="1:9" x14ac:dyDescent="0.25">
      <c r="A650" s="1" t="s">
        <v>662</v>
      </c>
      <c r="B650" t="str">
        <f>HYPERLINK("https://www.suredividend.com/sure-analysis-GOOD/","Gladstone Commercial Corp")</f>
        <v>Gladstone Commercial Corp</v>
      </c>
      <c r="C650">
        <v>0.111140367044945</v>
      </c>
      <c r="D650">
        <v>-5.3581810468090003E-3</v>
      </c>
      <c r="E650">
        <v>0.17342824569696599</v>
      </c>
      <c r="F650">
        <v>-0.23178679352904699</v>
      </c>
      <c r="G650">
        <v>-0.16740105488839399</v>
      </c>
      <c r="H650">
        <v>-0.30105835003395298</v>
      </c>
      <c r="I650">
        <v>4.1383905436417998E-2</v>
      </c>
    </row>
    <row r="651" spans="1:9" x14ac:dyDescent="0.25">
      <c r="A651" s="1" t="s">
        <v>663</v>
      </c>
      <c r="B651" t="str">
        <f>HYPERLINK("https://www.suredividend.com/sure-analysis-research-database/","Gossamer Bio Inc")</f>
        <v>Gossamer Bio Inc</v>
      </c>
      <c r="C651">
        <v>-0.18010636768722099</v>
      </c>
      <c r="D651">
        <v>-0.55086614173228299</v>
      </c>
      <c r="E651">
        <v>-0.56787878787878709</v>
      </c>
      <c r="F651">
        <v>-0.7371428571428571</v>
      </c>
      <c r="G651">
        <v>-0.94577946768060805</v>
      </c>
      <c r="H651">
        <v>-0.95691842900302104</v>
      </c>
      <c r="I651">
        <v>-0.96820512820512805</v>
      </c>
    </row>
    <row r="652" spans="1:9" x14ac:dyDescent="0.25">
      <c r="A652" s="1" t="s">
        <v>664</v>
      </c>
      <c r="B652" t="str">
        <f>HYPERLINK("https://www.suredividend.com/sure-analysis-research-database/","Group 1 Automotive, Inc.")</f>
        <v>Group 1 Automotive, Inc.</v>
      </c>
      <c r="C652">
        <v>7.3017483609116002E-2</v>
      </c>
      <c r="D652">
        <v>5.1884152338993003E-2</v>
      </c>
      <c r="E652">
        <v>0.278330039291388</v>
      </c>
      <c r="F652">
        <v>0.532997499365781</v>
      </c>
      <c r="G652">
        <v>0.62390779723802703</v>
      </c>
      <c r="H652">
        <v>0.40995083248379011</v>
      </c>
      <c r="I652">
        <v>3.8804862203256851</v>
      </c>
    </row>
    <row r="653" spans="1:9" x14ac:dyDescent="0.25">
      <c r="A653" s="1" t="s">
        <v>665</v>
      </c>
      <c r="B653" t="str">
        <f>HYPERLINK("https://www.suredividend.com/sure-analysis-research-database/","Granite Point Mortgage Trust Inc")</f>
        <v>Granite Point Mortgage Trust Inc</v>
      </c>
      <c r="C653">
        <v>5.7522123893804997E-2</v>
      </c>
      <c r="D653">
        <v>-0.121840094062316</v>
      </c>
      <c r="E653">
        <v>0.28215444864676298</v>
      </c>
      <c r="F653">
        <v>3.843165256105E-3</v>
      </c>
      <c r="G653">
        <v>-0.26145669169679497</v>
      </c>
      <c r="H653">
        <v>-0.53761027704689601</v>
      </c>
      <c r="I653">
        <v>-0.58444539108209304</v>
      </c>
    </row>
    <row r="654" spans="1:9" x14ac:dyDescent="0.25">
      <c r="A654" s="1" t="s">
        <v>666</v>
      </c>
      <c r="B654" t="str">
        <f>HYPERLINK("https://www.suredividend.com/sure-analysis-research-database/","Gulfport Energy Corp.")</f>
        <v>Gulfport Energy Corp.</v>
      </c>
      <c r="C654">
        <v>0.171137103157154</v>
      </c>
      <c r="D654">
        <v>0.244579439252336</v>
      </c>
      <c r="E654">
        <v>0.53847042513863208</v>
      </c>
      <c r="F654">
        <v>0.80839217816404108</v>
      </c>
      <c r="G654">
        <v>0.52823043378471402</v>
      </c>
      <c r="H654">
        <v>0.63659825488509203</v>
      </c>
      <c r="I654">
        <v>0.82549691569568107</v>
      </c>
    </row>
    <row r="655" spans="1:9" x14ac:dyDescent="0.25">
      <c r="A655" s="1" t="s">
        <v>667</v>
      </c>
      <c r="B655" t="str">
        <f>HYPERLINK("https://www.suredividend.com/sure-analysis-research-database/","Green Plains Inc")</f>
        <v>Green Plains Inc</v>
      </c>
      <c r="C655">
        <v>-1.536312849162E-2</v>
      </c>
      <c r="D655">
        <v>-0.1123701605288</v>
      </c>
      <c r="E655">
        <v>-0.15467625899280499</v>
      </c>
      <c r="F655">
        <v>-7.5409836065572999E-2</v>
      </c>
      <c r="G655">
        <v>-9.9041533546325014E-2</v>
      </c>
      <c r="H655">
        <v>-0.29234629861982397</v>
      </c>
      <c r="I655">
        <v>0.60393133808825006</v>
      </c>
    </row>
    <row r="656" spans="1:9" x14ac:dyDescent="0.25">
      <c r="A656" s="1" t="s">
        <v>668</v>
      </c>
      <c r="B656" t="str">
        <f>HYPERLINK("https://www.suredividend.com/sure-analysis-research-database/","GoPro Inc.")</f>
        <v>GoPro Inc.</v>
      </c>
      <c r="C656">
        <v>-5.9800664451827003E-2</v>
      </c>
      <c r="D656">
        <v>-0.238223418573351</v>
      </c>
      <c r="E656">
        <v>-0.31971153846153799</v>
      </c>
      <c r="F656">
        <v>-0.43172690763052202</v>
      </c>
      <c r="G656">
        <v>-0.42362525458248401</v>
      </c>
      <c r="H656">
        <v>-0.68130630630630606</v>
      </c>
      <c r="I656">
        <v>-0.47977941176470601</v>
      </c>
    </row>
    <row r="657" spans="1:9" x14ac:dyDescent="0.25">
      <c r="A657" s="1" t="s">
        <v>669</v>
      </c>
      <c r="B657" t="str">
        <f>HYPERLINK("https://www.suredividend.com/sure-analysis-research-database/","Green Brick Partners Inc")</f>
        <v>Green Brick Partners Inc</v>
      </c>
      <c r="C657">
        <v>9.7018572825024005E-2</v>
      </c>
      <c r="D657">
        <v>-0.13921380632790001</v>
      </c>
      <c r="E657">
        <v>-1.9012237762237E-2</v>
      </c>
      <c r="F657">
        <v>0.8526619892695001</v>
      </c>
      <c r="G657">
        <v>1.181243926141885</v>
      </c>
      <c r="H657">
        <v>0.76315789473684204</v>
      </c>
      <c r="I657">
        <v>3.7302423603793451</v>
      </c>
    </row>
    <row r="658" spans="1:9" x14ac:dyDescent="0.25">
      <c r="A658" s="1" t="s">
        <v>670</v>
      </c>
      <c r="B658" t="str">
        <f>HYPERLINK("https://www.suredividend.com/sure-analysis-GRC/","Gorman-Rupp Co.")</f>
        <v>Gorman-Rupp Co.</v>
      </c>
      <c r="C658">
        <v>-3.5147744945567001E-2</v>
      </c>
      <c r="D658">
        <v>-5.7185842590763002E-2</v>
      </c>
      <c r="E658">
        <v>0.26354893502621102</v>
      </c>
      <c r="F658">
        <v>0.233708642721636</v>
      </c>
      <c r="G658">
        <v>0.14612968778865601</v>
      </c>
      <c r="H658">
        <v>-0.284513240656808</v>
      </c>
      <c r="I658">
        <v>3.1448883095808997E-2</v>
      </c>
    </row>
    <row r="659" spans="1:9" x14ac:dyDescent="0.25">
      <c r="A659" s="1" t="s">
        <v>671</v>
      </c>
      <c r="B659" t="str">
        <f>HYPERLINK("https://www.suredividend.com/sure-analysis-research-database/","Greenidge Generation Holdings Inc")</f>
        <v>Greenidge Generation Holdings Inc</v>
      </c>
      <c r="C659">
        <v>0.31322505800464001</v>
      </c>
      <c r="D659">
        <v>-0.12111801242236001</v>
      </c>
      <c r="E659">
        <v>0.28315574699614598</v>
      </c>
      <c r="F659">
        <v>0.9578000691802141</v>
      </c>
      <c r="G659">
        <v>-0.30424093423478799</v>
      </c>
      <c r="H659">
        <v>-0.97660190161223603</v>
      </c>
      <c r="I659">
        <v>-0.98695852534562212</v>
      </c>
    </row>
    <row r="660" spans="1:9" x14ac:dyDescent="0.25">
      <c r="A660" s="1" t="s">
        <v>672</v>
      </c>
      <c r="B660" t="str">
        <f>HYPERLINK("https://www.suredividend.com/sure-analysis-research-database/","GreenLight Biosciences Holdings PBC")</f>
        <v>GreenLight Biosciences Holdings PBC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s="1" t="s">
        <v>673</v>
      </c>
      <c r="B661" t="str">
        <f>HYPERLINK("https://www.suredividend.com/sure-analysis-research-database/","Groupon Inc")</f>
        <v>Groupon Inc</v>
      </c>
      <c r="C661">
        <v>2.6203966005664998E-2</v>
      </c>
      <c r="D661">
        <v>0.83650190114068401</v>
      </c>
      <c r="E661">
        <v>3.3644578313253009</v>
      </c>
      <c r="F661">
        <v>0.68881118881118808</v>
      </c>
      <c r="G661">
        <v>1.0495049504950491</v>
      </c>
      <c r="H661">
        <v>-0.36752509821038798</v>
      </c>
      <c r="I661">
        <v>-0.78437499999999993</v>
      </c>
    </row>
    <row r="662" spans="1:9" x14ac:dyDescent="0.25">
      <c r="A662" s="1" t="s">
        <v>674</v>
      </c>
      <c r="B662" t="str">
        <f>HYPERLINK("https://www.suredividend.com/sure-analysis-research-database/","GrowGeneration Corp")</f>
        <v>GrowGeneration Corp</v>
      </c>
      <c r="C662">
        <v>-0.180505415162454</v>
      </c>
      <c r="D662">
        <v>-0.36592178770949702</v>
      </c>
      <c r="E662">
        <v>-0.31419939577039202</v>
      </c>
      <c r="F662">
        <v>-0.42091836734693799</v>
      </c>
      <c r="G662">
        <v>-0.34011627906976699</v>
      </c>
      <c r="H662">
        <v>-0.89765554553651905</v>
      </c>
      <c r="I662">
        <v>-0.47782480677217498</v>
      </c>
    </row>
    <row r="663" spans="1:9" x14ac:dyDescent="0.25">
      <c r="A663" s="1" t="s">
        <v>675</v>
      </c>
      <c r="B663" t="str">
        <f>HYPERLINK("https://www.suredividend.com/sure-analysis-research-database/","Globalstar Inc.")</f>
        <v>Globalstar Inc.</v>
      </c>
      <c r="C663">
        <v>7.575757575757501E-2</v>
      </c>
      <c r="D663">
        <v>0.20338983050847401</v>
      </c>
      <c r="E663">
        <v>0.51482824834648999</v>
      </c>
      <c r="F663">
        <v>6.7669172932330005E-2</v>
      </c>
      <c r="G663">
        <v>-0.300492610837438</v>
      </c>
      <c r="H663">
        <v>-0.15976331360946699</v>
      </c>
      <c r="I663">
        <v>2.7368421052631571</v>
      </c>
    </row>
    <row r="664" spans="1:9" x14ac:dyDescent="0.25">
      <c r="A664" s="1" t="s">
        <v>676</v>
      </c>
      <c r="B664" t="str">
        <f>HYPERLINK("https://www.suredividend.com/sure-analysis-research-database/","Great Southern Bancorp, Inc.")</f>
        <v>Great Southern Bancorp, Inc.</v>
      </c>
      <c r="C664">
        <v>9.8573825503355014E-2</v>
      </c>
      <c r="D664">
        <v>-3.8087192860028013E-2</v>
      </c>
      <c r="E664">
        <v>0.12798470178823601</v>
      </c>
      <c r="F664">
        <v>-8.3906984553391004E-2</v>
      </c>
      <c r="G664">
        <v>-0.10861822210347701</v>
      </c>
      <c r="H664">
        <v>-6.9502110088610009E-3</v>
      </c>
      <c r="I664">
        <v>0.1599299347401</v>
      </c>
    </row>
    <row r="665" spans="1:9" x14ac:dyDescent="0.25">
      <c r="A665" s="1" t="s">
        <v>677</v>
      </c>
      <c r="B665" t="str">
        <f>HYPERLINK("https://www.suredividend.com/sure-analysis-research-database/","Goosehead Insurance Inc")</f>
        <v>Goosehead Insurance Inc</v>
      </c>
      <c r="C665">
        <v>-9.8844493944030016E-3</v>
      </c>
      <c r="D665">
        <v>6.9795427196149007E-2</v>
      </c>
      <c r="E665">
        <v>0.22620689655172399</v>
      </c>
      <c r="F665">
        <v>1.0710541642399529</v>
      </c>
      <c r="G665">
        <v>0.94423182066703104</v>
      </c>
      <c r="H665">
        <v>-0.48579278432506612</v>
      </c>
      <c r="I665">
        <v>1.0490303695572629</v>
      </c>
    </row>
    <row r="666" spans="1:9" x14ac:dyDescent="0.25">
      <c r="A666" s="1" t="s">
        <v>678</v>
      </c>
      <c r="B666" t="str">
        <f>HYPERLINK("https://www.suredividend.com/sure-analysis-research-database/","Goodyear Tire &amp; Rubber Co.")</f>
        <v>Goodyear Tire &amp; Rubber Co.</v>
      </c>
      <c r="C666">
        <v>3.5420098846787013E-2</v>
      </c>
      <c r="D666">
        <v>-2.0265003897116E-2</v>
      </c>
      <c r="E666">
        <v>0.193732193732193</v>
      </c>
      <c r="F666">
        <v>0.238423645320197</v>
      </c>
      <c r="G666">
        <v>0.22994129158512699</v>
      </c>
      <c r="H666">
        <v>-0.41398601398601398</v>
      </c>
      <c r="I666">
        <v>-0.38757314286549499</v>
      </c>
    </row>
    <row r="667" spans="1:9" x14ac:dyDescent="0.25">
      <c r="A667" s="1" t="s">
        <v>679</v>
      </c>
      <c r="B667" t="str">
        <f>HYPERLINK("https://www.suredividend.com/sure-analysis-research-database/","Chart Industries Inc")</f>
        <v>Chart Industries Inc</v>
      </c>
      <c r="C667">
        <v>-0.204390465675131</v>
      </c>
      <c r="D667">
        <v>-0.267344497607655</v>
      </c>
      <c r="E667">
        <v>3.1578947368421012E-2</v>
      </c>
      <c r="F667">
        <v>6.3091208886574004E-2</v>
      </c>
      <c r="G667">
        <v>-0.46868494101318497</v>
      </c>
      <c r="H667">
        <v>-0.32484567901234501</v>
      </c>
      <c r="I667">
        <v>0.73193835713275801</v>
      </c>
    </row>
    <row r="668" spans="1:9" x14ac:dyDescent="0.25">
      <c r="A668" s="1" t="s">
        <v>680</v>
      </c>
      <c r="B668" t="str">
        <f>HYPERLINK("https://www.suredividend.com/sure-analysis-research-database/","Gray Television, Inc.")</f>
        <v>Gray Television, Inc.</v>
      </c>
      <c r="C668">
        <v>0.241214057507987</v>
      </c>
      <c r="D668">
        <v>-0.25195675405069701</v>
      </c>
      <c r="E668">
        <v>0.18470405269417201</v>
      </c>
      <c r="F668">
        <v>-0.28458967488882098</v>
      </c>
      <c r="G668">
        <v>-0.10139128222327499</v>
      </c>
      <c r="H668">
        <v>-0.65700664356501204</v>
      </c>
      <c r="I668">
        <v>-0.52533675432969806</v>
      </c>
    </row>
    <row r="669" spans="1:9" x14ac:dyDescent="0.25">
      <c r="A669" s="1" t="s">
        <v>681</v>
      </c>
      <c r="B669" t="str">
        <f>HYPERLINK("https://www.suredividend.com/sure-analysis-research-database/","Getty Realty Corp.")</f>
        <v>Getty Realty Corp.</v>
      </c>
      <c r="C669">
        <v>3.2576866764275E-2</v>
      </c>
      <c r="D669">
        <v>-8.5510149832402002E-2</v>
      </c>
      <c r="E669">
        <v>-0.14215425410601201</v>
      </c>
      <c r="F669">
        <v>-0.13235239841049101</v>
      </c>
      <c r="G669">
        <v>-6.65184214532E-2</v>
      </c>
      <c r="H669">
        <v>-3.5628089511216002E-2</v>
      </c>
      <c r="I669">
        <v>0.370022679921713</v>
      </c>
    </row>
    <row r="670" spans="1:9" x14ac:dyDescent="0.25">
      <c r="A670" s="1" t="s">
        <v>682</v>
      </c>
      <c r="B670" t="str">
        <f>HYPERLINK("https://www.suredividend.com/sure-analysis-research-database/","Granite Construction Inc.")</f>
        <v>Granite Construction Inc.</v>
      </c>
      <c r="C670">
        <v>0.228731942215088</v>
      </c>
      <c r="D670">
        <v>9.6579188631675014E-2</v>
      </c>
      <c r="E670">
        <v>0.31626836628541699</v>
      </c>
      <c r="F670">
        <v>0.322773417812657</v>
      </c>
      <c r="G670">
        <v>0.35278022402016901</v>
      </c>
      <c r="H670">
        <v>0.201129736656293</v>
      </c>
      <c r="I670">
        <v>3.5866277850323001E-2</v>
      </c>
    </row>
    <row r="671" spans="1:9" x14ac:dyDescent="0.25">
      <c r="A671" s="1" t="s">
        <v>683</v>
      </c>
      <c r="B671" t="str">
        <f>HYPERLINK("https://www.suredividend.com/sure-analysis-research-database/","ESS Tech Inc")</f>
        <v>ESS Tech Inc</v>
      </c>
      <c r="C671">
        <v>-0.31606217616580301</v>
      </c>
      <c r="D671">
        <v>-0.245714285714285</v>
      </c>
      <c r="E671">
        <v>0.21100917431192601</v>
      </c>
      <c r="F671">
        <v>-0.45679012345678999</v>
      </c>
      <c r="G671">
        <v>-0.643243243243243</v>
      </c>
      <c r="H671">
        <v>-0.92504258943781903</v>
      </c>
      <c r="I671">
        <v>-0.87332053742802307</v>
      </c>
    </row>
    <row r="672" spans="1:9" x14ac:dyDescent="0.25">
      <c r="A672" s="1" t="s">
        <v>684</v>
      </c>
      <c r="B672" t="str">
        <f>HYPERLINK("https://www.suredividend.com/sure-analysis-GWRS/","Global Water Resources Inc")</f>
        <v>Global Water Resources Inc</v>
      </c>
      <c r="C672">
        <v>0.112560026494452</v>
      </c>
      <c r="D672">
        <v>-0.12925853326637399</v>
      </c>
      <c r="E672">
        <v>9.2190991193970007E-3</v>
      </c>
      <c r="F672">
        <v>-0.16296163639053399</v>
      </c>
      <c r="G672">
        <v>-0.119343316839794</v>
      </c>
      <c r="H672">
        <v>-0.40079373927002698</v>
      </c>
      <c r="I672">
        <v>8.1195248775483009E-2</v>
      </c>
    </row>
    <row r="673" spans="1:9" x14ac:dyDescent="0.25">
      <c r="A673" s="1" t="s">
        <v>685</v>
      </c>
      <c r="B673" t="str">
        <f>HYPERLINK("https://www.suredividend.com/sure-analysis-research-database/","Hawaiian Holdings, Inc.")</f>
        <v>Hawaiian Holdings, Inc.</v>
      </c>
      <c r="C673">
        <v>-0.19251336898395699</v>
      </c>
      <c r="D673">
        <v>-0.56733524355300802</v>
      </c>
      <c r="E673">
        <v>-0.41397153945666199</v>
      </c>
      <c r="F673">
        <v>-0.55847953216374202</v>
      </c>
      <c r="G673">
        <v>-0.67078488372093004</v>
      </c>
      <c r="H673">
        <v>-0.78949814126394002</v>
      </c>
      <c r="I673">
        <v>-0.86961177120751509</v>
      </c>
    </row>
    <row r="674" spans="1:9" x14ac:dyDescent="0.25">
      <c r="A674" s="1" t="s">
        <v>686</v>
      </c>
      <c r="B674" t="str">
        <f>HYPERLINK("https://www.suredividend.com/sure-analysis-research-database/","Haemonetics Corp.")</f>
        <v>Haemonetics Corp.</v>
      </c>
      <c r="C674">
        <v>2.2312138728323001E-2</v>
      </c>
      <c r="D674">
        <v>-1.5694568121104001E-2</v>
      </c>
      <c r="E674">
        <v>9.3889163780306012E-2</v>
      </c>
      <c r="F674">
        <v>0.124348378893833</v>
      </c>
      <c r="G674">
        <v>9.6330275229358012E-2</v>
      </c>
      <c r="H674">
        <v>0.22039746066795399</v>
      </c>
      <c r="I674">
        <v>-0.160527814695272</v>
      </c>
    </row>
    <row r="675" spans="1:9" x14ac:dyDescent="0.25">
      <c r="A675" s="1" t="s">
        <v>687</v>
      </c>
      <c r="B675" t="str">
        <f>HYPERLINK("https://www.suredividend.com/sure-analysis-research-database/","Hanmi Financial Corp.")</f>
        <v>Hanmi Financial Corp.</v>
      </c>
      <c r="C675">
        <v>7.1655498129843009E-2</v>
      </c>
      <c r="D675">
        <v>-0.113884284986946</v>
      </c>
      <c r="E675">
        <v>0.27832473824034998</v>
      </c>
      <c r="F675">
        <v>-0.26619660189819999</v>
      </c>
      <c r="G675">
        <v>-0.30865449628127101</v>
      </c>
      <c r="H675">
        <v>-0.18638133650293101</v>
      </c>
      <c r="I675">
        <v>-8.2450300790900004E-4</v>
      </c>
    </row>
    <row r="676" spans="1:9" x14ac:dyDescent="0.25">
      <c r="A676" s="1" t="s">
        <v>688</v>
      </c>
      <c r="B676" t="str">
        <f>HYPERLINK("https://www.suredividend.com/sure-analysis-research-database/","Hain Celestial Group Inc")</f>
        <v>Hain Celestial Group Inc</v>
      </c>
      <c r="C676">
        <v>0.14271653543307</v>
      </c>
      <c r="D676">
        <v>-2.1903959561920001E-2</v>
      </c>
      <c r="E676">
        <v>-0.31504424778760998</v>
      </c>
      <c r="F676">
        <v>-0.28244746600741599</v>
      </c>
      <c r="G676">
        <v>-0.38538909475913102</v>
      </c>
      <c r="H676">
        <v>-0.74297099845029801</v>
      </c>
      <c r="I676">
        <v>-0.54038004750593804</v>
      </c>
    </row>
    <row r="677" spans="1:9" x14ac:dyDescent="0.25">
      <c r="A677" s="1" t="s">
        <v>689</v>
      </c>
      <c r="B677" t="str">
        <f>HYPERLINK("https://www.suredividend.com/sure-analysis-research-database/","Halozyme Therapeutics Inc.")</f>
        <v>Halozyme Therapeutics Inc.</v>
      </c>
      <c r="C677">
        <v>-4.4575725026852003E-2</v>
      </c>
      <c r="D677">
        <v>-0.16104692289554301</v>
      </c>
      <c r="E677">
        <v>0.15257531584062101</v>
      </c>
      <c r="F677">
        <v>-0.37469244288224901</v>
      </c>
      <c r="G677">
        <v>-0.23631680618158399</v>
      </c>
      <c r="H677">
        <v>-0.11580516898608301</v>
      </c>
      <c r="I677">
        <v>1.219588271990018</v>
      </c>
    </row>
    <row r="678" spans="1:9" x14ac:dyDescent="0.25">
      <c r="A678" s="1" t="s">
        <v>690</v>
      </c>
      <c r="B678" t="str">
        <f>HYPERLINK("https://www.suredividend.com/sure-analysis-HASI/","Hannon Armstrong Sustainable Infrastructure capital Inc")</f>
        <v>Hannon Armstrong Sustainable Infrastructure capital Inc</v>
      </c>
      <c r="C678">
        <v>0.41115434500648501</v>
      </c>
      <c r="D678">
        <v>-9.1793165910523E-2</v>
      </c>
      <c r="E678">
        <v>-9.4250404798474005E-2</v>
      </c>
      <c r="F678">
        <v>-0.21042127798541299</v>
      </c>
      <c r="G678">
        <v>-0.15686365679391201</v>
      </c>
      <c r="H678">
        <v>-0.61881204595977501</v>
      </c>
      <c r="I678">
        <v>0.24498658320984501</v>
      </c>
    </row>
    <row r="679" spans="1:9" x14ac:dyDescent="0.25">
      <c r="A679" s="1" t="s">
        <v>691</v>
      </c>
      <c r="B679" t="str">
        <f>HYPERLINK("https://www.suredividend.com/sure-analysis-research-database/","Haynes International Inc.")</f>
        <v>Haynes International Inc.</v>
      </c>
      <c r="C679">
        <v>5.2348993288590003E-2</v>
      </c>
      <c r="D679">
        <v>-7.3822490519675002E-2</v>
      </c>
      <c r="E679">
        <v>8.5827458692852007E-2</v>
      </c>
      <c r="F679">
        <v>5.3591146609089008E-2</v>
      </c>
      <c r="G679">
        <v>-4.3781940000569002E-2</v>
      </c>
      <c r="H679">
        <v>0.184997090408929</v>
      </c>
      <c r="I679">
        <v>0.76364065821588811</v>
      </c>
    </row>
    <row r="680" spans="1:9" x14ac:dyDescent="0.25">
      <c r="A680" s="1" t="s">
        <v>692</v>
      </c>
      <c r="B680" t="str">
        <f>HYPERLINK("https://www.suredividend.com/sure-analysis-research-database/","Home Bancorp Inc")</f>
        <v>Home Bancorp Inc</v>
      </c>
      <c r="C680">
        <v>0.163860184015301</v>
      </c>
      <c r="D680">
        <v>5.2059239824627998E-2</v>
      </c>
      <c r="E680">
        <v>0.32961511332814603</v>
      </c>
      <c r="F680">
        <v>-3.8557599785469E-2</v>
      </c>
      <c r="G680">
        <v>-8.604703471371801E-2</v>
      </c>
      <c r="H680">
        <v>-6.7553302702234003E-2</v>
      </c>
      <c r="I680">
        <v>7.5743268882868003E-2</v>
      </c>
    </row>
    <row r="681" spans="1:9" x14ac:dyDescent="0.25">
      <c r="A681" s="1" t="s">
        <v>693</v>
      </c>
      <c r="B681" t="str">
        <f>HYPERLINK("https://www.suredividend.com/sure-analysis-HBNC/","Horizon Bancorp Inc (IN)")</f>
        <v>Horizon Bancorp Inc (IN)</v>
      </c>
      <c r="C681">
        <v>6.9491713711509001E-2</v>
      </c>
      <c r="D681">
        <v>-0.124880177172511</v>
      </c>
      <c r="E681">
        <v>0.36920769549027699</v>
      </c>
      <c r="F681">
        <v>-0.213405530672727</v>
      </c>
      <c r="G681">
        <v>-0.24638671249546301</v>
      </c>
      <c r="H681">
        <v>-0.37842993396918501</v>
      </c>
      <c r="I681">
        <v>-0.21362748665245901</v>
      </c>
    </row>
    <row r="682" spans="1:9" x14ac:dyDescent="0.25">
      <c r="A682" s="1" t="s">
        <v>694</v>
      </c>
      <c r="B682" t="str">
        <f>HYPERLINK("https://www.suredividend.com/sure-analysis-research-database/","HBT Financial Inc")</f>
        <v>HBT Financial Inc</v>
      </c>
      <c r="C682">
        <v>6.0133630289532003E-2</v>
      </c>
      <c r="D682">
        <v>-2.7752955293997E-2</v>
      </c>
      <c r="E682">
        <v>0.13834067714529899</v>
      </c>
      <c r="F682">
        <v>1.6827860228891999E-2</v>
      </c>
      <c r="G682">
        <v>-7.6167648400275012E-2</v>
      </c>
      <c r="H682">
        <v>0.10338433008808499</v>
      </c>
      <c r="I682">
        <v>0.43454511207383612</v>
      </c>
    </row>
    <row r="683" spans="1:9" x14ac:dyDescent="0.25">
      <c r="A683" s="1" t="s">
        <v>695</v>
      </c>
      <c r="B683" t="str">
        <f>HYPERLINK("https://www.suredividend.com/sure-analysis-research-database/","Health Catalyst Inc")</f>
        <v>Health Catalyst Inc</v>
      </c>
      <c r="C683">
        <v>-0.23232323232323199</v>
      </c>
      <c r="D683">
        <v>-0.45007235890014402</v>
      </c>
      <c r="E683">
        <v>-0.37345424567188701</v>
      </c>
      <c r="F683">
        <v>-0.28504233301975501</v>
      </c>
      <c r="G683">
        <v>7.6487252124645008E-2</v>
      </c>
      <c r="H683">
        <v>-0.85616956850870507</v>
      </c>
      <c r="I683">
        <v>-0.80597395966300711</v>
      </c>
    </row>
    <row r="684" spans="1:9" x14ac:dyDescent="0.25">
      <c r="A684" s="1" t="s">
        <v>696</v>
      </c>
      <c r="B684" t="str">
        <f>HYPERLINK("https://www.suredividend.com/sure-analysis-research-database/","Warrior Met Coal Inc")</f>
        <v>Warrior Met Coal Inc</v>
      </c>
      <c r="C684">
        <v>3.0353144821470002E-3</v>
      </c>
      <c r="D684">
        <v>0.24595889875101201</v>
      </c>
      <c r="E684">
        <v>0.38740571711199201</v>
      </c>
      <c r="F684">
        <v>0.47039552060995898</v>
      </c>
      <c r="G684">
        <v>0.33897091528439199</v>
      </c>
      <c r="H684">
        <v>1.325044739568616</v>
      </c>
      <c r="I684">
        <v>1.334356219827606</v>
      </c>
    </row>
    <row r="685" spans="1:9" x14ac:dyDescent="0.25">
      <c r="A685" s="1" t="s">
        <v>697</v>
      </c>
      <c r="B685" t="str">
        <f>HYPERLINK("https://www.suredividend.com/sure-analysis-research-database/","Heritage-Crystal Clean Inc")</f>
        <v>Heritage-Crystal Clean Inc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 s="1" t="s">
        <v>698</v>
      </c>
      <c r="B686" t="str">
        <f>HYPERLINK("https://www.suredividend.com/sure-analysis-research-database/","HCI Group Inc")</f>
        <v>HCI Group Inc</v>
      </c>
      <c r="C686">
        <v>0.16480862133036001</v>
      </c>
      <c r="D686">
        <v>5.3838382310173002E-2</v>
      </c>
      <c r="E686">
        <v>0.32054565983047101</v>
      </c>
      <c r="F686">
        <v>0.61834102619704001</v>
      </c>
      <c r="G686">
        <v>0.81300248713054502</v>
      </c>
      <c r="H686">
        <v>-0.50604696532873605</v>
      </c>
      <c r="I686">
        <v>0.60956960894313705</v>
      </c>
    </row>
    <row r="687" spans="1:9" x14ac:dyDescent="0.25">
      <c r="A687" s="1" t="s">
        <v>699</v>
      </c>
      <c r="B687" t="str">
        <f>HYPERLINK("https://www.suredividend.com/sure-analysis-research-database/","Hackett Group Inc (The)")</f>
        <v>Hackett Group Inc (The)</v>
      </c>
      <c r="C687">
        <v>-1.3025210084033E-2</v>
      </c>
      <c r="D687">
        <v>1.027043765483E-2</v>
      </c>
      <c r="E687">
        <v>0.28556651944768202</v>
      </c>
      <c r="F687">
        <v>0.171746395969471</v>
      </c>
      <c r="G687">
        <v>0.145630120952009</v>
      </c>
      <c r="H687">
        <v>0.15990835292026201</v>
      </c>
      <c r="I687">
        <v>0.18128649089016299</v>
      </c>
    </row>
    <row r="688" spans="1:9" x14ac:dyDescent="0.25">
      <c r="A688" s="1" t="s">
        <v>700</v>
      </c>
      <c r="B688" t="str">
        <f>HYPERLINK("https://www.suredividend.com/sure-analysis-research-database/","Healthcare Services Group, Inc.")</f>
        <v>Healthcare Services Group, Inc.</v>
      </c>
      <c r="C688">
        <v>-2.9013539651836999E-2</v>
      </c>
      <c r="D688">
        <v>-0.21562500000000001</v>
      </c>
      <c r="E688">
        <v>-0.33200266134397799</v>
      </c>
      <c r="F688">
        <v>-0.163333333333333</v>
      </c>
      <c r="G688">
        <v>-0.25124357702719802</v>
      </c>
      <c r="H688">
        <v>-0.44634693753756699</v>
      </c>
      <c r="I688">
        <v>-0.729411415927534</v>
      </c>
    </row>
    <row r="689" spans="1:9" x14ac:dyDescent="0.25">
      <c r="A689" s="1" t="s">
        <v>701</v>
      </c>
      <c r="B689" t="str">
        <f>HYPERLINK("https://www.suredividend.com/sure-analysis-research-database/","Hudson Technologies, Inc.")</f>
        <v>Hudson Technologies, Inc.</v>
      </c>
      <c r="C689">
        <v>-5.1380368098158997E-2</v>
      </c>
      <c r="D689">
        <v>0.17251184834123201</v>
      </c>
      <c r="E689">
        <v>0.61277705345501909</v>
      </c>
      <c r="F689">
        <v>0.22233201581027601</v>
      </c>
      <c r="G689">
        <v>0.17362428842504701</v>
      </c>
      <c r="H689">
        <v>2.426592797783933</v>
      </c>
      <c r="I689">
        <v>11.12745098039216</v>
      </c>
    </row>
    <row r="690" spans="1:9" x14ac:dyDescent="0.25">
      <c r="A690" s="1" t="s">
        <v>702</v>
      </c>
      <c r="B690" t="str">
        <f>HYPERLINK("https://www.suredividend.com/sure-analysis-research-database/","Turtle Beach Corp")</f>
        <v>Turtle Beach Corp</v>
      </c>
      <c r="C690">
        <v>-4.2744656917885003E-2</v>
      </c>
      <c r="D690">
        <v>-0.24153297682709399</v>
      </c>
      <c r="E690">
        <v>-0.23881932021466901</v>
      </c>
      <c r="F690">
        <v>0.186889818688981</v>
      </c>
      <c r="G690">
        <v>7.1788413098236012E-2</v>
      </c>
      <c r="H690">
        <v>-0.70182200420462504</v>
      </c>
      <c r="I690">
        <v>-0.58386308068459603</v>
      </c>
    </row>
    <row r="691" spans="1:9" x14ac:dyDescent="0.25">
      <c r="A691" s="1" t="s">
        <v>703</v>
      </c>
      <c r="B691" t="str">
        <f>HYPERLINK("https://www.suredividend.com/sure-analysis-research-database/","H&amp;E Equipment Services Inc")</f>
        <v>H&amp;E Equipment Services Inc</v>
      </c>
      <c r="C691">
        <v>8.6327345309381007E-2</v>
      </c>
      <c r="D691">
        <v>-9.5137350419179006E-2</v>
      </c>
      <c r="E691">
        <v>0.37090248456396502</v>
      </c>
      <c r="F691">
        <v>-9.4865436676750004E-3</v>
      </c>
      <c r="G691">
        <v>0.11482663088843</v>
      </c>
      <c r="H691">
        <v>2.3969445541946001E-2</v>
      </c>
      <c r="I691">
        <v>1.1930310570268661</v>
      </c>
    </row>
    <row r="692" spans="1:9" x14ac:dyDescent="0.25">
      <c r="A692" s="1" t="s">
        <v>704</v>
      </c>
      <c r="B692" t="str">
        <f>HYPERLINK("https://www.suredividend.com/sure-analysis-research-database/","Helen of Troy Ltd")</f>
        <v>Helen of Troy Ltd</v>
      </c>
      <c r="C692">
        <v>-2.4981003039512999E-2</v>
      </c>
      <c r="D692">
        <v>-0.25062052854431199</v>
      </c>
      <c r="E692">
        <v>6.2959511235373009E-2</v>
      </c>
      <c r="F692">
        <v>-7.447479938689E-2</v>
      </c>
      <c r="G692">
        <v>0.15923207227555</v>
      </c>
      <c r="H692">
        <v>-0.56089318560978707</v>
      </c>
      <c r="I692">
        <v>-0.198172160599906</v>
      </c>
    </row>
    <row r="693" spans="1:9" x14ac:dyDescent="0.25">
      <c r="A693" s="1" t="s">
        <v>705</v>
      </c>
      <c r="B693" t="str">
        <f>HYPERLINK("https://www.suredividend.com/sure-analysis-research-database/","HF Foods Group Inc.")</f>
        <v>HF Foods Group Inc.</v>
      </c>
      <c r="C693">
        <v>0</v>
      </c>
      <c r="D693">
        <v>-0.20943396226415001</v>
      </c>
      <c r="E693">
        <v>0.193732193732193</v>
      </c>
      <c r="F693">
        <v>3.2019704433497012E-2</v>
      </c>
      <c r="G693">
        <v>-4.5558086560364003E-2</v>
      </c>
      <c r="H693">
        <v>-0.44281914893617003</v>
      </c>
      <c r="I693">
        <v>-0.660503330146331</v>
      </c>
    </row>
    <row r="694" spans="1:9" x14ac:dyDescent="0.25">
      <c r="A694" s="1" t="s">
        <v>706</v>
      </c>
      <c r="B694" t="str">
        <f>HYPERLINK("https://www.suredividend.com/sure-analysis-research-database/","Heritage Financial Corp.")</f>
        <v>Heritage Financial Corp.</v>
      </c>
      <c r="C694">
        <v>0.122723542844784</v>
      </c>
      <c r="D694">
        <v>-5.2664347975439001E-2</v>
      </c>
      <c r="E694">
        <v>0.18176400875777499</v>
      </c>
      <c r="F694">
        <v>-0.37295945374643402</v>
      </c>
      <c r="G694">
        <v>-0.42819933003751498</v>
      </c>
      <c r="H694">
        <v>-0.21601201078483201</v>
      </c>
      <c r="I694">
        <v>-0.333282967551845</v>
      </c>
    </row>
    <row r="695" spans="1:9" x14ac:dyDescent="0.25">
      <c r="A695" s="1" t="s">
        <v>707</v>
      </c>
      <c r="B695" t="str">
        <f>HYPERLINK("https://www.suredividend.com/sure-analysis-research-database/","Hilton Grand Vacations Inc")</f>
        <v>Hilton Grand Vacations Inc</v>
      </c>
      <c r="C695">
        <v>-4.7558169266172012E-2</v>
      </c>
      <c r="D695">
        <v>-0.16160252081926599</v>
      </c>
      <c r="E695">
        <v>-8.7904015670911009E-2</v>
      </c>
      <c r="F695">
        <v>-3.3471717695900002E-2</v>
      </c>
      <c r="G695">
        <v>-6.4017071218990008E-3</v>
      </c>
      <c r="H695">
        <v>-0.29236322188449798</v>
      </c>
      <c r="I695">
        <v>0.203943115707821</v>
      </c>
    </row>
    <row r="696" spans="1:9" x14ac:dyDescent="0.25">
      <c r="A696" s="1" t="s">
        <v>708</v>
      </c>
      <c r="B696" t="str">
        <f>HYPERLINK("https://www.suredividend.com/sure-analysis-HI/","Hillenbrand Inc")</f>
        <v>Hillenbrand Inc</v>
      </c>
      <c r="C696">
        <v>-3.9173789173788998E-2</v>
      </c>
      <c r="D696">
        <v>-0.15415419599712399</v>
      </c>
      <c r="E696">
        <v>-0.101433443461579</v>
      </c>
      <c r="F696">
        <v>-3.7855752063011013E-2</v>
      </c>
      <c r="G696">
        <v>-5.4107748042538012E-2</v>
      </c>
      <c r="H696">
        <v>-0.118863122233519</v>
      </c>
      <c r="I696">
        <v>-6.3285513908370006E-2</v>
      </c>
    </row>
    <row r="697" spans="1:9" x14ac:dyDescent="0.25">
      <c r="A697" s="1" t="s">
        <v>709</v>
      </c>
      <c r="B697" t="str">
        <f>HYPERLINK("https://www.suredividend.com/sure-analysis-research-database/","Hibbett Inc")</f>
        <v>Hibbett Inc</v>
      </c>
      <c r="C697">
        <v>8.4158415841584011E-2</v>
      </c>
      <c r="D697">
        <v>9.7325853711671004E-2</v>
      </c>
      <c r="E697">
        <v>-1.6326211772058001E-2</v>
      </c>
      <c r="F697">
        <v>-0.249553039332538</v>
      </c>
      <c r="G697">
        <v>-0.175505794539383</v>
      </c>
      <c r="H697">
        <v>-0.43899439996792311</v>
      </c>
      <c r="I697">
        <v>1.7491240134918291</v>
      </c>
    </row>
    <row r="698" spans="1:9" x14ac:dyDescent="0.25">
      <c r="A698" s="1" t="s">
        <v>710</v>
      </c>
      <c r="B698" t="str">
        <f>HYPERLINK("https://www.suredividend.com/sure-analysis-HIFS/","Hingham Institution For Savings")</f>
        <v>Hingham Institution For Savings</v>
      </c>
      <c r="C698">
        <v>-3.3969006161880012E-2</v>
      </c>
      <c r="D698">
        <v>-0.268637606677462</v>
      </c>
      <c r="E698">
        <v>-5.6002423046116002E-2</v>
      </c>
      <c r="F698">
        <v>-0.39361524269445802</v>
      </c>
      <c r="G698">
        <v>-0.32431457743695302</v>
      </c>
      <c r="H698">
        <v>-0.53570332138936605</v>
      </c>
      <c r="I698">
        <v>-0.15512613842037301</v>
      </c>
    </row>
    <row r="699" spans="1:9" x14ac:dyDescent="0.25">
      <c r="A699" s="1" t="s">
        <v>711</v>
      </c>
      <c r="B699" t="str">
        <f>HYPERLINK("https://www.suredividend.com/sure-analysis-research-database/","Hims &amp; Hers Health Inc")</f>
        <v>Hims &amp; Hers Health Inc</v>
      </c>
      <c r="C699">
        <v>4.5161290322579997E-2</v>
      </c>
      <c r="D699">
        <v>-0.20490797546012199</v>
      </c>
      <c r="E699">
        <v>-0.44757033248081801</v>
      </c>
      <c r="F699">
        <v>1.0920436817472E-2</v>
      </c>
      <c r="G699">
        <v>0.52470588235294102</v>
      </c>
      <c r="H699">
        <v>-0.22302158273381201</v>
      </c>
      <c r="I699">
        <v>-0.33877551020408098</v>
      </c>
    </row>
    <row r="700" spans="1:9" x14ac:dyDescent="0.25">
      <c r="A700" s="1" t="s">
        <v>712</v>
      </c>
      <c r="B700" t="str">
        <f>HYPERLINK("https://www.suredividend.com/sure-analysis-research-database/","Hippo Holdings Inc")</f>
        <v>Hippo Holdings Inc</v>
      </c>
      <c r="C700">
        <v>0.35457063711911302</v>
      </c>
      <c r="D700">
        <v>-0.35994764397905699</v>
      </c>
      <c r="E700">
        <v>-0.43073341094295597</v>
      </c>
      <c r="F700">
        <v>-0.28088235294117597</v>
      </c>
      <c r="G700">
        <v>-0.44494892167990902</v>
      </c>
      <c r="H700">
        <v>-0.90816901408450712</v>
      </c>
      <c r="I700">
        <v>-0.96052472250252208</v>
      </c>
    </row>
    <row r="701" spans="1:9" x14ac:dyDescent="0.25">
      <c r="A701" s="1" t="s">
        <v>713</v>
      </c>
      <c r="B701" t="str">
        <f>HYPERLINK("https://www.suredividend.com/sure-analysis-research-database/","Hecla Mining Co.")</f>
        <v>Hecla Mining Co.</v>
      </c>
      <c r="C701">
        <v>0.18904109589040999</v>
      </c>
      <c r="D701">
        <v>-0.172071728347958</v>
      </c>
      <c r="E701">
        <v>-0.28542026837902301</v>
      </c>
      <c r="F701">
        <v>-0.21635188328337701</v>
      </c>
      <c r="G701">
        <v>-8.3982355051816004E-2</v>
      </c>
      <c r="H701">
        <v>-0.231450327607579</v>
      </c>
      <c r="I701">
        <v>0.72331639135959303</v>
      </c>
    </row>
    <row r="702" spans="1:9" x14ac:dyDescent="0.25">
      <c r="A702" s="1" t="s">
        <v>714</v>
      </c>
      <c r="B702" t="str">
        <f>HYPERLINK("https://www.suredividend.com/sure-analysis-research-database/","Herbalife Ltd")</f>
        <v>Herbalife Ltd</v>
      </c>
      <c r="C702">
        <v>2.3938223938223001E-2</v>
      </c>
      <c r="D702">
        <v>-0.28747984954325601</v>
      </c>
      <c r="E702">
        <v>-2.5000000000000001E-2</v>
      </c>
      <c r="F702">
        <v>-0.108870967741935</v>
      </c>
      <c r="G702">
        <v>-0.183497536945812</v>
      </c>
      <c r="H702">
        <v>-0.69390581717451505</v>
      </c>
      <c r="I702">
        <v>-0.75205684367988002</v>
      </c>
    </row>
    <row r="703" spans="1:9" x14ac:dyDescent="0.25">
      <c r="A703" s="1" t="s">
        <v>715</v>
      </c>
      <c r="B703" t="str">
        <f>HYPERLINK("https://www.suredividend.com/sure-analysis-research-database/","Heliogen Inc")</f>
        <v>Heliogen Inc</v>
      </c>
      <c r="C703">
        <v>-7.3260073260073E-2</v>
      </c>
      <c r="D703">
        <v>-0.72079677757545602</v>
      </c>
      <c r="E703">
        <v>-0.72722371967654909</v>
      </c>
      <c r="F703">
        <v>-0.89646846994311902</v>
      </c>
      <c r="G703">
        <v>-0.95747899159663807</v>
      </c>
      <c r="H703">
        <v>-0.747</v>
      </c>
      <c r="I703">
        <v>-0.73673257023933403</v>
      </c>
    </row>
    <row r="704" spans="1:9" x14ac:dyDescent="0.25">
      <c r="A704" s="1" t="s">
        <v>716</v>
      </c>
      <c r="B704" t="str">
        <f>HYPERLINK("https://www.suredividend.com/sure-analysis-HLI/","Houlihan Lokey Inc")</f>
        <v>Houlihan Lokey Inc</v>
      </c>
      <c r="C704">
        <v>7.0435941366830002E-3</v>
      </c>
      <c r="D704">
        <v>6.0852632729409002E-2</v>
      </c>
      <c r="E704">
        <v>0.23942883183246799</v>
      </c>
      <c r="F704">
        <v>0.23474800287096401</v>
      </c>
      <c r="G704">
        <v>0.16073554209531399</v>
      </c>
      <c r="H704">
        <v>-6.2890831210518E-2</v>
      </c>
      <c r="I704">
        <v>1.885987141263342</v>
      </c>
    </row>
    <row r="705" spans="1:9" x14ac:dyDescent="0.25">
      <c r="A705" s="1" t="s">
        <v>717</v>
      </c>
      <c r="B705" t="str">
        <f>HYPERLINK("https://www.suredividend.com/sure-analysis-research-database/","Helios Technologies Inc")</f>
        <v>Helios Technologies Inc</v>
      </c>
      <c r="C705">
        <v>-0.184849046119651</v>
      </c>
      <c r="D705">
        <v>-0.294547611223761</v>
      </c>
      <c r="E705">
        <v>-0.27383067929254101</v>
      </c>
      <c r="F705">
        <v>-0.18666131956392701</v>
      </c>
      <c r="G705">
        <v>-0.22182497162074699</v>
      </c>
      <c r="H705">
        <v>-0.51006804053933708</v>
      </c>
      <c r="I705">
        <v>-0.11243319552283899</v>
      </c>
    </row>
    <row r="706" spans="1:9" x14ac:dyDescent="0.25">
      <c r="A706" s="1" t="s">
        <v>718</v>
      </c>
      <c r="B706" t="str">
        <f>HYPERLINK("https://www.suredividend.com/sure-analysis-research-database/","Harmonic, Inc.")</f>
        <v>Harmonic, Inc.</v>
      </c>
      <c r="C706">
        <v>0.167561761546723</v>
      </c>
      <c r="D706">
        <v>-1.7179023508136999E-2</v>
      </c>
      <c r="E706">
        <v>-0.19541080680976999</v>
      </c>
      <c r="F706">
        <v>-0.170229007633587</v>
      </c>
      <c r="G706">
        <v>-0.22078853046594901</v>
      </c>
      <c r="H706">
        <v>9.2850510677800011E-3</v>
      </c>
      <c r="I706">
        <v>0.76461038961038907</v>
      </c>
    </row>
    <row r="707" spans="1:9" x14ac:dyDescent="0.25">
      <c r="A707" s="1" t="s">
        <v>719</v>
      </c>
      <c r="B707" t="str">
        <f>HYPERLINK("https://www.suredividend.com/sure-analysis-research-database/","Holley Inc")</f>
        <v>Holley Inc</v>
      </c>
      <c r="C707">
        <v>-0.11226611226611199</v>
      </c>
      <c r="D707">
        <v>-0.302287581699346</v>
      </c>
      <c r="E707">
        <v>0.95871559633027403</v>
      </c>
      <c r="F707">
        <v>1.0141509433962259</v>
      </c>
      <c r="G707">
        <v>0.22</v>
      </c>
      <c r="H707">
        <v>-0.64446294754371303</v>
      </c>
      <c r="I707">
        <v>-0.56205128205128208</v>
      </c>
    </row>
    <row r="708" spans="1:9" x14ac:dyDescent="0.25">
      <c r="A708" s="1" t="s">
        <v>720</v>
      </c>
      <c r="B708" t="str">
        <f>HYPERLINK("https://www.suredividend.com/sure-analysis-research-database/","Hillman Solutions Corp")</f>
        <v>Hillman Solutions Corp</v>
      </c>
      <c r="C708">
        <v>-0.11639549436796</v>
      </c>
      <c r="D708">
        <v>-0.28470111448834801</v>
      </c>
      <c r="E708">
        <v>-0.118601747815231</v>
      </c>
      <c r="F708">
        <v>-2.0804438280166E-2</v>
      </c>
      <c r="G708">
        <v>-0.11749999999999999</v>
      </c>
      <c r="H708">
        <v>-0.342644320297951</v>
      </c>
      <c r="I708">
        <v>-0.28032619775738998</v>
      </c>
    </row>
    <row r="709" spans="1:9" x14ac:dyDescent="0.25">
      <c r="A709" s="1" t="s">
        <v>721</v>
      </c>
      <c r="B709" t="str">
        <f>HYPERLINK("https://www.suredividend.com/sure-analysis-research-database/","Hamilton Lane Inc")</f>
        <v>Hamilton Lane Inc</v>
      </c>
      <c r="C709">
        <v>4.5010229597635003E-2</v>
      </c>
      <c r="D709">
        <v>1.4395053582875E-2</v>
      </c>
      <c r="E709">
        <v>0.41247755076331211</v>
      </c>
      <c r="F709">
        <v>0.47954799277766802</v>
      </c>
      <c r="G709">
        <v>0.45559209224343811</v>
      </c>
      <c r="H709">
        <v>-0.14067056483572299</v>
      </c>
      <c r="I709">
        <v>1.897518483734943</v>
      </c>
    </row>
    <row r="710" spans="1:9" x14ac:dyDescent="0.25">
      <c r="A710" s="1" t="s">
        <v>722</v>
      </c>
      <c r="B710" t="str">
        <f>HYPERLINK("https://www.suredividend.com/sure-analysis-research-database/","Cue Health Inc")</f>
        <v>Cue Health Inc</v>
      </c>
      <c r="C710">
        <v>-0.23491686460807601</v>
      </c>
      <c r="D710">
        <v>-0.261746504698601</v>
      </c>
      <c r="E710">
        <v>-0.52492625368731505</v>
      </c>
      <c r="F710">
        <v>-0.84439613526570012</v>
      </c>
      <c r="G710">
        <v>-0.91523684210526313</v>
      </c>
      <c r="H710">
        <v>-0.96729949238578605</v>
      </c>
      <c r="I710">
        <v>-0.98389499999999996</v>
      </c>
    </row>
    <row r="711" spans="1:9" x14ac:dyDescent="0.25">
      <c r="A711" s="1" t="s">
        <v>723</v>
      </c>
      <c r="B711" t="str">
        <f>HYPERLINK("https://www.suredividend.com/sure-analysis-research-database/","HilleVax Inc")</f>
        <v>HilleVax Inc</v>
      </c>
      <c r="C711">
        <v>-6.2353858144970006E-3</v>
      </c>
      <c r="D711">
        <v>-0.112116991643454</v>
      </c>
      <c r="E711">
        <v>-0.119475138121546</v>
      </c>
      <c r="F711">
        <v>-0.23789599521817001</v>
      </c>
      <c r="G711">
        <v>-0.39573459715639803</v>
      </c>
      <c r="H711">
        <v>-0.33211105290728099</v>
      </c>
      <c r="I711">
        <v>-0.33211105290728099</v>
      </c>
    </row>
    <row r="712" spans="1:9" x14ac:dyDescent="0.25">
      <c r="A712" s="1" t="s">
        <v>724</v>
      </c>
      <c r="B712" t="str">
        <f>HYPERLINK("https://www.suredividend.com/sure-analysis-research-database/","Helix Energy Solutions Group Inc")</f>
        <v>Helix Energy Solutions Group Inc</v>
      </c>
      <c r="C712">
        <v>-1.4506769825918E-2</v>
      </c>
      <c r="D712">
        <v>6.4785788923719001E-2</v>
      </c>
      <c r="E712">
        <v>0.48326055312954802</v>
      </c>
      <c r="F712">
        <v>0.38075880758807501</v>
      </c>
      <c r="G712">
        <v>0.48976608187134402</v>
      </c>
      <c r="H712">
        <v>1.639896373056994</v>
      </c>
      <c r="I712">
        <v>0.235151515151515</v>
      </c>
    </row>
    <row r="713" spans="1:9" x14ac:dyDescent="0.25">
      <c r="A713" s="1" t="s">
        <v>725</v>
      </c>
      <c r="B713" t="str">
        <f>HYPERLINK("https://www.suredividend.com/sure-analysis-HMN/","Horace Mann Educators Corp.")</f>
        <v>Horace Mann Educators Corp.</v>
      </c>
      <c r="C713">
        <v>0.13989637305699401</v>
      </c>
      <c r="D713">
        <v>0.15870786516853899</v>
      </c>
      <c r="E713">
        <v>4.1683107372275013E-2</v>
      </c>
      <c r="F713">
        <v>-8.838771699134701E-2</v>
      </c>
      <c r="G713">
        <v>-0.11223262733408799</v>
      </c>
      <c r="H713">
        <v>-9.6432551428047006E-2</v>
      </c>
      <c r="I713">
        <v>-5.0212119293356998E-2</v>
      </c>
    </row>
    <row r="714" spans="1:9" x14ac:dyDescent="0.25">
      <c r="A714" s="1" t="s">
        <v>726</v>
      </c>
      <c r="B714" t="str">
        <f>HYPERLINK("https://www.suredividend.com/sure-analysis-research-database/","Home Point Capital Inc")</f>
        <v>Home Point Capital Inc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s="1" t="s">
        <v>727</v>
      </c>
      <c r="B715" t="str">
        <f>HYPERLINK("https://www.suredividend.com/sure-analysis-research-database/","HomeStreet Inc")</f>
        <v>HomeStreet Inc</v>
      </c>
      <c r="C715">
        <v>-0.10056657223796001</v>
      </c>
      <c r="D715">
        <v>-0.38536887546702198</v>
      </c>
      <c r="E715">
        <v>0.122780960463964</v>
      </c>
      <c r="F715">
        <v>-0.75480258712230908</v>
      </c>
      <c r="G715">
        <v>-0.73025441044658801</v>
      </c>
      <c r="H715">
        <v>-0.85483192508870109</v>
      </c>
      <c r="I715">
        <v>-0.72459795638672508</v>
      </c>
    </row>
    <row r="716" spans="1:9" x14ac:dyDescent="0.25">
      <c r="A716" s="1" t="s">
        <v>728</v>
      </c>
      <c r="B716" t="str">
        <f>HYPERLINK("https://www.suredividend.com/sure-analysis-HNI/","HNI Corp.")</f>
        <v>HNI Corp.</v>
      </c>
      <c r="C716">
        <v>0.10807703363035299</v>
      </c>
      <c r="D716">
        <v>0.35745650329064299</v>
      </c>
      <c r="E716">
        <v>0.58244085858191907</v>
      </c>
      <c r="F716">
        <v>0.39996005302053611</v>
      </c>
      <c r="G716">
        <v>0.40501138952164001</v>
      </c>
      <c r="H716">
        <v>5.7845343285220008E-2</v>
      </c>
      <c r="I716">
        <v>0.19438592142768599</v>
      </c>
    </row>
    <row r="717" spans="1:9" x14ac:dyDescent="0.25">
      <c r="A717" s="1" t="s">
        <v>729</v>
      </c>
      <c r="B717" t="str">
        <f>HYPERLINK("https://www.suredividend.com/sure-analysis-research-database/","Honest Company Inc (The )")</f>
        <v>Honest Company Inc (The )</v>
      </c>
      <c r="C717">
        <v>7.8260869565217009E-2</v>
      </c>
      <c r="D717">
        <v>-0.120567375886524</v>
      </c>
      <c r="E717">
        <v>-0.16778523489932801</v>
      </c>
      <c r="F717">
        <v>-0.58803986710963407</v>
      </c>
      <c r="G717">
        <v>-0.61006289308176109</v>
      </c>
      <c r="H717">
        <v>-0.86536373507057507</v>
      </c>
      <c r="I717">
        <v>-0.94608695652173902</v>
      </c>
    </row>
    <row r="718" spans="1:9" x14ac:dyDescent="0.25">
      <c r="A718" s="1" t="s">
        <v>730</v>
      </c>
      <c r="B718" t="str">
        <f>HYPERLINK("https://www.suredividend.com/sure-analysis-HOMB/","Home Bancshares Inc")</f>
        <v>Home Bancshares Inc</v>
      </c>
      <c r="C718">
        <v>3.7780966044953998E-2</v>
      </c>
      <c r="D718">
        <v>-0.103772416014802</v>
      </c>
      <c r="E718">
        <v>6.3136595905209009E-2</v>
      </c>
      <c r="F718">
        <v>-2.4872491967555001E-2</v>
      </c>
      <c r="G718">
        <v>-0.110323932286221</v>
      </c>
      <c r="H718">
        <v>-0.10302409021014799</v>
      </c>
      <c r="I718">
        <v>0.27905880133917998</v>
      </c>
    </row>
    <row r="719" spans="1:9" x14ac:dyDescent="0.25">
      <c r="A719" s="1" t="s">
        <v>731</v>
      </c>
      <c r="B719" t="str">
        <f>HYPERLINK("https://www.suredividend.com/sure-analysis-research-database/","HarborOne Bancorp Inc.")</f>
        <v>HarborOne Bancorp Inc.</v>
      </c>
      <c r="C719">
        <v>0.111830857288492</v>
      </c>
      <c r="D719">
        <v>1.1623525319574E-2</v>
      </c>
      <c r="E719">
        <v>0.31947069943289202</v>
      </c>
      <c r="F719">
        <v>-0.22347810608757501</v>
      </c>
      <c r="G719">
        <v>-0.26055666593687499</v>
      </c>
      <c r="H719">
        <v>-0.25826744878007302</v>
      </c>
      <c r="I719">
        <v>0.12586698209581099</v>
      </c>
    </row>
    <row r="720" spans="1:9" x14ac:dyDescent="0.25">
      <c r="A720" s="1" t="s">
        <v>732</v>
      </c>
      <c r="B720" t="str">
        <f>HYPERLINK("https://www.suredividend.com/sure-analysis-research-database/","Hope Bancorp Inc")</f>
        <v>Hope Bancorp Inc</v>
      </c>
      <c r="C720">
        <v>0.13440313851534899</v>
      </c>
      <c r="D720">
        <v>-8.3094555873925002E-2</v>
      </c>
      <c r="E720">
        <v>0.30067201387383402</v>
      </c>
      <c r="F720">
        <v>-0.19213679816884299</v>
      </c>
      <c r="G720">
        <v>-0.224812461139687</v>
      </c>
      <c r="H720">
        <v>-0.276819815137065</v>
      </c>
      <c r="I720">
        <v>-0.16218669273196901</v>
      </c>
    </row>
    <row r="721" spans="1:9" x14ac:dyDescent="0.25">
      <c r="A721" s="1" t="s">
        <v>733</v>
      </c>
      <c r="B721" t="str">
        <f>HYPERLINK("https://www.suredividend.com/sure-analysis-research-database/","Anywhere Real Estate Inc")</f>
        <v>Anywhere Real Estate Inc</v>
      </c>
      <c r="C721">
        <v>-8.1128747795414E-2</v>
      </c>
      <c r="D721">
        <v>-0.34629861982434101</v>
      </c>
      <c r="E721">
        <v>7.4226804123711007E-2</v>
      </c>
      <c r="F721">
        <v>-0.184663536776212</v>
      </c>
      <c r="G721">
        <v>-0.22585438335809799</v>
      </c>
      <c r="H721">
        <v>-0.70828667413213808</v>
      </c>
      <c r="I721">
        <v>-0.69529847298332603</v>
      </c>
    </row>
    <row r="722" spans="1:9" x14ac:dyDescent="0.25">
      <c r="A722" s="1" t="s">
        <v>734</v>
      </c>
      <c r="B722" t="str">
        <f>HYPERLINK("https://www.suredividend.com/sure-analysis-research-database/","Hovnanian Enterprises, Inc.")</f>
        <v>Hovnanian Enterprises, Inc.</v>
      </c>
      <c r="C722">
        <v>-7.731789887517701E-2</v>
      </c>
      <c r="D722">
        <v>-0.191405876160398</v>
      </c>
      <c r="E722">
        <v>0.16521859053923499</v>
      </c>
      <c r="F722">
        <v>1.007842205323193</v>
      </c>
      <c r="G722">
        <v>1.2375529661016951</v>
      </c>
      <c r="H722">
        <v>-1.9723865877712E-2</v>
      </c>
      <c r="I722">
        <v>1.3633566433566431</v>
      </c>
    </row>
    <row r="723" spans="1:9" x14ac:dyDescent="0.25">
      <c r="A723" s="1" t="s">
        <v>735</v>
      </c>
      <c r="B723" t="str">
        <f>HYPERLINK("https://www.suredividend.com/sure-analysis-HP/","Helmerich &amp; Payne, Inc.")</f>
        <v>Helmerich &amp; Payne, Inc.</v>
      </c>
      <c r="C723">
        <v>6.3512471072255008E-2</v>
      </c>
      <c r="D723">
        <v>-6.0239211836986002E-2</v>
      </c>
      <c r="E723">
        <v>0.33985985895189003</v>
      </c>
      <c r="F723">
        <v>-0.149049985083685</v>
      </c>
      <c r="G723">
        <v>-0.1626920180418</v>
      </c>
      <c r="H723">
        <v>0.29994625463985802</v>
      </c>
      <c r="I723">
        <v>-0.13794361200792801</v>
      </c>
    </row>
    <row r="724" spans="1:9" x14ac:dyDescent="0.25">
      <c r="A724" s="1" t="s">
        <v>736</v>
      </c>
      <c r="B724" t="str">
        <f>HYPERLINK("https://www.suredividend.com/sure-analysis-research-database/","HighPeak Energy Inc")</f>
        <v>HighPeak Energy Inc</v>
      </c>
      <c r="C724">
        <v>0.19881077970653099</v>
      </c>
      <c r="D724">
        <v>0.216257540796752</v>
      </c>
      <c r="E724">
        <v>0.15902482962334999</v>
      </c>
      <c r="F724">
        <v>-0.227257071701712</v>
      </c>
      <c r="G724">
        <v>-0.25020458703410903</v>
      </c>
      <c r="H724">
        <v>0.236067750639223</v>
      </c>
      <c r="I724">
        <v>1.621801402289206</v>
      </c>
    </row>
    <row r="725" spans="1:9" x14ac:dyDescent="0.25">
      <c r="A725" s="1" t="s">
        <v>737</v>
      </c>
      <c r="B725" t="str">
        <f>HYPERLINK("https://www.suredividend.com/sure-analysis-research-database/","Healthequity Inc")</f>
        <v>Healthequity Inc</v>
      </c>
      <c r="C725">
        <v>-0.110402219140083</v>
      </c>
      <c r="D725">
        <v>-4.2257727340600001E-2</v>
      </c>
      <c r="E725">
        <v>0.256169212690951</v>
      </c>
      <c r="F725">
        <v>4.0558079169370001E-2</v>
      </c>
      <c r="G725">
        <v>-0.15948106408072299</v>
      </c>
      <c r="H725">
        <v>-6.2554808535515011E-2</v>
      </c>
      <c r="I725">
        <v>-0.31773215615360001</v>
      </c>
    </row>
    <row r="726" spans="1:9" x14ac:dyDescent="0.25">
      <c r="A726" s="1" t="s">
        <v>738</v>
      </c>
      <c r="B726" t="str">
        <f>HYPERLINK("https://www.suredividend.com/sure-analysis-research-database/","Herc Holdings Inc")</f>
        <v>Herc Holdings Inc</v>
      </c>
      <c r="C726">
        <v>0.145496535796766</v>
      </c>
      <c r="D726">
        <v>-5.7863873486314013E-2</v>
      </c>
      <c r="E726">
        <v>0.329395178798291</v>
      </c>
      <c r="F726">
        <v>-4.2833213687485001E-2</v>
      </c>
      <c r="G726">
        <v>2.1044192804889998E-3</v>
      </c>
      <c r="H726">
        <v>-0.33028143302490198</v>
      </c>
      <c r="I726">
        <v>2.8772536536862048</v>
      </c>
    </row>
    <row r="727" spans="1:9" x14ac:dyDescent="0.25">
      <c r="A727" s="1" t="s">
        <v>739</v>
      </c>
      <c r="B727" t="str">
        <f>HYPERLINK("https://www.suredividend.com/sure-analysis-research-database/","Harmony Biosciences Holdings Inc")</f>
        <v>Harmony Biosciences Holdings Inc</v>
      </c>
      <c r="C727">
        <v>-0.18439269981120199</v>
      </c>
      <c r="D727">
        <v>-0.22857142857142801</v>
      </c>
      <c r="E727">
        <v>-0.27088607594936698</v>
      </c>
      <c r="F727">
        <v>-0.52958257713248602</v>
      </c>
      <c r="G727">
        <v>-0.55955819881053503</v>
      </c>
      <c r="H727">
        <v>-0.39011764705882301</v>
      </c>
      <c r="I727">
        <v>-0.29964874358281501</v>
      </c>
    </row>
    <row r="728" spans="1:9" x14ac:dyDescent="0.25">
      <c r="A728" s="1" t="s">
        <v>740</v>
      </c>
      <c r="B728" t="str">
        <f>HYPERLINK("https://www.suredividend.com/sure-analysis-research-database/","HireRight Holdings Corp")</f>
        <v>HireRight Holdings Corp</v>
      </c>
      <c r="C728">
        <v>-7.4927953890489007E-2</v>
      </c>
      <c r="D728">
        <v>-7.4038461538461012E-2</v>
      </c>
      <c r="E728">
        <v>-1.03734439834E-3</v>
      </c>
      <c r="F728">
        <v>-0.18802698145025201</v>
      </c>
      <c r="G728">
        <v>0.20525657071339101</v>
      </c>
      <c r="H728">
        <v>-0.44173913043478202</v>
      </c>
      <c r="I728">
        <v>-0.44173913043478202</v>
      </c>
    </row>
    <row r="729" spans="1:9" x14ac:dyDescent="0.25">
      <c r="A729" s="1" t="s">
        <v>741</v>
      </c>
      <c r="B729" t="str">
        <f>HYPERLINK("https://www.suredividend.com/sure-analysis-research-database/","Heron Therapeutics Inc")</f>
        <v>Heron Therapeutics Inc</v>
      </c>
      <c r="C729">
        <v>-0.21863612701717799</v>
      </c>
      <c r="D729">
        <v>-0.54789156626506008</v>
      </c>
      <c r="E729">
        <v>-0.68333333333333302</v>
      </c>
      <c r="F729">
        <v>-0.69980000000000009</v>
      </c>
      <c r="G729">
        <v>-0.77663690476190406</v>
      </c>
      <c r="H729">
        <v>-0.93479582971329211</v>
      </c>
      <c r="I729">
        <v>-0.97504156967076805</v>
      </c>
    </row>
    <row r="730" spans="1:9" x14ac:dyDescent="0.25">
      <c r="A730" s="1" t="s">
        <v>742</v>
      </c>
      <c r="B730" t="str">
        <f>HYPERLINK("https://www.suredividend.com/sure-analysis-research-database/","Heidrick &amp; Struggles International, Inc.")</f>
        <v>Heidrick &amp; Struggles International, Inc.</v>
      </c>
      <c r="C730">
        <v>-1.1426319936958E-2</v>
      </c>
      <c r="D730">
        <v>-7.1425134808048005E-2</v>
      </c>
      <c r="E730">
        <v>6.0618870476834008E-2</v>
      </c>
      <c r="F730">
        <v>-7.8251285819250005E-2</v>
      </c>
      <c r="G730">
        <v>-5.9073249028696012E-2</v>
      </c>
      <c r="H730">
        <v>-0.45238427825601002</v>
      </c>
      <c r="I730">
        <v>-0.198640659484562</v>
      </c>
    </row>
    <row r="731" spans="1:9" x14ac:dyDescent="0.25">
      <c r="A731" s="1" t="s">
        <v>743</v>
      </c>
      <c r="B731" t="str">
        <f>HYPERLINK("https://www.suredividend.com/sure-analysis-research-database/","Healthstream Inc")</f>
        <v>Healthstream Inc</v>
      </c>
      <c r="C731">
        <v>0.162579473206176</v>
      </c>
      <c r="D731">
        <v>0.12636395635339601</v>
      </c>
      <c r="E731">
        <v>7.4470005078549006E-2</v>
      </c>
      <c r="F731">
        <v>3.6991428617722012E-2</v>
      </c>
      <c r="G731">
        <v>7.3735424880463002E-2</v>
      </c>
      <c r="H731">
        <v>-5.8518932595839013E-2</v>
      </c>
      <c r="I731">
        <v>-1.9457637505745001E-2</v>
      </c>
    </row>
    <row r="732" spans="1:9" x14ac:dyDescent="0.25">
      <c r="A732" s="1" t="s">
        <v>744</v>
      </c>
      <c r="B732" t="str">
        <f>HYPERLINK("https://www.suredividend.com/sure-analysis-research-database/","Hersha Hospitality Trust")</f>
        <v>Hersha Hospitality Trust</v>
      </c>
      <c r="C732">
        <v>6.0790273556230014E-3</v>
      </c>
      <c r="D732">
        <v>0.6228407066629621</v>
      </c>
      <c r="E732">
        <v>0.62861641409171409</v>
      </c>
      <c r="F732">
        <v>0.19020507964665401</v>
      </c>
      <c r="G732">
        <v>0.15121091621549501</v>
      </c>
      <c r="H732">
        <v>-2.3608420762824E-2</v>
      </c>
      <c r="I732">
        <v>-0.30637533965255898</v>
      </c>
    </row>
    <row r="733" spans="1:9" x14ac:dyDescent="0.25">
      <c r="A733" s="1" t="s">
        <v>745</v>
      </c>
      <c r="B733" t="str">
        <f>HYPERLINK("https://www.suredividend.com/sure-analysis-research-database/","HomeTrust Bancshares Inc")</f>
        <v>HomeTrust Bancshares Inc</v>
      </c>
      <c r="C733">
        <v>8.5883514313918011E-2</v>
      </c>
      <c r="D733">
        <v>-9.3004176303497013E-2</v>
      </c>
      <c r="E733">
        <v>0.15746221148938999</v>
      </c>
      <c r="F733">
        <v>-7.7699615149203011E-2</v>
      </c>
      <c r="G733">
        <v>-9.0852738806124003E-2</v>
      </c>
      <c r="H733">
        <v>-0.26493681797830898</v>
      </c>
      <c r="I733">
        <v>-0.14344227190257</v>
      </c>
    </row>
    <row r="734" spans="1:9" x14ac:dyDescent="0.25">
      <c r="A734" s="1" t="s">
        <v>746</v>
      </c>
      <c r="B734" t="str">
        <f>HYPERLINK("https://www.suredividend.com/sure-analysis-research-database/","Heritage Commerce Corp.")</f>
        <v>Heritage Commerce Corp.</v>
      </c>
      <c r="C734">
        <v>4.5238095238095001E-2</v>
      </c>
      <c r="D734">
        <v>-8.9844195424341008E-2</v>
      </c>
      <c r="E734">
        <v>0.32528301886792399</v>
      </c>
      <c r="F734">
        <v>-0.29536772495265001</v>
      </c>
      <c r="G734">
        <v>-0.35942333508433999</v>
      </c>
      <c r="H734">
        <v>-0.20897337717915199</v>
      </c>
      <c r="I734">
        <v>-0.23515832571105</v>
      </c>
    </row>
    <row r="735" spans="1:9" x14ac:dyDescent="0.25">
      <c r="A735" s="1" t="s">
        <v>747</v>
      </c>
      <c r="B735" t="str">
        <f>HYPERLINK("https://www.suredividend.com/sure-analysis-research-database/","Hilltop Holdings Inc")</f>
        <v>Hilltop Holdings Inc</v>
      </c>
      <c r="C735">
        <v>5.6223479490806007E-2</v>
      </c>
      <c r="D735">
        <v>5.1451857684630007E-3</v>
      </c>
      <c r="E735">
        <v>9.0363989527909999E-3</v>
      </c>
      <c r="F735">
        <v>1.0401691331924E-2</v>
      </c>
      <c r="G735">
        <v>6.5051202327637003E-2</v>
      </c>
      <c r="H735">
        <v>-0.167084936701801</v>
      </c>
      <c r="I735">
        <v>0.63755578215628805</v>
      </c>
    </row>
    <row r="736" spans="1:9" x14ac:dyDescent="0.25">
      <c r="A736" s="1" t="s">
        <v>748</v>
      </c>
      <c r="B736" t="str">
        <f>HYPERLINK("https://www.suredividend.com/sure-analysis-research-database/","Heartland Express, Inc.")</f>
        <v>Heartland Express, Inc.</v>
      </c>
      <c r="C736">
        <v>-0.14463667820069201</v>
      </c>
      <c r="D736">
        <v>-0.21117627912616699</v>
      </c>
      <c r="E736">
        <v>-0.17010776513244</v>
      </c>
      <c r="F736">
        <v>-0.189061515851354</v>
      </c>
      <c r="G736">
        <v>-8.620434718320201E-2</v>
      </c>
      <c r="H736">
        <v>-0.24332398711936601</v>
      </c>
      <c r="I736">
        <v>-0.35495655350572702</v>
      </c>
    </row>
    <row r="737" spans="1:9" x14ac:dyDescent="0.25">
      <c r="A737" s="1" t="s">
        <v>749</v>
      </c>
      <c r="B737" t="str">
        <f>HYPERLINK("https://www.suredividend.com/sure-analysis-research-database/","Heartland Financial USA, Inc.")</f>
        <v>Heartland Financial USA, Inc.</v>
      </c>
      <c r="C737">
        <v>2.1320495185694E-2</v>
      </c>
      <c r="D737">
        <v>-8.4395886255456007E-2</v>
      </c>
      <c r="E737">
        <v>8.9792278986823001E-2</v>
      </c>
      <c r="F737">
        <v>-0.33967717550802601</v>
      </c>
      <c r="G737">
        <v>-0.37690782641533099</v>
      </c>
      <c r="H737">
        <v>-0.37780589638896911</v>
      </c>
      <c r="I737">
        <v>-0.37460254623097999</v>
      </c>
    </row>
    <row r="738" spans="1:9" x14ac:dyDescent="0.25">
      <c r="A738" s="1" t="s">
        <v>750</v>
      </c>
      <c r="B738" t="str">
        <f>HYPERLINK("https://www.suredividend.com/sure-analysis-research-database/","Hub Group, Inc.")</f>
        <v>Hub Group, Inc.</v>
      </c>
      <c r="C738">
        <v>-0.101187468418393</v>
      </c>
      <c r="D738">
        <v>-0.19595434512374199</v>
      </c>
      <c r="E738">
        <v>-1.9161841742485999E-2</v>
      </c>
      <c r="F738">
        <v>-0.10491885771795099</v>
      </c>
      <c r="G738">
        <v>-8.0630572425377009E-2</v>
      </c>
      <c r="H738">
        <v>-0.15287534230265401</v>
      </c>
      <c r="I738">
        <v>0.53605354058721899</v>
      </c>
    </row>
    <row r="739" spans="1:9" x14ac:dyDescent="0.25">
      <c r="A739" s="1" t="s">
        <v>751</v>
      </c>
      <c r="B739" t="str">
        <f>HYPERLINK("https://www.suredividend.com/sure-analysis-research-database/","Humacyte Inc")</f>
        <v>Humacyte Inc</v>
      </c>
      <c r="C739">
        <v>-0.19565217391304299</v>
      </c>
      <c r="D739">
        <v>-0.28387096774193499</v>
      </c>
      <c r="E739">
        <v>-0.49545454545454498</v>
      </c>
      <c r="F739">
        <v>5.2132701421801007E-2</v>
      </c>
      <c r="G739">
        <v>-0.32522796352583511</v>
      </c>
      <c r="H739">
        <v>-0.79614325068870506</v>
      </c>
      <c r="I739">
        <v>-0.81803278688524506</v>
      </c>
    </row>
    <row r="740" spans="1:9" x14ac:dyDescent="0.25">
      <c r="A740" s="1" t="s">
        <v>752</v>
      </c>
      <c r="B740" t="str">
        <f>HYPERLINK("https://www.suredividend.com/sure-analysis-research-database/","Huron Consulting Group Inc")</f>
        <v>Huron Consulting Group Inc</v>
      </c>
      <c r="C740">
        <v>3.2650638171559999E-3</v>
      </c>
      <c r="D740">
        <v>1.9402835025635001E-2</v>
      </c>
      <c r="E740">
        <v>0.42036699817901602</v>
      </c>
      <c r="F740">
        <v>0.39669421487603301</v>
      </c>
      <c r="G740">
        <v>0.34732925857028901</v>
      </c>
      <c r="H740">
        <v>0.89923206592994909</v>
      </c>
      <c r="I740">
        <v>0.91972737599394105</v>
      </c>
    </row>
    <row r="741" spans="1:9" x14ac:dyDescent="0.25">
      <c r="A741" s="1" t="s">
        <v>753</v>
      </c>
      <c r="B741" t="str">
        <f>HYPERLINK("https://www.suredividend.com/sure-analysis-research-database/","Haverty Furniture Cos., Inc.")</f>
        <v>Haverty Furniture Cos., Inc.</v>
      </c>
      <c r="C741">
        <v>5.2725968436154007E-2</v>
      </c>
      <c r="D741">
        <v>-0.118613325004954</v>
      </c>
      <c r="E741">
        <v>0.154802562205889</v>
      </c>
      <c r="F741">
        <v>-6.6055145832000001E-4</v>
      </c>
      <c r="G741">
        <v>-3.5004804248099999E-3</v>
      </c>
      <c r="H741">
        <v>2.6180719690082E-2</v>
      </c>
      <c r="I741">
        <v>0.73946541812362909</v>
      </c>
    </row>
    <row r="742" spans="1:9" x14ac:dyDescent="0.25">
      <c r="A742" s="1" t="s">
        <v>754</v>
      </c>
      <c r="B742" t="str">
        <f>HYPERLINK("https://www.suredividend.com/sure-analysis-research-database/","Hancock Whitney Corp.")</f>
        <v>Hancock Whitney Corp.</v>
      </c>
      <c r="C742">
        <v>0.121291448516579</v>
      </c>
      <c r="D742">
        <v>-0.114607257694074</v>
      </c>
      <c r="E742">
        <v>0.22079435552825</v>
      </c>
      <c r="F742">
        <v>-0.17366355352537999</v>
      </c>
      <c r="G742">
        <v>-0.282277943684418</v>
      </c>
      <c r="H742">
        <v>-0.19915407403098601</v>
      </c>
      <c r="I742">
        <v>6.6419541342775001E-2</v>
      </c>
    </row>
    <row r="743" spans="1:9" x14ac:dyDescent="0.25">
      <c r="A743" s="1" t="s">
        <v>755</v>
      </c>
      <c r="B743" t="str">
        <f>HYPERLINK("https://www.suredividend.com/sure-analysis-HWKN/","Hawkins Inc")</f>
        <v>Hawkins Inc</v>
      </c>
      <c r="C743">
        <v>2.5050778605279999E-2</v>
      </c>
      <c r="D743">
        <v>0.23357708838327201</v>
      </c>
      <c r="E743">
        <v>0.53912623579942509</v>
      </c>
      <c r="F743">
        <v>0.589155118438765</v>
      </c>
      <c r="G743">
        <v>0.37716176420425401</v>
      </c>
      <c r="H743">
        <v>0.6884271921533861</v>
      </c>
      <c r="I743">
        <v>2.4810799625220579</v>
      </c>
    </row>
    <row r="744" spans="1:9" x14ac:dyDescent="0.25">
      <c r="A744" s="1" t="s">
        <v>756</v>
      </c>
      <c r="B744" t="str">
        <f>HYPERLINK("https://www.suredividend.com/sure-analysis-research-database/","Hyster-Yale Materials Handling Inc")</f>
        <v>Hyster-Yale Materials Handling Inc</v>
      </c>
      <c r="C744">
        <v>-1.827735892163E-3</v>
      </c>
      <c r="D744">
        <v>-0.102537503825873</v>
      </c>
      <c r="E744">
        <v>-0.117984911465388</v>
      </c>
      <c r="F744">
        <v>0.76794551700974811</v>
      </c>
      <c r="G744">
        <v>0.41290533307893001</v>
      </c>
      <c r="H744">
        <v>0.124052248233136</v>
      </c>
      <c r="I744">
        <v>-0.21790949660867301</v>
      </c>
    </row>
    <row r="745" spans="1:9" x14ac:dyDescent="0.25">
      <c r="A745" s="1" t="s">
        <v>757</v>
      </c>
      <c r="B745" t="str">
        <f>HYPERLINK("https://www.suredividend.com/sure-analysis-research-database/","Hydrofarm Holdings Group Inc")</f>
        <v>Hydrofarm Holdings Group Inc</v>
      </c>
      <c r="C745">
        <v>3.8834951456310003E-2</v>
      </c>
      <c r="D745">
        <v>-0.12295081967213101</v>
      </c>
      <c r="E745">
        <v>-0.15079365079365001</v>
      </c>
      <c r="F745">
        <v>-0.309677419354838</v>
      </c>
      <c r="G745">
        <v>-0.55785123966942107</v>
      </c>
      <c r="H745">
        <v>-0.97147427352705906</v>
      </c>
      <c r="I745">
        <v>-0.97941911906135803</v>
      </c>
    </row>
    <row r="746" spans="1:9" x14ac:dyDescent="0.25">
      <c r="A746" s="1" t="s">
        <v>758</v>
      </c>
      <c r="B746" t="str">
        <f>HYPERLINK("https://www.suredividend.com/sure-analysis-research-database/","Hyliion Holdings Corporation")</f>
        <v>Hyliion Holdings Corporation</v>
      </c>
      <c r="C746">
        <v>-0.41315789473684211</v>
      </c>
      <c r="D746">
        <v>-0.61551724137931008</v>
      </c>
      <c r="E746">
        <v>-0.57924528301886702</v>
      </c>
      <c r="F746">
        <v>-0.71410256410256401</v>
      </c>
      <c r="G746">
        <v>-0.76360424028268503</v>
      </c>
      <c r="H746">
        <v>-0.92016706443914009</v>
      </c>
      <c r="I746">
        <v>-0.93103092783505104</v>
      </c>
    </row>
    <row r="747" spans="1:9" x14ac:dyDescent="0.25">
      <c r="A747" s="1" t="s">
        <v>759</v>
      </c>
      <c r="B747" t="str">
        <f>HYPERLINK("https://www.suredividend.com/sure-analysis-research-database/","Hycroft Mining Holding Corporation")</f>
        <v>Hycroft Mining Holding Corporation</v>
      </c>
      <c r="C747">
        <v>-0.104593639575971</v>
      </c>
      <c r="D747">
        <v>-0.41069767441860411</v>
      </c>
      <c r="E747">
        <v>-0.36649999999999999</v>
      </c>
      <c r="F747">
        <v>-0.52377372674309308</v>
      </c>
      <c r="G747">
        <v>-0.656918494448957</v>
      </c>
      <c r="H747">
        <v>-0.84358024691358002</v>
      </c>
      <c r="I747">
        <v>-0.97401025641025607</v>
      </c>
    </row>
    <row r="748" spans="1:9" x14ac:dyDescent="0.25">
      <c r="A748" s="1" t="s">
        <v>760</v>
      </c>
      <c r="B748" t="str">
        <f>HYPERLINK("https://www.suredividend.com/sure-analysis-research-database/","Hyzon Motors Inc")</f>
        <v>Hyzon Motors Inc</v>
      </c>
      <c r="C748">
        <v>-0.21127118644067799</v>
      </c>
      <c r="D748">
        <v>-0.44928994082840201</v>
      </c>
      <c r="E748">
        <v>0.15744310409153001</v>
      </c>
      <c r="F748">
        <v>-0.39954838709677398</v>
      </c>
      <c r="G748">
        <v>-0.48294444444444401</v>
      </c>
      <c r="H748">
        <v>-0.8448833333333331</v>
      </c>
      <c r="I748">
        <v>-0.90920000000000001</v>
      </c>
    </row>
    <row r="749" spans="1:9" x14ac:dyDescent="0.25">
      <c r="A749" s="1" t="s">
        <v>761</v>
      </c>
      <c r="B749" t="str">
        <f>HYPERLINK("https://www.suredividend.com/sure-analysis-research-database/","Marinemax, Inc.")</f>
        <v>Marinemax, Inc.</v>
      </c>
      <c r="C749">
        <v>-9.1018685955394002E-2</v>
      </c>
      <c r="D749">
        <v>-0.18902930895401901</v>
      </c>
      <c r="E749">
        <v>7.9455977093772001E-2</v>
      </c>
      <c r="F749">
        <v>-3.3952594490711002E-2</v>
      </c>
      <c r="G749">
        <v>-6.3354037267079999E-2</v>
      </c>
      <c r="H749">
        <v>-0.44711274060494899</v>
      </c>
      <c r="I749">
        <v>0.214170692431562</v>
      </c>
    </row>
    <row r="750" spans="1:9" x14ac:dyDescent="0.25">
      <c r="A750" s="1" t="s">
        <v>762</v>
      </c>
      <c r="B750" t="str">
        <f>HYPERLINK("https://www.suredividend.com/sure-analysis-research-database/","Integral Ad Science Holding Corp")</f>
        <v>Integral Ad Science Holding Corp</v>
      </c>
      <c r="C750">
        <v>0.13107996702390701</v>
      </c>
      <c r="D750">
        <v>-9.5583388266315003E-2</v>
      </c>
      <c r="E750">
        <v>-0.13764927718416001</v>
      </c>
      <c r="F750">
        <v>0.56086461888509709</v>
      </c>
      <c r="G750">
        <v>0.89241379310344804</v>
      </c>
      <c r="H750">
        <v>-0.44</v>
      </c>
      <c r="I750">
        <v>-0.33333333333333298</v>
      </c>
    </row>
    <row r="751" spans="1:9" x14ac:dyDescent="0.25">
      <c r="A751" s="1" t="s">
        <v>763</v>
      </c>
      <c r="B751" t="str">
        <f>HYPERLINK("https://www.suredividend.com/sure-analysis-research-database/","Independent Bank Corporation (Ionia, MI)")</f>
        <v>Independent Bank Corporation (Ionia, MI)</v>
      </c>
      <c r="C751">
        <v>0.20688468947802899</v>
      </c>
      <c r="D751">
        <v>3.0761245335866001E-2</v>
      </c>
      <c r="E751">
        <v>0.40586388833233111</v>
      </c>
      <c r="F751">
        <v>-4.2964310070470003E-2</v>
      </c>
      <c r="G751">
        <v>-1.5388933065157E-2</v>
      </c>
      <c r="H751">
        <v>2.4365793482016E-2</v>
      </c>
      <c r="I751">
        <v>0.18348185421527499</v>
      </c>
    </row>
    <row r="752" spans="1:9" x14ac:dyDescent="0.25">
      <c r="A752" s="1" t="s">
        <v>764</v>
      </c>
      <c r="B752" t="str">
        <f>HYPERLINK("https://www.suredividend.com/sure-analysis-research-database/","IBEX Ltd")</f>
        <v>IBEX Ltd</v>
      </c>
      <c r="C752">
        <v>0.113972955569864</v>
      </c>
      <c r="D752">
        <v>-0.13586413586413501</v>
      </c>
      <c r="E752">
        <v>-0.102231447846393</v>
      </c>
      <c r="F752">
        <v>-0.30382293762575402</v>
      </c>
      <c r="G752">
        <v>-0.13456728364182</v>
      </c>
      <c r="H752">
        <v>-3.8888888888888001E-2</v>
      </c>
      <c r="I752">
        <v>0.123376623376623</v>
      </c>
    </row>
    <row r="753" spans="1:9" x14ac:dyDescent="0.25">
      <c r="A753" s="1" t="s">
        <v>765</v>
      </c>
      <c r="B753" t="str">
        <f>HYPERLINK("https://www.suredividend.com/sure-analysis-IBOC/","International Bancshares Corp.")</f>
        <v>International Bancshares Corp.</v>
      </c>
      <c r="C753">
        <v>0.11072179397336999</v>
      </c>
      <c r="D753">
        <v>1.1644011939738999E-2</v>
      </c>
      <c r="E753">
        <v>0.211313746818868</v>
      </c>
      <c r="F753">
        <v>8.2196893833184001E-2</v>
      </c>
      <c r="G753">
        <v>-1.8407694197354E-2</v>
      </c>
      <c r="H753">
        <v>0.13419791574734199</v>
      </c>
      <c r="I753">
        <v>0.41626606144003397</v>
      </c>
    </row>
    <row r="754" spans="1:9" x14ac:dyDescent="0.25">
      <c r="A754" s="1" t="s">
        <v>766</v>
      </c>
      <c r="B754" t="str">
        <f>HYPERLINK("https://www.suredividend.com/sure-analysis-research-database/","Installed Building Products Inc")</f>
        <v>Installed Building Products Inc</v>
      </c>
      <c r="C754">
        <v>3.9813814313024012E-2</v>
      </c>
      <c r="D754">
        <v>-0.18626048640937901</v>
      </c>
      <c r="E754">
        <v>0.122028440864796</v>
      </c>
      <c r="F754">
        <v>0.47356765925367511</v>
      </c>
      <c r="G754">
        <v>0.57543381100083402</v>
      </c>
      <c r="H754">
        <v>-8.6196990673410006E-3</v>
      </c>
      <c r="I754">
        <v>2.6956836423901711</v>
      </c>
    </row>
    <row r="755" spans="1:9" x14ac:dyDescent="0.25">
      <c r="A755" s="1" t="s">
        <v>767</v>
      </c>
      <c r="B755" t="str">
        <f>HYPERLINK("https://www.suredividend.com/sure-analysis-research-database/","ImmunityBio Inc")</f>
        <v>ImmunityBio Inc</v>
      </c>
      <c r="C755">
        <v>1.6978417266187049</v>
      </c>
      <c r="D755">
        <v>0.86567164179104505</v>
      </c>
      <c r="E755">
        <v>-3.1007751937984E-2</v>
      </c>
      <c r="F755">
        <v>-0.26035502958579798</v>
      </c>
      <c r="G755">
        <v>-0.25447316103379702</v>
      </c>
      <c r="H755">
        <v>-0.56546929316338301</v>
      </c>
      <c r="I755">
        <v>0.536885245901639</v>
      </c>
    </row>
    <row r="756" spans="1:9" x14ac:dyDescent="0.25">
      <c r="A756" s="1" t="s">
        <v>768</v>
      </c>
      <c r="B756" t="str">
        <f>HYPERLINK("https://www.suredividend.com/sure-analysis-research-database/","Independent Bank Group Inc")</f>
        <v>Independent Bank Group Inc</v>
      </c>
      <c r="C756">
        <v>2.7468790334240999E-2</v>
      </c>
      <c r="D756">
        <v>-0.11132830594208</v>
      </c>
      <c r="E756">
        <v>0.31731181872800601</v>
      </c>
      <c r="F756">
        <v>-0.31654349487274003</v>
      </c>
      <c r="G756">
        <v>-0.34687360634027897</v>
      </c>
      <c r="H756">
        <v>-0.40737011026282899</v>
      </c>
      <c r="I756">
        <v>-0.24203664378487799</v>
      </c>
    </row>
    <row r="757" spans="1:9" x14ac:dyDescent="0.25">
      <c r="A757" s="1" t="s">
        <v>769</v>
      </c>
      <c r="B757" t="str">
        <f>HYPERLINK("https://www.suredividend.com/sure-analysis-research-database/","ICF International, Inc")</f>
        <v>ICF International, Inc</v>
      </c>
      <c r="C757">
        <v>3.7110505000412998E-2</v>
      </c>
      <c r="D757">
        <v>-1.4304679460491E-2</v>
      </c>
      <c r="E757">
        <v>0.13562316280282</v>
      </c>
      <c r="F757">
        <v>0.27407936901188701</v>
      </c>
      <c r="G757">
        <v>0.19765622837551899</v>
      </c>
      <c r="H757">
        <v>0.21686897711436801</v>
      </c>
      <c r="I757">
        <v>0.75683981647548304</v>
      </c>
    </row>
    <row r="758" spans="1:9" x14ac:dyDescent="0.25">
      <c r="A758" s="1" t="s">
        <v>770</v>
      </c>
      <c r="B758" t="str">
        <f>HYPERLINK("https://www.suredividend.com/sure-analysis-research-database/","Ichor Holdings Ltd")</f>
        <v>Ichor Holdings Ltd</v>
      </c>
      <c r="C758">
        <v>-0.12604480106987601</v>
      </c>
      <c r="D758">
        <v>-0.27969137503444402</v>
      </c>
      <c r="E758">
        <v>-4.4241316270566003E-2</v>
      </c>
      <c r="F758">
        <v>-2.5354213273675999E-2</v>
      </c>
      <c r="G758">
        <v>4.6437149719775001E-2</v>
      </c>
      <c r="H758">
        <v>-0.43284877413755601</v>
      </c>
      <c r="I758">
        <v>0.34672849046882998</v>
      </c>
    </row>
    <row r="759" spans="1:9" x14ac:dyDescent="0.25">
      <c r="A759" s="1" t="s">
        <v>771</v>
      </c>
      <c r="B759" t="str">
        <f>HYPERLINK("https://www.suredividend.com/sure-analysis-research-database/","Intercept Pharmaceuticals Inc")</f>
        <v>Intercept Pharmaceuticals Inc</v>
      </c>
      <c r="C759">
        <v>1.7148981779205999E-2</v>
      </c>
      <c r="D759">
        <v>0.74930875576036804</v>
      </c>
      <c r="E759">
        <v>0.18773466833541899</v>
      </c>
      <c r="F759">
        <v>0.53435731608730808</v>
      </c>
      <c r="G759">
        <v>0.27639542703429698</v>
      </c>
      <c r="H759">
        <v>-5.7621791513880003E-3</v>
      </c>
      <c r="I759">
        <v>-0.82674577818347705</v>
      </c>
    </row>
    <row r="760" spans="1:9" x14ac:dyDescent="0.25">
      <c r="A760" s="1" t="s">
        <v>772</v>
      </c>
      <c r="B760" t="str">
        <f>HYPERLINK("https://www.suredividend.com/sure-analysis-research-database/","Icosavax Inc")</f>
        <v>Icosavax Inc</v>
      </c>
      <c r="C760">
        <v>-5.9681697612732003E-2</v>
      </c>
      <c r="D760">
        <v>-0.190639269406392</v>
      </c>
      <c r="E760">
        <v>9.4135802469135013E-2</v>
      </c>
      <c r="F760">
        <v>-0.10705289672543999</v>
      </c>
      <c r="G760">
        <v>1.379194630872483</v>
      </c>
      <c r="H760">
        <v>-0.79079374446739403</v>
      </c>
      <c r="I760">
        <v>-0.7972547898198451</v>
      </c>
    </row>
    <row r="761" spans="1:9" x14ac:dyDescent="0.25">
      <c r="A761" s="1" t="s">
        <v>773</v>
      </c>
      <c r="B761" t="str">
        <f>HYPERLINK("https://www.suredividend.com/sure-analysis-research-database/","Interdigital Inc")</f>
        <v>Interdigital Inc</v>
      </c>
      <c r="C761">
        <v>7.0568707476165005E-2</v>
      </c>
      <c r="D761">
        <v>3.7359255826200002E-3</v>
      </c>
      <c r="E761">
        <v>0.18376769131311699</v>
      </c>
      <c r="F761">
        <v>0.77370640824971904</v>
      </c>
      <c r="G761">
        <v>0.81628934619543403</v>
      </c>
      <c r="H761">
        <v>0.25048726944461502</v>
      </c>
      <c r="I761">
        <v>0.29586123213881599</v>
      </c>
    </row>
    <row r="762" spans="1:9" x14ac:dyDescent="0.25">
      <c r="A762" s="1" t="s">
        <v>774</v>
      </c>
      <c r="B762" t="str">
        <f>HYPERLINK("https://www.suredividend.com/sure-analysis-research-database/","IDT Corp.")</f>
        <v>IDT Corp.</v>
      </c>
      <c r="C762">
        <v>7.307121661721E-2</v>
      </c>
      <c r="D762">
        <v>0.253466204506065</v>
      </c>
      <c r="E762">
        <v>-0.10929802955664999</v>
      </c>
      <c r="F762">
        <v>2.6979055733048998E-2</v>
      </c>
      <c r="G762">
        <v>0.209448160535117</v>
      </c>
      <c r="H762">
        <v>-0.47808046184376601</v>
      </c>
      <c r="I762">
        <v>3.1035460992907802</v>
      </c>
    </row>
    <row r="763" spans="1:9" x14ac:dyDescent="0.25">
      <c r="A763" s="1" t="s">
        <v>775</v>
      </c>
      <c r="B763" t="str">
        <f>HYPERLINK("https://www.suredividend.com/sure-analysis-research-database/","Ideaya Biosciences Inc")</f>
        <v>Ideaya Biosciences Inc</v>
      </c>
      <c r="C763">
        <v>0.136577708006279</v>
      </c>
      <c r="D763">
        <v>0.31816112881201603</v>
      </c>
      <c r="E763">
        <v>0.52421052631578902</v>
      </c>
      <c r="F763">
        <v>0.59383599339570703</v>
      </c>
      <c r="G763">
        <v>0.69654364381956602</v>
      </c>
      <c r="H763">
        <v>0.21834244846445</v>
      </c>
      <c r="I763">
        <v>1.5880250223413761</v>
      </c>
    </row>
    <row r="764" spans="1:9" x14ac:dyDescent="0.25">
      <c r="A764" s="1" t="s">
        <v>776</v>
      </c>
      <c r="B764" t="str">
        <f>HYPERLINK("https://www.suredividend.com/sure-analysis-research-database/","Ivanhoe Electric Inc")</f>
        <v>Ivanhoe Electric Inc</v>
      </c>
      <c r="C764">
        <v>1.7757009345793998E-2</v>
      </c>
      <c r="D764">
        <v>-0.32984615384615301</v>
      </c>
      <c r="E764">
        <v>-9.0984974958263007E-2</v>
      </c>
      <c r="F764">
        <v>-0.10370370370370301</v>
      </c>
      <c r="G764">
        <v>1.5858208955223E-2</v>
      </c>
      <c r="H764">
        <v>8.3333333333330002E-3</v>
      </c>
      <c r="I764">
        <v>8.3333333333330002E-3</v>
      </c>
    </row>
    <row r="765" spans="1:9" x14ac:dyDescent="0.25">
      <c r="A765" s="1" t="s">
        <v>777</v>
      </c>
      <c r="B765" t="str">
        <f>HYPERLINK("https://www.suredividend.com/sure-analysis-research-database/","IES Holdings Inc")</f>
        <v>IES Holdings Inc</v>
      </c>
      <c r="C765">
        <v>-0.10671480144404299</v>
      </c>
      <c r="D765">
        <v>-7.1450015010507004E-2</v>
      </c>
      <c r="E765">
        <v>0.43726765799256501</v>
      </c>
      <c r="F765">
        <v>0.739105988192296</v>
      </c>
      <c r="G765">
        <v>0.83506377929397702</v>
      </c>
      <c r="H765">
        <v>0.21222810111699</v>
      </c>
      <c r="I765">
        <v>2.4752808988764041</v>
      </c>
    </row>
    <row r="766" spans="1:9" x14ac:dyDescent="0.25">
      <c r="A766" s="1" t="s">
        <v>778</v>
      </c>
      <c r="B766" t="str">
        <f>HYPERLINK("https://www.suredividend.com/sure-analysis-research-database/","IGM Biosciences Inc")</f>
        <v>IGM Biosciences Inc</v>
      </c>
      <c r="C766">
        <v>-0.17597998331943199</v>
      </c>
      <c r="D766">
        <v>-0.45474613686534199</v>
      </c>
      <c r="E766">
        <v>-0.60731319554848906</v>
      </c>
      <c r="F766">
        <v>-0.70958259847148708</v>
      </c>
      <c r="G766">
        <v>-0.70060606060606001</v>
      </c>
      <c r="H766">
        <v>-0.90672205438066411</v>
      </c>
      <c r="I766">
        <v>-0.79670781893004106</v>
      </c>
    </row>
    <row r="767" spans="1:9" x14ac:dyDescent="0.25">
      <c r="A767" s="1" t="s">
        <v>779</v>
      </c>
      <c r="B767" t="str">
        <f>HYPERLINK("https://www.suredividend.com/sure-analysis-research-database/","International Game Technology PLC")</f>
        <v>International Game Technology PLC</v>
      </c>
      <c r="C767">
        <v>-6.3745019920318002E-2</v>
      </c>
      <c r="D767">
        <v>-0.126861997752134</v>
      </c>
      <c r="E767">
        <v>0.107911351376835</v>
      </c>
      <c r="F767">
        <v>0.27197196249035799</v>
      </c>
      <c r="G767">
        <v>0.45814804856356811</v>
      </c>
      <c r="H767">
        <v>-4.2454576014505002E-2</v>
      </c>
      <c r="I767">
        <v>0.84839248844754611</v>
      </c>
    </row>
    <row r="768" spans="1:9" x14ac:dyDescent="0.25">
      <c r="A768" s="1" t="s">
        <v>780</v>
      </c>
      <c r="B768" t="str">
        <f>HYPERLINK("https://www.suredividend.com/sure-analysis-research-database/","iHeartMedia Inc")</f>
        <v>iHeartMedia Inc</v>
      </c>
      <c r="C768">
        <v>-7.9189686924493005E-2</v>
      </c>
      <c r="D768">
        <v>-0.44444444444444398</v>
      </c>
      <c r="E768">
        <v>-0.14383561643835599</v>
      </c>
      <c r="F768">
        <v>-0.59216965742251204</v>
      </c>
      <c r="G768">
        <v>-0.6875</v>
      </c>
      <c r="H768">
        <v>-0.8715313463514901</v>
      </c>
      <c r="I768">
        <v>-0.84848484848484806</v>
      </c>
    </row>
    <row r="769" spans="1:9" x14ac:dyDescent="0.25">
      <c r="A769" s="1" t="s">
        <v>781</v>
      </c>
      <c r="B769" t="str">
        <f>HYPERLINK("https://www.suredividend.com/sure-analysis-research-database/","Information Services Group Inc.")</f>
        <v>Information Services Group Inc.</v>
      </c>
      <c r="C769">
        <v>-2.4886877828053999E-2</v>
      </c>
      <c r="D769">
        <v>-0.14975044879761701</v>
      </c>
      <c r="E769">
        <v>-0.11302271978926499</v>
      </c>
      <c r="F769">
        <v>-2.9934728786854999E-2</v>
      </c>
      <c r="G769">
        <v>-5.3558488328684997E-2</v>
      </c>
      <c r="H769">
        <v>-0.44810100647937101</v>
      </c>
      <c r="I769">
        <v>0.12765233772010101</v>
      </c>
    </row>
    <row r="770" spans="1:9" x14ac:dyDescent="0.25">
      <c r="A770" s="1" t="s">
        <v>782</v>
      </c>
      <c r="B770" t="str">
        <f>HYPERLINK("https://www.suredividend.com/sure-analysis-research-database/","Insteel Industries, Inc.")</f>
        <v>Insteel Industries, Inc.</v>
      </c>
      <c r="C770">
        <v>-8.2305795314426E-2</v>
      </c>
      <c r="D770">
        <v>-5.0432042256890013E-2</v>
      </c>
      <c r="E770">
        <v>7.0566785458702999E-2</v>
      </c>
      <c r="F770">
        <v>8.4995571818542004E-2</v>
      </c>
      <c r="G770">
        <v>0.27190152910163601</v>
      </c>
      <c r="H770">
        <v>-0.22205933463469099</v>
      </c>
      <c r="I770">
        <v>0.17958451047440899</v>
      </c>
    </row>
    <row r="771" spans="1:9" x14ac:dyDescent="0.25">
      <c r="A771" s="1" t="s">
        <v>783</v>
      </c>
      <c r="B771" t="str">
        <f>HYPERLINK("https://www.suredividend.com/sure-analysis-research-database/","i3 Verticals Inc")</f>
        <v>i3 Verticals Inc</v>
      </c>
      <c r="C771">
        <v>5.9067357512953007E-2</v>
      </c>
      <c r="D771">
        <v>-0.15010395010395</v>
      </c>
      <c r="E771">
        <v>-9.1151622943530006E-2</v>
      </c>
      <c r="F771">
        <v>-0.16023007395234101</v>
      </c>
      <c r="G771">
        <v>7.1840587309910012E-2</v>
      </c>
      <c r="H771">
        <v>-8.2585278276481003E-2</v>
      </c>
      <c r="I771">
        <v>-3.7664783427494998E-2</v>
      </c>
    </row>
    <row r="772" spans="1:9" x14ac:dyDescent="0.25">
      <c r="A772" s="1" t="s">
        <v>784</v>
      </c>
      <c r="B772" t="str">
        <f>HYPERLINK("https://www.suredividend.com/sure-analysis-IIPR/","Innovative Industrial Properties Inc")</f>
        <v>Innovative Industrial Properties Inc</v>
      </c>
      <c r="C772">
        <v>0.10776632302405501</v>
      </c>
      <c r="D772">
        <v>5.0760918317321997E-2</v>
      </c>
      <c r="E772">
        <v>0.23747591152331299</v>
      </c>
      <c r="F772">
        <v>-0.145709573056195</v>
      </c>
      <c r="G772">
        <v>-0.21384430039556501</v>
      </c>
      <c r="H772">
        <v>-0.65413175009591906</v>
      </c>
      <c r="I772">
        <v>1.50502777320158</v>
      </c>
    </row>
    <row r="773" spans="1:9" x14ac:dyDescent="0.25">
      <c r="A773" s="1" t="s">
        <v>785</v>
      </c>
      <c r="B773" t="str">
        <f>HYPERLINK("https://www.suredividend.com/sure-analysis-ILPT/","Industrial Logistics Properties Trust")</f>
        <v>Industrial Logistics Properties Trust</v>
      </c>
      <c r="C773">
        <v>0.19043002830664199</v>
      </c>
      <c r="D773">
        <v>-0.188646334372852</v>
      </c>
      <c r="E773">
        <v>0.51904997525977203</v>
      </c>
      <c r="F773">
        <v>-4.0205089726755003E-2</v>
      </c>
      <c r="G773">
        <v>-0.249150096607723</v>
      </c>
      <c r="H773">
        <v>-0.8853026776407471</v>
      </c>
      <c r="I773">
        <v>-0.8198779629195021</v>
      </c>
    </row>
    <row r="774" spans="1:9" x14ac:dyDescent="0.25">
      <c r="A774" s="1" t="s">
        <v>786</v>
      </c>
      <c r="B774" t="str">
        <f>HYPERLINK("https://www.suredividend.com/sure-analysis-research-database/","Imax Corp")</f>
        <v>Imax Corp</v>
      </c>
      <c r="C774">
        <v>-1.3763896241397001E-2</v>
      </c>
      <c r="D774">
        <v>-2.8169014084507001E-2</v>
      </c>
      <c r="E774">
        <v>-3.3713692946057999E-2</v>
      </c>
      <c r="F774">
        <v>0.27080491132332801</v>
      </c>
      <c r="G774">
        <v>0.41029523088569197</v>
      </c>
      <c r="H774">
        <v>-5.3834433722702003E-2</v>
      </c>
      <c r="I774">
        <v>-5.7663125948406002E-2</v>
      </c>
    </row>
    <row r="775" spans="1:9" x14ac:dyDescent="0.25">
      <c r="A775" s="1" t="s">
        <v>787</v>
      </c>
      <c r="B775" t="str">
        <f>HYPERLINK("https://www.suredividend.com/sure-analysis-research-database/","Immunogen, Inc.")</f>
        <v>Immunogen, Inc.</v>
      </c>
      <c r="C775">
        <v>7.4538258575197011E-2</v>
      </c>
      <c r="D775">
        <v>-4.5134818288392997E-2</v>
      </c>
      <c r="E775">
        <v>0.226656626506024</v>
      </c>
      <c r="F775">
        <v>2.284274193548387</v>
      </c>
      <c r="G775">
        <v>1.9245960502693</v>
      </c>
      <c r="H775">
        <v>1.3991163475699551</v>
      </c>
      <c r="I775">
        <v>1.873015873015873</v>
      </c>
    </row>
    <row r="776" spans="1:9" x14ac:dyDescent="0.25">
      <c r="A776" s="1" t="s">
        <v>788</v>
      </c>
      <c r="B776" t="str">
        <f>HYPERLINK("https://www.suredividend.com/sure-analysis-research-database/","Ingles Markets, Inc.")</f>
        <v>Ingles Markets, Inc.</v>
      </c>
      <c r="C776">
        <v>4.4383781958965002E-2</v>
      </c>
      <c r="D776">
        <v>-1.3617099532722001E-2</v>
      </c>
      <c r="E776">
        <v>-1.9954486021892998E-2</v>
      </c>
      <c r="F776">
        <v>-0.13206028503308301</v>
      </c>
      <c r="G776">
        <v>-9.5978417305556007E-2</v>
      </c>
      <c r="H776">
        <v>0.12438012760217</v>
      </c>
      <c r="I776">
        <v>1.681713699466254</v>
      </c>
    </row>
    <row r="777" spans="1:9" x14ac:dyDescent="0.25">
      <c r="A777" s="1" t="s">
        <v>789</v>
      </c>
      <c r="B777" t="str">
        <f>HYPERLINK("https://www.suredividend.com/sure-analysis-research-database/","Immunovant Inc")</f>
        <v>Immunovant Inc</v>
      </c>
      <c r="C777">
        <v>-5.8806233460700008E-4</v>
      </c>
      <c r="D777">
        <v>0.55205479452054806</v>
      </c>
      <c r="E777">
        <v>0.78894736842105206</v>
      </c>
      <c r="F777">
        <v>0.91492957746478809</v>
      </c>
      <c r="G777">
        <v>1.8207468879668041</v>
      </c>
      <c r="H777">
        <v>2.8979357798165131</v>
      </c>
      <c r="I777">
        <v>2.4160804020100501</v>
      </c>
    </row>
    <row r="778" spans="1:9" x14ac:dyDescent="0.25">
      <c r="A778" s="1" t="s">
        <v>790</v>
      </c>
      <c r="B778" t="str">
        <f>HYPERLINK("https://www.suredividend.com/sure-analysis-research-database/","International Money Express Inc.")</f>
        <v>International Money Express Inc.</v>
      </c>
      <c r="C778">
        <v>1.2696493349454999E-2</v>
      </c>
      <c r="D778">
        <v>-0.12532637075718001</v>
      </c>
      <c r="E778">
        <v>-0.331070287539936</v>
      </c>
      <c r="F778">
        <v>-0.31267952400492399</v>
      </c>
      <c r="G778">
        <v>-0.31827431827431801</v>
      </c>
      <c r="H778">
        <v>4.1966426858510014E-3</v>
      </c>
      <c r="I778">
        <v>0.40167364016736401</v>
      </c>
    </row>
    <row r="779" spans="1:9" x14ac:dyDescent="0.25">
      <c r="A779" s="1" t="s">
        <v>791</v>
      </c>
      <c r="B779" t="str">
        <f>HYPERLINK("https://www.suredividend.com/sure-analysis-research-database/","First Internet Bancorp")</f>
        <v>First Internet Bancorp</v>
      </c>
      <c r="C779">
        <v>6.1334936861094008E-2</v>
      </c>
      <c r="D779">
        <v>-0.215492794979154</v>
      </c>
      <c r="E779">
        <v>0.63824869821881003</v>
      </c>
      <c r="F779">
        <v>-0.25929034559456099</v>
      </c>
      <c r="G779">
        <v>-0.28848433053027001</v>
      </c>
      <c r="H779">
        <v>-0.58044817168108309</v>
      </c>
      <c r="I779">
        <v>-0.27260588426809301</v>
      </c>
    </row>
    <row r="780" spans="1:9" x14ac:dyDescent="0.25">
      <c r="A780" s="1" t="s">
        <v>792</v>
      </c>
      <c r="B780" t="str">
        <f>HYPERLINK("https://www.suredividend.com/sure-analysis-research-database/","Inhibrx Inc")</f>
        <v>Inhibrx Inc</v>
      </c>
      <c r="C780">
        <v>2.4746906636670001E-2</v>
      </c>
      <c r="D780">
        <v>-0.115533980582524</v>
      </c>
      <c r="E780">
        <v>-0.32292827945001801</v>
      </c>
      <c r="F780">
        <v>-0.26055194805194798</v>
      </c>
      <c r="G780">
        <v>-0.41130856219709211</v>
      </c>
      <c r="H780">
        <v>-0.59000900090009001</v>
      </c>
      <c r="I780">
        <v>-0.116820164808531</v>
      </c>
    </row>
    <row r="781" spans="1:9" x14ac:dyDescent="0.25">
      <c r="A781" s="1" t="s">
        <v>793</v>
      </c>
      <c r="B781" t="str">
        <f>HYPERLINK("https://www.suredividend.com/sure-analysis-research-database/","Independent Bank Corp.")</f>
        <v>Independent Bank Corp.</v>
      </c>
      <c r="C781">
        <v>0.13334733305333901</v>
      </c>
      <c r="D781">
        <v>-6.6869994605585001E-2</v>
      </c>
      <c r="E781">
        <v>0.18399663031531499</v>
      </c>
      <c r="F781">
        <v>-0.32455010681795099</v>
      </c>
      <c r="G781">
        <v>-0.33738652575438699</v>
      </c>
      <c r="H781">
        <v>-0.34178351421989001</v>
      </c>
      <c r="I781">
        <v>-0.206603551687639</v>
      </c>
    </row>
    <row r="782" spans="1:9" x14ac:dyDescent="0.25">
      <c r="A782" s="1" t="s">
        <v>794</v>
      </c>
      <c r="B782" t="str">
        <f>HYPERLINK("https://www.suredividend.com/sure-analysis-research-database/","Indie Semiconductor Inc")</f>
        <v>Indie Semiconductor Inc</v>
      </c>
      <c r="C782">
        <v>-9.8275862068965006E-2</v>
      </c>
      <c r="D782">
        <v>-0.40500568828213801</v>
      </c>
      <c r="E782">
        <v>-0.33120204603580511</v>
      </c>
      <c r="F782">
        <v>-0.102915951972555</v>
      </c>
      <c r="G782">
        <v>-0.31901041666666602</v>
      </c>
      <c r="H782">
        <v>-0.59520123839009209</v>
      </c>
      <c r="I782">
        <v>-0.51394052044609606</v>
      </c>
    </row>
    <row r="783" spans="1:9" x14ac:dyDescent="0.25">
      <c r="A783" s="1" t="s">
        <v>795</v>
      </c>
      <c r="B783" t="str">
        <f>HYPERLINK("https://www.suredividend.com/sure-analysis-research-database/","INDUS Realty Trust Inc")</f>
        <v>INDUS Realty Trust Inc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s="1" t="s">
        <v>796</v>
      </c>
      <c r="B784" t="str">
        <f>HYPERLINK("https://www.suredividend.com/sure-analysis-research-database/","Infinera Corp.")</f>
        <v>Infinera Corp.</v>
      </c>
      <c r="C784">
        <v>-0.20802005012531299</v>
      </c>
      <c r="D784">
        <v>-0.21197007481296701</v>
      </c>
      <c r="E784">
        <v>-0.41263940520446002</v>
      </c>
      <c r="F784">
        <v>-0.53115727002967306</v>
      </c>
      <c r="G784">
        <v>-0.50625000000000009</v>
      </c>
      <c r="H784">
        <v>-0.64374295377677504</v>
      </c>
      <c r="I784">
        <v>-0.48281505728314211</v>
      </c>
    </row>
    <row r="785" spans="1:9" x14ac:dyDescent="0.25">
      <c r="A785" s="1" t="s">
        <v>797</v>
      </c>
      <c r="B785" t="str">
        <f>HYPERLINK("https://www.suredividend.com/sure-analysis-research-database/","Inogen Inc")</f>
        <v>Inogen Inc</v>
      </c>
      <c r="C785">
        <v>7.8947368421052003E-2</v>
      </c>
      <c r="D785">
        <v>-0.29776021080368897</v>
      </c>
      <c r="E785">
        <v>-0.612363636363636</v>
      </c>
      <c r="F785">
        <v>-0.72957889396245501</v>
      </c>
      <c r="G785">
        <v>-0.74238762687288506</v>
      </c>
      <c r="H785">
        <v>-0.86291152263374404</v>
      </c>
      <c r="I785">
        <v>-0.97256819351518209</v>
      </c>
    </row>
    <row r="786" spans="1:9" x14ac:dyDescent="0.25">
      <c r="A786" s="1" t="s">
        <v>798</v>
      </c>
      <c r="B786" t="str">
        <f>HYPERLINK("https://www.suredividend.com/sure-analysis-research-database/","Summit Hotel Properties Inc")</f>
        <v>Summit Hotel Properties Inc</v>
      </c>
      <c r="C786">
        <v>5.8043117744609997E-2</v>
      </c>
      <c r="D786">
        <v>0.11167256189994899</v>
      </c>
      <c r="E786">
        <v>-1.5902885965046999E-2</v>
      </c>
      <c r="F786">
        <v>-9.4560265671345012E-2</v>
      </c>
      <c r="G786">
        <v>-0.172621286197818</v>
      </c>
      <c r="H786">
        <v>-0.36058689704246311</v>
      </c>
      <c r="I786">
        <v>-0.35882618963871099</v>
      </c>
    </row>
    <row r="787" spans="1:9" x14ac:dyDescent="0.25">
      <c r="A787" s="1" t="s">
        <v>799</v>
      </c>
      <c r="B787" t="str">
        <f>HYPERLINK("https://www.suredividend.com/sure-analysis-research-database/","InnovAge Holding Corp")</f>
        <v>InnovAge Holding Corp</v>
      </c>
      <c r="C787">
        <v>-6.3973063973064001E-2</v>
      </c>
      <c r="D787">
        <v>-0.195369030390738</v>
      </c>
      <c r="E787">
        <v>-0.14984709480122299</v>
      </c>
      <c r="F787">
        <v>-0.22562674094707499</v>
      </c>
      <c r="G787">
        <v>-0.17384843982169401</v>
      </c>
      <c r="H787">
        <v>-0.17138599105812199</v>
      </c>
      <c r="I787">
        <v>-0.77024793388429702</v>
      </c>
    </row>
    <row r="788" spans="1:9" x14ac:dyDescent="0.25">
      <c r="A788" s="1" t="s">
        <v>800</v>
      </c>
      <c r="B788" t="str">
        <f>HYPERLINK("https://www.suredividend.com/sure-analysis-research-database/","Inovio Pharmaceuticals Inc")</f>
        <v>Inovio Pharmaceuticals Inc</v>
      </c>
      <c r="C788">
        <v>6.1542596076323001E-2</v>
      </c>
      <c r="D788">
        <v>-0.130530486462689</v>
      </c>
      <c r="E788">
        <v>-0.52196538787365299</v>
      </c>
      <c r="F788">
        <v>-0.74679487179487103</v>
      </c>
      <c r="G788">
        <v>-0.81279620853080503</v>
      </c>
      <c r="H788">
        <v>-0.94420903954802204</v>
      </c>
      <c r="I788">
        <v>-0.92330097087378604</v>
      </c>
    </row>
    <row r="789" spans="1:9" x14ac:dyDescent="0.25">
      <c r="A789" s="1" t="s">
        <v>801</v>
      </c>
      <c r="B789" t="str">
        <f>HYPERLINK("https://www.suredividend.com/sure-analysis-research-database/","Inspired Entertainment Inc")</f>
        <v>Inspired Entertainment Inc</v>
      </c>
      <c r="C789">
        <v>-5.7657657657657013E-2</v>
      </c>
      <c r="D789">
        <v>-0.208774583963691</v>
      </c>
      <c r="E789">
        <v>-0.14050944946589899</v>
      </c>
      <c r="F789">
        <v>-0.174427782162588</v>
      </c>
      <c r="G789">
        <v>5.5499495459132013E-2</v>
      </c>
      <c r="H789">
        <v>-0.26596491228070102</v>
      </c>
      <c r="I789">
        <v>0.66295707472178</v>
      </c>
    </row>
    <row r="790" spans="1:9" x14ac:dyDescent="0.25">
      <c r="A790" s="1" t="s">
        <v>802</v>
      </c>
      <c r="B790" t="str">
        <f>HYPERLINK("https://www.suredividend.com/sure-analysis-research-database/","Inseego Corp")</f>
        <v>Inseego Corp</v>
      </c>
      <c r="C790">
        <v>-0.10294117647058799</v>
      </c>
      <c r="D790">
        <v>-0.57228000467453499</v>
      </c>
      <c r="E790">
        <v>-0.55636363636363606</v>
      </c>
      <c r="F790">
        <v>-0.56557863501483607</v>
      </c>
      <c r="G790">
        <v>-0.76387096774193508</v>
      </c>
      <c r="H790">
        <v>-0.94625550660792912</v>
      </c>
      <c r="I790">
        <v>-0.90240000000000009</v>
      </c>
    </row>
    <row r="791" spans="1:9" x14ac:dyDescent="0.25">
      <c r="A791" s="1" t="s">
        <v>803</v>
      </c>
      <c r="B791" t="str">
        <f>HYPERLINK("https://www.suredividend.com/sure-analysis-research-database/","Insmed Inc")</f>
        <v>Insmed Inc</v>
      </c>
      <c r="C791">
        <v>2.8985507246376E-2</v>
      </c>
      <c r="D791">
        <v>0.130059117780809</v>
      </c>
      <c r="E791">
        <v>0.27044989775051098</v>
      </c>
      <c r="F791">
        <v>0.243743743743743</v>
      </c>
      <c r="G791">
        <v>0.36538461538461497</v>
      </c>
      <c r="H791">
        <v>-0.25710014947683102</v>
      </c>
      <c r="I791">
        <v>0.52173913043478204</v>
      </c>
    </row>
    <row r="792" spans="1:9" x14ac:dyDescent="0.25">
      <c r="A792" s="1" t="s">
        <v>804</v>
      </c>
      <c r="B792" t="str">
        <f>HYPERLINK("https://www.suredividend.com/sure-analysis-research-database/","Inspire Medical Systems Inc")</f>
        <v>Inspire Medical Systems Inc</v>
      </c>
      <c r="C792">
        <v>-8.4088946459412006E-2</v>
      </c>
      <c r="D792">
        <v>-0.38778455211226898</v>
      </c>
      <c r="E792">
        <v>-0.36477634287853211</v>
      </c>
      <c r="F792">
        <v>-0.32626647609972997</v>
      </c>
      <c r="G792">
        <v>-0.18208983998457601</v>
      </c>
      <c r="H792">
        <v>-0.39086112207904011</v>
      </c>
      <c r="I792">
        <v>2.7190444882752569</v>
      </c>
    </row>
    <row r="793" spans="1:9" x14ac:dyDescent="0.25">
      <c r="A793" s="1" t="s">
        <v>805</v>
      </c>
      <c r="B793" t="str">
        <f>HYPERLINK("https://www.suredividend.com/sure-analysis-research-database/","Instructure Holdings Inc")</f>
        <v>Instructure Holdings Inc</v>
      </c>
      <c r="C793">
        <v>-5.7285659361783002E-2</v>
      </c>
      <c r="D793">
        <v>-7.7501881113619012E-2</v>
      </c>
      <c r="E793">
        <v>-4.4799376704323997E-2</v>
      </c>
      <c r="F793">
        <v>4.6075085324230998E-2</v>
      </c>
      <c r="G793">
        <v>9.6601073345259011E-2</v>
      </c>
      <c r="H793">
        <v>-5.9815950920244998E-2</v>
      </c>
      <c r="I793">
        <v>0.168732125834127</v>
      </c>
    </row>
    <row r="794" spans="1:9" x14ac:dyDescent="0.25">
      <c r="A794" s="1" t="s">
        <v>806</v>
      </c>
      <c r="B794" t="str">
        <f>HYPERLINK("https://www.suredividend.com/sure-analysis-research-database/","International Seaways Inc")</f>
        <v>International Seaways Inc</v>
      </c>
      <c r="C794">
        <v>0.20820112277276001</v>
      </c>
      <c r="D794">
        <v>0.129237205970585</v>
      </c>
      <c r="E794">
        <v>0.38311813505380199</v>
      </c>
      <c r="F794">
        <v>0.34879589312086801</v>
      </c>
      <c r="G794">
        <v>0.11412462440495599</v>
      </c>
      <c r="H794">
        <v>1.7275582567872121</v>
      </c>
      <c r="I794">
        <v>1.549023646700173</v>
      </c>
    </row>
    <row r="795" spans="1:9" x14ac:dyDescent="0.25">
      <c r="A795" s="1" t="s">
        <v>807</v>
      </c>
      <c r="B795" t="str">
        <f>HYPERLINK("https://www.suredividend.com/sure-analysis-research-database/","Intapp Inc")</f>
        <v>Intapp Inc</v>
      </c>
      <c r="C795">
        <v>8.3094555873919999E-3</v>
      </c>
      <c r="D795">
        <v>-2.8973509933774001E-2</v>
      </c>
      <c r="E795">
        <v>-4.9689440993787998E-2</v>
      </c>
      <c r="F795">
        <v>0.41098636728147497</v>
      </c>
      <c r="G795">
        <v>0.70908207867897011</v>
      </c>
      <c r="H795">
        <v>0.180872483221476</v>
      </c>
      <c r="I795">
        <v>0.25678571428571401</v>
      </c>
    </row>
    <row r="796" spans="1:9" x14ac:dyDescent="0.25">
      <c r="A796" s="1" t="s">
        <v>808</v>
      </c>
      <c r="B796" t="str">
        <f>HYPERLINK("https://www.suredividend.com/sure-analysis-research-database/","Innoviva Inc")</f>
        <v>Innoviva Inc</v>
      </c>
      <c r="C796">
        <v>4.0458015267174997E-2</v>
      </c>
      <c r="D796">
        <v>4.4215180545320006E-3</v>
      </c>
      <c r="E796">
        <v>0.170962199312714</v>
      </c>
      <c r="F796">
        <v>2.8679245283018E-2</v>
      </c>
      <c r="G796">
        <v>5.0077041602464997E-2</v>
      </c>
      <c r="H796">
        <v>-0.23167981961668499</v>
      </c>
      <c r="I796">
        <v>-0.14168765743073</v>
      </c>
    </row>
    <row r="797" spans="1:9" x14ac:dyDescent="0.25">
      <c r="A797" s="1" t="s">
        <v>809</v>
      </c>
      <c r="B797" t="str">
        <f>HYPERLINK("https://www.suredividend.com/sure-analysis-research-database/","Identiv Inc")</f>
        <v>Identiv Inc</v>
      </c>
      <c r="C797">
        <v>-0.243209876543209</v>
      </c>
      <c r="D797">
        <v>-0.27110582639714598</v>
      </c>
      <c r="E797">
        <v>0.20196078431372499</v>
      </c>
      <c r="F797">
        <v>-0.15331491712707099</v>
      </c>
      <c r="G797">
        <v>-0.31584821428571402</v>
      </c>
      <c r="H797">
        <v>-0.74178601516427911</v>
      </c>
      <c r="I797">
        <v>1.8272425249169E-2</v>
      </c>
    </row>
    <row r="798" spans="1:9" x14ac:dyDescent="0.25">
      <c r="A798" s="1" t="s">
        <v>810</v>
      </c>
      <c r="B798" t="str">
        <f>HYPERLINK("https://www.suredividend.com/sure-analysis-research-database/","IonQ Inc")</f>
        <v>IonQ Inc</v>
      </c>
      <c r="C798">
        <v>-0.215978334461746</v>
      </c>
      <c r="D798">
        <v>-0.33410005750431199</v>
      </c>
      <c r="E798">
        <v>1.07899461400359</v>
      </c>
      <c r="F798">
        <v>2.3565217391304341</v>
      </c>
      <c r="G798">
        <v>1.2441860465116279</v>
      </c>
      <c r="H798">
        <v>-0.29519172245891601</v>
      </c>
      <c r="I798">
        <v>0.49805950840879598</v>
      </c>
    </row>
    <row r="799" spans="1:9" x14ac:dyDescent="0.25">
      <c r="A799" s="1" t="s">
        <v>811</v>
      </c>
      <c r="B799" t="str">
        <f>HYPERLINK("https://www.suredividend.com/sure-analysis-research-database/","Innospec Inc")</f>
        <v>Innospec Inc</v>
      </c>
      <c r="C799">
        <v>-4.1679071152120007E-3</v>
      </c>
      <c r="D799">
        <v>-6.2324799102971007E-2</v>
      </c>
      <c r="E799">
        <v>1.5496054896492001E-2</v>
      </c>
      <c r="F799">
        <v>-1.0567747762315E-2</v>
      </c>
      <c r="G799">
        <v>-7.790353566763001E-3</v>
      </c>
      <c r="H799">
        <v>0.14676802259938601</v>
      </c>
      <c r="I799">
        <v>0.578895198176128</v>
      </c>
    </row>
    <row r="800" spans="1:9" x14ac:dyDescent="0.25">
      <c r="A800" s="1" t="s">
        <v>812</v>
      </c>
      <c r="B800" t="str">
        <f>HYPERLINK("https://www.suredividend.com/sure-analysis-research-database/","Iovance Biotherapeutics Inc")</f>
        <v>Iovance Biotherapeutics Inc</v>
      </c>
      <c r="C800">
        <v>2.9339853300733E-2</v>
      </c>
      <c r="D800">
        <v>-0.41850828729281703</v>
      </c>
      <c r="E800">
        <v>-0.38540145985401397</v>
      </c>
      <c r="F800">
        <v>-0.34115805946791811</v>
      </c>
      <c r="G800">
        <v>-0.52696629213483104</v>
      </c>
      <c r="H800">
        <v>-0.82823337413300702</v>
      </c>
      <c r="I800">
        <v>-0.57128309572301406</v>
      </c>
    </row>
    <row r="801" spans="1:9" x14ac:dyDescent="0.25">
      <c r="A801" s="1" t="s">
        <v>813</v>
      </c>
      <c r="B801" t="str">
        <f>HYPERLINK("https://www.suredividend.com/sure-analysis-IPAR/","Inter Parfums, Inc.")</f>
        <v>Inter Parfums, Inc.</v>
      </c>
      <c r="C801">
        <v>-1.3217866909753E-2</v>
      </c>
      <c r="D801">
        <v>-0.106787384454799</v>
      </c>
      <c r="E801">
        <v>-0.110141712843621</v>
      </c>
      <c r="F801">
        <v>0.37764419660753801</v>
      </c>
      <c r="G801">
        <v>0.62043620795473209</v>
      </c>
      <c r="H801">
        <v>0.49355323097300502</v>
      </c>
      <c r="I801">
        <v>1.3587817863550189</v>
      </c>
    </row>
    <row r="802" spans="1:9" x14ac:dyDescent="0.25">
      <c r="A802" s="1" t="s">
        <v>814</v>
      </c>
      <c r="B802" t="str">
        <f>HYPERLINK("https://www.suredividend.com/sure-analysis-research-database/","Intrepid Potash Inc")</f>
        <v>Intrepid Potash Inc</v>
      </c>
      <c r="C802">
        <v>-6.6666666666666E-2</v>
      </c>
      <c r="D802">
        <v>-0.225663716814159</v>
      </c>
      <c r="E802">
        <v>-1.6853932584269E-2</v>
      </c>
      <c r="F802">
        <v>-0.27260131624523698</v>
      </c>
      <c r="G802">
        <v>-0.42004971002485503</v>
      </c>
      <c r="H802">
        <v>-0.55347650435891904</v>
      </c>
      <c r="I802">
        <v>-0.47499999999999998</v>
      </c>
    </row>
    <row r="803" spans="1:9" x14ac:dyDescent="0.25">
      <c r="A803" s="1" t="s">
        <v>815</v>
      </c>
      <c r="B803" t="str">
        <f>HYPERLINK("https://www.suredividend.com/sure-analysis-research-database/","Century Therapeutics Inc")</f>
        <v>Century Therapeutics Inc</v>
      </c>
      <c r="C803">
        <v>-1.1235955056179E-2</v>
      </c>
      <c r="D803">
        <v>-0.41430948419301111</v>
      </c>
      <c r="E803">
        <v>-0.43225806451612903</v>
      </c>
      <c r="F803">
        <v>-0.65692007797270902</v>
      </c>
      <c r="G803">
        <v>-0.82995169082125608</v>
      </c>
      <c r="H803">
        <v>-0.92548687552921205</v>
      </c>
      <c r="I803">
        <v>-0.92290845378887409</v>
      </c>
    </row>
    <row r="804" spans="1:9" x14ac:dyDescent="0.25">
      <c r="A804" s="1" t="s">
        <v>816</v>
      </c>
      <c r="B804" t="str">
        <f>HYPERLINK("https://www.suredividend.com/sure-analysis-research-database/","Irobot Corp")</f>
        <v>Irobot Corp</v>
      </c>
      <c r="C804">
        <v>-0.15128474042999401</v>
      </c>
      <c r="D804">
        <v>-0.17106274007682401</v>
      </c>
      <c r="E804">
        <v>-0.14342418629267001</v>
      </c>
      <c r="F804">
        <v>-0.32744649906503198</v>
      </c>
      <c r="G804">
        <v>-0.40659945004582898</v>
      </c>
      <c r="H804">
        <v>-0.651935483870967</v>
      </c>
      <c r="I804">
        <v>-0.6627422379662431</v>
      </c>
    </row>
    <row r="805" spans="1:9" x14ac:dyDescent="0.25">
      <c r="A805" s="1" t="s">
        <v>817</v>
      </c>
      <c r="B805" t="str">
        <f>HYPERLINK("https://www.suredividend.com/sure-analysis-research-database/","Iridium Communications Inc")</f>
        <v>Iridium Communications Inc</v>
      </c>
      <c r="C805">
        <v>-0.141831238779174</v>
      </c>
      <c r="D805">
        <v>-0.22641517067822101</v>
      </c>
      <c r="E805">
        <v>-0.40060065332020811</v>
      </c>
      <c r="F805">
        <v>-0.24875840824794099</v>
      </c>
      <c r="G805">
        <v>-0.25499043410834499</v>
      </c>
      <c r="H805">
        <v>-8.7575130695795006E-2</v>
      </c>
      <c r="I805">
        <v>0.84843240943937903</v>
      </c>
    </row>
    <row r="806" spans="1:9" x14ac:dyDescent="0.25">
      <c r="A806" s="1" t="s">
        <v>818</v>
      </c>
      <c r="B806" t="str">
        <f>HYPERLINK("https://www.suredividend.com/sure-analysis-research-database/","Iradimed Corp")</f>
        <v>Iradimed Corp</v>
      </c>
      <c r="C806">
        <v>5.5516514406184013E-2</v>
      </c>
      <c r="D806">
        <v>-6.9392812887236005E-2</v>
      </c>
      <c r="E806">
        <v>-2.4675324675324E-2</v>
      </c>
      <c r="F806">
        <v>0.64162574139111905</v>
      </c>
      <c r="G806">
        <v>0.61873798789359302</v>
      </c>
      <c r="H806">
        <v>0.24643854941772</v>
      </c>
      <c r="I806">
        <v>0.84251524184545912</v>
      </c>
    </row>
    <row r="807" spans="1:9" x14ac:dyDescent="0.25">
      <c r="A807" s="1" t="s">
        <v>819</v>
      </c>
      <c r="B807" t="str">
        <f>HYPERLINK("https://www.suredividend.com/sure-analysis-research-database/","IronNet Inc")</f>
        <v>IronNet Inc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s="1" t="s">
        <v>820</v>
      </c>
      <c r="B808" t="str">
        <f>HYPERLINK("https://www.suredividend.com/sure-analysis-IRT/","Independence Realty Trust Inc")</f>
        <v>Independence Realty Trust Inc</v>
      </c>
      <c r="C808">
        <v>-1.464128843338E-3</v>
      </c>
      <c r="D808">
        <v>-0.16078580965096301</v>
      </c>
      <c r="E808">
        <v>-0.15941010803182401</v>
      </c>
      <c r="F808">
        <v>-0.16692623876968901</v>
      </c>
      <c r="G808">
        <v>-0.13894324853228901</v>
      </c>
      <c r="H808">
        <v>-0.39820697444585601</v>
      </c>
      <c r="I808">
        <v>0.7483144915275961</v>
      </c>
    </row>
    <row r="809" spans="1:9" x14ac:dyDescent="0.25">
      <c r="A809" s="1" t="s">
        <v>821</v>
      </c>
      <c r="B809" t="str">
        <f>HYPERLINK("https://www.suredividend.com/sure-analysis-research-database/","iRhythm Technologies Inc")</f>
        <v>iRhythm Technologies Inc</v>
      </c>
      <c r="C809">
        <v>-3.3089515848136013E-2</v>
      </c>
      <c r="D809">
        <v>-0.27771032090199399</v>
      </c>
      <c r="E809">
        <v>-0.37869292748433298</v>
      </c>
      <c r="F809">
        <v>-0.110921319525995</v>
      </c>
      <c r="G809">
        <v>-0.19043452901720601</v>
      </c>
      <c r="H809">
        <v>-0.27475398415048302</v>
      </c>
      <c r="I809">
        <v>1.190765492102E-2</v>
      </c>
    </row>
    <row r="810" spans="1:9" x14ac:dyDescent="0.25">
      <c r="A810" s="1" t="s">
        <v>822</v>
      </c>
      <c r="B810" t="str">
        <f>HYPERLINK("https://www.suredividend.com/sure-analysis-research-database/","Ironwood Pharmaceuticals Inc")</f>
        <v>Ironwood Pharmaceuticals Inc</v>
      </c>
      <c r="C810">
        <v>-1.5544041450777001E-2</v>
      </c>
      <c r="D810">
        <v>-0.14645103324348599</v>
      </c>
      <c r="E810">
        <v>-0.102079395085066</v>
      </c>
      <c r="F810">
        <v>-0.23325262308313099</v>
      </c>
      <c r="G810">
        <v>-0.16446789797713199</v>
      </c>
      <c r="H810">
        <v>-0.24483306836248001</v>
      </c>
      <c r="I810">
        <v>-0.21726305728810399</v>
      </c>
    </row>
    <row r="811" spans="1:9" x14ac:dyDescent="0.25">
      <c r="A811" s="1" t="s">
        <v>823</v>
      </c>
      <c r="B811" t="str">
        <f>HYPERLINK("https://www.suredividend.com/sure-analysis-research-database/","IVERIC bio Inc")</f>
        <v>IVERIC bio Inc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s="1" t="s">
        <v>824</v>
      </c>
      <c r="B812" t="str">
        <f>HYPERLINK("https://www.suredividend.com/sure-analysis-research-database/","Inspirato Incorporated")</f>
        <v>Inspirato Incorporated</v>
      </c>
      <c r="C812">
        <v>-0.62019230769230704</v>
      </c>
      <c r="D812">
        <v>-0.76764705882352902</v>
      </c>
      <c r="E812">
        <v>-0.66913304481362501</v>
      </c>
      <c r="F812">
        <v>-0.80084033613445305</v>
      </c>
      <c r="G812">
        <v>-0.88382352941176412</v>
      </c>
      <c r="H812">
        <v>-0.53208292201382001</v>
      </c>
      <c r="I812">
        <v>-0.54247104247104205</v>
      </c>
    </row>
    <row r="813" spans="1:9" x14ac:dyDescent="0.25">
      <c r="A813" s="1" t="s">
        <v>825</v>
      </c>
      <c r="B813" t="str">
        <f>HYPERLINK("https://www.suredividend.com/sure-analysis-research-database/","Intra-Cellular Therapies Inc")</f>
        <v>Intra-Cellular Therapies Inc</v>
      </c>
      <c r="C813">
        <v>8.0141426045963013E-2</v>
      </c>
      <c r="D813">
        <v>-6.0321257689678012E-2</v>
      </c>
      <c r="E813">
        <v>-0.11263514603840501</v>
      </c>
      <c r="F813">
        <v>3.9115646258503001E-2</v>
      </c>
      <c r="G813">
        <v>7.3604060913704999E-2</v>
      </c>
      <c r="H813">
        <v>0.19465565935259599</v>
      </c>
      <c r="I813">
        <v>1.970826580226904</v>
      </c>
    </row>
    <row r="814" spans="1:9" x14ac:dyDescent="0.25">
      <c r="A814" s="1" t="s">
        <v>826</v>
      </c>
      <c r="B814" t="str">
        <f>HYPERLINK("https://www.suredividend.com/sure-analysis-research-database/","Integer Holdings Corp")</f>
        <v>Integer Holdings Corp</v>
      </c>
      <c r="C814">
        <v>0.112239650295705</v>
      </c>
      <c r="D814">
        <v>-4.8294829482948012E-2</v>
      </c>
      <c r="E814">
        <v>7.1995043370508008E-2</v>
      </c>
      <c r="F814">
        <v>0.26365761028337698</v>
      </c>
      <c r="G814">
        <v>0.35171875000000002</v>
      </c>
      <c r="H814">
        <v>-3.1025985663082001E-2</v>
      </c>
      <c r="I814">
        <v>2.6703061951102999E-2</v>
      </c>
    </row>
    <row r="815" spans="1:9" x14ac:dyDescent="0.25">
      <c r="A815" s="1" t="s">
        <v>827</v>
      </c>
      <c r="B815" t="str">
        <f>HYPERLINK("https://www.suredividend.com/sure-analysis-research-database/","Investors Title Co.")</f>
        <v>Investors Title Co.</v>
      </c>
      <c r="C815">
        <v>3.8434903047090997E-2</v>
      </c>
      <c r="D815">
        <v>-1.1852498144958E-2</v>
      </c>
      <c r="E815">
        <v>4.9953121466166997E-2</v>
      </c>
      <c r="F815">
        <v>3.3067103547149999E-2</v>
      </c>
      <c r="G815">
        <v>2.2789203111133999E-2</v>
      </c>
      <c r="H815">
        <v>-0.292820107961067</v>
      </c>
      <c r="I815">
        <v>-0.137006728412362</v>
      </c>
    </row>
    <row r="816" spans="1:9" x14ac:dyDescent="0.25">
      <c r="A816" s="1" t="s">
        <v>828</v>
      </c>
      <c r="B816" t="str">
        <f>HYPERLINK("https://www.suredividend.com/sure-analysis-research-database/","ITeos Therapeutics Inc")</f>
        <v>ITeos Therapeutics Inc</v>
      </c>
      <c r="C816">
        <v>2.8855721393033999E-2</v>
      </c>
      <c r="D816">
        <v>-0.24082232011747401</v>
      </c>
      <c r="E816">
        <v>-0.26458036984352701</v>
      </c>
      <c r="F816">
        <v>-0.47055811571940598</v>
      </c>
      <c r="G816">
        <v>-0.44764957264957211</v>
      </c>
      <c r="H816">
        <v>-0.64949152542372801</v>
      </c>
      <c r="I816">
        <v>-0.45721784776902802</v>
      </c>
    </row>
    <row r="817" spans="1:9" x14ac:dyDescent="0.25">
      <c r="A817" s="1" t="s">
        <v>829</v>
      </c>
      <c r="B817" t="str">
        <f>HYPERLINK("https://www.suredividend.com/sure-analysis-research-database/","Itron Inc.")</f>
        <v>Itron Inc.</v>
      </c>
      <c r="C817">
        <v>9.9555251453985014E-2</v>
      </c>
      <c r="D817">
        <v>-0.10473537604456799</v>
      </c>
      <c r="E817">
        <v>-2.0121951219512001E-2</v>
      </c>
      <c r="F817">
        <v>0.26910167818361302</v>
      </c>
      <c r="G817">
        <v>0.37497326203208498</v>
      </c>
      <c r="H817">
        <v>-0.17377892030848299</v>
      </c>
      <c r="I817">
        <v>0.180966378835201</v>
      </c>
    </row>
    <row r="818" spans="1:9" x14ac:dyDescent="0.25">
      <c r="A818" s="1" t="s">
        <v>830</v>
      </c>
      <c r="B818" t="str">
        <f>HYPERLINK("https://www.suredividend.com/sure-analysis-research-database/","Invesco Mortgage Capital Inc")</f>
        <v>Invesco Mortgage Capital Inc</v>
      </c>
      <c r="C818">
        <v>-8.5549132947976003E-2</v>
      </c>
      <c r="D818">
        <v>-0.27595928529584002</v>
      </c>
      <c r="E818">
        <v>-0.121755157329069</v>
      </c>
      <c r="F818">
        <v>-0.266832270502743</v>
      </c>
      <c r="G818">
        <v>-0.217009987824554</v>
      </c>
      <c r="H818">
        <v>-0.65445840395603605</v>
      </c>
      <c r="I818">
        <v>-0.86070240504077611</v>
      </c>
    </row>
    <row r="819" spans="1:9" x14ac:dyDescent="0.25">
      <c r="A819" s="1" t="s">
        <v>831</v>
      </c>
      <c r="B819" t="str">
        <f>HYPERLINK("https://www.suredividend.com/sure-analysis-research-database/","InvenTrust Properties Corp")</f>
        <v>InvenTrust Properties Corp</v>
      </c>
      <c r="C819">
        <v>9.6261280618822012E-2</v>
      </c>
      <c r="D819">
        <v>4.8594611925451003E-2</v>
      </c>
      <c r="E819">
        <v>0.16062166736428299</v>
      </c>
      <c r="F819">
        <v>0.108205324251059</v>
      </c>
      <c r="G819">
        <v>5.1468800105517007E-2</v>
      </c>
      <c r="H819">
        <v>0.111871439592386</v>
      </c>
      <c r="I819">
        <v>3.0492063492063499</v>
      </c>
    </row>
    <row r="820" spans="1:9" x14ac:dyDescent="0.25">
      <c r="A820" s="1" t="s">
        <v>832</v>
      </c>
      <c r="B820" t="str">
        <f>HYPERLINK("https://www.suredividend.com/sure-analysis-research-database/","Invivyd Inc")</f>
        <v>Invivyd Inc</v>
      </c>
      <c r="C820">
        <v>-7.8787878787878005E-2</v>
      </c>
      <c r="D820">
        <v>3.4013605442176E-2</v>
      </c>
      <c r="E820">
        <v>0.28813559322033899</v>
      </c>
      <c r="F820">
        <v>1.3333333333332999E-2</v>
      </c>
      <c r="G820">
        <v>-0.57062146892655308</v>
      </c>
      <c r="H820">
        <v>-0.94983498349834905</v>
      </c>
      <c r="I820">
        <v>-0.92720306513409911</v>
      </c>
    </row>
    <row r="821" spans="1:9" x14ac:dyDescent="0.25">
      <c r="A821" s="1" t="s">
        <v>833</v>
      </c>
      <c r="B821" t="str">
        <f>HYPERLINK("https://www.suredividend.com/sure-analysis-JACK/","Jack In The Box, Inc.")</f>
        <v>Jack In The Box, Inc.</v>
      </c>
      <c r="C821">
        <v>2.6133743274404E-2</v>
      </c>
      <c r="D821">
        <v>-0.28962306921146502</v>
      </c>
      <c r="E821">
        <v>-0.26689840365068102</v>
      </c>
      <c r="F821">
        <v>4.2637956507469996E-3</v>
      </c>
      <c r="G821">
        <v>-0.201528280851511</v>
      </c>
      <c r="H821">
        <v>-0.28840608292867498</v>
      </c>
      <c r="I821">
        <v>-6.9593046270845005E-2</v>
      </c>
    </row>
    <row r="822" spans="1:9" x14ac:dyDescent="0.25">
      <c r="A822" s="1" t="s">
        <v>834</v>
      </c>
      <c r="B822" t="str">
        <f>HYPERLINK("https://www.suredividend.com/sure-analysis-research-database/","Janux Therapeutics Inc")</f>
        <v>Janux Therapeutics Inc</v>
      </c>
      <c r="C822">
        <v>-0.30918367346938702</v>
      </c>
      <c r="D822">
        <v>-0.45182186234817812</v>
      </c>
      <c r="E822">
        <v>-0.54101694915254206</v>
      </c>
      <c r="F822">
        <v>-0.48595292331055412</v>
      </c>
      <c r="G822">
        <v>-0.63266413456321202</v>
      </c>
      <c r="H822">
        <v>-0.74644194756554305</v>
      </c>
      <c r="I822">
        <v>-0.73081510934393601</v>
      </c>
    </row>
    <row r="823" spans="1:9" x14ac:dyDescent="0.25">
      <c r="A823" s="1" t="s">
        <v>835</v>
      </c>
      <c r="B823" t="str">
        <f>HYPERLINK("https://www.suredividend.com/sure-analysis-research-database/","Janus International Group Inc")</f>
        <v>Janus International Group Inc</v>
      </c>
      <c r="C823">
        <v>-3.7284894837475997E-2</v>
      </c>
      <c r="D823">
        <v>-8.5376930063578008E-2</v>
      </c>
      <c r="E823">
        <v>0.12639821029082701</v>
      </c>
      <c r="F823">
        <v>5.7773109243697003E-2</v>
      </c>
      <c r="G823">
        <v>0.17777777777777701</v>
      </c>
      <c r="H823">
        <v>-0.28733191790516599</v>
      </c>
      <c r="I823">
        <v>3.0706243602866001E-2</v>
      </c>
    </row>
    <row r="824" spans="1:9" x14ac:dyDescent="0.25">
      <c r="A824" s="1" t="s">
        <v>836</v>
      </c>
      <c r="B824" t="str">
        <f>HYPERLINK("https://www.suredividend.com/sure-analysis-research-database/","Sanfilippo (John B.) &amp; Son, Inc")</f>
        <v>Sanfilippo (John B.) &amp; Son, Inc</v>
      </c>
      <c r="C824">
        <v>-5.3708958248884997E-2</v>
      </c>
      <c r="D824">
        <v>-0.110296380493595</v>
      </c>
      <c r="E824">
        <v>-0.13700686106346399</v>
      </c>
      <c r="F824">
        <v>0.20173838960878501</v>
      </c>
      <c r="G824">
        <v>0.18378150876997201</v>
      </c>
      <c r="H824">
        <v>0.15258053128803101</v>
      </c>
      <c r="I824">
        <v>0.71816121055110604</v>
      </c>
    </row>
    <row r="825" spans="1:9" x14ac:dyDescent="0.25">
      <c r="A825" s="1" t="s">
        <v>837</v>
      </c>
      <c r="B825" t="str">
        <f>HYPERLINK("https://www.suredividend.com/sure-analysis-research-database/","John Bean Technologies Corp")</f>
        <v>John Bean Technologies Corp</v>
      </c>
      <c r="C825">
        <v>4.0741455879513E-2</v>
      </c>
      <c r="D825">
        <v>-2.7847918620589999E-2</v>
      </c>
      <c r="E825">
        <v>4.4920937869854002E-2</v>
      </c>
      <c r="F825">
        <v>0.18361386519099199</v>
      </c>
      <c r="G825">
        <v>0.19530349953374199</v>
      </c>
      <c r="H825">
        <v>-0.32975537936591598</v>
      </c>
      <c r="I825">
        <v>0.22032532197683599</v>
      </c>
    </row>
    <row r="826" spans="1:9" x14ac:dyDescent="0.25">
      <c r="A826" s="1" t="s">
        <v>838</v>
      </c>
      <c r="B826" t="str">
        <f>HYPERLINK("https://www.suredividend.com/sure-analysis-research-database/","JELD-WEN Holding Inc.")</f>
        <v>JELD-WEN Holding Inc.</v>
      </c>
      <c r="C826">
        <v>-2.4653312788906E-2</v>
      </c>
      <c r="D826">
        <v>-0.29627570872706999</v>
      </c>
      <c r="E826">
        <v>7.4702886247877007E-2</v>
      </c>
      <c r="F826">
        <v>0.31191709844559501</v>
      </c>
      <c r="G826">
        <v>0.33685322069693702</v>
      </c>
      <c r="H826">
        <v>-0.52672897196261603</v>
      </c>
      <c r="I826">
        <v>-0.25660598943041601</v>
      </c>
    </row>
    <row r="827" spans="1:9" x14ac:dyDescent="0.25">
      <c r="A827" s="1" t="s">
        <v>839</v>
      </c>
      <c r="B827" t="str">
        <f>HYPERLINK("https://www.suredividend.com/sure-analysis-JJSF/","J&amp;J Snack Foods Corp.")</f>
        <v>J&amp;J Snack Foods Corp.</v>
      </c>
      <c r="C827">
        <v>-7.4654721911160014E-3</v>
      </c>
      <c r="D827">
        <v>-6.8846634009568003E-2</v>
      </c>
      <c r="E827">
        <v>2.2690340980113001E-2</v>
      </c>
      <c r="F827">
        <v>8.9999050333032002E-2</v>
      </c>
      <c r="G827">
        <v>0.11549272139950401</v>
      </c>
      <c r="H827">
        <v>7.8391942815621007E-2</v>
      </c>
      <c r="I827">
        <v>0.120646117039173</v>
      </c>
    </row>
    <row r="828" spans="1:9" x14ac:dyDescent="0.25">
      <c r="A828" s="1" t="s">
        <v>840</v>
      </c>
      <c r="B828" t="str">
        <f>HYPERLINK("https://www.suredividend.com/sure-analysis-research-database/","John Marshall Bancorp Inc")</f>
        <v>John Marshall Bancorp Inc</v>
      </c>
      <c r="C828">
        <v>3.2979318054779001E-2</v>
      </c>
      <c r="D828">
        <v>-6.2404870624048002E-2</v>
      </c>
      <c r="E828">
        <v>0.163398281343448</v>
      </c>
      <c r="F828">
        <v>-0.34392240675390601</v>
      </c>
      <c r="G828">
        <v>-0.35247185460049801</v>
      </c>
      <c r="H828">
        <v>-0.15181501489372401</v>
      </c>
      <c r="I828">
        <v>-0.15181501489372401</v>
      </c>
    </row>
    <row r="829" spans="1:9" x14ac:dyDescent="0.25">
      <c r="A829" s="1" t="s">
        <v>841</v>
      </c>
      <c r="B829" t="str">
        <f>HYPERLINK("https://www.suredividend.com/sure-analysis-research-database/","JOANN Inc")</f>
        <v>JOANN Inc</v>
      </c>
      <c r="C829">
        <v>-0.140779907468605</v>
      </c>
      <c r="D829">
        <v>-0.62043795620437903</v>
      </c>
      <c r="E829">
        <v>-0.7062146892655361</v>
      </c>
      <c r="F829">
        <v>-0.81754385964912202</v>
      </c>
      <c r="G829">
        <v>-0.90095238095238106</v>
      </c>
      <c r="H829">
        <v>-0.94999951922614612</v>
      </c>
      <c r="I829">
        <v>-0.95489047928865711</v>
      </c>
    </row>
    <row r="830" spans="1:9" x14ac:dyDescent="0.25">
      <c r="A830" s="1" t="s">
        <v>842</v>
      </c>
      <c r="B830" t="str">
        <f>HYPERLINK("https://www.suredividend.com/sure-analysis-research-database/","Joby Aviation Inc")</f>
        <v>Joby Aviation Inc</v>
      </c>
      <c r="C830">
        <v>-1.599999999999E-3</v>
      </c>
      <c r="D830">
        <v>-0.23529411764705799</v>
      </c>
      <c r="E830">
        <v>0.46478873239436602</v>
      </c>
      <c r="F830">
        <v>0.86268656716417902</v>
      </c>
      <c r="G830">
        <v>0.36244541484716097</v>
      </c>
      <c r="H830">
        <v>-0.35470527404343299</v>
      </c>
      <c r="I830">
        <v>-0.40571428571428497</v>
      </c>
    </row>
    <row r="831" spans="1:9" x14ac:dyDescent="0.25">
      <c r="A831" s="1" t="s">
        <v>843</v>
      </c>
      <c r="B831" t="str">
        <f>HYPERLINK("https://www.suredividend.com/sure-analysis-research-database/","St. Joe Co.")</f>
        <v>St. Joe Co.</v>
      </c>
      <c r="C831">
        <v>-6.6089248729052003E-2</v>
      </c>
      <c r="D831">
        <v>-0.17669516142418401</v>
      </c>
      <c r="E831">
        <v>0.21018408949506501</v>
      </c>
      <c r="F831">
        <v>0.291848332838472</v>
      </c>
      <c r="G831">
        <v>0.44374068554396401</v>
      </c>
      <c r="H831">
        <v>6.2528517965515007E-2</v>
      </c>
      <c r="I831">
        <v>2.223835584385196</v>
      </c>
    </row>
    <row r="832" spans="1:9" x14ac:dyDescent="0.25">
      <c r="A832" s="1" t="s">
        <v>844</v>
      </c>
      <c r="B832" t="str">
        <f>HYPERLINK("https://www.suredividend.com/sure-analysis-research-database/","Johnson Outdoors Inc")</f>
        <v>Johnson Outdoors Inc</v>
      </c>
      <c r="C832">
        <v>-4.1715574932544013E-2</v>
      </c>
      <c r="D832">
        <v>-0.126397087179629</v>
      </c>
      <c r="E832">
        <v>-8.9640291155807003E-2</v>
      </c>
      <c r="F832">
        <v>-0.21417086353699599</v>
      </c>
      <c r="G832">
        <v>-1.2562389799292001E-2</v>
      </c>
      <c r="H832">
        <v>-0.53247699803564108</v>
      </c>
      <c r="I832">
        <v>-0.28434306564149398</v>
      </c>
    </row>
    <row r="833" spans="1:9" x14ac:dyDescent="0.25">
      <c r="A833" s="1" t="s">
        <v>845</v>
      </c>
      <c r="B833" t="str">
        <f>HYPERLINK("https://www.suredividend.com/sure-analysis-research-database/","James River Group Holdings Ltd")</f>
        <v>James River Group Holdings Ltd</v>
      </c>
      <c r="C833">
        <v>-3.0282637954239001E-2</v>
      </c>
      <c r="D833">
        <v>-0.18051898568609401</v>
      </c>
      <c r="E833">
        <v>-0.27225530152669802</v>
      </c>
      <c r="F833">
        <v>-0.30102493706313999</v>
      </c>
      <c r="G833">
        <v>-0.36176809283373101</v>
      </c>
      <c r="H833">
        <v>-0.51750508946748108</v>
      </c>
      <c r="I833">
        <v>-0.574534674981103</v>
      </c>
    </row>
    <row r="834" spans="1:9" x14ac:dyDescent="0.25">
      <c r="A834" s="1" t="s">
        <v>846</v>
      </c>
      <c r="B834" t="str">
        <f>HYPERLINK("https://www.suredividend.com/sure-analysis-JXN/","Jackson Financial Inc")</f>
        <v>Jackson Financial Inc</v>
      </c>
      <c r="C834">
        <v>0.121595598349381</v>
      </c>
      <c r="D834">
        <v>0.27411027913546698</v>
      </c>
      <c r="E834">
        <v>0.27765190331587802</v>
      </c>
      <c r="F834">
        <v>0.23546203310323099</v>
      </c>
      <c r="G834">
        <v>0.314050705532743</v>
      </c>
      <c r="H834">
        <v>0.69292352154667702</v>
      </c>
      <c r="I834">
        <v>0.296343402225755</v>
      </c>
    </row>
    <row r="835" spans="1:9" x14ac:dyDescent="0.25">
      <c r="A835" s="1" t="s">
        <v>847</v>
      </c>
      <c r="B835" t="str">
        <f>HYPERLINK("https://www.suredividend.com/sure-analysis-research-database/","Joint Corp")</f>
        <v>Joint Corp</v>
      </c>
      <c r="C835">
        <v>-9.507445589919801E-2</v>
      </c>
      <c r="D835">
        <v>-0.40601503759398411</v>
      </c>
      <c r="E835">
        <v>-0.47121820615796511</v>
      </c>
      <c r="F835">
        <v>-0.43490701001430598</v>
      </c>
      <c r="G835">
        <v>-0.44639103013314602</v>
      </c>
      <c r="H835">
        <v>-0.91813471502590605</v>
      </c>
      <c r="I835">
        <v>6.7567567567567002E-2</v>
      </c>
    </row>
    <row r="836" spans="1:9" x14ac:dyDescent="0.25">
      <c r="A836" s="1" t="s">
        <v>848</v>
      </c>
      <c r="B836" t="str">
        <f>HYPERLINK("https://www.suredividend.com/sure-analysis-research-database/","Kadant, Inc.")</f>
        <v>Kadant, Inc.</v>
      </c>
      <c r="C836">
        <v>8.1892521709566013E-2</v>
      </c>
      <c r="D836">
        <v>0.15365805762106299</v>
      </c>
      <c r="E836">
        <v>0.29164046107743202</v>
      </c>
      <c r="F836">
        <v>0.38354062760061303</v>
      </c>
      <c r="G836">
        <v>0.40747003244685098</v>
      </c>
      <c r="H836">
        <v>8.4317570745299011E-2</v>
      </c>
      <c r="I836">
        <v>1.582172769641534</v>
      </c>
    </row>
    <row r="837" spans="1:9" x14ac:dyDescent="0.25">
      <c r="A837" s="1" t="s">
        <v>849</v>
      </c>
      <c r="B837" t="str">
        <f>HYPERLINK("https://www.suredividend.com/sure-analysis-KALU/","Kaiser Aluminum Corp")</f>
        <v>Kaiser Aluminum Corp</v>
      </c>
      <c r="C837">
        <v>-0.12382029831194701</v>
      </c>
      <c r="D837">
        <v>-0.23643524488297399</v>
      </c>
      <c r="E837">
        <v>-1.309667326726E-2</v>
      </c>
      <c r="F837">
        <v>-0.17111900342761799</v>
      </c>
      <c r="G837">
        <v>-0.25045461723012002</v>
      </c>
      <c r="H837">
        <v>-0.35360945315974701</v>
      </c>
      <c r="I837">
        <v>-0.29556057149832798</v>
      </c>
    </row>
    <row r="838" spans="1:9" x14ac:dyDescent="0.25">
      <c r="A838" s="1" t="s">
        <v>850</v>
      </c>
      <c r="B838" t="str">
        <f>HYPERLINK("https://www.suredividend.com/sure-analysis-research-database/","KalVista Pharmaceuticals Inc")</f>
        <v>KalVista Pharmaceuticals Inc</v>
      </c>
      <c r="C838">
        <v>-4.0929203539821997E-2</v>
      </c>
      <c r="D838">
        <v>-0.21538461538461501</v>
      </c>
      <c r="E838">
        <v>-7.1734475374732001E-2</v>
      </c>
      <c r="F838">
        <v>0.28254437869822402</v>
      </c>
      <c r="G838">
        <v>0.66091954022988508</v>
      </c>
      <c r="H838">
        <v>-0.52019922523519602</v>
      </c>
      <c r="I838">
        <v>-0.56189994946942901</v>
      </c>
    </row>
    <row r="839" spans="1:9" x14ac:dyDescent="0.25">
      <c r="A839" s="1" t="s">
        <v>851</v>
      </c>
      <c r="B839" t="str">
        <f>HYPERLINK("https://www.suredividend.com/sure-analysis-research-database/","Kaman Corp.")</f>
        <v>Kaman Corp.</v>
      </c>
      <c r="C839">
        <v>3.7270341207348998E-2</v>
      </c>
      <c r="D839">
        <v>-0.163813787762736</v>
      </c>
      <c r="E839">
        <v>-8.5312225153913013E-2</v>
      </c>
      <c r="F839">
        <v>-8.8691192680013006E-2</v>
      </c>
      <c r="G839">
        <v>1.7869376864076001E-2</v>
      </c>
      <c r="H839">
        <v>-0.46579867963600702</v>
      </c>
      <c r="I839">
        <v>-0.62737651189717403</v>
      </c>
    </row>
    <row r="840" spans="1:9" x14ac:dyDescent="0.25">
      <c r="A840" s="1" t="s">
        <v>852</v>
      </c>
      <c r="B840" t="str">
        <f>HYPERLINK("https://www.suredividend.com/sure-analysis-research-database/","Openlane Inc.")</f>
        <v>Openlane Inc.</v>
      </c>
      <c r="C840">
        <v>-1.0087424344317E-2</v>
      </c>
      <c r="D840">
        <v>-4.6014257939078998E-2</v>
      </c>
      <c r="E840">
        <v>3.6619718309859002E-2</v>
      </c>
      <c r="F840">
        <v>0.127969348659003</v>
      </c>
      <c r="G840">
        <v>7.9970652971386003E-2</v>
      </c>
      <c r="H840">
        <v>4.7686832740213E-2</v>
      </c>
      <c r="I840">
        <v>-0.29955794111908901</v>
      </c>
    </row>
    <row r="841" spans="1:9" x14ac:dyDescent="0.25">
      <c r="A841" s="1" t="s">
        <v>853</v>
      </c>
      <c r="B841" t="str">
        <f>HYPERLINK("https://www.suredividend.com/sure-analysis-research-database/","KB Home")</f>
        <v>KB Home</v>
      </c>
      <c r="C841">
        <v>0.14753363228699501</v>
      </c>
      <c r="D841">
        <v>-5.7458563535911007E-2</v>
      </c>
      <c r="E841">
        <v>0.18385077651173401</v>
      </c>
      <c r="F841">
        <v>0.62465875182528108</v>
      </c>
      <c r="G841">
        <v>0.84346072110362602</v>
      </c>
      <c r="H841">
        <v>0.2744436448391</v>
      </c>
      <c r="I841">
        <v>1.6730873689048591</v>
      </c>
    </row>
    <row r="842" spans="1:9" x14ac:dyDescent="0.25">
      <c r="A842" s="1" t="s">
        <v>854</v>
      </c>
      <c r="B842" t="str">
        <f>HYPERLINK("https://www.suredividend.com/sure-analysis-research-database/","Chinook Therapeutics Inc")</f>
        <v>Chinook Therapeutics Inc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s="1" t="s">
        <v>855</v>
      </c>
      <c r="B843" t="str">
        <f>HYPERLINK("https://www.suredividend.com/sure-analysis-research-database/","Kimball Electronics Inc")</f>
        <v>Kimball Electronics Inc</v>
      </c>
      <c r="C843">
        <v>2.2099447513810001E-3</v>
      </c>
      <c r="D843">
        <v>-6.1076604554865008E-2</v>
      </c>
      <c r="E843">
        <v>0.36596385542168602</v>
      </c>
      <c r="F843">
        <v>0.20451527224435501</v>
      </c>
      <c r="G843">
        <v>0.296331586469747</v>
      </c>
      <c r="H843">
        <v>-4.8601398601397998E-2</v>
      </c>
      <c r="I843">
        <v>0.42311715481171502</v>
      </c>
    </row>
    <row r="844" spans="1:9" x14ac:dyDescent="0.25">
      <c r="A844" s="1" t="s">
        <v>856</v>
      </c>
      <c r="B844" t="str">
        <f>HYPERLINK("https://www.suredividend.com/sure-analysis-research-database/","Kelly Services, Inc.")</f>
        <v>Kelly Services, Inc.</v>
      </c>
      <c r="C844">
        <v>1.1278195488721001E-2</v>
      </c>
      <c r="D844">
        <v>4.7921686914613001E-2</v>
      </c>
      <c r="E844">
        <v>0.21461145979139301</v>
      </c>
      <c r="F844">
        <v>0.137729977946285</v>
      </c>
      <c r="G844">
        <v>0.21614901216148999</v>
      </c>
      <c r="H844">
        <v>1.9209638919410001E-2</v>
      </c>
      <c r="I844">
        <v>-0.18288883295869701</v>
      </c>
    </row>
    <row r="845" spans="1:9" x14ac:dyDescent="0.25">
      <c r="A845" s="1" t="s">
        <v>857</v>
      </c>
      <c r="B845" t="str">
        <f>HYPERLINK("https://www.suredividend.com/sure-analysis-research-database/","Kforce Inc.")</f>
        <v>Kforce Inc.</v>
      </c>
      <c r="C845">
        <v>3.4639313939801013E-2</v>
      </c>
      <c r="D845">
        <v>5.7171083716335003E-2</v>
      </c>
      <c r="E845">
        <v>0.11603256137907</v>
      </c>
      <c r="F845">
        <v>0.15689644150462301</v>
      </c>
      <c r="G845">
        <v>0.129036401469417</v>
      </c>
      <c r="H845">
        <v>-0.10525374410518799</v>
      </c>
      <c r="I845">
        <v>1.1142658827652789</v>
      </c>
    </row>
    <row r="846" spans="1:9" x14ac:dyDescent="0.25">
      <c r="A846" s="1" t="s">
        <v>858</v>
      </c>
      <c r="B846" t="str">
        <f>HYPERLINK("https://www.suredividend.com/sure-analysis-research-database/","Korn Ferry")</f>
        <v>Korn Ferry</v>
      </c>
      <c r="C846">
        <v>-6.2344139650870002E-3</v>
      </c>
      <c r="D846">
        <v>-8.1539755768706007E-2</v>
      </c>
      <c r="E846">
        <v>5.0709591515223001E-2</v>
      </c>
      <c r="F846">
        <v>-4.5448012647513997E-2</v>
      </c>
      <c r="G846">
        <v>-9.7969015556356009E-2</v>
      </c>
      <c r="H846">
        <v>-0.40144644184818101</v>
      </c>
      <c r="I846">
        <v>7.5041589856571E-2</v>
      </c>
    </row>
    <row r="847" spans="1:9" x14ac:dyDescent="0.25">
      <c r="A847" s="1" t="s">
        <v>859</v>
      </c>
      <c r="B847" t="str">
        <f>HYPERLINK("https://www.suredividend.com/sure-analysis-research-database/","OrthoPediatrics corp")</f>
        <v>OrthoPediatrics corp</v>
      </c>
      <c r="C847">
        <v>-0.106715425531914</v>
      </c>
      <c r="D847">
        <v>-0.32163595051754601</v>
      </c>
      <c r="E847">
        <v>-0.42548642292067501</v>
      </c>
      <c r="F847">
        <v>-0.32368487289202102</v>
      </c>
      <c r="G847">
        <v>-0.296964939822082</v>
      </c>
      <c r="H847">
        <v>-0.62773621501801002</v>
      </c>
      <c r="I847">
        <v>-0.123327895595432</v>
      </c>
    </row>
    <row r="848" spans="1:9" x14ac:dyDescent="0.25">
      <c r="A848" s="1" t="s">
        <v>860</v>
      </c>
      <c r="B848" t="str">
        <f>HYPERLINK("https://www.suredividend.com/sure-analysis-KLIC/","Kulicke &amp; Soffa Industries, Inc.")</f>
        <v>Kulicke &amp; Soffa Industries, Inc.</v>
      </c>
      <c r="C848">
        <v>-5.3425518541797001E-2</v>
      </c>
      <c r="D848">
        <v>-0.18958332959635199</v>
      </c>
      <c r="E848">
        <v>6.3279720419900003E-3</v>
      </c>
      <c r="F848">
        <v>3.5537881479274003E-2</v>
      </c>
      <c r="G848">
        <v>8.4006938796075001E-2</v>
      </c>
      <c r="H848">
        <v>-0.17719455761003899</v>
      </c>
      <c r="I848">
        <v>1.266331582669936</v>
      </c>
    </row>
    <row r="849" spans="1:9" x14ac:dyDescent="0.25">
      <c r="A849" s="1" t="s">
        <v>861</v>
      </c>
      <c r="B849" t="str">
        <f>HYPERLINK("https://www.suredividend.com/sure-analysis-research-database/","Kaleyra Inc")</f>
        <v>Kaleyra Inc</v>
      </c>
      <c r="C849">
        <v>5.8479532163742007E-2</v>
      </c>
      <c r="D849">
        <v>6.3142437591775999E-2</v>
      </c>
      <c r="E849">
        <v>3.1849710982658959</v>
      </c>
      <c r="F849">
        <v>1.7394150365129211</v>
      </c>
      <c r="G849">
        <v>1.090914341824063</v>
      </c>
      <c r="H849">
        <v>-0.81074369363481902</v>
      </c>
      <c r="I849">
        <v>-0.27600000000000002</v>
      </c>
    </row>
    <row r="850" spans="1:9" x14ac:dyDescent="0.25">
      <c r="A850" s="1" t="s">
        <v>862</v>
      </c>
      <c r="B850" t="str">
        <f>HYPERLINK("https://www.suredividend.com/sure-analysis-research-database/","Kennametal Inc.")</f>
        <v>Kennametal Inc.</v>
      </c>
      <c r="C850">
        <v>-2.2394136807816999E-2</v>
      </c>
      <c r="D850">
        <v>-0.11986803519061499</v>
      </c>
      <c r="E850">
        <v>-7.4905313611336011E-2</v>
      </c>
      <c r="F850">
        <v>1.9940018521192999E-2</v>
      </c>
      <c r="G850">
        <v>1.9515592091853998E-2</v>
      </c>
      <c r="H850">
        <v>-0.33403230817023899</v>
      </c>
      <c r="I850">
        <v>-0.29208079890789901</v>
      </c>
    </row>
    <row r="851" spans="1:9" x14ac:dyDescent="0.25">
      <c r="A851" s="1" t="s">
        <v>863</v>
      </c>
      <c r="B851" t="str">
        <f>HYPERLINK("https://www.suredividend.com/sure-analysis-research-database/","Knowles Corp")</f>
        <v>Knowles Corp</v>
      </c>
      <c r="C851">
        <v>9.2643051771117008E-2</v>
      </c>
      <c r="D851">
        <v>-4.0095751047277001E-2</v>
      </c>
      <c r="E851">
        <v>3.7546933667079998E-3</v>
      </c>
      <c r="F851">
        <v>-2.3142509135200998E-2</v>
      </c>
      <c r="G851">
        <v>0.13196894848270899</v>
      </c>
      <c r="H851">
        <v>-0.24232404345772299</v>
      </c>
      <c r="I851">
        <v>-8.6526576019770006E-3</v>
      </c>
    </row>
    <row r="852" spans="1:9" x14ac:dyDescent="0.25">
      <c r="A852" s="1" t="s">
        <v>864</v>
      </c>
      <c r="B852" t="str">
        <f>HYPERLINK("https://www.suredividend.com/sure-analysis-research-database/","Kiniksa Pharmaceuticals Ltd")</f>
        <v>Kiniksa Pharmaceuticals Ltd</v>
      </c>
      <c r="C852">
        <v>1.1867582760773999E-2</v>
      </c>
      <c r="D852">
        <v>-0.114754098360655</v>
      </c>
      <c r="E852">
        <v>0.19469026548672499</v>
      </c>
      <c r="F852">
        <v>8.1441922563417007E-2</v>
      </c>
      <c r="G852">
        <v>0.16588700971572501</v>
      </c>
      <c r="H852">
        <v>8.9441829186281005E-2</v>
      </c>
      <c r="I852">
        <v>-0.23943661971830901</v>
      </c>
    </row>
    <row r="853" spans="1:9" x14ac:dyDescent="0.25">
      <c r="A853" s="1" t="s">
        <v>865</v>
      </c>
      <c r="B853" t="str">
        <f>HYPERLINK("https://www.suredividend.com/sure-analysis-research-database/","Kinsale Capital Group Inc")</f>
        <v>Kinsale Capital Group Inc</v>
      </c>
      <c r="C853">
        <v>-0.18906589600897999</v>
      </c>
      <c r="D853">
        <v>-8.9838292360464006E-2</v>
      </c>
      <c r="E853">
        <v>5.7080082852811007E-2</v>
      </c>
      <c r="F853">
        <v>0.29993640637437002</v>
      </c>
      <c r="G853">
        <v>4.8439491704626997E-2</v>
      </c>
      <c r="H853">
        <v>0.676635056205519</v>
      </c>
      <c r="I853">
        <v>4.6921609356113372</v>
      </c>
    </row>
    <row r="854" spans="1:9" x14ac:dyDescent="0.25">
      <c r="A854" s="1" t="s">
        <v>866</v>
      </c>
      <c r="B854" t="str">
        <f>HYPERLINK("https://www.suredividend.com/sure-analysis-research-database/","Kinnate Biopharma Inc")</f>
        <v>Kinnate Biopharma Inc</v>
      </c>
      <c r="C854">
        <v>-2.34375E-2</v>
      </c>
      <c r="D854">
        <v>-0.56747404844290605</v>
      </c>
      <c r="E854">
        <v>-0.524714828897338</v>
      </c>
      <c r="F854">
        <v>-0.79508196721311408</v>
      </c>
      <c r="G854">
        <v>-0.84811664641555207</v>
      </c>
      <c r="H854">
        <v>-0.95001999200319809</v>
      </c>
      <c r="I854">
        <v>-0.96797335383038607</v>
      </c>
    </row>
    <row r="855" spans="1:9" x14ac:dyDescent="0.25">
      <c r="A855" s="1" t="s">
        <v>867</v>
      </c>
      <c r="B855" t="str">
        <f>HYPERLINK("https://www.suredividend.com/sure-analysis-research-database/","Kinetik Holdings Inc")</f>
        <v>Kinetik Holdings Inc</v>
      </c>
      <c r="C855">
        <v>0.13109191856878399</v>
      </c>
      <c r="D855">
        <v>2.7746636771300001E-2</v>
      </c>
      <c r="E855">
        <v>0.36455143209058799</v>
      </c>
      <c r="F855">
        <v>0.19103685490917</v>
      </c>
      <c r="G855">
        <v>8.3891486707772009E-2</v>
      </c>
      <c r="H855">
        <v>-0.40831744003304499</v>
      </c>
      <c r="I855">
        <v>2.6891348088531188</v>
      </c>
    </row>
    <row r="856" spans="1:9" x14ac:dyDescent="0.25">
      <c r="A856" s="1" t="s">
        <v>868</v>
      </c>
      <c r="B856" t="str">
        <f>HYPERLINK("https://www.suredividend.com/sure-analysis-research-database/","Kodiak Sciences Inc")</f>
        <v>Kodiak Sciences Inc</v>
      </c>
      <c r="C856">
        <v>0.43465045592705098</v>
      </c>
      <c r="D856">
        <v>-0.27607361963190102</v>
      </c>
      <c r="E856">
        <v>-0.46846846846846801</v>
      </c>
      <c r="F856">
        <v>-0.67039106145251304</v>
      </c>
      <c r="G856">
        <v>-0.66285714285714203</v>
      </c>
      <c r="H856">
        <v>-0.98163281189197604</v>
      </c>
      <c r="I856">
        <v>-0.75893769152196111</v>
      </c>
    </row>
    <row r="857" spans="1:9" x14ac:dyDescent="0.25">
      <c r="A857" s="1" t="s">
        <v>869</v>
      </c>
      <c r="B857" t="str">
        <f>HYPERLINK("https://www.suredividend.com/sure-analysis-research-database/","Eastman Kodak Co.")</f>
        <v>Eastman Kodak Co.</v>
      </c>
      <c r="C857">
        <v>-7.6530612244890004E-3</v>
      </c>
      <c r="D857">
        <v>-0.23874755381604601</v>
      </c>
      <c r="E857">
        <v>0.20807453416148999</v>
      </c>
      <c r="F857">
        <v>0.27540983606557301</v>
      </c>
      <c r="G857">
        <v>-0.31873905429071803</v>
      </c>
      <c r="H857">
        <v>-0.45821727019498598</v>
      </c>
      <c r="I857">
        <v>0.48473282442748011</v>
      </c>
    </row>
    <row r="858" spans="1:9" x14ac:dyDescent="0.25">
      <c r="A858" s="1" t="s">
        <v>870</v>
      </c>
      <c r="B858" t="str">
        <f>HYPERLINK("https://www.suredividend.com/sure-analysis-research-database/","Koppers Holdings Inc")</f>
        <v>Koppers Holdings Inc</v>
      </c>
      <c r="C858">
        <v>-1.3171759747100001E-3</v>
      </c>
      <c r="D858">
        <v>-2.2882740773961002E-2</v>
      </c>
      <c r="E858">
        <v>0.215099153501222</v>
      </c>
      <c r="F858">
        <v>0.35135135135135098</v>
      </c>
      <c r="G858">
        <v>0.37752358250606799</v>
      </c>
      <c r="H858">
        <v>0.192254590856341</v>
      </c>
      <c r="I858">
        <v>0.35607892515274198</v>
      </c>
    </row>
    <row r="859" spans="1:9" x14ac:dyDescent="0.25">
      <c r="A859" s="1" t="s">
        <v>871</v>
      </c>
      <c r="B859" t="str">
        <f>HYPERLINK("https://www.suredividend.com/sure-analysis-research-database/","Kore Group Holdings Inc")</f>
        <v>Kore Group Holdings Inc</v>
      </c>
      <c r="C859">
        <v>-0.160714285714285</v>
      </c>
      <c r="D859">
        <v>-0.60833333333333306</v>
      </c>
      <c r="E859">
        <v>-0.624</v>
      </c>
      <c r="F859">
        <v>-0.62698412698412709</v>
      </c>
      <c r="G859">
        <v>-0.84935897435897412</v>
      </c>
      <c r="H859">
        <v>-0.93832020997375309</v>
      </c>
      <c r="I859">
        <v>-0.93454038997214406</v>
      </c>
    </row>
    <row r="860" spans="1:9" x14ac:dyDescent="0.25">
      <c r="A860" s="1" t="s">
        <v>872</v>
      </c>
      <c r="B860" t="str">
        <f>HYPERLINK("https://www.suredividend.com/sure-analysis-research-database/","Kosmos Energy Ltd")</f>
        <v>Kosmos Energy Ltd</v>
      </c>
      <c r="C860">
        <v>7.3863636363636007E-2</v>
      </c>
      <c r="D860">
        <v>3.4199726402187998E-2</v>
      </c>
      <c r="E860">
        <v>0.24546952224052601</v>
      </c>
      <c r="F860">
        <v>0.18867924528301799</v>
      </c>
      <c r="G860">
        <v>0.108504398826979</v>
      </c>
      <c r="H860">
        <v>1.076923076923076</v>
      </c>
      <c r="I860">
        <v>0.209677419354838</v>
      </c>
    </row>
    <row r="861" spans="1:9" x14ac:dyDescent="0.25">
      <c r="A861" s="1" t="s">
        <v>873</v>
      </c>
      <c r="B861" t="str">
        <f>HYPERLINK("https://www.suredividend.com/sure-analysis-research-database/","Karyopharm Therapeutics Inc")</f>
        <v>Karyopharm Therapeutics Inc</v>
      </c>
      <c r="C861">
        <v>-0.28799999999999998</v>
      </c>
      <c r="D861">
        <v>-0.48255813953488302</v>
      </c>
      <c r="E861">
        <v>-0.67870036101083009</v>
      </c>
      <c r="F861">
        <v>-0.7382352941176471</v>
      </c>
      <c r="G861">
        <v>-0.81223628691983107</v>
      </c>
      <c r="H861">
        <v>-0.88833124215809212</v>
      </c>
      <c r="I861">
        <v>-0.92081850533807807</v>
      </c>
    </row>
    <row r="862" spans="1:9" x14ac:dyDescent="0.25">
      <c r="A862" s="1" t="s">
        <v>874</v>
      </c>
      <c r="B862" t="str">
        <f>HYPERLINK("https://www.suredividend.com/sure-analysis-KREF/","KKR Real Estate Finance Trust Inc")</f>
        <v>KKR Real Estate Finance Trust Inc</v>
      </c>
      <c r="C862">
        <v>7.3664825046040008E-2</v>
      </c>
      <c r="D862">
        <v>-2.9691764862524998E-2</v>
      </c>
      <c r="E862">
        <v>0.23865978286272699</v>
      </c>
      <c r="F862">
        <v>-6.7654984367627999E-2</v>
      </c>
      <c r="G862">
        <v>-0.215359043895479</v>
      </c>
      <c r="H862">
        <v>-0.31995404149096801</v>
      </c>
      <c r="I862">
        <v>-3.3399928707027002E-2</v>
      </c>
    </row>
    <row r="863" spans="1:9" x14ac:dyDescent="0.25">
      <c r="A863" s="1" t="s">
        <v>875</v>
      </c>
      <c r="B863" t="str">
        <f>HYPERLINK("https://www.suredividend.com/sure-analysis-KRG/","Kite Realty Group Trust")</f>
        <v>Kite Realty Group Trust</v>
      </c>
      <c r="C863">
        <v>8.6722195002449001E-2</v>
      </c>
      <c r="D863">
        <v>-4.8713747759030007E-2</v>
      </c>
      <c r="E863">
        <v>0.11725089788085</v>
      </c>
      <c r="F863">
        <v>0.102182998156402</v>
      </c>
      <c r="G863">
        <v>9.9053565234626009E-2</v>
      </c>
      <c r="H863">
        <v>0.13444561514776401</v>
      </c>
      <c r="I863">
        <v>0.81967347608499408</v>
      </c>
    </row>
    <row r="864" spans="1:9" x14ac:dyDescent="0.25">
      <c r="A864" s="1" t="s">
        <v>876</v>
      </c>
      <c r="B864" t="str">
        <f>HYPERLINK("https://www.suredividend.com/sure-analysis-research-database/","Kearny Financial Corp.")</f>
        <v>Kearny Financial Corp.</v>
      </c>
      <c r="C864">
        <v>0.125730994152046</v>
      </c>
      <c r="D864">
        <v>-8.4521275963333004E-2</v>
      </c>
      <c r="E864">
        <v>0.12361190153073801</v>
      </c>
      <c r="F864">
        <v>-0.198759638297208</v>
      </c>
      <c r="G864">
        <v>-0.108249273281063</v>
      </c>
      <c r="H864">
        <v>-0.37006070324132401</v>
      </c>
      <c r="I864">
        <v>-0.295362202130385</v>
      </c>
    </row>
    <row r="865" spans="1:9" x14ac:dyDescent="0.25">
      <c r="A865" s="1" t="s">
        <v>877</v>
      </c>
      <c r="B865" t="str">
        <f>HYPERLINK("https://www.suredividend.com/sure-analysis-KRO/","Kronos Worldwide, Inc.")</f>
        <v>Kronos Worldwide, Inc.</v>
      </c>
      <c r="C865">
        <v>0.140376266280752</v>
      </c>
      <c r="D865">
        <v>-0.10662660846890699</v>
      </c>
      <c r="E865">
        <v>-1.0323779859837E-2</v>
      </c>
      <c r="F865">
        <v>-0.108587201212683</v>
      </c>
      <c r="G865">
        <v>-0.105846042120551</v>
      </c>
      <c r="H865">
        <v>-0.35185642139202811</v>
      </c>
      <c r="I865">
        <v>-0.29192088923234499</v>
      </c>
    </row>
    <row r="866" spans="1:9" x14ac:dyDescent="0.25">
      <c r="A866" s="1" t="s">
        <v>878</v>
      </c>
      <c r="B866" t="str">
        <f>HYPERLINK("https://www.suredividend.com/sure-analysis-research-database/","Kronos Bio Inc")</f>
        <v>Kronos Bio Inc</v>
      </c>
      <c r="C866">
        <v>-0.26984126984126899</v>
      </c>
      <c r="D866">
        <v>-0.46198830409356711</v>
      </c>
      <c r="E866">
        <v>-0.49726775956284103</v>
      </c>
      <c r="F866">
        <v>-0.43209876543209802</v>
      </c>
      <c r="G866">
        <v>-0.64341085271317811</v>
      </c>
      <c r="H866">
        <v>-0.94819819819819806</v>
      </c>
      <c r="I866">
        <v>-0.96601403768008809</v>
      </c>
    </row>
    <row r="867" spans="1:9" x14ac:dyDescent="0.25">
      <c r="A867" s="1" t="s">
        <v>879</v>
      </c>
      <c r="B867" t="str">
        <f>HYPERLINK("https://www.suredividend.com/sure-analysis-research-database/","Keros Therapeutics Inc")</f>
        <v>Keros Therapeutics Inc</v>
      </c>
      <c r="C867">
        <v>3.5332252836304E-2</v>
      </c>
      <c r="D867">
        <v>-0.223437879893022</v>
      </c>
      <c r="E867">
        <v>-0.298330404217926</v>
      </c>
      <c r="F867">
        <v>-0.33486047480216502</v>
      </c>
      <c r="G867">
        <v>-0.34333881578947301</v>
      </c>
      <c r="H867">
        <v>-0.39826676714393311</v>
      </c>
      <c r="I867">
        <v>0.590637450199203</v>
      </c>
    </row>
    <row r="868" spans="1:9" x14ac:dyDescent="0.25">
      <c r="A868" s="1" t="s">
        <v>880</v>
      </c>
      <c r="B868" t="str">
        <f>HYPERLINK("https://www.suredividend.com/sure-analysis-research-database/","Karat Packaging Inc")</f>
        <v>Karat Packaging Inc</v>
      </c>
      <c r="C868">
        <v>1.8005540166203999E-2</v>
      </c>
      <c r="D868">
        <v>0.10902662166851899</v>
      </c>
      <c r="E868">
        <v>0.71912398743207306</v>
      </c>
      <c r="F868">
        <v>0.64135774899508702</v>
      </c>
      <c r="G868">
        <v>0.56577312266998003</v>
      </c>
      <c r="H868">
        <v>6.522253730694301E-2</v>
      </c>
      <c r="I868">
        <v>0.303399478640208</v>
      </c>
    </row>
    <row r="869" spans="1:9" x14ac:dyDescent="0.25">
      <c r="A869" s="1" t="s">
        <v>881</v>
      </c>
      <c r="B869" t="str">
        <f>HYPERLINK("https://www.suredividend.com/sure-analysis-research-database/","Karuna Therapeutics Inc")</f>
        <v>Karuna Therapeutics Inc</v>
      </c>
      <c r="C869">
        <v>9.7614396495589006E-2</v>
      </c>
      <c r="D869">
        <v>2.1577300679600001E-4</v>
      </c>
      <c r="E869">
        <v>-0.101864858319205</v>
      </c>
      <c r="F869">
        <v>-5.6386768447837007E-2</v>
      </c>
      <c r="G869">
        <v>-0.141613814175269</v>
      </c>
      <c r="H869">
        <v>0.16323713927226999</v>
      </c>
      <c r="I869">
        <v>8.2617382617382606</v>
      </c>
    </row>
    <row r="870" spans="1:9" x14ac:dyDescent="0.25">
      <c r="A870" s="1" t="s">
        <v>882</v>
      </c>
      <c r="B870" t="str">
        <f>HYPERLINK("https://www.suredividend.com/sure-analysis-research-database/","Kura Sushi USA Inc")</f>
        <v>Kura Sushi USA Inc</v>
      </c>
      <c r="C870">
        <v>-4.9616599007660002E-3</v>
      </c>
      <c r="D870">
        <v>-0.28477250621420003</v>
      </c>
      <c r="E870">
        <v>4.0964952207550014E-3</v>
      </c>
      <c r="F870">
        <v>0.38800335570469802</v>
      </c>
      <c r="G870">
        <v>-8.3760210438875007E-2</v>
      </c>
      <c r="H870">
        <v>0.43339831059129302</v>
      </c>
      <c r="I870">
        <v>2.3748087710351862</v>
      </c>
    </row>
    <row r="871" spans="1:9" x14ac:dyDescent="0.25">
      <c r="A871" s="1" t="s">
        <v>883</v>
      </c>
      <c r="B871" t="str">
        <f>HYPERLINK("https://www.suredividend.com/sure-analysis-research-database/","Krystal Biotech Inc")</f>
        <v>Krystal Biotech Inc</v>
      </c>
      <c r="C871">
        <v>0.104130886739582</v>
      </c>
      <c r="D871">
        <v>-1.6505636070853001E-2</v>
      </c>
      <c r="E871">
        <v>0.48637137989778512</v>
      </c>
      <c r="F871">
        <v>0.54190860893713699</v>
      </c>
      <c r="G871">
        <v>0.66848791148750208</v>
      </c>
      <c r="H871">
        <v>1.3741496598639451</v>
      </c>
      <c r="I871">
        <v>4.3881782090868988</v>
      </c>
    </row>
    <row r="872" spans="1:9" x14ac:dyDescent="0.25">
      <c r="A872" s="1" t="s">
        <v>884</v>
      </c>
      <c r="B872" t="str">
        <f>HYPERLINK("https://www.suredividend.com/sure-analysis-KTB/","Kontoor Brands Inc")</f>
        <v>Kontoor Brands Inc</v>
      </c>
      <c r="C872">
        <v>0.110039053526303</v>
      </c>
      <c r="D872">
        <v>3.1610140181129003E-2</v>
      </c>
      <c r="E872">
        <v>0.20171503039105401</v>
      </c>
      <c r="F872">
        <v>0.24706107037687899</v>
      </c>
      <c r="G872">
        <v>0.32886710778894301</v>
      </c>
      <c r="H872">
        <v>-9.1490241792953009E-2</v>
      </c>
      <c r="I872">
        <v>0.19308641975308599</v>
      </c>
    </row>
    <row r="873" spans="1:9" x14ac:dyDescent="0.25">
      <c r="A873" s="1" t="s">
        <v>885</v>
      </c>
      <c r="B873" t="str">
        <f>HYPERLINK("https://www.suredividend.com/sure-analysis-research-database/","Kratos Defense &amp; Security Solutions Inc")</f>
        <v>Kratos Defense &amp; Security Solutions Inc</v>
      </c>
      <c r="C873">
        <v>0.16436044549443099</v>
      </c>
      <c r="D873">
        <v>3.9156626506023001E-2</v>
      </c>
      <c r="E873">
        <v>0.233905579399141</v>
      </c>
      <c r="F873">
        <v>0.67151162790697605</v>
      </c>
      <c r="G873">
        <v>0.59870250231696009</v>
      </c>
      <c r="H873">
        <v>-0.195429104477612</v>
      </c>
      <c r="I873">
        <v>0.32896764252696398</v>
      </c>
    </row>
    <row r="874" spans="1:9" x14ac:dyDescent="0.25">
      <c r="A874" s="1" t="s">
        <v>886</v>
      </c>
      <c r="B874" t="str">
        <f>HYPERLINK("https://www.suredividend.com/sure-analysis-research-database/","Kura Oncology Inc")</f>
        <v>Kura Oncology Inc</v>
      </c>
      <c r="C874">
        <v>0.105521472392637</v>
      </c>
      <c r="D874">
        <v>-0.18090909090908999</v>
      </c>
      <c r="E874">
        <v>-0.19625334522747501</v>
      </c>
      <c r="F874">
        <v>-0.27397260273972601</v>
      </c>
      <c r="G874">
        <v>-0.37690179806362301</v>
      </c>
      <c r="H874">
        <v>-0.50110741971207007</v>
      </c>
      <c r="I874">
        <v>-0.17791970802919699</v>
      </c>
    </row>
    <row r="875" spans="1:9" x14ac:dyDescent="0.25">
      <c r="A875" s="1" t="s">
        <v>887</v>
      </c>
      <c r="B875" t="str">
        <f>HYPERLINK("https://www.suredividend.com/sure-analysis-research-database/","Kennedy-Wilson Holdings Inc")</f>
        <v>Kennedy-Wilson Holdings Inc</v>
      </c>
      <c r="C875">
        <v>-8.8616714697406007E-2</v>
      </c>
      <c r="D875">
        <v>-0.217454779402667</v>
      </c>
      <c r="E875">
        <v>-0.119375139229227</v>
      </c>
      <c r="F875">
        <v>-0.157957798043</v>
      </c>
      <c r="G875">
        <v>-0.16996929214456299</v>
      </c>
      <c r="H875">
        <v>-0.39355587196118702</v>
      </c>
      <c r="I875">
        <v>-0.15930085731374999</v>
      </c>
    </row>
    <row r="876" spans="1:9" x14ac:dyDescent="0.25">
      <c r="A876" s="1" t="s">
        <v>888</v>
      </c>
      <c r="B876" t="str">
        <f>HYPERLINK("https://www.suredividend.com/sure-analysis-KWR/","Quaker Houghton")</f>
        <v>Quaker Houghton</v>
      </c>
      <c r="C876">
        <v>3.1014142653553001E-2</v>
      </c>
      <c r="D876">
        <v>-0.111706011194937</v>
      </c>
      <c r="E876">
        <v>-0.124030123850944</v>
      </c>
      <c r="F876">
        <v>-2.3804337302738999E-2</v>
      </c>
      <c r="G876">
        <v>-9.7423721988830012E-3</v>
      </c>
      <c r="H876">
        <v>-0.36728966391405798</v>
      </c>
      <c r="I876">
        <v>-0.17298898890688699</v>
      </c>
    </row>
    <row r="877" spans="1:9" x14ac:dyDescent="0.25">
      <c r="A877" s="1" t="s">
        <v>889</v>
      </c>
      <c r="B877" t="str">
        <f>HYPERLINK("https://www.suredividend.com/sure-analysis-research-database/","Kymera Therapeutics Inc")</f>
        <v>Kymera Therapeutics Inc</v>
      </c>
      <c r="C877">
        <v>-7.1567989590110001E-2</v>
      </c>
      <c r="D877">
        <v>-0.36774479397430199</v>
      </c>
      <c r="E877">
        <v>-0.45617378048780399</v>
      </c>
      <c r="F877">
        <v>-0.42828525641025611</v>
      </c>
      <c r="G877">
        <v>-0.53758911211924809</v>
      </c>
      <c r="H877">
        <v>-0.78049530841409009</v>
      </c>
      <c r="I877">
        <v>-0.57095610342754</v>
      </c>
    </row>
    <row r="878" spans="1:9" x14ac:dyDescent="0.25">
      <c r="A878" s="1" t="s">
        <v>890</v>
      </c>
      <c r="B878" t="str">
        <f>HYPERLINK("https://www.suredividend.com/sure-analysis-research-database/","Kezar Life Sciences Inc")</f>
        <v>Kezar Life Sciences Inc</v>
      </c>
      <c r="C878">
        <v>-0.16386138613861301</v>
      </c>
      <c r="D878">
        <v>-0.60352112676056302</v>
      </c>
      <c r="E878">
        <v>-0.67519230769230709</v>
      </c>
      <c r="F878">
        <v>-0.88004261363636305</v>
      </c>
      <c r="G878">
        <v>-0.88238161559888506</v>
      </c>
      <c r="H878">
        <v>-0.90064705882352902</v>
      </c>
      <c r="I878">
        <v>-0.96616586538461513</v>
      </c>
    </row>
    <row r="879" spans="1:9" x14ac:dyDescent="0.25">
      <c r="A879" s="1" t="s">
        <v>891</v>
      </c>
      <c r="B879" t="str">
        <f>HYPERLINK("https://www.suredividend.com/sure-analysis-LADR/","Ladder Capital Corp")</f>
        <v>Ladder Capital Corp</v>
      </c>
      <c r="C879">
        <v>9.8039215686274009E-2</v>
      </c>
      <c r="D879">
        <v>3.8548688874399999E-4</v>
      </c>
      <c r="E879">
        <v>0.230228471001757</v>
      </c>
      <c r="F879">
        <v>0.135211838637745</v>
      </c>
      <c r="G879">
        <v>8.4110245045595E-2</v>
      </c>
      <c r="H879">
        <v>4.9206192683166998E-2</v>
      </c>
      <c r="I879">
        <v>-7.0969544565521001E-2</v>
      </c>
    </row>
    <row r="880" spans="1:9" x14ac:dyDescent="0.25">
      <c r="A880" s="1" t="s">
        <v>892</v>
      </c>
      <c r="B880" t="str">
        <f>HYPERLINK("https://www.suredividend.com/sure-analysis-LANC/","Lancaster Colony Corp.")</f>
        <v>Lancaster Colony Corp.</v>
      </c>
      <c r="C880">
        <v>3.1487513572204001E-2</v>
      </c>
      <c r="D880">
        <v>-0.10621463079608</v>
      </c>
      <c r="E880">
        <v>-0.19039725928166901</v>
      </c>
      <c r="F880">
        <v>-0.112817453111624</v>
      </c>
      <c r="G880">
        <v>-0.12498848669061401</v>
      </c>
      <c r="H880">
        <v>0.12325304592068601</v>
      </c>
      <c r="I880">
        <v>0.12963895153650701</v>
      </c>
    </row>
    <row r="881" spans="1:9" x14ac:dyDescent="0.25">
      <c r="A881" s="1" t="s">
        <v>893</v>
      </c>
      <c r="B881" t="str">
        <f>HYPERLINK("https://www.suredividend.com/sure-analysis-LAND/","Gladstone Land Corp")</f>
        <v>Gladstone Land Corp</v>
      </c>
      <c r="C881">
        <v>8.9695963171772003E-2</v>
      </c>
      <c r="D881">
        <v>-8.6116422414583005E-2</v>
      </c>
      <c r="E881">
        <v>-4.142668145550001E-4</v>
      </c>
      <c r="F881">
        <v>-0.15134531055882999</v>
      </c>
      <c r="G881">
        <v>-0.213385073245627</v>
      </c>
      <c r="H881">
        <v>-0.34374163775064798</v>
      </c>
      <c r="I881">
        <v>0.44916305021698699</v>
      </c>
    </row>
    <row r="882" spans="1:9" x14ac:dyDescent="0.25">
      <c r="A882" s="1" t="s">
        <v>894</v>
      </c>
      <c r="B882" t="str">
        <f>HYPERLINK("https://www.suredividend.com/sure-analysis-research-database/","nLIGHT Inc")</f>
        <v>nLIGHT Inc</v>
      </c>
      <c r="C882">
        <v>-9.7633136094674014E-2</v>
      </c>
      <c r="D882">
        <v>-0.226542688081149</v>
      </c>
      <c r="E882">
        <v>-8.667388949079001E-3</v>
      </c>
      <c r="F882">
        <v>-9.7633136094674014E-2</v>
      </c>
      <c r="G882">
        <v>-2.8662420382164999E-2</v>
      </c>
      <c r="H882">
        <v>-0.71181102362204707</v>
      </c>
      <c r="I882">
        <v>-0.55365853658536501</v>
      </c>
    </row>
    <row r="883" spans="1:9" x14ac:dyDescent="0.25">
      <c r="A883" s="1" t="s">
        <v>895</v>
      </c>
      <c r="B883" t="str">
        <f>HYPERLINK("https://www.suredividend.com/sure-analysis-research-database/","Laureate Education Inc")</f>
        <v>Laureate Education Inc</v>
      </c>
      <c r="C883">
        <v>-1.7291066282420001E-2</v>
      </c>
      <c r="D883">
        <v>1.8670649738610001E-2</v>
      </c>
      <c r="E883">
        <v>0.15397631133671699</v>
      </c>
      <c r="F883">
        <v>0.41787941787941801</v>
      </c>
      <c r="G883">
        <v>0.11620294599018</v>
      </c>
      <c r="H883">
        <v>0.35843043521561602</v>
      </c>
      <c r="I883">
        <v>0.35843043521561602</v>
      </c>
    </row>
    <row r="884" spans="1:9" x14ac:dyDescent="0.25">
      <c r="A884" s="1" t="s">
        <v>896</v>
      </c>
      <c r="B884" t="str">
        <f>HYPERLINK("https://www.suredividend.com/sure-analysis-research-database/","CS Disco Inc")</f>
        <v>CS Disco Inc</v>
      </c>
      <c r="C884">
        <v>-5.7902973395931007E-2</v>
      </c>
      <c r="D884">
        <v>-0.34351145038167902</v>
      </c>
      <c r="E884">
        <v>0.11688311688311601</v>
      </c>
      <c r="F884">
        <v>-4.7468354430379001E-2</v>
      </c>
      <c r="G884">
        <v>-0.32662192393736</v>
      </c>
      <c r="H884">
        <v>-0.89524969549330002</v>
      </c>
      <c r="I884">
        <v>-0.85317073170731705</v>
      </c>
    </row>
    <row r="885" spans="1:9" x14ac:dyDescent="0.25">
      <c r="A885" s="1" t="s">
        <v>897</v>
      </c>
      <c r="B885" t="str">
        <f>HYPERLINK("https://www.suredividend.com/sure-analysis-research-database/","Luminar Technologies Inc")</f>
        <v>Luminar Technologies Inc</v>
      </c>
      <c r="C885">
        <v>-0.15753424657534201</v>
      </c>
      <c r="D885">
        <v>-0.47285714285714198</v>
      </c>
      <c r="E885">
        <v>-0.359375</v>
      </c>
      <c r="F885">
        <v>-0.25454545454545402</v>
      </c>
      <c r="G885">
        <v>-0.52387096774193509</v>
      </c>
      <c r="H885">
        <v>-0.77996422182468605</v>
      </c>
      <c r="I885">
        <v>-0.62346938775510208</v>
      </c>
    </row>
    <row r="886" spans="1:9" x14ac:dyDescent="0.25">
      <c r="A886" s="1" t="s">
        <v>898</v>
      </c>
      <c r="B886" t="str">
        <f>HYPERLINK("https://www.suredividend.com/sure-analysis-research-database/","Lakeland Bancorp, Inc.")</f>
        <v>Lakeland Bancorp, Inc.</v>
      </c>
      <c r="C886">
        <v>4.6427514549698998E-2</v>
      </c>
      <c r="D886">
        <v>-0.119616033638551</v>
      </c>
      <c r="E886">
        <v>0.100363906680842</v>
      </c>
      <c r="F886">
        <v>-0.221354341882328</v>
      </c>
      <c r="G886">
        <v>-0.26595241664840602</v>
      </c>
      <c r="H886">
        <v>-0.23432716424374</v>
      </c>
      <c r="I886">
        <v>-4.3022635183389002E-2</v>
      </c>
    </row>
    <row r="887" spans="1:9" x14ac:dyDescent="0.25">
      <c r="A887" s="1" t="s">
        <v>899</v>
      </c>
      <c r="B887" t="str">
        <f>HYPERLINK("https://www.suredividend.com/sure-analysis-research-database/","Luther Burbank Corp")</f>
        <v>Luther Burbank Corp</v>
      </c>
      <c r="C887">
        <v>6.1445783132529998E-2</v>
      </c>
      <c r="D887">
        <v>-0.14048780487804799</v>
      </c>
      <c r="E887">
        <v>7.5702075702075003E-2</v>
      </c>
      <c r="F887">
        <v>-0.20702070207020601</v>
      </c>
      <c r="G887">
        <v>-0.280816326530612</v>
      </c>
      <c r="H887">
        <v>-0.37197034502423698</v>
      </c>
      <c r="I887">
        <v>2.8436682853940999E-2</v>
      </c>
    </row>
    <row r="888" spans="1:9" x14ac:dyDescent="0.25">
      <c r="A888" s="1" t="s">
        <v>900</v>
      </c>
      <c r="B888" t="str">
        <f>HYPERLINK("https://www.suredividend.com/sure-analysis-research-database/","Liberty Energy Inc")</f>
        <v>Liberty Energy Inc</v>
      </c>
      <c r="C888">
        <v>0.21720818291215299</v>
      </c>
      <c r="D888">
        <v>0.22533283262062501</v>
      </c>
      <c r="E888">
        <v>0.71960932652176401</v>
      </c>
      <c r="F888">
        <v>0.271295615506915</v>
      </c>
      <c r="G888">
        <v>0.17136157030775001</v>
      </c>
      <c r="H888">
        <v>0.63334840459888908</v>
      </c>
      <c r="I888">
        <v>5.9156758341578998E-2</v>
      </c>
    </row>
    <row r="889" spans="1:9" x14ac:dyDescent="0.25">
      <c r="A889" s="1" t="s">
        <v>901</v>
      </c>
      <c r="B889" t="str">
        <f>HYPERLINK("https://www.suredividend.com/sure-analysis-research-database/","LendingClub Corp")</f>
        <v>LendingClub Corp</v>
      </c>
      <c r="C889">
        <v>4.5694200351493013E-2</v>
      </c>
      <c r="D889">
        <v>-0.21503957783641101</v>
      </c>
      <c r="E889">
        <v>-8.602150537634401E-2</v>
      </c>
      <c r="F889">
        <v>-0.32386363636363602</v>
      </c>
      <c r="G889">
        <v>-0.38085327783558698</v>
      </c>
      <c r="H889">
        <v>-0.86954615215961406</v>
      </c>
      <c r="I889">
        <v>-0.662889518413597</v>
      </c>
    </row>
    <row r="890" spans="1:9" x14ac:dyDescent="0.25">
      <c r="A890" s="1" t="s">
        <v>902</v>
      </c>
      <c r="B890" t="str">
        <f>HYPERLINK("https://www.suredividend.com/sure-analysis-research-database/","LCI Industries")</f>
        <v>LCI Industries</v>
      </c>
      <c r="C890">
        <v>2.98482005799E-3</v>
      </c>
      <c r="D890">
        <v>-0.11849599421974399</v>
      </c>
      <c r="E890">
        <v>7.7008734384243008E-2</v>
      </c>
      <c r="F890">
        <v>0.30745765575877199</v>
      </c>
      <c r="G890">
        <v>0.32651484476246001</v>
      </c>
      <c r="H890">
        <v>-0.15792081405522501</v>
      </c>
      <c r="I890">
        <v>0.73354086887821701</v>
      </c>
    </row>
    <row r="891" spans="1:9" x14ac:dyDescent="0.25">
      <c r="A891" s="1" t="s">
        <v>903</v>
      </c>
      <c r="B891" t="str">
        <f>HYPERLINK("https://www.suredividend.com/sure-analysis-research-database/","Lifetime Brands, Inc.")</f>
        <v>Lifetime Brands, Inc.</v>
      </c>
      <c r="C891">
        <v>0.10435339308578701</v>
      </c>
      <c r="D891">
        <v>-4.5890588540316003E-2</v>
      </c>
      <c r="E891">
        <v>0.14167528438469401</v>
      </c>
      <c r="F891">
        <v>-0.23896709084140999</v>
      </c>
      <c r="G891">
        <v>-0.17833911373751499</v>
      </c>
      <c r="H891">
        <v>-0.69242256236522504</v>
      </c>
      <c r="I891">
        <v>-0.41548952752070101</v>
      </c>
    </row>
    <row r="892" spans="1:9" x14ac:dyDescent="0.25">
      <c r="A892" s="1" t="s">
        <v>904</v>
      </c>
      <c r="B892" t="str">
        <f>HYPERLINK("https://www.suredividend.com/sure-analysis-research-database/","Lands` End, Inc.")</f>
        <v>Lands` End, Inc.</v>
      </c>
      <c r="C892">
        <v>-8.8555858310626012E-2</v>
      </c>
      <c r="D892">
        <v>-0.29874213836477898</v>
      </c>
      <c r="E892">
        <v>-3.6023054755043013E-2</v>
      </c>
      <c r="F892">
        <v>-0.118577075098814</v>
      </c>
      <c r="G892">
        <v>-0.38904109589041003</v>
      </c>
      <c r="H892">
        <v>-0.7504662439388281</v>
      </c>
      <c r="I892">
        <v>-0.62224731789949106</v>
      </c>
    </row>
    <row r="893" spans="1:9" x14ac:dyDescent="0.25">
      <c r="A893" s="1" t="s">
        <v>905</v>
      </c>
      <c r="B893" t="str">
        <f>HYPERLINK("https://www.suredividend.com/sure-analysis-research-database/","Legacy Housing Corp")</f>
        <v>Legacy Housing Corp</v>
      </c>
      <c r="C893">
        <v>3.3916269210385999E-2</v>
      </c>
      <c r="D893">
        <v>-0.151000870322019</v>
      </c>
      <c r="E893">
        <v>-0.104224058769513</v>
      </c>
      <c r="F893">
        <v>2.9008438818565001E-2</v>
      </c>
      <c r="G893">
        <v>0.114220445459737</v>
      </c>
      <c r="H893">
        <v>3.5562632696389998E-2</v>
      </c>
      <c r="I893">
        <v>0.621778886118038</v>
      </c>
    </row>
    <row r="894" spans="1:9" x14ac:dyDescent="0.25">
      <c r="A894" s="1" t="s">
        <v>906</v>
      </c>
      <c r="B894" t="str">
        <f>HYPERLINK("https://www.suredividend.com/sure-analysis-research-database/","Centrus Energy Corp")</f>
        <v>Centrus Energy Corp</v>
      </c>
      <c r="C894">
        <v>5.6592877767083001E-2</v>
      </c>
      <c r="D894">
        <v>0.299171597633136</v>
      </c>
      <c r="E894">
        <v>0.96879483500717312</v>
      </c>
      <c r="F894">
        <v>0.68996305418719206</v>
      </c>
      <c r="G894">
        <v>0.26183908045977</v>
      </c>
      <c r="H894">
        <v>-0.21909233176838799</v>
      </c>
      <c r="I894">
        <v>24.649532710280369</v>
      </c>
    </row>
    <row r="895" spans="1:9" x14ac:dyDescent="0.25">
      <c r="A895" s="1" t="s">
        <v>907</v>
      </c>
      <c r="B895" t="str">
        <f>HYPERLINK("https://www.suredividend.com/sure-analysis-research-database/","Lifecore Biomedical Inc")</f>
        <v>Lifecore Biomedical Inc</v>
      </c>
      <c r="C895">
        <v>2.4079320113313998E-2</v>
      </c>
      <c r="D895">
        <v>-0.30879541108986602</v>
      </c>
      <c r="E895">
        <v>0.66206896551724104</v>
      </c>
      <c r="F895">
        <v>0.11574074074074001</v>
      </c>
      <c r="G895">
        <v>-0.20110497237569</v>
      </c>
      <c r="H895">
        <v>-0.234920634920634</v>
      </c>
      <c r="I895">
        <v>-0.47608695652173899</v>
      </c>
    </row>
    <row r="896" spans="1:9" x14ac:dyDescent="0.25">
      <c r="A896" s="1" t="s">
        <v>908</v>
      </c>
      <c r="B896" t="str">
        <f>HYPERLINK("https://www.suredividend.com/sure-analysis-research-database/","LifeStance Health Group Inc")</f>
        <v>LifeStance Health Group Inc</v>
      </c>
      <c r="C896">
        <v>-4.2319749216300002E-2</v>
      </c>
      <c r="D896">
        <v>-0.32035595105672898</v>
      </c>
      <c r="E896">
        <v>-0.237203495630461</v>
      </c>
      <c r="F896">
        <v>0.23684210526315799</v>
      </c>
      <c r="G896">
        <v>-0.15724137931034399</v>
      </c>
      <c r="H896">
        <v>-0.53358778625954206</v>
      </c>
      <c r="I896">
        <v>-0.72100456621004505</v>
      </c>
    </row>
    <row r="897" spans="1:9" x14ac:dyDescent="0.25">
      <c r="A897" s="1" t="s">
        <v>909</v>
      </c>
      <c r="B897" t="str">
        <f>HYPERLINK("https://www.suredividend.com/sure-analysis-research-database/","LGI Homes Inc")</f>
        <v>LGI Homes Inc</v>
      </c>
      <c r="C897">
        <v>0.12707910750507101</v>
      </c>
      <c r="D897">
        <v>-0.174920187096295</v>
      </c>
      <c r="E897">
        <v>-2.6541695865451E-2</v>
      </c>
      <c r="F897">
        <v>0.20010799136069099</v>
      </c>
      <c r="G897">
        <v>0.33457427645010202</v>
      </c>
      <c r="H897">
        <v>-0.17736323932193299</v>
      </c>
      <c r="I897">
        <v>1.5114124293785309</v>
      </c>
    </row>
    <row r="898" spans="1:9" x14ac:dyDescent="0.25">
      <c r="A898" s="1" t="s">
        <v>910</v>
      </c>
      <c r="B898" t="str">
        <f>HYPERLINK("https://www.suredividend.com/sure-analysis-research-database/","Ligand Pharmaceuticals, Inc.")</f>
        <v>Ligand Pharmaceuticals, Inc.</v>
      </c>
      <c r="C898">
        <v>-7.4404251671523008E-2</v>
      </c>
      <c r="D898">
        <v>-0.191645455906572</v>
      </c>
      <c r="E898">
        <v>-0.29618041976274201</v>
      </c>
      <c r="F898">
        <v>-0.191766467065868</v>
      </c>
      <c r="G898">
        <v>-0.12919354838709601</v>
      </c>
      <c r="H898">
        <v>-0.65720634920634902</v>
      </c>
      <c r="I898">
        <v>-0.674209510016895</v>
      </c>
    </row>
    <row r="899" spans="1:9" x14ac:dyDescent="0.25">
      <c r="A899" s="1" t="s">
        <v>911</v>
      </c>
      <c r="B899" t="str">
        <f>HYPERLINK("https://www.suredividend.com/sure-analysis-research-database/","Li-Cycle Holdings Corp")</f>
        <v>Li-Cycle Holdings Corp</v>
      </c>
      <c r="C899">
        <v>-0.44230769230769201</v>
      </c>
      <c r="D899">
        <v>-0.69948186528497402</v>
      </c>
      <c r="E899">
        <v>-0.64271047227926004</v>
      </c>
      <c r="F899">
        <v>-0.63445378151260501</v>
      </c>
      <c r="G899">
        <v>-0.70756302521008407</v>
      </c>
      <c r="H899">
        <v>-0.86113328012769308</v>
      </c>
      <c r="I899">
        <v>-0.82088630397858808</v>
      </c>
    </row>
    <row r="900" spans="1:9" x14ac:dyDescent="0.25">
      <c r="A900" s="1" t="s">
        <v>912</v>
      </c>
      <c r="B900" t="str">
        <f>HYPERLINK("https://www.suredividend.com/sure-analysis-research-database/","AEye Inc")</f>
        <v>AEye Inc</v>
      </c>
      <c r="C900">
        <v>1.8274111675125999E-2</v>
      </c>
      <c r="D900">
        <v>-0.53725490196078407</v>
      </c>
      <c r="E900">
        <v>0.17999999999999899</v>
      </c>
      <c r="F900">
        <v>-0.58260507698709907</v>
      </c>
      <c r="G900">
        <v>-0.74285348032303511</v>
      </c>
      <c r="H900">
        <v>-0.95931034482758604</v>
      </c>
      <c r="I900">
        <v>-0.98121722846441906</v>
      </c>
    </row>
    <row r="901" spans="1:9" x14ac:dyDescent="0.25">
      <c r="A901" s="1" t="s">
        <v>913</v>
      </c>
      <c r="B901" t="str">
        <f>HYPERLINK("https://www.suredividend.com/sure-analysis-research-database/","Liberty Latin America Ltd")</f>
        <v>Liberty Latin America Ltd</v>
      </c>
      <c r="C901">
        <v>-0.106770833333333</v>
      </c>
      <c r="D901">
        <v>-0.145703611457036</v>
      </c>
      <c r="E901">
        <v>-0.16034271725826099</v>
      </c>
      <c r="F901">
        <v>-8.8977423638778003E-2</v>
      </c>
      <c r="G901">
        <v>-0.12388250319284801</v>
      </c>
      <c r="H901">
        <v>-0.47593582887700497</v>
      </c>
      <c r="I901">
        <v>-0.60530706649943</v>
      </c>
    </row>
    <row r="902" spans="1:9" x14ac:dyDescent="0.25">
      <c r="A902" s="1" t="s">
        <v>914</v>
      </c>
      <c r="B902" t="str">
        <f>HYPERLINK("https://www.suredividend.com/sure-analysis-research-database/","Liberty Latin America Ltd")</f>
        <v>Liberty Latin America Ltd</v>
      </c>
      <c r="C902">
        <v>-0.100522193211488</v>
      </c>
      <c r="D902">
        <v>-0.130050505050505</v>
      </c>
      <c r="E902">
        <v>-0.154601226993865</v>
      </c>
      <c r="F902">
        <v>-9.3421052631578003E-2</v>
      </c>
      <c r="G902">
        <v>-0.113256113256113</v>
      </c>
      <c r="H902">
        <v>-0.47243491577335311</v>
      </c>
      <c r="I902">
        <v>-0.60565250487926303</v>
      </c>
    </row>
    <row r="903" spans="1:9" x14ac:dyDescent="0.25">
      <c r="A903" s="1" t="s">
        <v>915</v>
      </c>
      <c r="B903" t="str">
        <f>HYPERLINK("https://www.suredividend.com/sure-analysis-research-database/","Lindblad Expeditions Holdings Inc")</f>
        <v>Lindblad Expeditions Holdings Inc</v>
      </c>
      <c r="C903">
        <v>-5.2706552706552001E-2</v>
      </c>
      <c r="D903">
        <v>-0.34418145956607399</v>
      </c>
      <c r="E903">
        <v>-0.40993788819875698</v>
      </c>
      <c r="F903">
        <v>-0.13636363636363599</v>
      </c>
      <c r="G903">
        <v>-0.37850467289719603</v>
      </c>
      <c r="H903">
        <v>-0.60650887573964407</v>
      </c>
      <c r="I903">
        <v>-0.50149925037481202</v>
      </c>
    </row>
    <row r="904" spans="1:9" x14ac:dyDescent="0.25">
      <c r="A904" s="1" t="s">
        <v>916</v>
      </c>
      <c r="B904" t="str">
        <f>HYPERLINK("https://www.suredividend.com/sure-analysis-research-database/","LivaNova PLC")</f>
        <v>LivaNova PLC</v>
      </c>
      <c r="C904">
        <v>-3.2345535541352E-2</v>
      </c>
      <c r="D904">
        <v>-0.124890523734454</v>
      </c>
      <c r="E904">
        <v>5.4230850390377013E-2</v>
      </c>
      <c r="F904">
        <v>-0.10046813107670099</v>
      </c>
      <c r="G904">
        <v>4.3224055126331012E-2</v>
      </c>
      <c r="H904">
        <v>-0.44575105391613001</v>
      </c>
      <c r="I904">
        <v>-0.55618726125966</v>
      </c>
    </row>
    <row r="905" spans="1:9" x14ac:dyDescent="0.25">
      <c r="A905" s="1" t="s">
        <v>917</v>
      </c>
      <c r="B905" t="str">
        <f>HYPERLINK("https://www.suredividend.com/sure-analysis-research-database/","Lakeland Financial Corp.")</f>
        <v>Lakeland Financial Corp.</v>
      </c>
      <c r="C905">
        <v>0.158878829856407</v>
      </c>
      <c r="D905">
        <v>-2.3817461742217001E-2</v>
      </c>
      <c r="E905">
        <v>0.184893661964001</v>
      </c>
      <c r="F905">
        <v>-0.22586812011900301</v>
      </c>
      <c r="G905">
        <v>-0.30672099455420099</v>
      </c>
      <c r="H905">
        <v>-0.20241028051091201</v>
      </c>
      <c r="I905">
        <v>0.42129028300452598</v>
      </c>
    </row>
    <row r="906" spans="1:9" x14ac:dyDescent="0.25">
      <c r="A906" s="1" t="s">
        <v>918</v>
      </c>
      <c r="B906" t="str">
        <f>HYPERLINK("https://www.suredividend.com/sure-analysis-research-database/","LL Flooring Holdings Inc")</f>
        <v>LL Flooring Holdings Inc</v>
      </c>
      <c r="C906">
        <v>0.18275862068965501</v>
      </c>
      <c r="D906">
        <v>-5.2486187845302998E-2</v>
      </c>
      <c r="E906">
        <v>-2.8328611898015998E-2</v>
      </c>
      <c r="F906">
        <v>-0.38967971530249101</v>
      </c>
      <c r="G906">
        <v>-0.53077975376196906</v>
      </c>
      <c r="H906">
        <v>-0.80933852140077811</v>
      </c>
      <c r="I906">
        <v>-0.72712808273667406</v>
      </c>
    </row>
    <row r="907" spans="1:9" x14ac:dyDescent="0.25">
      <c r="A907" s="1" t="s">
        <v>919</v>
      </c>
      <c r="B907" t="str">
        <f>HYPERLINK("https://www.suredividend.com/sure-analysis-research-database/","Terran Orbital Corp")</f>
        <v>Terran Orbital Corp</v>
      </c>
      <c r="C907">
        <v>0.262780507236754</v>
      </c>
      <c r="D907">
        <v>-0.27954545454545399</v>
      </c>
      <c r="E907">
        <v>-0.45344827586206898</v>
      </c>
      <c r="F907">
        <v>-0.39810126582278399</v>
      </c>
      <c r="G907">
        <v>-0.63977272727272705</v>
      </c>
      <c r="H907">
        <v>-0.90422960725075507</v>
      </c>
      <c r="I907">
        <v>-0.90325534079348913</v>
      </c>
    </row>
    <row r="908" spans="1:9" x14ac:dyDescent="0.25">
      <c r="A908" s="1" t="s">
        <v>920</v>
      </c>
      <c r="B908" t="str">
        <f>HYPERLINK("https://www.suredividend.com/sure-analysis-research-database/","Lemaitre Vascular Inc")</f>
        <v>Lemaitre Vascular Inc</v>
      </c>
      <c r="C908">
        <v>-0.117721979621542</v>
      </c>
      <c r="D908">
        <v>-0.14525394718519</v>
      </c>
      <c r="E908">
        <v>-0.251562396296862</v>
      </c>
      <c r="F908">
        <v>6.3895141933134003E-2</v>
      </c>
      <c r="G908">
        <v>9.531919891936301E-2</v>
      </c>
      <c r="H908">
        <v>-4.7546090598028001E-2</v>
      </c>
      <c r="I908">
        <v>0.88597787700110409</v>
      </c>
    </row>
    <row r="909" spans="1:9" x14ac:dyDescent="0.25">
      <c r="A909" s="1" t="s">
        <v>921</v>
      </c>
      <c r="B909" t="str">
        <f>HYPERLINK("https://www.suredividend.com/sure-analysis-research-database/","Lemonade Inc")</f>
        <v>Lemonade Inc</v>
      </c>
      <c r="C909">
        <v>0.48797250859106511</v>
      </c>
      <c r="D909">
        <v>1.1091652072387E-2</v>
      </c>
      <c r="E909">
        <v>0.22230063514467099</v>
      </c>
      <c r="F909">
        <v>0.26608187134502898</v>
      </c>
      <c r="G909">
        <v>-0.17287488061126999</v>
      </c>
      <c r="H909">
        <v>-0.75738899005462901</v>
      </c>
      <c r="I909">
        <v>-0.75046823224319203</v>
      </c>
    </row>
    <row r="910" spans="1:9" x14ac:dyDescent="0.25">
      <c r="A910" s="1" t="s">
        <v>922</v>
      </c>
      <c r="B910" t="str">
        <f>HYPERLINK("https://www.suredividend.com/sure-analysis-LNN/","Lindsay Corporation")</f>
        <v>Lindsay Corporation</v>
      </c>
      <c r="C910">
        <v>0.118021632937892</v>
      </c>
      <c r="D910">
        <v>-6.6281625604920008E-3</v>
      </c>
      <c r="E910">
        <v>8.0613041550106013E-2</v>
      </c>
      <c r="F910">
        <v>-0.206775549105402</v>
      </c>
      <c r="G910">
        <v>-0.206818256361636</v>
      </c>
      <c r="H910">
        <v>-0.15063574751940101</v>
      </c>
      <c r="I910">
        <v>0.31987337783370601</v>
      </c>
    </row>
    <row r="911" spans="1:9" x14ac:dyDescent="0.25">
      <c r="A911" s="1" t="s">
        <v>923</v>
      </c>
      <c r="B911" t="str">
        <f>HYPERLINK("https://www.suredividend.com/sure-analysis-research-database/","Lantheus Holdings Inc")</f>
        <v>Lantheus Holdings Inc</v>
      </c>
      <c r="C911">
        <v>-0.112337841567761</v>
      </c>
      <c r="D911">
        <v>-0.15021799445105</v>
      </c>
      <c r="E911">
        <v>-0.32194813409234602</v>
      </c>
      <c r="F911">
        <v>0.26216640502354699</v>
      </c>
      <c r="G911">
        <v>6.1386138613860997E-2</v>
      </c>
      <c r="H911">
        <v>1.334664246823956</v>
      </c>
      <c r="I911">
        <v>3.268082282680822</v>
      </c>
    </row>
    <row r="912" spans="1:9" x14ac:dyDescent="0.25">
      <c r="A912" s="1" t="s">
        <v>924</v>
      </c>
      <c r="B912" t="str">
        <f>HYPERLINK("https://www.suredividend.com/sure-analysis-research-database/","Light &amp; Wonder Inc")</f>
        <v>Light &amp; Wonder Inc</v>
      </c>
      <c r="C912">
        <v>0.138501742160278</v>
      </c>
      <c r="D912">
        <v>0.10966463846045001</v>
      </c>
      <c r="E912">
        <v>0.35721703011422601</v>
      </c>
      <c r="F912">
        <v>0.33822525597269598</v>
      </c>
      <c r="G912">
        <v>0.41680216802168002</v>
      </c>
      <c r="H912">
        <v>-1.7170071437522999E-2</v>
      </c>
      <c r="I912">
        <v>2.4500659920809502</v>
      </c>
    </row>
    <row r="913" spans="1:9" x14ac:dyDescent="0.25">
      <c r="A913" s="1" t="s">
        <v>925</v>
      </c>
      <c r="B913" t="str">
        <f>HYPERLINK("https://www.suredividend.com/sure-analysis-research-database/","Live Oak Bancshares Inc")</f>
        <v>Live Oak Bancshares Inc</v>
      </c>
      <c r="C913">
        <v>0.16337719298245601</v>
      </c>
      <c r="D913">
        <v>-0.14309943330955299</v>
      </c>
      <c r="E913">
        <v>0.53299331031194408</v>
      </c>
      <c r="F913">
        <v>5.7250285653548012E-2</v>
      </c>
      <c r="G913">
        <v>2.8585831819915E-2</v>
      </c>
      <c r="H913">
        <v>-0.6724365043428141</v>
      </c>
      <c r="I913">
        <v>0.72813499324056508</v>
      </c>
    </row>
    <row r="914" spans="1:9" x14ac:dyDescent="0.25">
      <c r="A914" s="1" t="s">
        <v>926</v>
      </c>
      <c r="B914" t="str">
        <f>HYPERLINK("https://www.suredividend.com/sure-analysis-research-database/","Local Bounti Corp")</f>
        <v>Local Bounti Corp</v>
      </c>
      <c r="C914">
        <v>7.6923076923070006E-3</v>
      </c>
      <c r="D914">
        <v>-0.45530145530145499</v>
      </c>
      <c r="E914">
        <v>-0.60248824154149605</v>
      </c>
      <c r="F914">
        <v>-0.85500830105146608</v>
      </c>
      <c r="G914">
        <v>-0.92724243265759509</v>
      </c>
      <c r="H914">
        <v>-0.737474949899799</v>
      </c>
      <c r="I914">
        <v>-0.73128205128205104</v>
      </c>
    </row>
    <row r="915" spans="1:9" x14ac:dyDescent="0.25">
      <c r="A915" s="1" t="s">
        <v>927</v>
      </c>
      <c r="B915" t="str">
        <f>HYPERLINK("https://www.suredividend.com/sure-analysis-research-database/","El Pollo Loco Holdings Inc")</f>
        <v>El Pollo Loco Holdings Inc</v>
      </c>
      <c r="C915">
        <v>-5.6625141562850001E-3</v>
      </c>
      <c r="D915">
        <v>-0.154956689124157</v>
      </c>
      <c r="E915">
        <v>-7.7731092436974E-2</v>
      </c>
      <c r="F915">
        <v>-0.118473895582329</v>
      </c>
      <c r="G915">
        <v>-0.19744058500914</v>
      </c>
      <c r="H915">
        <v>-0.32415268914872403</v>
      </c>
      <c r="I915">
        <v>-0.34255848084583801</v>
      </c>
    </row>
    <row r="916" spans="1:9" x14ac:dyDescent="0.25">
      <c r="A916" s="1" t="s">
        <v>928</v>
      </c>
      <c r="B916" t="str">
        <f>HYPERLINK("https://www.suredividend.com/sure-analysis-research-database/","Lovesac Company")</f>
        <v>Lovesac Company</v>
      </c>
      <c r="C916">
        <v>-1.8446059250978E-2</v>
      </c>
      <c r="D916">
        <v>-0.39048941339812498</v>
      </c>
      <c r="E916">
        <v>-0.311102393095331</v>
      </c>
      <c r="F916">
        <v>-0.20218082689686501</v>
      </c>
      <c r="G916">
        <v>-0.24893071000855399</v>
      </c>
      <c r="H916">
        <v>-0.79147369671060408</v>
      </c>
      <c r="I916">
        <v>-0.104081632653061</v>
      </c>
    </row>
    <row r="917" spans="1:9" x14ac:dyDescent="0.25">
      <c r="A917" s="1" t="s">
        <v>929</v>
      </c>
      <c r="B917" t="str">
        <f>HYPERLINK("https://www.suredividend.com/sure-analysis-research-database/","Dorian LPG Ltd")</f>
        <v>Dorian LPG Ltd</v>
      </c>
      <c r="C917">
        <v>0.46654339535421202</v>
      </c>
      <c r="D917">
        <v>0.43911815738441101</v>
      </c>
      <c r="E917">
        <v>0.95072710316768905</v>
      </c>
      <c r="F917">
        <v>1.355321281413564</v>
      </c>
      <c r="G917">
        <v>1.367817092815693</v>
      </c>
      <c r="H917">
        <v>3.700232110227665</v>
      </c>
      <c r="I917">
        <v>7.3950780629796249</v>
      </c>
    </row>
    <row r="918" spans="1:9" x14ac:dyDescent="0.25">
      <c r="A918" s="1" t="s">
        <v>930</v>
      </c>
      <c r="B918" t="str">
        <f>HYPERLINK("https://www.suredividend.com/sure-analysis-research-database/","Open Lending Corp")</f>
        <v>Open Lending Corp</v>
      </c>
      <c r="C918">
        <v>-8.3694083694083002E-2</v>
      </c>
      <c r="D918">
        <v>-0.37745098039215602</v>
      </c>
      <c r="E918">
        <v>-9.2857142857142014E-2</v>
      </c>
      <c r="F918">
        <v>-5.9259259259258998E-2</v>
      </c>
      <c r="G918">
        <v>-7.9710144927536003E-2</v>
      </c>
      <c r="H918">
        <v>-0.81095564155998812</v>
      </c>
      <c r="I918">
        <v>-0.56890699253224708</v>
      </c>
    </row>
    <row r="919" spans="1:9" x14ac:dyDescent="0.25">
      <c r="A919" s="1" t="s">
        <v>931</v>
      </c>
      <c r="B919" t="str">
        <f>HYPERLINK("https://www.suredividend.com/sure-analysis-research-database/","Liveperson Inc")</f>
        <v>Liveperson Inc</v>
      </c>
      <c r="C919">
        <v>-0.11011904761904701</v>
      </c>
      <c r="D919">
        <v>-0.274271844660194</v>
      </c>
      <c r="E919">
        <v>-0.252499999999999</v>
      </c>
      <c r="F919">
        <v>-0.70512820512820507</v>
      </c>
      <c r="G919">
        <v>-0.71360153256704906</v>
      </c>
      <c r="H919">
        <v>-0.94043824701195211</v>
      </c>
      <c r="I919">
        <v>-0.87211291702309601</v>
      </c>
    </row>
    <row r="920" spans="1:9" x14ac:dyDescent="0.25">
      <c r="A920" s="1" t="s">
        <v>932</v>
      </c>
      <c r="B920" t="str">
        <f>HYPERLINK("https://www.suredividend.com/sure-analysis-research-database/","Liquidia Corp")</f>
        <v>Liquidia Corp</v>
      </c>
      <c r="C920">
        <v>3.4214618973560998E-2</v>
      </c>
      <c r="D920">
        <v>-0.18002466091245301</v>
      </c>
      <c r="E920">
        <v>-9.1530054644808012E-2</v>
      </c>
      <c r="F920">
        <v>4.3956043956044001E-2</v>
      </c>
      <c r="G920">
        <v>0.32470119521912311</v>
      </c>
      <c r="H920">
        <v>0.54292343387471009</v>
      </c>
      <c r="I920">
        <v>0.95588235294117607</v>
      </c>
    </row>
    <row r="921" spans="1:9" x14ac:dyDescent="0.25">
      <c r="A921" s="1" t="s">
        <v>933</v>
      </c>
      <c r="B921" t="str">
        <f>HYPERLINK("https://www.suredividend.com/sure-analysis-research-database/","Liquidity Services Inc")</f>
        <v>Liquidity Services Inc</v>
      </c>
      <c r="C921">
        <v>5.5525313010342997E-2</v>
      </c>
      <c r="D921">
        <v>7.7222222222222012E-2</v>
      </c>
      <c r="E921">
        <v>0.41947291361639799</v>
      </c>
      <c r="F921">
        <v>0.37908961593172102</v>
      </c>
      <c r="G921">
        <v>0.127325581395348</v>
      </c>
      <c r="H921">
        <v>-0.153644696639022</v>
      </c>
      <c r="I921">
        <v>2.2209302325581399</v>
      </c>
    </row>
    <row r="922" spans="1:9" x14ac:dyDescent="0.25">
      <c r="A922" s="1" t="s">
        <v>934</v>
      </c>
      <c r="B922" t="str">
        <f>HYPERLINK("https://www.suredividend.com/sure-analysis-research-database/","Stride Inc")</f>
        <v>Stride Inc</v>
      </c>
      <c r="C922">
        <v>0.22926292629262901</v>
      </c>
      <c r="D922">
        <v>0.42271454036159911</v>
      </c>
      <c r="E922">
        <v>0.37205304518664001</v>
      </c>
      <c r="F922">
        <v>0.78612531969309407</v>
      </c>
      <c r="G922">
        <v>0.64275213172596302</v>
      </c>
      <c r="H922">
        <v>0.5319440636139291</v>
      </c>
      <c r="I922">
        <v>1.5257685352622059</v>
      </c>
    </row>
    <row r="923" spans="1:9" x14ac:dyDescent="0.25">
      <c r="A923" s="1" t="s">
        <v>935</v>
      </c>
      <c r="B923" t="str">
        <f>HYPERLINK("https://www.suredividend.com/sure-analysis-research-database/","Landsea Homes Corporation")</f>
        <v>Landsea Homes Corporation</v>
      </c>
      <c r="C923">
        <v>-7.1770334928220004E-3</v>
      </c>
      <c r="D923">
        <v>-0.319114027891714</v>
      </c>
      <c r="E923">
        <v>0.42367066895368799</v>
      </c>
      <c r="F923">
        <v>0.5930902111324371</v>
      </c>
      <c r="G923">
        <v>0.617933723196881</v>
      </c>
      <c r="H923">
        <v>-8.0841638981173011E-2</v>
      </c>
      <c r="I923">
        <v>-0.132706374085684</v>
      </c>
    </row>
    <row r="924" spans="1:9" x14ac:dyDescent="0.25">
      <c r="A924" s="1" t="s">
        <v>936</v>
      </c>
      <c r="B924" t="str">
        <f>HYPERLINK("https://www.suredividend.com/sure-analysis-LTC/","LTC Properties, Inc.")</f>
        <v>LTC Properties, Inc.</v>
      </c>
      <c r="C924">
        <v>2.7022208638956002E-2</v>
      </c>
      <c r="D924">
        <v>-2.5977947126242001E-2</v>
      </c>
      <c r="E924">
        <v>3.5026160747050001E-3</v>
      </c>
      <c r="F924">
        <v>-3.9432115601635002E-2</v>
      </c>
      <c r="G924">
        <v>-0.114509851283768</v>
      </c>
      <c r="H924">
        <v>0.129140649063366</v>
      </c>
      <c r="I924">
        <v>2.8128525626724001E-2</v>
      </c>
    </row>
    <row r="925" spans="1:9" x14ac:dyDescent="0.25">
      <c r="A925" s="1" t="s">
        <v>937</v>
      </c>
      <c r="B925" t="str">
        <f>HYPERLINK("https://www.suredividend.com/sure-analysis-research-database/","Latch Inc")</f>
        <v>Latch Inc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s="1" t="s">
        <v>938</v>
      </c>
      <c r="B926" t="str">
        <f>HYPERLINK("https://www.suredividend.com/sure-analysis-research-database/","Life Time Group Holdings Inc")</f>
        <v>Life Time Group Holdings Inc</v>
      </c>
      <c r="C926">
        <v>-0.12551159618008101</v>
      </c>
      <c r="D926">
        <v>-0.25638051044083499</v>
      </c>
      <c r="E926">
        <v>-0.32844421162912502</v>
      </c>
      <c r="F926">
        <v>7.1906354515050008E-2</v>
      </c>
      <c r="G926">
        <v>0.39045553145336198</v>
      </c>
      <c r="H926">
        <v>-0.297149122807017</v>
      </c>
      <c r="I926">
        <v>-0.277746478873239</v>
      </c>
    </row>
    <row r="927" spans="1:9" x14ac:dyDescent="0.25">
      <c r="A927" s="1" t="s">
        <v>939</v>
      </c>
      <c r="B927" t="str">
        <f>HYPERLINK("https://www.suredividend.com/sure-analysis-research-database/","Livent Corp")</f>
        <v>Livent Corp</v>
      </c>
      <c r="C927">
        <v>-0.13866513233601799</v>
      </c>
      <c r="D927">
        <v>-0.36080273270708801</v>
      </c>
      <c r="E927">
        <v>-0.326888489208633</v>
      </c>
      <c r="F927">
        <v>-0.24660291897332601</v>
      </c>
      <c r="G927">
        <v>-0.50512396694214801</v>
      </c>
      <c r="H927">
        <v>-0.51569071497897101</v>
      </c>
      <c r="I927">
        <v>-0.112099644128113</v>
      </c>
    </row>
    <row r="928" spans="1:9" x14ac:dyDescent="0.25">
      <c r="A928" s="1" t="s">
        <v>940</v>
      </c>
      <c r="B928" t="str">
        <f>HYPERLINK("https://www.suredividend.com/sure-analysis-research-database/","Pulmonx Corp")</f>
        <v>Pulmonx Corp</v>
      </c>
      <c r="C928">
        <v>2.5853154084798002E-2</v>
      </c>
      <c r="D928">
        <v>-0.25188536953242802</v>
      </c>
      <c r="E928">
        <v>-0.18821603927986899</v>
      </c>
      <c r="F928">
        <v>0.176749703440094</v>
      </c>
      <c r="G928">
        <v>1.0580912863070531</v>
      </c>
      <c r="H928">
        <v>-0.77268560953253906</v>
      </c>
      <c r="I928">
        <v>-0.74764690918341303</v>
      </c>
    </row>
    <row r="929" spans="1:9" x14ac:dyDescent="0.25">
      <c r="A929" s="1" t="s">
        <v>941</v>
      </c>
      <c r="B929" t="str">
        <f>HYPERLINK("https://www.suredividend.com/sure-analysis-research-database/","Lulus Fashion Lounge Holdings Inc")</f>
        <v>Lulus Fashion Lounge Holdings Inc</v>
      </c>
      <c r="C929">
        <v>-7.7586206896551005E-2</v>
      </c>
      <c r="D929">
        <v>-0.157480314960629</v>
      </c>
      <c r="E929">
        <v>-0.157480314960629</v>
      </c>
      <c r="F929">
        <v>-0.147410358565736</v>
      </c>
      <c r="G929">
        <v>-0.6531604538087521</v>
      </c>
      <c r="H929">
        <v>-0.83614088820826904</v>
      </c>
      <c r="I929">
        <v>-0.83614088820826904</v>
      </c>
    </row>
    <row r="930" spans="1:9" x14ac:dyDescent="0.25">
      <c r="A930" s="1" t="s">
        <v>942</v>
      </c>
      <c r="B930" t="str">
        <f>HYPERLINK("https://www.suredividend.com/sure-analysis-research-database/","LiveVox Holdings Inc")</f>
        <v>LiveVox Holdings Inc</v>
      </c>
      <c r="C930">
        <v>0</v>
      </c>
      <c r="D930">
        <v>0.17532467532467499</v>
      </c>
      <c r="E930">
        <v>0.33579335793357901</v>
      </c>
      <c r="F930">
        <v>0.218855218855218</v>
      </c>
      <c r="G930">
        <v>0.36603773584905602</v>
      </c>
      <c r="H930">
        <v>-0.38225255972696198</v>
      </c>
      <c r="I930">
        <v>-0.62680412371134009</v>
      </c>
    </row>
    <row r="931" spans="1:9" x14ac:dyDescent="0.25">
      <c r="A931" s="1" t="s">
        <v>943</v>
      </c>
      <c r="B931" t="str">
        <f>HYPERLINK("https://www.suredividend.com/sure-analysis-research-database/","Lightwave Logic Inc")</f>
        <v>Lightwave Logic Inc</v>
      </c>
      <c r="C931">
        <v>0.115207373271889</v>
      </c>
      <c r="D931">
        <v>-0.25423728813559299</v>
      </c>
      <c r="E931">
        <v>8.7640449438202012E-2</v>
      </c>
      <c r="F931">
        <v>0.122969837587006</v>
      </c>
      <c r="G931">
        <v>-0.33149171270718197</v>
      </c>
      <c r="H931">
        <v>-0.62039215686274507</v>
      </c>
      <c r="I931">
        <v>4.2896174863387966</v>
      </c>
    </row>
    <row r="932" spans="1:9" x14ac:dyDescent="0.25">
      <c r="A932" s="1" t="s">
        <v>944</v>
      </c>
      <c r="B932" t="str">
        <f>HYPERLINK("https://www.suredividend.com/sure-analysis-research-database/","Luxfer Holdings PLC")</f>
        <v>Luxfer Holdings PLC</v>
      </c>
      <c r="C932">
        <v>-0.32431902802273099</v>
      </c>
      <c r="D932">
        <v>-0.28496773230253603</v>
      </c>
      <c r="E932">
        <v>-0.397577731342031</v>
      </c>
      <c r="F932">
        <v>-0.347439342897157</v>
      </c>
      <c r="G932">
        <v>-0.37609021359138911</v>
      </c>
      <c r="H932">
        <v>-0.561615411608546</v>
      </c>
      <c r="I932">
        <v>-0.62167594921153202</v>
      </c>
    </row>
    <row r="933" spans="1:9" x14ac:dyDescent="0.25">
      <c r="A933" s="1" t="s">
        <v>945</v>
      </c>
      <c r="B933" t="str">
        <f>HYPERLINK("https://www.suredividend.com/sure-analysis-LXP/","LXP Industrial Trust")</f>
        <v>LXP Industrial Trust</v>
      </c>
      <c r="C933">
        <v>-2.7649769585253E-2</v>
      </c>
      <c r="D933">
        <v>-0.13725249675447401</v>
      </c>
      <c r="E933">
        <v>-8.8316626339440013E-2</v>
      </c>
      <c r="F933">
        <v>-0.12382692467403</v>
      </c>
      <c r="G933">
        <v>-0.120760063338611</v>
      </c>
      <c r="H933">
        <v>-0.359305256126074</v>
      </c>
      <c r="I933">
        <v>0.35907634337611299</v>
      </c>
    </row>
    <row r="934" spans="1:9" x14ac:dyDescent="0.25">
      <c r="A934" s="1" t="s">
        <v>946</v>
      </c>
      <c r="B934" t="str">
        <f>HYPERLINK("https://www.suredividend.com/sure-analysis-research-database/","Lexicon Pharmaceuticals Inc")</f>
        <v>Lexicon Pharmaceuticals Inc</v>
      </c>
      <c r="C934">
        <v>0.43689320388349501</v>
      </c>
      <c r="D934">
        <v>-0.20855614973261999</v>
      </c>
      <c r="E934">
        <v>-0.51948051948051899</v>
      </c>
      <c r="F934">
        <v>-0.22513089005235601</v>
      </c>
      <c r="G934">
        <v>-0.28846153846153799</v>
      </c>
      <c r="H934">
        <v>-0.70221327967806801</v>
      </c>
      <c r="I934">
        <v>-0.8256772673733801</v>
      </c>
    </row>
    <row r="935" spans="1:9" x14ac:dyDescent="0.25">
      <c r="A935" s="1" t="s">
        <v>947</v>
      </c>
      <c r="B935" t="str">
        <f>HYPERLINK("https://www.suredividend.com/sure-analysis-research-database/","LSB Industries, Inc.")</f>
        <v>LSB Industries, Inc.</v>
      </c>
      <c r="C935">
        <v>-7.6845298281091004E-2</v>
      </c>
      <c r="D935">
        <v>-0.17821782178217799</v>
      </c>
      <c r="E935">
        <v>9.210526315789401E-2</v>
      </c>
      <c r="F935">
        <v>-0.313533834586466</v>
      </c>
      <c r="G935">
        <v>-0.44966847498493001</v>
      </c>
      <c r="H935">
        <v>2.4691358024690999E-2</v>
      </c>
      <c r="I935">
        <v>0.46711446063858802</v>
      </c>
    </row>
    <row r="936" spans="1:9" x14ac:dyDescent="0.25">
      <c r="A936" s="1" t="s">
        <v>948</v>
      </c>
      <c r="B936" t="str">
        <f>HYPERLINK("https://www.suredividend.com/sure-analysis-research-database/","Lyell Immunopharma Inc")</f>
        <v>Lyell Immunopharma Inc</v>
      </c>
      <c r="C936">
        <v>0.53956834532374109</v>
      </c>
      <c r="D936">
        <v>-0.186311787072243</v>
      </c>
      <c r="E936">
        <v>-0.11570247933884199</v>
      </c>
      <c r="F936">
        <v>-0.38328530259365901</v>
      </c>
      <c r="G936">
        <v>-0.62323943661971803</v>
      </c>
      <c r="H936">
        <v>-0.85666443402545212</v>
      </c>
      <c r="I936">
        <v>-0.87329780935464707</v>
      </c>
    </row>
    <row r="937" spans="1:9" x14ac:dyDescent="0.25">
      <c r="A937" s="1" t="s">
        <v>949</v>
      </c>
      <c r="B937" t="str">
        <f>HYPERLINK("https://www.suredividend.com/sure-analysis-research-database/","LegalZoom.com Inc.")</f>
        <v>LegalZoom.com Inc.</v>
      </c>
      <c r="C937">
        <v>-1.890359168241E-3</v>
      </c>
      <c r="D937">
        <v>-0.31782945736434098</v>
      </c>
      <c r="E937">
        <v>0.41365461847389501</v>
      </c>
      <c r="F937">
        <v>0.36434108527131698</v>
      </c>
      <c r="G937">
        <v>0.219399538106235</v>
      </c>
      <c r="H937">
        <v>-0.60345475028163709</v>
      </c>
      <c r="I937">
        <v>-0.72100396301188907</v>
      </c>
    </row>
    <row r="938" spans="1:9" x14ac:dyDescent="0.25">
      <c r="A938" s="1" t="s">
        <v>950</v>
      </c>
      <c r="B938" t="str">
        <f>HYPERLINK("https://www.suredividend.com/sure-analysis-research-database/","La-Z-Boy Inc.")</f>
        <v>La-Z-Boy Inc.</v>
      </c>
      <c r="C938">
        <v>1.0816125860373E-2</v>
      </c>
      <c r="D938">
        <v>-7.0546822258655009E-2</v>
      </c>
      <c r="E938">
        <v>0.13349848205293999</v>
      </c>
      <c r="F938">
        <v>0.37628189680563301</v>
      </c>
      <c r="G938">
        <v>0.28624873314509403</v>
      </c>
      <c r="H938">
        <v>-7.716338457211E-2</v>
      </c>
      <c r="I938">
        <v>0.163001176577065</v>
      </c>
    </row>
    <row r="939" spans="1:9" x14ac:dyDescent="0.25">
      <c r="A939" s="1" t="s">
        <v>951</v>
      </c>
      <c r="B939" t="str">
        <f>HYPERLINK("https://www.suredividend.com/sure-analysis-MAC/","Macerich Co.")</f>
        <v>Macerich Co.</v>
      </c>
      <c r="C939">
        <v>5.1546391752576998E-2</v>
      </c>
      <c r="D939">
        <v>-9.7359656320895008E-2</v>
      </c>
      <c r="E939">
        <v>0.16564162234042501</v>
      </c>
      <c r="F939">
        <v>4.2344066442466001E-2</v>
      </c>
      <c r="G939">
        <v>-1.7091396483605002E-2</v>
      </c>
      <c r="H939">
        <v>-0.42654161662109302</v>
      </c>
      <c r="I939">
        <v>-0.69891076541606401</v>
      </c>
    </row>
    <row r="940" spans="1:9" x14ac:dyDescent="0.25">
      <c r="A940" s="1" t="s">
        <v>952</v>
      </c>
      <c r="B940" t="str">
        <f>HYPERLINK("https://www.suredividend.com/sure-analysis-research-database/","WM Technology Inc")</f>
        <v>WM Technology Inc</v>
      </c>
      <c r="C940">
        <v>-0.13235294117647001</v>
      </c>
      <c r="D940">
        <v>2.6086956521739001E-2</v>
      </c>
      <c r="E940">
        <v>0.47499999999999898</v>
      </c>
      <c r="F940">
        <v>0.16831683168316799</v>
      </c>
      <c r="G940">
        <v>-0.35519125683060099</v>
      </c>
      <c r="H940">
        <v>-0.89965986394557806</v>
      </c>
      <c r="I940">
        <v>-0.87971457696228306</v>
      </c>
    </row>
    <row r="941" spans="1:9" x14ac:dyDescent="0.25">
      <c r="A941" s="1" t="s">
        <v>953</v>
      </c>
      <c r="B941" t="str">
        <f>HYPERLINK("https://www.suredividend.com/sure-analysis-research-database/","Marathon Digital Holdings Inc")</f>
        <v>Marathon Digital Holdings Inc</v>
      </c>
      <c r="C941">
        <v>0.24801061007957501</v>
      </c>
      <c r="D941">
        <v>-0.40555906506632899</v>
      </c>
      <c r="E941">
        <v>-8.3739045764362002E-2</v>
      </c>
      <c r="F941">
        <v>1.7514619883040929</v>
      </c>
      <c r="G941">
        <v>-0.13191881918819101</v>
      </c>
      <c r="H941">
        <v>-0.85363198009021601</v>
      </c>
      <c r="I941">
        <v>2.5590015128593042</v>
      </c>
    </row>
    <row r="942" spans="1:9" x14ac:dyDescent="0.25">
      <c r="A942" s="1" t="s">
        <v>954</v>
      </c>
      <c r="B942" t="str">
        <f>HYPERLINK("https://www.suredividend.com/sure-analysis-research-database/","908 Devices Inc")</f>
        <v>908 Devices Inc</v>
      </c>
      <c r="C942">
        <v>5.2799999999999007E-2</v>
      </c>
      <c r="D942">
        <v>5.6179775280898007E-2</v>
      </c>
      <c r="E942">
        <v>-6.4011379800853002E-2</v>
      </c>
      <c r="F942">
        <v>-0.13648293963254601</v>
      </c>
      <c r="G942">
        <v>-0.52593659942363102</v>
      </c>
      <c r="H942">
        <v>-0.82085488701334008</v>
      </c>
      <c r="I942">
        <v>-0.8657142857142851</v>
      </c>
    </row>
    <row r="943" spans="1:9" x14ac:dyDescent="0.25">
      <c r="A943" s="1" t="s">
        <v>955</v>
      </c>
      <c r="B943" t="str">
        <f>HYPERLINK("https://www.suredividend.com/sure-analysis-research-database/","Mativ Holdings Inc")</f>
        <v>Mativ Holdings Inc</v>
      </c>
      <c r="C943">
        <v>2.8655400440851998E-2</v>
      </c>
      <c r="D943">
        <v>-0.19744558394432499</v>
      </c>
      <c r="E943">
        <v>-0.12684454090733299</v>
      </c>
      <c r="F943">
        <v>-0.29870962571130799</v>
      </c>
      <c r="G943">
        <v>-0.35628336406313899</v>
      </c>
      <c r="H943">
        <v>-0.54497440481027004</v>
      </c>
      <c r="I943">
        <v>-0.49406428997343799</v>
      </c>
    </row>
    <row r="944" spans="1:9" x14ac:dyDescent="0.25">
      <c r="A944" s="1" t="s">
        <v>956</v>
      </c>
      <c r="B944" t="str">
        <f>HYPERLINK("https://www.suredividend.com/sure-analysis-MATW/","Matthews International Corp.")</f>
        <v>Matthews International Corp.</v>
      </c>
      <c r="C944">
        <v>-4.0773100344187997E-2</v>
      </c>
      <c r="D944">
        <v>-0.20895196506550201</v>
      </c>
      <c r="E944">
        <v>2.4847464178199999E-4</v>
      </c>
      <c r="F944">
        <v>0.224830626512867</v>
      </c>
      <c r="G944">
        <v>0.42359241955700799</v>
      </c>
      <c r="H944">
        <v>-1.8266324666700001E-3</v>
      </c>
      <c r="I944">
        <v>-6.6475306558378008E-2</v>
      </c>
    </row>
    <row r="945" spans="1:9" x14ac:dyDescent="0.25">
      <c r="A945" s="1" t="s">
        <v>957</v>
      </c>
      <c r="B945" t="str">
        <f>HYPERLINK("https://www.suredividend.com/sure-analysis-research-database/","Matson Inc")</f>
        <v>Matson Inc</v>
      </c>
      <c r="C945">
        <v>-2.9243054774489999E-3</v>
      </c>
      <c r="D945">
        <v>-7.4441428273125013E-2</v>
      </c>
      <c r="E945">
        <v>0.40927690502761299</v>
      </c>
      <c r="F945">
        <v>0.43621131828484111</v>
      </c>
      <c r="G945">
        <v>0.28647926976156901</v>
      </c>
      <c r="H945">
        <v>1.3135909925188999E-2</v>
      </c>
      <c r="I945">
        <v>1.7124441983067491</v>
      </c>
    </row>
    <row r="946" spans="1:9" x14ac:dyDescent="0.25">
      <c r="A946" s="1" t="s">
        <v>958</v>
      </c>
      <c r="B946" t="str">
        <f>HYPERLINK("https://www.suredividend.com/sure-analysis-research-database/","MediaAlpha Inc")</f>
        <v>MediaAlpha Inc</v>
      </c>
      <c r="C946">
        <v>0.18712029161603799</v>
      </c>
      <c r="D946">
        <v>8.9186176142697013E-2</v>
      </c>
      <c r="E946">
        <v>0.66439522998296408</v>
      </c>
      <c r="F946">
        <v>-1.8090452261306001E-2</v>
      </c>
      <c r="G946">
        <v>-0.32990397805212601</v>
      </c>
      <c r="H946">
        <v>-0.43656286043829201</v>
      </c>
      <c r="I946">
        <v>-0.69334588826114207</v>
      </c>
    </row>
    <row r="947" spans="1:9" x14ac:dyDescent="0.25">
      <c r="A947" s="1" t="s">
        <v>959</v>
      </c>
      <c r="B947" t="str">
        <f>HYPERLINK("https://www.suredividend.com/sure-analysis-research-database/","MBIA Inc.")</f>
        <v>MBIA Inc.</v>
      </c>
      <c r="C947">
        <v>-5.0287356321839012E-2</v>
      </c>
      <c r="D947">
        <v>-0.22417840375586801</v>
      </c>
      <c r="E947">
        <v>-0.28540540540540499</v>
      </c>
      <c r="F947">
        <v>-0.48560311284046598</v>
      </c>
      <c r="G947">
        <v>-0.42720970537261599</v>
      </c>
      <c r="H947">
        <v>-0.56570302233902703</v>
      </c>
      <c r="I947">
        <v>-0.35637779941577402</v>
      </c>
    </row>
    <row r="948" spans="1:9" x14ac:dyDescent="0.25">
      <c r="A948" s="1" t="s">
        <v>960</v>
      </c>
      <c r="B948" t="str">
        <f>HYPERLINK("https://www.suredividend.com/sure-analysis-research-database/","Merchants Bancorp")</f>
        <v>Merchants Bancorp</v>
      </c>
      <c r="C948">
        <v>0.155555555555555</v>
      </c>
      <c r="D948">
        <v>1.0981462099536E-2</v>
      </c>
      <c r="E948">
        <v>0.41749884146729199</v>
      </c>
      <c r="F948">
        <v>0.30200182781025797</v>
      </c>
      <c r="G948">
        <v>0.343206474944032</v>
      </c>
      <c r="H948">
        <v>2.7048913204491001E-2</v>
      </c>
      <c r="I948">
        <v>1.259608769020184</v>
      </c>
    </row>
    <row r="949" spans="1:9" x14ac:dyDescent="0.25">
      <c r="A949" s="1" t="s">
        <v>961</v>
      </c>
      <c r="B949" t="str">
        <f>HYPERLINK("https://www.suredividend.com/sure-analysis-research-database/","Malibu Boats Inc")</f>
        <v>Malibu Boats Inc</v>
      </c>
      <c r="C949">
        <v>-4.8347613219093998E-2</v>
      </c>
      <c r="D949">
        <v>-0.178986272439282</v>
      </c>
      <c r="E949">
        <v>-0.16322869955156899</v>
      </c>
      <c r="F949">
        <v>-0.124765478424014</v>
      </c>
      <c r="G949">
        <v>-0.13547071905114899</v>
      </c>
      <c r="H949">
        <v>-0.37841439040639502</v>
      </c>
      <c r="I949">
        <v>0.100495399858457</v>
      </c>
    </row>
    <row r="950" spans="1:9" x14ac:dyDescent="0.25">
      <c r="A950" s="1" t="s">
        <v>962</v>
      </c>
      <c r="B950" t="str">
        <f>HYPERLINK("https://www.suredividend.com/sure-analysis-research-database/","Mercantile Bank Corp.")</f>
        <v>Mercantile Bank Corp.</v>
      </c>
      <c r="C950">
        <v>0.13033561420658099</v>
      </c>
      <c r="D950">
        <v>-1.4040472942246E-2</v>
      </c>
      <c r="E950">
        <v>0.47604459194962101</v>
      </c>
      <c r="F950">
        <v>9.4919309276040004E-2</v>
      </c>
      <c r="G950">
        <v>5.2874386531463001E-2</v>
      </c>
      <c r="H950">
        <v>6.7801879503683007E-2</v>
      </c>
      <c r="I950">
        <v>0.35727309007535601</v>
      </c>
    </row>
    <row r="951" spans="1:9" x14ac:dyDescent="0.25">
      <c r="A951" s="1" t="s">
        <v>963</v>
      </c>
      <c r="B951" t="str">
        <f>HYPERLINK("https://www.suredividend.com/sure-analysis-research-database/","Moelis &amp; Co")</f>
        <v>Moelis &amp; Co</v>
      </c>
      <c r="C951">
        <v>-1.0723248916266999E-2</v>
      </c>
      <c r="D951">
        <v>-9.8919368246051007E-2</v>
      </c>
      <c r="E951">
        <v>0.25476396489207398</v>
      </c>
      <c r="F951">
        <v>0.17940502063142699</v>
      </c>
      <c r="G951">
        <v>0.150764478108669</v>
      </c>
      <c r="H951">
        <v>-0.34200942067692902</v>
      </c>
      <c r="I951">
        <v>0.46998498147262902</v>
      </c>
    </row>
    <row r="952" spans="1:9" x14ac:dyDescent="0.25">
      <c r="A952" s="1" t="s">
        <v>964</v>
      </c>
      <c r="B952" t="str">
        <f>HYPERLINK("https://www.suredividend.com/sure-analysis-research-database/","Metropolitan Bank Holding Corp")</f>
        <v>Metropolitan Bank Holding Corp</v>
      </c>
      <c r="C952">
        <v>7.5770671276289003E-2</v>
      </c>
      <c r="D952">
        <v>-0.22691511387163499</v>
      </c>
      <c r="E952">
        <v>0.88016112789526701</v>
      </c>
      <c r="F952">
        <v>-0.36355888869950498</v>
      </c>
      <c r="G952">
        <v>-0.45584377732439502</v>
      </c>
      <c r="H952">
        <v>-0.62118291569443007</v>
      </c>
      <c r="I952">
        <v>-1.8659658344283001E-2</v>
      </c>
    </row>
    <row r="953" spans="1:9" x14ac:dyDescent="0.25">
      <c r="A953" s="1" t="s">
        <v>965</v>
      </c>
      <c r="B953" t="str">
        <f>HYPERLINK("https://www.suredividend.com/sure-analysis-research-database/","Macatawa Bank Corp.")</f>
        <v>Macatawa Bank Corp.</v>
      </c>
      <c r="C953">
        <v>7.6751946607341012E-2</v>
      </c>
      <c r="D953">
        <v>1.8111445339615E-2</v>
      </c>
      <c r="E953">
        <v>0.142317677602076</v>
      </c>
      <c r="F953">
        <v>-9.2213479879586002E-2</v>
      </c>
      <c r="G953">
        <v>-0.138851327307664</v>
      </c>
      <c r="H953">
        <v>0.217196675342965</v>
      </c>
      <c r="I953">
        <v>7.4624214569595004E-2</v>
      </c>
    </row>
    <row r="954" spans="1:9" x14ac:dyDescent="0.25">
      <c r="A954" s="1" t="s">
        <v>966</v>
      </c>
      <c r="B954" t="str">
        <f>HYPERLINK("https://www.suredividend.com/sure-analysis-research-database/","MetroCity Bankshares Inc")</f>
        <v>MetroCity Bankshares Inc</v>
      </c>
      <c r="C954">
        <v>0.111244312170001</v>
      </c>
      <c r="D954">
        <v>1.9422582218439E-2</v>
      </c>
      <c r="E954">
        <v>0.54487156262454206</v>
      </c>
      <c r="F954">
        <v>5.4026261667457012E-2</v>
      </c>
      <c r="G954">
        <v>4.1982307805092003E-2</v>
      </c>
      <c r="H954">
        <v>-6.2539848652071003E-2</v>
      </c>
      <c r="I954">
        <v>0.84692684194568302</v>
      </c>
    </row>
    <row r="955" spans="1:9" x14ac:dyDescent="0.25">
      <c r="A955" s="1" t="s">
        <v>967</v>
      </c>
      <c r="B955" t="str">
        <f>HYPERLINK("https://www.suredividend.com/sure-analysis-research-database/","MasterCraft Boat Holdings Inc")</f>
        <v>MasterCraft Boat Holdings Inc</v>
      </c>
      <c r="C955">
        <v>-2.245172878311E-3</v>
      </c>
      <c r="D955">
        <v>-0.19725433526011499</v>
      </c>
      <c r="E955">
        <v>-0.21261516654854701</v>
      </c>
      <c r="F955">
        <v>-0.141090065713181</v>
      </c>
      <c r="G955">
        <v>0.01</v>
      </c>
      <c r="H955">
        <v>-0.20244077530509599</v>
      </c>
      <c r="I955">
        <v>-0.28576020572163202</v>
      </c>
    </row>
    <row r="956" spans="1:9" x14ac:dyDescent="0.25">
      <c r="A956" s="1" t="s">
        <v>968</v>
      </c>
      <c r="B956" t="str">
        <f>HYPERLINK("https://www.suredividend.com/sure-analysis-research-database/","Seres Therapeutics Inc")</f>
        <v>Seres Therapeutics Inc</v>
      </c>
      <c r="C956">
        <v>-0.35</v>
      </c>
      <c r="D956">
        <v>-0.73684210526315808</v>
      </c>
      <c r="E956">
        <v>-0.76146788990825609</v>
      </c>
      <c r="F956">
        <v>-0.76785714285714202</v>
      </c>
      <c r="G956">
        <v>-0.84029484029484003</v>
      </c>
      <c r="H956">
        <v>-0.81428571428571406</v>
      </c>
      <c r="I956">
        <v>-0.82142857142857106</v>
      </c>
    </row>
    <row r="957" spans="1:9" x14ac:dyDescent="0.25">
      <c r="A957" s="1" t="s">
        <v>969</v>
      </c>
      <c r="B957" t="str">
        <f>HYPERLINK("https://www.suredividend.com/sure-analysis-research-database/","Monarch Casino &amp; Resort, Inc.")</f>
        <v>Monarch Casino &amp; Resort, Inc.</v>
      </c>
      <c r="C957">
        <v>2.4023062139650001E-3</v>
      </c>
      <c r="D957">
        <v>-7.2171672699996012E-2</v>
      </c>
      <c r="E957">
        <v>-5.9711829242826003E-2</v>
      </c>
      <c r="F957">
        <v>-0.114800190079652</v>
      </c>
      <c r="G957">
        <v>-0.14708114789059601</v>
      </c>
      <c r="H957">
        <v>-2.8088989097638999E-2</v>
      </c>
      <c r="I957">
        <v>0.68222842183913601</v>
      </c>
    </row>
    <row r="958" spans="1:9" x14ac:dyDescent="0.25">
      <c r="A958" s="1" t="s">
        <v>970</v>
      </c>
      <c r="B958" t="str">
        <f>HYPERLINK("https://www.suredividend.com/sure-analysis-research-database/","Marcus Corp.")</f>
        <v>Marcus Corp.</v>
      </c>
      <c r="C958">
        <v>-5.7471264367810002E-3</v>
      </c>
      <c r="D958">
        <v>-3.8140776159234002E-2</v>
      </c>
      <c r="E958">
        <v>-7.0974671082072005E-2</v>
      </c>
      <c r="F958">
        <v>9.3959684388766007E-2</v>
      </c>
      <c r="G958">
        <v>5.4220946293638002E-2</v>
      </c>
      <c r="H958">
        <v>-0.208024537505658</v>
      </c>
      <c r="I958">
        <v>-0.58586570558429607</v>
      </c>
    </row>
    <row r="959" spans="1:9" x14ac:dyDescent="0.25">
      <c r="A959" s="1" t="s">
        <v>971</v>
      </c>
      <c r="B959" t="str">
        <f>HYPERLINK("https://www.suredividend.com/sure-analysis-MCY/","Mercury General Corp.")</f>
        <v>Mercury General Corp.</v>
      </c>
      <c r="C959">
        <v>0.31552346570397111</v>
      </c>
      <c r="D959">
        <v>0.20669443874138099</v>
      </c>
      <c r="E959">
        <v>0.26102619293977503</v>
      </c>
      <c r="F959">
        <v>0.10053728205949</v>
      </c>
      <c r="G959">
        <v>3.2604691493762002E-2</v>
      </c>
      <c r="H959">
        <v>-0.28751867232897699</v>
      </c>
      <c r="I959">
        <v>-0.23152032021392499</v>
      </c>
    </row>
    <row r="960" spans="1:9" x14ac:dyDescent="0.25">
      <c r="A960" s="1" t="s">
        <v>972</v>
      </c>
      <c r="B960" t="str">
        <f>HYPERLINK("https://www.suredividend.com/sure-analysis-research-database/","Pediatrix Medical Group Inc")</f>
        <v>Pediatrix Medical Group Inc</v>
      </c>
      <c r="C960">
        <v>-0.22897196261682201</v>
      </c>
      <c r="D960">
        <v>-0.32330827067669099</v>
      </c>
      <c r="E960">
        <v>-0.239631336405529</v>
      </c>
      <c r="F960">
        <v>-0.33378196500672902</v>
      </c>
      <c r="G960">
        <v>-0.36579115951313201</v>
      </c>
      <c r="H960">
        <v>-0.63549337260677408</v>
      </c>
      <c r="I960">
        <v>-0.74770642201834803</v>
      </c>
    </row>
    <row r="961" spans="1:9" x14ac:dyDescent="0.25">
      <c r="A961" s="1" t="s">
        <v>973</v>
      </c>
      <c r="B961" t="str">
        <f>HYPERLINK("https://www.suredividend.com/sure-analysis-MDC/","M.D.C. Holdings, Inc.")</f>
        <v>M.D.C. Holdings, Inc.</v>
      </c>
      <c r="C961">
        <v>7.6634109691960009E-2</v>
      </c>
      <c r="D961">
        <v>-0.14599697255032801</v>
      </c>
      <c r="E961">
        <v>6.6839385953156999E-2</v>
      </c>
      <c r="F961">
        <v>0.40983176466729998</v>
      </c>
      <c r="G961">
        <v>0.52507378817118799</v>
      </c>
      <c r="H961">
        <v>-4.4498923144285003E-2</v>
      </c>
      <c r="I961">
        <v>1.082394826709292</v>
      </c>
    </row>
    <row r="962" spans="1:9" x14ac:dyDescent="0.25">
      <c r="A962" s="1" t="s">
        <v>974</v>
      </c>
      <c r="B962" t="str">
        <f>HYPERLINK("https://www.suredividend.com/sure-analysis-research-database/","Madrigal Pharmaceuticals Inc")</f>
        <v>Madrigal Pharmaceuticals Inc</v>
      </c>
      <c r="C962">
        <v>8.1982911019446006E-2</v>
      </c>
      <c r="D962">
        <v>-0.24470382558617801</v>
      </c>
      <c r="E962">
        <v>-0.52399624096697806</v>
      </c>
      <c r="F962">
        <v>-0.49391903531438403</v>
      </c>
      <c r="G962">
        <v>1.215201327099984</v>
      </c>
      <c r="H962">
        <v>0.5447470817120621</v>
      </c>
      <c r="I962">
        <v>-0.28346341463414598</v>
      </c>
    </row>
    <row r="963" spans="1:9" x14ac:dyDescent="0.25">
      <c r="A963" s="1" t="s">
        <v>975</v>
      </c>
      <c r="B963" t="str">
        <f>HYPERLINK("https://www.suredividend.com/sure-analysis-research-database/","Veradigm Inc")</f>
        <v>Veradigm Inc</v>
      </c>
      <c r="C963">
        <v>-2.2107590272659999E-3</v>
      </c>
      <c r="D963">
        <v>2.962962962962E-3</v>
      </c>
      <c r="E963">
        <v>0.12927439532944099</v>
      </c>
      <c r="F963">
        <v>-0.232426303854875</v>
      </c>
      <c r="G963">
        <v>-0.135928525845564</v>
      </c>
      <c r="H963">
        <v>-4.3785310734463012E-2</v>
      </c>
      <c r="I963">
        <v>0.38729508196721202</v>
      </c>
    </row>
    <row r="964" spans="1:9" x14ac:dyDescent="0.25">
      <c r="A964" s="1" t="s">
        <v>976</v>
      </c>
      <c r="B964" t="str">
        <f>HYPERLINK("https://www.suredividend.com/sure-analysis-research-database/","Mimedx Group Inc")</f>
        <v>Mimedx Group Inc</v>
      </c>
      <c r="C964">
        <v>-6.7031463748289E-2</v>
      </c>
      <c r="D964">
        <v>-0.117723156532988</v>
      </c>
      <c r="E964">
        <v>0.233273056057866</v>
      </c>
      <c r="F964">
        <v>1.4532374100719421</v>
      </c>
      <c r="G964">
        <v>1.3040540540540539</v>
      </c>
      <c r="H964">
        <v>-0.166259168704156</v>
      </c>
      <c r="I964">
        <v>6.5625000000000003E-2</v>
      </c>
    </row>
    <row r="965" spans="1:9" x14ac:dyDescent="0.25">
      <c r="A965" s="1" t="s">
        <v>977</v>
      </c>
      <c r="B965" t="str">
        <f>HYPERLINK("https://www.suredividend.com/sure-analysis-research-database/","23andMe Holding Co")</f>
        <v>23andMe Holding Co</v>
      </c>
      <c r="C965">
        <v>6.5157750342935E-2</v>
      </c>
      <c r="D965">
        <v>-0.46754285714285698</v>
      </c>
      <c r="E965">
        <v>-0.53871287128712808</v>
      </c>
      <c r="F965">
        <v>-0.56861111111111107</v>
      </c>
      <c r="G965">
        <v>-0.685202702702702</v>
      </c>
      <c r="H965">
        <v>-0.92759906759906707</v>
      </c>
      <c r="I965">
        <v>-0.90491836734693809</v>
      </c>
    </row>
    <row r="966" spans="1:9" x14ac:dyDescent="0.25">
      <c r="A966" s="1" t="s">
        <v>978</v>
      </c>
      <c r="B966" t="str">
        <f>HYPERLINK("https://www.suredividend.com/sure-analysis-MED/","Medifast Inc")</f>
        <v>Medifast Inc</v>
      </c>
      <c r="C966">
        <v>-4.8059904697071998E-2</v>
      </c>
      <c r="D966">
        <v>-0.27748292908751199</v>
      </c>
      <c r="E966">
        <v>-0.17465219002830601</v>
      </c>
      <c r="F966">
        <v>-0.35861919665953601</v>
      </c>
      <c r="G966">
        <v>-0.30290175122007101</v>
      </c>
      <c r="H966">
        <v>-0.6386307454326221</v>
      </c>
      <c r="I966">
        <v>-0.59628806740234008</v>
      </c>
    </row>
    <row r="967" spans="1:9" x14ac:dyDescent="0.25">
      <c r="A967" s="1" t="s">
        <v>979</v>
      </c>
      <c r="B967" t="str">
        <f>HYPERLINK("https://www.suredividend.com/sure-analysis-research-database/","Medpace Holdings Inc")</f>
        <v>Medpace Holdings Inc</v>
      </c>
      <c r="C967">
        <v>0.13459947037404801</v>
      </c>
      <c r="D967">
        <v>5.9748792270531002E-2</v>
      </c>
      <c r="E967">
        <v>0.33637116818558399</v>
      </c>
      <c r="F967">
        <v>0.29094675391930602</v>
      </c>
      <c r="G967">
        <v>0.32532624456259002</v>
      </c>
      <c r="H967">
        <v>0.20563665142455101</v>
      </c>
      <c r="I967">
        <v>4.0424788525193076</v>
      </c>
    </row>
    <row r="968" spans="1:9" x14ac:dyDescent="0.25">
      <c r="A968" s="1" t="s">
        <v>980</v>
      </c>
      <c r="B968" t="str">
        <f>HYPERLINK("https://www.suredividend.com/sure-analysis-research-database/","Montrose Environmental Group Inc")</f>
        <v>Montrose Environmental Group Inc</v>
      </c>
      <c r="C968">
        <v>-8.3724287260916005E-2</v>
      </c>
      <c r="D968">
        <v>-0.315079579174534</v>
      </c>
      <c r="E968">
        <v>-0.135806671204901</v>
      </c>
      <c r="F968">
        <v>-0.42802432980401001</v>
      </c>
      <c r="G968">
        <v>-0.40244763473758499</v>
      </c>
      <c r="H968">
        <v>-0.65905733852558002</v>
      </c>
      <c r="I968">
        <v>0.154090909090909</v>
      </c>
    </row>
    <row r="969" spans="1:9" x14ac:dyDescent="0.25">
      <c r="A969" s="1" t="s">
        <v>981</v>
      </c>
      <c r="B969" t="str">
        <f>HYPERLINK("https://www.suredividend.com/sure-analysis-research-database/","Methode Electronics, Inc.")</f>
        <v>Methode Electronics, Inc.</v>
      </c>
      <c r="C969">
        <v>4.1027723302605998E-2</v>
      </c>
      <c r="D969">
        <v>-0.27178011989943901</v>
      </c>
      <c r="E969">
        <v>-0.38792251759405211</v>
      </c>
      <c r="F969">
        <v>-0.44806042478735397</v>
      </c>
      <c r="G969">
        <v>-0.42647314299856898</v>
      </c>
      <c r="H969">
        <v>-0.45782997007941312</v>
      </c>
      <c r="I969">
        <v>-0.14531430091320099</v>
      </c>
    </row>
    <row r="970" spans="1:9" x14ac:dyDescent="0.25">
      <c r="A970" s="1" t="s">
        <v>982</v>
      </c>
      <c r="B970" t="str">
        <f>HYPERLINK("https://www.suredividend.com/sure-analysis-research-database/","Ramaco Resources Inc")</f>
        <v>Ramaco Resources Inc</v>
      </c>
      <c r="C970">
        <v>0.24155578300921199</v>
      </c>
      <c r="D970">
        <v>0.40815639474814502</v>
      </c>
      <c r="E970">
        <v>0.5493281561334491</v>
      </c>
      <c r="F970">
        <v>0.5493281561334491</v>
      </c>
      <c r="G970">
        <v>0.5493281561334491</v>
      </c>
      <c r="H970">
        <v>0.5493281561334491</v>
      </c>
      <c r="I970">
        <v>0.5493281561334491</v>
      </c>
    </row>
    <row r="971" spans="1:9" x14ac:dyDescent="0.25">
      <c r="A971" s="1" t="s">
        <v>983</v>
      </c>
      <c r="B971" t="str">
        <f>HYPERLINK("https://www.suredividend.com/sure-analysis-research-database/","MFA Financial Inc")</f>
        <v>MFA Financial Inc</v>
      </c>
      <c r="C971">
        <v>0.15537383177569999</v>
      </c>
      <c r="D971">
        <v>-4.9961095474587013E-2</v>
      </c>
      <c r="E971">
        <v>2.5795276570587E-2</v>
      </c>
      <c r="F971">
        <v>0.112485939257592</v>
      </c>
      <c r="G971">
        <v>0.115333867129791</v>
      </c>
      <c r="H971">
        <v>-0.27169094363521201</v>
      </c>
      <c r="I971">
        <v>-0.326046365829392</v>
      </c>
    </row>
    <row r="972" spans="1:9" x14ac:dyDescent="0.25">
      <c r="A972" s="1" t="s">
        <v>984</v>
      </c>
      <c r="B972" t="str">
        <f>HYPERLINK("https://www.suredividend.com/sure-analysis-MGEE/","MGE Energy, Inc.")</f>
        <v>MGE Energy, Inc.</v>
      </c>
      <c r="C972">
        <v>7.2674837779379997E-2</v>
      </c>
      <c r="D972">
        <v>-3.0795909513156E-2</v>
      </c>
      <c r="E972">
        <v>-2.3714844416446001E-2</v>
      </c>
      <c r="F972">
        <v>8.733623815864601E-2</v>
      </c>
      <c r="G972">
        <v>0.136302883756169</v>
      </c>
      <c r="H972">
        <v>1.7641490333841998E-2</v>
      </c>
      <c r="I972">
        <v>0.35533251103633101</v>
      </c>
    </row>
    <row r="973" spans="1:9" x14ac:dyDescent="0.25">
      <c r="A973" s="1" t="s">
        <v>985</v>
      </c>
      <c r="B973" t="str">
        <f>HYPERLINK("https://www.suredividend.com/sure-analysis-research-database/","Magnite Inc")</f>
        <v>Magnite Inc</v>
      </c>
      <c r="C973">
        <v>-9.3708165997320007E-3</v>
      </c>
      <c r="D973">
        <v>-0.50235373234700709</v>
      </c>
      <c r="E973">
        <v>-0.120095124851367</v>
      </c>
      <c r="F973">
        <v>-0.30122757318224702</v>
      </c>
      <c r="G973">
        <v>0.15444617784711401</v>
      </c>
      <c r="H973">
        <v>-0.67685589519650602</v>
      </c>
      <c r="I973">
        <v>1.1764705882352939</v>
      </c>
    </row>
    <row r="974" spans="1:9" x14ac:dyDescent="0.25">
      <c r="A974" s="1" t="s">
        <v>986</v>
      </c>
      <c r="B974" t="str">
        <f>HYPERLINK("https://www.suredividend.com/sure-analysis-research-database/","Macrogenics Inc")</f>
        <v>Macrogenics Inc</v>
      </c>
      <c r="C974">
        <v>0.13704496788008499</v>
      </c>
      <c r="D974">
        <v>6.1999999999999007E-2</v>
      </c>
      <c r="E974">
        <v>-0.25630252100840301</v>
      </c>
      <c r="F974">
        <v>-0.20864381520119199</v>
      </c>
      <c r="G974">
        <v>-0.10304054054054</v>
      </c>
      <c r="H974">
        <v>-0.752678155565905</v>
      </c>
      <c r="I974">
        <v>-0.687463213655091</v>
      </c>
    </row>
    <row r="975" spans="1:9" x14ac:dyDescent="0.25">
      <c r="A975" s="1" t="s">
        <v>987</v>
      </c>
      <c r="B975" t="str">
        <f>HYPERLINK("https://www.suredividend.com/sure-analysis-research-database/","MGP Ingredients, Inc.")</f>
        <v>MGP Ingredients, Inc.</v>
      </c>
      <c r="C975">
        <v>-7.0302678657768999E-2</v>
      </c>
      <c r="D975">
        <v>-0.201359698819401</v>
      </c>
      <c r="E975">
        <v>-4.1867232736368012E-2</v>
      </c>
      <c r="F975">
        <v>-9.3161737726226004E-2</v>
      </c>
      <c r="G975">
        <v>-0.125376632072313</v>
      </c>
      <c r="H975">
        <v>0.30651982474641398</v>
      </c>
      <c r="I975">
        <v>0.52526185195409303</v>
      </c>
    </row>
    <row r="976" spans="1:9" x14ac:dyDescent="0.25">
      <c r="A976" s="1" t="s">
        <v>988</v>
      </c>
      <c r="B976" t="str">
        <f>HYPERLINK("https://www.suredividend.com/sure-analysis-MGRC/","McGrath Rentcorp")</f>
        <v>McGrath Rentcorp</v>
      </c>
      <c r="C976">
        <v>3.1824887235846012E-2</v>
      </c>
      <c r="D976">
        <v>7.0911387805807011E-2</v>
      </c>
      <c r="E976">
        <v>0.19106433125556899</v>
      </c>
      <c r="F976">
        <v>6.3018062342600004E-2</v>
      </c>
      <c r="G976">
        <v>8.5107175348339004E-2</v>
      </c>
      <c r="H976">
        <v>0.40577722332117899</v>
      </c>
      <c r="I976">
        <v>1.1788456690154381</v>
      </c>
    </row>
    <row r="977" spans="1:9" x14ac:dyDescent="0.25">
      <c r="A977" s="1" t="s">
        <v>989</v>
      </c>
      <c r="B977" t="str">
        <f>HYPERLINK("https://www.suredividend.com/sure-analysis-research-database/","MeiraGTx Holdings plc")</f>
        <v>MeiraGTx Holdings plc</v>
      </c>
      <c r="C977">
        <v>0.21142857142857099</v>
      </c>
      <c r="D977">
        <v>-0.118136439267886</v>
      </c>
      <c r="E977">
        <v>-0.158730158730158</v>
      </c>
      <c r="F977">
        <v>-0.187116564417177</v>
      </c>
      <c r="G977">
        <v>-0.22287390029325499</v>
      </c>
      <c r="H977">
        <v>-0.74006866110838609</v>
      </c>
      <c r="I977">
        <v>-0.59818043972706603</v>
      </c>
    </row>
    <row r="978" spans="1:9" x14ac:dyDescent="0.25">
      <c r="A978" s="1" t="s">
        <v>990</v>
      </c>
      <c r="B978" t="str">
        <f>HYPERLINK("https://www.suredividend.com/sure-analysis-research-database/","Magnolia Oil &amp; Gas Corp")</f>
        <v>Magnolia Oil &amp; Gas Corp</v>
      </c>
      <c r="C978">
        <v>7.5800376647834011E-2</v>
      </c>
      <c r="D978">
        <v>-6.5602449158000007E-4</v>
      </c>
      <c r="E978">
        <v>0.220997958769276</v>
      </c>
      <c r="F978">
        <v>-9.9052802163040014E-3</v>
      </c>
      <c r="G978">
        <v>-0.117198215079104</v>
      </c>
      <c r="H978">
        <v>0.15872210953346799</v>
      </c>
      <c r="I978">
        <v>0.93408044420368408</v>
      </c>
    </row>
    <row r="979" spans="1:9" x14ac:dyDescent="0.25">
      <c r="A979" s="1" t="s">
        <v>991</v>
      </c>
      <c r="B979" t="str">
        <f>HYPERLINK("https://www.suredividend.com/sure-analysis-research-database/","MI Homes Inc.")</f>
        <v>MI Homes Inc.</v>
      </c>
      <c r="C979">
        <v>0.180866965620328</v>
      </c>
      <c r="D979">
        <v>-2.7592573597291999E-2</v>
      </c>
      <c r="E979">
        <v>0.43462469733656112</v>
      </c>
      <c r="F979">
        <v>1.0528367258553479</v>
      </c>
      <c r="G979">
        <v>1.3801154908360529</v>
      </c>
      <c r="H979">
        <v>0.63843760801935701</v>
      </c>
      <c r="I979">
        <v>2.8599348534201958</v>
      </c>
    </row>
    <row r="980" spans="1:9" x14ac:dyDescent="0.25">
      <c r="A980" s="1" t="s">
        <v>992</v>
      </c>
      <c r="B980" t="str">
        <f>HYPERLINK("https://www.suredividend.com/sure-analysis-research-database/","Mirion Technologies Inc.")</f>
        <v>Mirion Technologies Inc.</v>
      </c>
      <c r="C980">
        <v>9.4919786096256009E-2</v>
      </c>
      <c r="D980">
        <v>4.7314578005114002E-2</v>
      </c>
      <c r="E980">
        <v>-2.8469750889678999E-2</v>
      </c>
      <c r="F980">
        <v>0.23903177004538501</v>
      </c>
      <c r="G980">
        <v>0.35820895522388002</v>
      </c>
      <c r="H980">
        <v>-0.259493670886076</v>
      </c>
      <c r="I980">
        <v>-0.176884422110552</v>
      </c>
    </row>
    <row r="981" spans="1:9" x14ac:dyDescent="0.25">
      <c r="A981" s="1" t="s">
        <v>993</v>
      </c>
      <c r="B981" t="str">
        <f>HYPERLINK("https://www.suredividend.com/sure-analysis-research-database/","Mirum Pharmaceuticals Inc")</f>
        <v>Mirum Pharmaceuticals Inc</v>
      </c>
      <c r="C981">
        <v>4.7120418848167013E-2</v>
      </c>
      <c r="D981">
        <v>0.13421550094517901</v>
      </c>
      <c r="E981">
        <v>7.7199281867145003E-2</v>
      </c>
      <c r="F981">
        <v>0.53846153846153799</v>
      </c>
      <c r="G981">
        <v>0.30434782608695599</v>
      </c>
      <c r="H981">
        <v>0.84729064039408808</v>
      </c>
      <c r="I981">
        <v>1.2710068130204379</v>
      </c>
    </row>
    <row r="982" spans="1:9" x14ac:dyDescent="0.25">
      <c r="A982" s="1" t="s">
        <v>994</v>
      </c>
      <c r="B982" t="str">
        <f>HYPERLINK("https://www.suredividend.com/sure-analysis-research-database/","Mitek Systems Inc")</f>
        <v>Mitek Systems Inc</v>
      </c>
      <c r="C982">
        <v>-2.7881040892189998E-3</v>
      </c>
      <c r="D982">
        <v>-9.3750000000000014E-2</v>
      </c>
      <c r="E982">
        <v>0.202914798206278</v>
      </c>
      <c r="F982">
        <v>0.107327141382869</v>
      </c>
      <c r="G982">
        <v>-4.9601417183347013E-2</v>
      </c>
      <c r="H982">
        <v>-0.44346473029045602</v>
      </c>
      <c r="I982">
        <v>0.115384615384615</v>
      </c>
    </row>
    <row r="983" spans="1:9" x14ac:dyDescent="0.25">
      <c r="A983" s="1" t="s">
        <v>995</v>
      </c>
      <c r="B983" t="str">
        <f>HYPERLINK("https://www.suredividend.com/sure-analysis-research-database/","Markforged Holding Corporation")</f>
        <v>Markforged Holding Corporation</v>
      </c>
      <c r="C983">
        <v>-0.45366906474820101</v>
      </c>
      <c r="D983">
        <v>-0.60855670103092707</v>
      </c>
      <c r="E983">
        <v>-5.0868641419822003E-2</v>
      </c>
      <c r="F983">
        <v>-0.34534482758620599</v>
      </c>
      <c r="G983">
        <v>-0.62030000000000007</v>
      </c>
      <c r="H983">
        <v>-0.89568681318681309</v>
      </c>
      <c r="I983">
        <v>-0.92676952748312402</v>
      </c>
    </row>
    <row r="984" spans="1:9" x14ac:dyDescent="0.25">
      <c r="A984" s="1" t="s">
        <v>996</v>
      </c>
      <c r="B984" t="str">
        <f>HYPERLINK("https://www.suredividend.com/sure-analysis-research-database/","Marketwise Inc")</f>
        <v>Marketwise Inc</v>
      </c>
      <c r="C984">
        <v>0.59197324414715702</v>
      </c>
      <c r="D984">
        <v>0.29608451778031902</v>
      </c>
      <c r="E984">
        <v>0.53054662379421202</v>
      </c>
      <c r="F984">
        <v>0.43945808636748501</v>
      </c>
      <c r="G984">
        <v>0.25296130560673802</v>
      </c>
      <c r="H984">
        <v>-0.69771636141946303</v>
      </c>
      <c r="I984">
        <v>-0.7588408146722051</v>
      </c>
    </row>
    <row r="985" spans="1:9" x14ac:dyDescent="0.25">
      <c r="A985" s="1" t="s">
        <v>997</v>
      </c>
      <c r="B985" t="str">
        <f>HYPERLINK("https://www.suredividend.com/sure-analysis-research-database/","MoneyLion Inc")</f>
        <v>MoneyLion Inc</v>
      </c>
      <c r="C985">
        <v>0.236204228984012</v>
      </c>
      <c r="D985">
        <v>0.72322070452911502</v>
      </c>
      <c r="E985">
        <v>0.98921161825726112</v>
      </c>
      <c r="F985">
        <v>0.28870967741935399</v>
      </c>
      <c r="G985">
        <v>-0.23173076923076899</v>
      </c>
      <c r="H985">
        <v>-0.85957820738137003</v>
      </c>
      <c r="I985">
        <v>-0.91846938775510212</v>
      </c>
    </row>
    <row r="986" spans="1:9" x14ac:dyDescent="0.25">
      <c r="A986" s="1" t="s">
        <v>998</v>
      </c>
      <c r="B986" t="str">
        <f>HYPERLINK("https://www.suredividend.com/sure-analysis-research-database/","Mesa Laboratories, Inc.")</f>
        <v>Mesa Laboratories, Inc.</v>
      </c>
      <c r="C986">
        <v>-5.7908034360788008E-2</v>
      </c>
      <c r="D986">
        <v>-0.31338653200537903</v>
      </c>
      <c r="E986">
        <v>-0.44078010036203502</v>
      </c>
      <c r="F986">
        <v>-0.43604644479976301</v>
      </c>
      <c r="G986">
        <v>-0.42116600092270601</v>
      </c>
      <c r="H986">
        <v>-0.698862026669543</v>
      </c>
      <c r="I986">
        <v>-0.50081314657469</v>
      </c>
    </row>
    <row r="987" spans="1:9" x14ac:dyDescent="0.25">
      <c r="A987" s="1" t="s">
        <v>999</v>
      </c>
      <c r="B987" t="str">
        <f>HYPERLINK("https://www.suredividend.com/sure-analysis-MLI/","Mueller Industries, Inc.")</f>
        <v>Mueller Industries, Inc.</v>
      </c>
      <c r="C987">
        <v>8.8340192043895011E-2</v>
      </c>
      <c r="D987">
        <v>1.9034652829510001E-2</v>
      </c>
      <c r="E987">
        <v>0.112251306551824</v>
      </c>
      <c r="F987">
        <v>0.36118612255822002</v>
      </c>
      <c r="G987">
        <v>0.287999558437257</v>
      </c>
      <c r="H987">
        <v>0.49891558161854099</v>
      </c>
      <c r="I987">
        <v>2.3390007406908619</v>
      </c>
    </row>
    <row r="988" spans="1:9" x14ac:dyDescent="0.25">
      <c r="A988" s="1" t="s">
        <v>1000</v>
      </c>
      <c r="B988" t="str">
        <f>HYPERLINK("https://www.suredividend.com/sure-analysis-research-database/","MillerKnoll Inc")</f>
        <v>MillerKnoll Inc</v>
      </c>
      <c r="C988">
        <v>5.2409129332205998E-2</v>
      </c>
      <c r="D988">
        <v>0.28698133101779999</v>
      </c>
      <c r="E988">
        <v>0.70773693992743802</v>
      </c>
      <c r="F988">
        <v>0.25254029256121802</v>
      </c>
      <c r="G988">
        <v>0.27508564581295603</v>
      </c>
      <c r="H988">
        <v>-0.31763809607326698</v>
      </c>
      <c r="I988">
        <v>-0.227945280234159</v>
      </c>
    </row>
    <row r="989" spans="1:9" x14ac:dyDescent="0.25">
      <c r="A989" s="1" t="s">
        <v>1001</v>
      </c>
      <c r="B989" t="str">
        <f>HYPERLINK("https://www.suredividend.com/sure-analysis-research-database/","MeridianLink Inc")</f>
        <v>MeridianLink Inc</v>
      </c>
      <c r="C989">
        <v>5.4958183990442007E-2</v>
      </c>
      <c r="D989">
        <v>-4.0738728951656013E-2</v>
      </c>
      <c r="E989">
        <v>0.146753246753246</v>
      </c>
      <c r="F989">
        <v>0.28623452294246099</v>
      </c>
      <c r="G989">
        <v>8.6100861008610002E-2</v>
      </c>
      <c r="H989">
        <v>-0.311500974658869</v>
      </c>
      <c r="I989">
        <v>-0.28211382113821099</v>
      </c>
    </row>
    <row r="990" spans="1:9" x14ac:dyDescent="0.25">
      <c r="A990" s="1" t="s">
        <v>1002</v>
      </c>
      <c r="B990" t="str">
        <f>HYPERLINK("https://www.suredividend.com/sure-analysis-MLR/","Miller Industries Inc.")</f>
        <v>Miller Industries Inc.</v>
      </c>
      <c r="C990">
        <v>-5.3916581892166013E-2</v>
      </c>
      <c r="D990">
        <v>1.7566702591511999E-2</v>
      </c>
      <c r="E990">
        <v>0.11851778353072701</v>
      </c>
      <c r="F990">
        <v>0.41658701538063098</v>
      </c>
      <c r="G990">
        <v>0.46491297156808697</v>
      </c>
      <c r="H990">
        <v>6.816132681716601E-2</v>
      </c>
      <c r="I990">
        <v>0.73800913856418004</v>
      </c>
    </row>
    <row r="991" spans="1:9" x14ac:dyDescent="0.25">
      <c r="A991" s="1" t="s">
        <v>1003</v>
      </c>
      <c r="B991" t="str">
        <f>HYPERLINK("https://www.suredividend.com/sure-analysis-research-database/","Mineralys Therapeutics Inc")</f>
        <v>Mineralys Therapeutics Inc</v>
      </c>
      <c r="C991">
        <v>-0.103559870550161</v>
      </c>
      <c r="D991">
        <v>-0.37518796992481201</v>
      </c>
      <c r="E991">
        <v>-0.43276450511945302</v>
      </c>
      <c r="F991">
        <v>-0.54934924078091107</v>
      </c>
      <c r="G991">
        <v>-0.54934924078091107</v>
      </c>
      <c r="H991">
        <v>-0.54934924078091107</v>
      </c>
      <c r="I991">
        <v>-0.54934924078091107</v>
      </c>
    </row>
    <row r="992" spans="1:9" x14ac:dyDescent="0.25">
      <c r="A992" s="1" t="s">
        <v>1004</v>
      </c>
      <c r="B992" t="str">
        <f>HYPERLINK("https://www.suredividend.com/sure-analysis-research-database/","Marcus &amp; Millichap Inc")</f>
        <v>Marcus &amp; Millichap Inc</v>
      </c>
      <c r="C992">
        <v>0.120720084715848</v>
      </c>
      <c r="D992">
        <v>-0.12504547007793201</v>
      </c>
      <c r="E992">
        <v>4.1178187398956012E-2</v>
      </c>
      <c r="F992">
        <v>-6.3667650675781007E-2</v>
      </c>
      <c r="G992">
        <v>-6.987780977463201E-2</v>
      </c>
      <c r="H992">
        <v>-0.30023384311573298</v>
      </c>
      <c r="I992">
        <v>-6.8909495070352003E-2</v>
      </c>
    </row>
    <row r="993" spans="1:9" x14ac:dyDescent="0.25">
      <c r="A993" s="1" t="s">
        <v>1005</v>
      </c>
      <c r="B993" t="str">
        <f>HYPERLINK("https://www.suredividend.com/sure-analysis-MMS/","Maximus Inc.")</f>
        <v>Maximus Inc.</v>
      </c>
      <c r="C993">
        <v>5.1820537297149007E-2</v>
      </c>
      <c r="D993">
        <v>-2.7503016594104E-2</v>
      </c>
      <c r="E993">
        <v>-4.5417058693700014E-3</v>
      </c>
      <c r="F993">
        <v>6.2796340772769008E-2</v>
      </c>
      <c r="G993">
        <v>0.35394175575332998</v>
      </c>
      <c r="H993">
        <v>-5.7757406432366001E-2</v>
      </c>
      <c r="I993">
        <v>0.30033245891468602</v>
      </c>
    </row>
    <row r="994" spans="1:9" x14ac:dyDescent="0.25">
      <c r="A994" s="1" t="s">
        <v>1006</v>
      </c>
      <c r="B994" t="str">
        <f>HYPERLINK("https://www.suredividend.com/sure-analysis-research-database/","Merit Medical Systems, Inc.")</f>
        <v>Merit Medical Systems, Inc.</v>
      </c>
      <c r="C994">
        <v>7.4794315632010999E-2</v>
      </c>
      <c r="D994">
        <v>-6.9541029207200009E-4</v>
      </c>
      <c r="E994">
        <v>-0.13786897048236099</v>
      </c>
      <c r="F994">
        <v>1.7417162276974998E-2</v>
      </c>
      <c r="G994">
        <v>4.8445936086385012E-2</v>
      </c>
      <c r="H994">
        <v>5.3519061583577013E-2</v>
      </c>
      <c r="I994">
        <v>0.20371921594907</v>
      </c>
    </row>
    <row r="995" spans="1:9" x14ac:dyDescent="0.25">
      <c r="A995" s="1" t="s">
        <v>1007</v>
      </c>
      <c r="B995" t="str">
        <f>HYPERLINK("https://www.suredividend.com/sure-analysis-research-database/","Mannkind Corp")</f>
        <v>Mannkind Corp</v>
      </c>
      <c r="C995">
        <v>1.5384615384615E-2</v>
      </c>
      <c r="D995">
        <v>-0.161016949152542</v>
      </c>
      <c r="E995">
        <v>1.7994858611824999E-2</v>
      </c>
      <c r="F995">
        <v>-0.24857685009487601</v>
      </c>
      <c r="G995">
        <v>0.121813031161473</v>
      </c>
      <c r="H995">
        <v>-0.188524590163934</v>
      </c>
      <c r="I995">
        <v>1.1639344262295079</v>
      </c>
    </row>
    <row r="996" spans="1:9" x14ac:dyDescent="0.25">
      <c r="A996" s="1" t="s">
        <v>1008</v>
      </c>
      <c r="B996" t="str">
        <f>HYPERLINK("https://www.suredividend.com/sure-analysis-research-database/","Monro Inc")</f>
        <v>Monro Inc</v>
      </c>
      <c r="C996">
        <v>-6.6617320503330009E-3</v>
      </c>
      <c r="D996">
        <v>-0.227501410299213</v>
      </c>
      <c r="E996">
        <v>-0.42344045368619998</v>
      </c>
      <c r="F996">
        <v>-0.38463936978267499</v>
      </c>
      <c r="G996">
        <v>-0.39038655034648401</v>
      </c>
      <c r="H996">
        <v>-0.53282984319165605</v>
      </c>
      <c r="I996">
        <v>-0.60194341782890004</v>
      </c>
    </row>
    <row r="997" spans="1:9" x14ac:dyDescent="0.25">
      <c r="A997" s="1" t="s">
        <v>1009</v>
      </c>
      <c r="B997" t="str">
        <f>HYPERLINK("https://www.suredividend.com/sure-analysis-research-database/","Montauk Renewables Inc")</f>
        <v>Montauk Renewables Inc</v>
      </c>
      <c r="C997">
        <v>0.13473684210526299</v>
      </c>
      <c r="D997">
        <v>0.26823529411764602</v>
      </c>
      <c r="E997">
        <v>0.69496855345911901</v>
      </c>
      <c r="F997">
        <v>-2.2665457842248E-2</v>
      </c>
      <c r="G997">
        <v>-0.238162544169611</v>
      </c>
      <c r="H997">
        <v>1.6981132075471E-2</v>
      </c>
      <c r="I997">
        <v>-8.0988917306052011E-2</v>
      </c>
    </row>
    <row r="998" spans="1:9" x14ac:dyDescent="0.25">
      <c r="A998" s="1" t="s">
        <v>1010</v>
      </c>
      <c r="B998" t="str">
        <f>HYPERLINK("https://www.suredividend.com/sure-analysis-research-database/","Momentus Inc")</f>
        <v>Momentus Inc</v>
      </c>
      <c r="C998">
        <v>2.4727272727272722</v>
      </c>
      <c r="D998">
        <v>-0.81365853658536502</v>
      </c>
      <c r="E998">
        <v>-0.8137493905411991</v>
      </c>
      <c r="F998">
        <v>-0.90203872291319409</v>
      </c>
      <c r="G998">
        <v>-0.94463768115942004</v>
      </c>
      <c r="H998">
        <v>-0.99341379310344813</v>
      </c>
      <c r="I998">
        <v>-0.61060142711518806</v>
      </c>
    </row>
    <row r="999" spans="1:9" x14ac:dyDescent="0.25">
      <c r="A999" s="1" t="s">
        <v>1011</v>
      </c>
      <c r="B999" t="str">
        <f>HYPERLINK("https://www.suredividend.com/sure-analysis-research-database/","Modine Manufacturing Co.")</f>
        <v>Modine Manufacturing Co.</v>
      </c>
      <c r="C999">
        <v>-7.3829927488464009E-2</v>
      </c>
      <c r="D999">
        <v>-5.2808988764044003E-2</v>
      </c>
      <c r="E999">
        <v>1.161538461538461</v>
      </c>
      <c r="F999">
        <v>1.1223564954682781</v>
      </c>
      <c r="G999">
        <v>1.0052331113225501</v>
      </c>
      <c r="H999">
        <v>2.8179347826086958</v>
      </c>
      <c r="I999">
        <v>2.065454545454545</v>
      </c>
    </row>
    <row r="1000" spans="1:9" x14ac:dyDescent="0.25">
      <c r="A1000" s="1" t="s">
        <v>1012</v>
      </c>
      <c r="B1000" t="str">
        <f>HYPERLINK("https://www.suredividend.com/sure-analysis-research-database/","Topgolf Callaway Brands Corp")</f>
        <v>Topgolf Callaway Brands Corp</v>
      </c>
      <c r="C1000">
        <v>-3.1970260223047997E-2</v>
      </c>
      <c r="D1000">
        <v>-0.32222800624674602</v>
      </c>
      <c r="E1000">
        <v>-0.41298467087466101</v>
      </c>
      <c r="F1000">
        <v>-0.34075949367088598</v>
      </c>
      <c r="G1000">
        <v>-0.30744680851063799</v>
      </c>
      <c r="H1000">
        <v>-0.54791666666666605</v>
      </c>
      <c r="I1000">
        <v>-0.39676700473042098</v>
      </c>
    </row>
    <row r="1001" spans="1:9" x14ac:dyDescent="0.25">
      <c r="A1001" s="1" t="s">
        <v>1013</v>
      </c>
      <c r="B1001" t="str">
        <f>HYPERLINK("https://www.suredividend.com/sure-analysis-research-database/","Model N Inc")</f>
        <v>Model N Inc</v>
      </c>
      <c r="C1001">
        <v>6.3082133784927011E-2</v>
      </c>
      <c r="D1001">
        <v>-0.23257946210268901</v>
      </c>
      <c r="E1001">
        <v>-0.15082854244166299</v>
      </c>
      <c r="F1001">
        <v>-0.38091715976331297</v>
      </c>
      <c r="G1001">
        <v>-0.28318584070796399</v>
      </c>
      <c r="H1001">
        <v>-0.30845497108234599</v>
      </c>
      <c r="I1001">
        <v>0.66071428571428503</v>
      </c>
    </row>
    <row r="1002" spans="1:9" x14ac:dyDescent="0.25">
      <c r="A1002" s="1" t="s">
        <v>1014</v>
      </c>
      <c r="B1002" t="str">
        <f>HYPERLINK("https://www.suredividend.com/sure-analysis-research-database/","ModivCare Inc")</f>
        <v>ModivCare Inc</v>
      </c>
      <c r="C1002">
        <v>0.80591357088703508</v>
      </c>
      <c r="D1002">
        <v>0.34652345958168401</v>
      </c>
      <c r="E1002">
        <v>-0.178620689655172</v>
      </c>
      <c r="F1002">
        <v>-0.46907388833166103</v>
      </c>
      <c r="G1002">
        <v>-0.42491549975857001</v>
      </c>
      <c r="H1002">
        <v>-0.72696011004126504</v>
      </c>
      <c r="I1002">
        <v>-0.278946571817768</v>
      </c>
    </row>
    <row r="1003" spans="1:9" x14ac:dyDescent="0.25">
      <c r="A1003" s="1" t="s">
        <v>1015</v>
      </c>
      <c r="B1003" t="str">
        <f>HYPERLINK("https://www.suredividend.com/sure-analysis-research-database/","MidWestOne Financial Group Inc")</f>
        <v>MidWestOne Financial Group Inc</v>
      </c>
      <c r="C1003">
        <v>1.3429256594724E-2</v>
      </c>
      <c r="D1003">
        <v>-0.104064992389004</v>
      </c>
      <c r="E1003">
        <v>0.18106055101253701</v>
      </c>
      <c r="F1003">
        <v>-0.29693218872695798</v>
      </c>
      <c r="G1003">
        <v>-0.33421138867182498</v>
      </c>
      <c r="H1003">
        <v>-0.301487603305785</v>
      </c>
      <c r="I1003">
        <v>-0.141350108093171</v>
      </c>
    </row>
    <row r="1004" spans="1:9" x14ac:dyDescent="0.25">
      <c r="A1004" s="1" t="s">
        <v>1016</v>
      </c>
      <c r="B1004" t="str">
        <f>HYPERLINK("https://www.suredividend.com/sure-analysis-research-database/","Morphic Holding Inc")</f>
        <v>Morphic Holding Inc</v>
      </c>
      <c r="C1004">
        <v>4.3940795559666013E-2</v>
      </c>
      <c r="D1004">
        <v>-0.6188787571766291</v>
      </c>
      <c r="E1004">
        <v>-0.57261882219276605</v>
      </c>
      <c r="F1004">
        <v>-0.15626168224299</v>
      </c>
      <c r="G1004">
        <v>-0.144103147516116</v>
      </c>
      <c r="H1004">
        <v>-0.65657334144856905</v>
      </c>
      <c r="I1004">
        <v>0.253888888888888</v>
      </c>
    </row>
    <row r="1005" spans="1:9" x14ac:dyDescent="0.25">
      <c r="A1005" s="1" t="s">
        <v>1017</v>
      </c>
      <c r="B1005" t="str">
        <f>HYPERLINK("https://www.suredividend.com/sure-analysis-research-database/","Movado Group, Inc.")</f>
        <v>Movado Group, Inc.</v>
      </c>
      <c r="C1005">
        <v>3.6879432624113001E-2</v>
      </c>
      <c r="D1005">
        <v>6.0676961472469003E-2</v>
      </c>
      <c r="E1005">
        <v>0.234640881645061</v>
      </c>
      <c r="F1005">
        <v>-5.7725586746285001E-2</v>
      </c>
      <c r="G1005">
        <v>-8.2093605105618001E-2</v>
      </c>
      <c r="H1005">
        <v>-0.101151227309755</v>
      </c>
      <c r="I1005">
        <v>-0.156205811906617</v>
      </c>
    </row>
    <row r="1006" spans="1:9" x14ac:dyDescent="0.25">
      <c r="A1006" s="1" t="s">
        <v>1018</v>
      </c>
      <c r="B1006" t="str">
        <f>HYPERLINK("https://www.suredividend.com/sure-analysis-research-database/","Motorcar Parts of America Inc.")</f>
        <v>Motorcar Parts of America Inc.</v>
      </c>
      <c r="C1006">
        <v>1.1873350923482E-2</v>
      </c>
      <c r="D1006">
        <v>-0.179679144385026</v>
      </c>
      <c r="E1006">
        <v>0.64946236559139703</v>
      </c>
      <c r="F1006">
        <v>-0.35328836424957799</v>
      </c>
      <c r="G1006">
        <v>-0.59375</v>
      </c>
      <c r="H1006">
        <v>-0.60197197716658002</v>
      </c>
      <c r="I1006">
        <v>-0.64108563406644803</v>
      </c>
    </row>
    <row r="1007" spans="1:9" x14ac:dyDescent="0.25">
      <c r="A1007" s="1" t="s">
        <v>1019</v>
      </c>
      <c r="B1007" t="str">
        <f>HYPERLINK("https://www.suredividend.com/sure-analysis-research-database/","Mid Penn Bancorp, Inc.")</f>
        <v>Mid Penn Bancorp, Inc.</v>
      </c>
      <c r="C1007">
        <v>7.9483358171880004E-3</v>
      </c>
      <c r="D1007">
        <v>-0.138370335139542</v>
      </c>
      <c r="E1007">
        <v>9.456171677338901E-2</v>
      </c>
      <c r="F1007">
        <v>-0.298744029474179</v>
      </c>
      <c r="G1007">
        <v>-0.35924966841407102</v>
      </c>
      <c r="H1007">
        <v>-0.26663004033715498</v>
      </c>
      <c r="I1007">
        <v>-0.101456977104645</v>
      </c>
    </row>
    <row r="1008" spans="1:9" x14ac:dyDescent="0.25">
      <c r="A1008" s="1" t="s">
        <v>1020</v>
      </c>
      <c r="B1008" t="str">
        <f>HYPERLINK("https://www.suredividend.com/sure-analysis-research-database/","MultiPlan Corp")</f>
        <v>MultiPlan Corp</v>
      </c>
      <c r="C1008">
        <v>-1.7857142857141999E-2</v>
      </c>
      <c r="D1008">
        <v>-7.8212290502793005E-2</v>
      </c>
      <c r="E1008">
        <v>1.2831050228310501</v>
      </c>
      <c r="F1008">
        <v>0.43478260869565211</v>
      </c>
      <c r="G1008">
        <v>-0.30962343096234302</v>
      </c>
      <c r="H1008">
        <v>-0.62921348314606707</v>
      </c>
      <c r="I1008">
        <v>-0.83024691358024605</v>
      </c>
    </row>
    <row r="1009" spans="1:9" x14ac:dyDescent="0.25">
      <c r="A1009" s="1" t="s">
        <v>1021</v>
      </c>
      <c r="B1009" t="str">
        <f>HYPERLINK("https://www.suredividend.com/sure-analysis-research-database/","Marine Products Corp")</f>
        <v>Marine Products Corp</v>
      </c>
      <c r="C1009">
        <v>-0.25890909090909098</v>
      </c>
      <c r="D1009">
        <v>-0.36237978136947502</v>
      </c>
      <c r="E1009">
        <v>-0.251720162433268</v>
      </c>
      <c r="F1009">
        <v>-0.109226801870711</v>
      </c>
      <c r="G1009">
        <v>-1.7935447807943001E-2</v>
      </c>
      <c r="H1009">
        <v>-0.13266999753164099</v>
      </c>
      <c r="I1009">
        <v>-0.43932741298295402</v>
      </c>
    </row>
    <row r="1010" spans="1:9" x14ac:dyDescent="0.25">
      <c r="A1010" s="1" t="s">
        <v>1022</v>
      </c>
      <c r="B1010" t="str">
        <f>HYPERLINK("https://www.suredividend.com/sure-analysis-research-database/","Marqeta Inc")</f>
        <v>Marqeta Inc</v>
      </c>
      <c r="C1010">
        <v>-6.3492063492063003E-2</v>
      </c>
      <c r="D1010">
        <v>5.1485148514850997E-2</v>
      </c>
      <c r="E1010">
        <v>0.282608695652173</v>
      </c>
      <c r="F1010">
        <v>-0.13093289689034299</v>
      </c>
      <c r="G1010">
        <v>-0.23816355810616899</v>
      </c>
      <c r="H1010">
        <v>-0.81190223166843711</v>
      </c>
      <c r="I1010">
        <v>-0.82601572739187401</v>
      </c>
    </row>
    <row r="1011" spans="1:9" x14ac:dyDescent="0.25">
      <c r="A1011" s="1" t="s">
        <v>1023</v>
      </c>
      <c r="B1011" t="str">
        <f>HYPERLINK("https://www.suredividend.com/sure-analysis-research-database/","MRC Global Inc")</f>
        <v>MRC Global Inc</v>
      </c>
      <c r="C1011">
        <v>0.123015873015873</v>
      </c>
      <c r="D1011">
        <v>1.3428827215756001E-2</v>
      </c>
      <c r="E1011">
        <v>0.31170336037079899</v>
      </c>
      <c r="F1011">
        <v>-2.2452504317789002E-2</v>
      </c>
      <c r="G1011">
        <v>0.13086913086913099</v>
      </c>
      <c r="H1011">
        <v>0.31018518518518501</v>
      </c>
      <c r="I1011">
        <v>-0.30849114233353703</v>
      </c>
    </row>
    <row r="1012" spans="1:9" x14ac:dyDescent="0.25">
      <c r="A1012" s="1" t="s">
        <v>1024</v>
      </c>
      <c r="B1012" t="str">
        <f>HYPERLINK("https://www.suredividend.com/sure-analysis-research-database/","Mersana Therapeutics Inc")</f>
        <v>Mersana Therapeutics Inc</v>
      </c>
      <c r="C1012">
        <v>0.118110236220472</v>
      </c>
      <c r="D1012">
        <v>0.14516129032257999</v>
      </c>
      <c r="E1012">
        <v>-0.79829545454545403</v>
      </c>
      <c r="F1012">
        <v>-0.75767918088737207</v>
      </c>
      <c r="G1012">
        <v>-0.81167108753315609</v>
      </c>
      <c r="H1012">
        <v>-0.85375901132852705</v>
      </c>
      <c r="I1012">
        <v>-0.7933042212518191</v>
      </c>
    </row>
    <row r="1013" spans="1:9" x14ac:dyDescent="0.25">
      <c r="A1013" s="1" t="s">
        <v>1025</v>
      </c>
      <c r="B1013" t="str">
        <f>HYPERLINK("https://www.suredividend.com/sure-analysis-research-database/","Marten Transport, Ltd.")</f>
        <v>Marten Transport, Ltd.</v>
      </c>
      <c r="C1013">
        <v>-4.2752867570385003E-2</v>
      </c>
      <c r="D1013">
        <v>-0.19807818300939001</v>
      </c>
      <c r="E1013">
        <v>-8.0316980073534008E-2</v>
      </c>
      <c r="F1013">
        <v>-5.8500164095832002E-2</v>
      </c>
      <c r="G1013">
        <v>-1.2791766812382E-2</v>
      </c>
      <c r="H1013">
        <v>9.0844275444121006E-2</v>
      </c>
      <c r="I1013">
        <v>0.62193678333539404</v>
      </c>
    </row>
    <row r="1014" spans="1:9" x14ac:dyDescent="0.25">
      <c r="A1014" s="1" t="s">
        <v>1026</v>
      </c>
      <c r="B1014" t="str">
        <f>HYPERLINK("https://www.suredividend.com/sure-analysis-research-database/","Midland States Bancorp Inc")</f>
        <v>Midland States Bancorp Inc</v>
      </c>
      <c r="C1014">
        <v>0.13598429062346501</v>
      </c>
      <c r="D1014">
        <v>1.298139333621E-3</v>
      </c>
      <c r="E1014">
        <v>0.293214257771021</v>
      </c>
      <c r="F1014">
        <v>-8.3459090350970003E-2</v>
      </c>
      <c r="G1014">
        <v>-0.102627741755343</v>
      </c>
      <c r="H1014">
        <v>3.0060494909791E-2</v>
      </c>
      <c r="I1014">
        <v>9.3583115152317001E-2</v>
      </c>
    </row>
    <row r="1015" spans="1:9" x14ac:dyDescent="0.25">
      <c r="A1015" s="1" t="s">
        <v>1027</v>
      </c>
      <c r="B1015" t="str">
        <f>HYPERLINK("https://www.suredividend.com/sure-analysis-MSEX/","Middlesex Water Co.")</f>
        <v>Middlesex Water Co.</v>
      </c>
      <c r="C1015">
        <v>5.2436194895591003E-2</v>
      </c>
      <c r="D1015">
        <v>-0.14265733384575599</v>
      </c>
      <c r="E1015">
        <v>-4.9554740701938001E-2</v>
      </c>
      <c r="F1015">
        <v>-0.121470516839772</v>
      </c>
      <c r="G1015">
        <v>-0.210783637099664</v>
      </c>
      <c r="H1015">
        <v>-0.30737869711051502</v>
      </c>
      <c r="I1015">
        <v>0.68406670923860502</v>
      </c>
    </row>
    <row r="1016" spans="1:9" x14ac:dyDescent="0.25">
      <c r="A1016" s="1" t="s">
        <v>1028</v>
      </c>
      <c r="B1016" t="str">
        <f>HYPERLINK("https://www.suredividend.com/sure-analysis-research-database/","Madison Square Garden Entertainment Corp.")</f>
        <v>Madison Square Garden Entertainment Corp.</v>
      </c>
      <c r="C1016">
        <v>-3.7025703794369001E-2</v>
      </c>
      <c r="D1016">
        <v>-5.3818400481058001E-2</v>
      </c>
      <c r="E1016">
        <v>-6.5062388591800011E-2</v>
      </c>
      <c r="F1016">
        <v>-1.6562500000000001E-2</v>
      </c>
      <c r="G1016">
        <v>-1.6562500000000001E-2</v>
      </c>
      <c r="H1016">
        <v>-1.6562500000000001E-2</v>
      </c>
      <c r="I1016">
        <v>-1.6562500000000001E-2</v>
      </c>
    </row>
    <row r="1017" spans="1:9" x14ac:dyDescent="0.25">
      <c r="A1017" s="1" t="s">
        <v>1029</v>
      </c>
      <c r="B1017" t="str">
        <f>HYPERLINK("https://www.suredividend.com/sure-analysis-research-database/","Microstrategy Inc.")</f>
        <v>Microstrategy Inc.</v>
      </c>
      <c r="C1017">
        <v>0.41682272159800199</v>
      </c>
      <c r="D1017">
        <v>0.204207231344669</v>
      </c>
      <c r="E1017">
        <v>0.45387288420580602</v>
      </c>
      <c r="F1017">
        <v>2.206540933813661</v>
      </c>
      <c r="G1017">
        <v>0.63821725009021901</v>
      </c>
      <c r="H1017">
        <v>-0.43256250000000002</v>
      </c>
      <c r="I1017">
        <v>2.5820247770851412</v>
      </c>
    </row>
    <row r="1018" spans="1:9" x14ac:dyDescent="0.25">
      <c r="A1018" s="1" t="s">
        <v>1030</v>
      </c>
      <c r="B1018" t="str">
        <f>HYPERLINK("https://www.suredividend.com/sure-analysis-research-database/","Matador Resources Co")</f>
        <v>Matador Resources Co</v>
      </c>
      <c r="C1018">
        <v>0.15239852398523901</v>
      </c>
      <c r="D1018">
        <v>7.2980174088714003E-2</v>
      </c>
      <c r="E1018">
        <v>0.48225494500278798</v>
      </c>
      <c r="F1018">
        <v>0.100760275348679</v>
      </c>
      <c r="G1018">
        <v>-0.10668569810381601</v>
      </c>
      <c r="H1018">
        <v>0.50020175624003205</v>
      </c>
      <c r="I1018">
        <v>1.321976244911615</v>
      </c>
    </row>
    <row r="1019" spans="1:9" x14ac:dyDescent="0.25">
      <c r="A1019" s="1" t="s">
        <v>1031</v>
      </c>
      <c r="B1019" t="str">
        <f>HYPERLINK("https://www.suredividend.com/sure-analysis-research-database/","Meritage Homes Corp.")</f>
        <v>Meritage Homes Corp.</v>
      </c>
      <c r="C1019">
        <v>0.13462029084105701</v>
      </c>
      <c r="D1019">
        <v>-9.486606839995701E-2</v>
      </c>
      <c r="E1019">
        <v>7.9105851371003011E-2</v>
      </c>
      <c r="F1019">
        <v>0.45681581685743999</v>
      </c>
      <c r="G1019">
        <v>0.81855603216208006</v>
      </c>
      <c r="H1019">
        <v>0.227774086623317</v>
      </c>
      <c r="I1019">
        <v>2.521719735303511</v>
      </c>
    </row>
    <row r="1020" spans="1:9" x14ac:dyDescent="0.25">
      <c r="A1020" s="1" t="s">
        <v>1032</v>
      </c>
      <c r="B1020" t="str">
        <f>HYPERLINK("https://www.suredividend.com/sure-analysis-research-database/","Materion Corp")</f>
        <v>Materion Corp</v>
      </c>
      <c r="C1020">
        <v>0.14388489208633001</v>
      </c>
      <c r="D1020">
        <v>7.7384887765147001E-2</v>
      </c>
      <c r="E1020">
        <v>4.8911506926774012E-2</v>
      </c>
      <c r="F1020">
        <v>0.27645519332619201</v>
      </c>
      <c r="G1020">
        <v>0.55185755815980009</v>
      </c>
      <c r="H1020">
        <v>0.21790017814388901</v>
      </c>
      <c r="I1020">
        <v>0.96881384714716512</v>
      </c>
    </row>
    <row r="1021" spans="1:9" x14ac:dyDescent="0.25">
      <c r="A1021" s="1" t="s">
        <v>1033</v>
      </c>
      <c r="B1021" t="str">
        <f>HYPERLINK("https://www.suredividend.com/sure-analysis-research-database/","MACOM Technology Solutions Holdings Inc")</f>
        <v>MACOM Technology Solutions Holdings Inc</v>
      </c>
      <c r="C1021">
        <v>-7.4380165289256006E-2</v>
      </c>
      <c r="D1021">
        <v>6.3028027356840004E-3</v>
      </c>
      <c r="E1021">
        <v>0.36809480401093903</v>
      </c>
      <c r="F1021">
        <v>0.19148936170212699</v>
      </c>
      <c r="G1021">
        <v>0.16178975073540799</v>
      </c>
      <c r="H1021">
        <v>6.9779924852380014E-3</v>
      </c>
      <c r="I1021">
        <v>3.539624924379916</v>
      </c>
    </row>
    <row r="1022" spans="1:9" x14ac:dyDescent="0.25">
      <c r="A1022" s="1" t="s">
        <v>1034</v>
      </c>
      <c r="B1022" t="str">
        <f>HYPERLINK("https://www.suredividend.com/sure-analysis-research-database/","Matterport Inc")</f>
        <v>Matterport Inc</v>
      </c>
      <c r="C1022">
        <v>1.3824884792626E-2</v>
      </c>
      <c r="D1022">
        <v>-0.305993690851734</v>
      </c>
      <c r="E1022">
        <v>-9.4650205761316011E-2</v>
      </c>
      <c r="F1022">
        <v>-0.214285714285714</v>
      </c>
      <c r="G1022">
        <v>-0.25170068027210801</v>
      </c>
      <c r="H1022">
        <v>-0.89173228346456612</v>
      </c>
      <c r="I1022">
        <v>-0.79556183325279706</v>
      </c>
    </row>
    <row r="1023" spans="1:9" x14ac:dyDescent="0.25">
      <c r="A1023" s="1" t="s">
        <v>1035</v>
      </c>
      <c r="B1023" t="str">
        <f>HYPERLINK("https://www.suredividend.com/sure-analysis-research-database/","Manitowoc Co., Inc.")</f>
        <v>Manitowoc Co., Inc.</v>
      </c>
      <c r="C1023">
        <v>-5.3072625698324001E-2</v>
      </c>
      <c r="D1023">
        <v>-0.22690992018243999</v>
      </c>
      <c r="E1023">
        <v>-0.111402359108781</v>
      </c>
      <c r="F1023">
        <v>0.48034934497816612</v>
      </c>
      <c r="G1023">
        <v>0.40082644628099101</v>
      </c>
      <c r="H1023">
        <v>-0.33885909312530399</v>
      </c>
      <c r="I1023">
        <v>-0.27641408751334001</v>
      </c>
    </row>
    <row r="1024" spans="1:9" x14ac:dyDescent="0.25">
      <c r="A1024" s="1" t="s">
        <v>1036</v>
      </c>
      <c r="B1024" t="str">
        <f>HYPERLINK("https://www.suredividend.com/sure-analysis-research-database/","Minerals Technologies, Inc.")</f>
        <v>Minerals Technologies, Inc.</v>
      </c>
      <c r="C1024">
        <v>0.13584734211721899</v>
      </c>
      <c r="D1024">
        <v>-1.3420807246568999E-2</v>
      </c>
      <c r="E1024">
        <v>-2.9448885149340001E-3</v>
      </c>
      <c r="F1024">
        <v>-1.9886786585103001E-2</v>
      </c>
      <c r="G1024">
        <v>0.101878679902848</v>
      </c>
      <c r="H1024">
        <v>-0.187768687489033</v>
      </c>
      <c r="I1024">
        <v>2.9285562901942001E-2</v>
      </c>
    </row>
    <row r="1025" spans="1:9" x14ac:dyDescent="0.25">
      <c r="A1025" s="1" t="s">
        <v>1037</v>
      </c>
      <c r="B1025" t="str">
        <f>HYPERLINK("https://www.suredividend.com/sure-analysis-research-database/","Mullen Automotive Inc")</f>
        <v>Mullen Automotive Inc</v>
      </c>
      <c r="C1025">
        <v>-0.37968586387434511</v>
      </c>
      <c r="D1025">
        <v>-0.72459321245932107</v>
      </c>
      <c r="E1025">
        <v>-0.97761148904006012</v>
      </c>
      <c r="F1025">
        <v>-0.99539704739704704</v>
      </c>
      <c r="G1025">
        <v>-0.9953051196703121</v>
      </c>
      <c r="H1025">
        <v>-0.9773720397249801</v>
      </c>
      <c r="I1025">
        <v>-0.94358095238095208</v>
      </c>
    </row>
    <row r="1026" spans="1:9" x14ac:dyDescent="0.25">
      <c r="A1026" s="1" t="s">
        <v>1038</v>
      </c>
      <c r="B1026" t="str">
        <f>HYPERLINK("https://www.suredividend.com/sure-analysis-research-database/","Murphy Oil Corp.")</f>
        <v>Murphy Oil Corp.</v>
      </c>
      <c r="C1026">
        <v>7.9454630935590007E-2</v>
      </c>
      <c r="D1026">
        <v>5.8364467349041008E-2</v>
      </c>
      <c r="E1026">
        <v>0.39577437817825911</v>
      </c>
      <c r="F1026">
        <v>9.0588685142391004E-2</v>
      </c>
      <c r="G1026">
        <v>1.0881505403329E-2</v>
      </c>
      <c r="H1026">
        <v>0.76030421982335605</v>
      </c>
      <c r="I1026">
        <v>0.79053263666848606</v>
      </c>
    </row>
    <row r="1027" spans="1:9" x14ac:dyDescent="0.25">
      <c r="A1027" s="1" t="s">
        <v>1039</v>
      </c>
      <c r="B1027" t="str">
        <f>HYPERLINK("https://www.suredividend.com/sure-analysis-research-database/","Murphy USA Inc")</f>
        <v>Murphy USA Inc</v>
      </c>
      <c r="C1027">
        <v>9.0357114692420012E-2</v>
      </c>
      <c r="D1027">
        <v>0.26323413146317898</v>
      </c>
      <c r="E1027">
        <v>0.35036341543137001</v>
      </c>
      <c r="F1027">
        <v>0.36211449182817601</v>
      </c>
      <c r="G1027">
        <v>0.25553297513988998</v>
      </c>
      <c r="H1027">
        <v>1.248586175622866</v>
      </c>
      <c r="I1027">
        <v>3.7409995594890071</v>
      </c>
    </row>
    <row r="1028" spans="1:9" x14ac:dyDescent="0.25">
      <c r="A1028" s="1" t="s">
        <v>1040</v>
      </c>
      <c r="B1028" t="str">
        <f>HYPERLINK("https://www.suredividend.com/sure-analysis-research-database/","MVB Financial Corp.")</f>
        <v>MVB Financial Corp.</v>
      </c>
      <c r="C1028">
        <v>-5.5100182149362013E-2</v>
      </c>
      <c r="D1028">
        <v>-0.19042398373825101</v>
      </c>
      <c r="E1028">
        <v>0.24907448095688101</v>
      </c>
      <c r="F1028">
        <v>-1.9890322184487001E-2</v>
      </c>
      <c r="G1028">
        <v>-0.13050765781809801</v>
      </c>
      <c r="H1028">
        <v>-0.47896133767574012</v>
      </c>
      <c r="I1028">
        <v>0.27769362446275198</v>
      </c>
    </row>
    <row r="1029" spans="1:9" x14ac:dyDescent="0.25">
      <c r="A1029" s="1" t="s">
        <v>1041</v>
      </c>
      <c r="B1029" t="str">
        <f>HYPERLINK("https://www.suredividend.com/sure-analysis-research-database/","Microvision Inc.")</f>
        <v>Microvision Inc.</v>
      </c>
      <c r="C1029">
        <v>4.6511627906976001E-2</v>
      </c>
      <c r="D1029">
        <v>-0.35344827586206801</v>
      </c>
      <c r="E1029">
        <v>9.2233009708737004E-2</v>
      </c>
      <c r="F1029">
        <v>-4.2553191489361E-2</v>
      </c>
      <c r="G1029">
        <v>-0.32432432432432401</v>
      </c>
      <c r="H1029">
        <v>-0.74197247706422009</v>
      </c>
      <c r="I1029">
        <v>1.1028037383177569</v>
      </c>
    </row>
    <row r="1030" spans="1:9" x14ac:dyDescent="0.25">
      <c r="A1030" s="1" t="s">
        <v>1042</v>
      </c>
      <c r="B1030" t="str">
        <f>HYPERLINK("https://www.suredividend.com/sure-analysis-research-database/","Microvast Holdings Inc")</f>
        <v>Microvast Holdings Inc</v>
      </c>
      <c r="C1030">
        <v>-0.18390804597701099</v>
      </c>
      <c r="D1030">
        <v>-0.42741935483870902</v>
      </c>
      <c r="E1030">
        <v>0.32710280373831702</v>
      </c>
      <c r="F1030">
        <v>-7.189542483660101E-2</v>
      </c>
      <c r="G1030">
        <v>-0.40585774058577401</v>
      </c>
      <c r="H1030">
        <v>-0.84698275862068906</v>
      </c>
      <c r="I1030">
        <v>-0.85465711361310104</v>
      </c>
    </row>
    <row r="1031" spans="1:9" x14ac:dyDescent="0.25">
      <c r="A1031" s="1" t="s">
        <v>1043</v>
      </c>
      <c r="B1031" t="str">
        <f>HYPERLINK("https://www.suredividend.com/sure-analysis-MWA/","Mueller Water Products Inc")</f>
        <v>Mueller Water Products Inc</v>
      </c>
      <c r="C1031">
        <v>2.1176470588235002E-2</v>
      </c>
      <c r="D1031">
        <v>-7.8373633841100007E-2</v>
      </c>
      <c r="E1031">
        <v>-3.1531028942494002E-2</v>
      </c>
      <c r="F1031">
        <v>0.22589635432359101</v>
      </c>
      <c r="G1031">
        <v>0.15424508647972901</v>
      </c>
      <c r="H1031">
        <v>-0.19284846380836601</v>
      </c>
      <c r="I1031">
        <v>0.34412487353663801</v>
      </c>
    </row>
    <row r="1032" spans="1:9" x14ac:dyDescent="0.25">
      <c r="A1032" s="1" t="s">
        <v>1044</v>
      </c>
      <c r="B1032" t="str">
        <f>HYPERLINK("https://www.suredividend.com/sure-analysis-research-database/","MaxCyte Inc")</f>
        <v>MaxCyte Inc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 s="1" t="s">
        <v>1045</v>
      </c>
      <c r="B1033" t="str">
        <f>HYPERLINK("https://www.suredividend.com/sure-analysis-research-database/","MaxLinear Inc")</f>
        <v>MaxLinear Inc</v>
      </c>
      <c r="C1033">
        <v>-0.21763085399449</v>
      </c>
      <c r="D1033">
        <v>-0.28252631578947301</v>
      </c>
      <c r="E1033">
        <v>-0.27148353997434799</v>
      </c>
      <c r="F1033">
        <v>-0.49808541973490411</v>
      </c>
      <c r="G1033">
        <v>-0.47031395710288998</v>
      </c>
      <c r="H1033">
        <v>-0.74988991633641511</v>
      </c>
      <c r="I1033">
        <v>-0.161004431314623</v>
      </c>
    </row>
    <row r="1034" spans="1:9" x14ac:dyDescent="0.25">
      <c r="A1034" s="1" t="s">
        <v>1046</v>
      </c>
      <c r="B1034" t="str">
        <f>HYPERLINK("https://www.suredividend.com/sure-analysis-research-database/","Myers Industries Inc.")</f>
        <v>Myers Industries Inc.</v>
      </c>
      <c r="C1034">
        <v>1.9863791146424E-2</v>
      </c>
      <c r="D1034">
        <v>-2.3311176211621001E-2</v>
      </c>
      <c r="E1034">
        <v>-9.5735709915830015E-3</v>
      </c>
      <c r="F1034">
        <v>-0.17427904497582999</v>
      </c>
      <c r="G1034">
        <v>-0.121713757862788</v>
      </c>
      <c r="H1034">
        <v>-6.2676041644933012E-2</v>
      </c>
      <c r="I1034">
        <v>0.27245561983529498</v>
      </c>
    </row>
    <row r="1035" spans="1:9" x14ac:dyDescent="0.25">
      <c r="A1035" s="1" t="s">
        <v>1047</v>
      </c>
      <c r="B1035" t="str">
        <f>HYPERLINK("https://www.suredividend.com/sure-analysis-research-database/","First Western Financial Inc")</f>
        <v>First Western Financial Inc</v>
      </c>
      <c r="C1035">
        <v>-0.10307414104882399</v>
      </c>
      <c r="D1035">
        <v>-0.28219971056439902</v>
      </c>
      <c r="E1035">
        <v>4.1287613715884998E-2</v>
      </c>
      <c r="F1035">
        <v>-0.47140319715808099</v>
      </c>
      <c r="G1035">
        <v>-0.46647543922552798</v>
      </c>
      <c r="H1035">
        <v>-0.51404310907903306</v>
      </c>
      <c r="I1035">
        <v>0.16159250585480001</v>
      </c>
    </row>
    <row r="1036" spans="1:9" x14ac:dyDescent="0.25">
      <c r="A1036" s="1" t="s">
        <v>1048</v>
      </c>
      <c r="B1036" t="str">
        <f>HYPERLINK("https://www.suredividend.com/sure-analysis-research-database/","Myriad Genetics, Inc.")</f>
        <v>Myriad Genetics, Inc.</v>
      </c>
      <c r="C1036">
        <v>8.684546615581E-2</v>
      </c>
      <c r="D1036">
        <v>-0.118591403417918</v>
      </c>
      <c r="E1036">
        <v>-0.19298245614035001</v>
      </c>
      <c r="F1036">
        <v>0.17298414886285299</v>
      </c>
      <c r="G1036">
        <v>2.9020556227327E-2</v>
      </c>
      <c r="H1036">
        <v>-0.44086727989487501</v>
      </c>
      <c r="I1036">
        <v>-0.55700156168662107</v>
      </c>
    </row>
    <row r="1037" spans="1:9" x14ac:dyDescent="0.25">
      <c r="A1037" s="1" t="s">
        <v>1049</v>
      </c>
      <c r="B1037" t="str">
        <f>HYPERLINK("https://www.suredividend.com/sure-analysis-research-database/","PLAYSTUDIOS Inc")</f>
        <v>PLAYSTUDIOS Inc</v>
      </c>
      <c r="C1037">
        <v>-0.14935064935064901</v>
      </c>
      <c r="D1037">
        <v>-0.33838383838383801</v>
      </c>
      <c r="E1037">
        <v>-0.387850467289719</v>
      </c>
      <c r="F1037">
        <v>-0.32474226804123701</v>
      </c>
      <c r="G1037">
        <v>-0.44255319148936101</v>
      </c>
      <c r="H1037">
        <v>-0.44136460554370999</v>
      </c>
      <c r="I1037">
        <v>-0.74439024390243902</v>
      </c>
    </row>
    <row r="1038" spans="1:9" x14ac:dyDescent="0.25">
      <c r="A1038" s="1" t="s">
        <v>1050</v>
      </c>
      <c r="B1038" t="str">
        <f>HYPERLINK("https://www.suredividend.com/sure-analysis-research-database/","MYR Group Inc")</f>
        <v>MYR Group Inc</v>
      </c>
      <c r="C1038">
        <v>-7.8582677165354012E-2</v>
      </c>
      <c r="D1038">
        <v>-0.17206735531342801</v>
      </c>
      <c r="E1038">
        <v>-0.12586837977142001</v>
      </c>
      <c r="F1038">
        <v>0.270989464537851</v>
      </c>
      <c r="G1038">
        <v>0.27361776229864998</v>
      </c>
      <c r="H1038">
        <v>9.5077671720007001E-2</v>
      </c>
      <c r="I1038">
        <v>2.533212560386473</v>
      </c>
    </row>
    <row r="1039" spans="1:9" x14ac:dyDescent="0.25">
      <c r="A1039" s="1" t="s">
        <v>1051</v>
      </c>
      <c r="B1039" t="str">
        <f>HYPERLINK("https://www.suredividend.com/sure-analysis-research-database/","N-able Inc")</f>
        <v>N-able Inc</v>
      </c>
      <c r="C1039">
        <v>1.8939393939393999E-2</v>
      </c>
      <c r="D1039">
        <v>-1.7531044558071002E-2</v>
      </c>
      <c r="E1039">
        <v>8.0321285140562013E-2</v>
      </c>
      <c r="F1039">
        <v>0.30836575875486311</v>
      </c>
      <c r="G1039">
        <v>0.36409736308316398</v>
      </c>
      <c r="H1039">
        <v>-5.5477528089887013E-2</v>
      </c>
      <c r="I1039">
        <v>-0.15937499999999999</v>
      </c>
    </row>
    <row r="1040" spans="1:9" x14ac:dyDescent="0.25">
      <c r="A1040" s="1" t="s">
        <v>1052</v>
      </c>
      <c r="B1040" t="str">
        <f>HYPERLINK("https://www.suredividend.com/sure-analysis-research-database/","Duckhorn Portfolio Inc (The)")</f>
        <v>Duckhorn Portfolio Inc (The)</v>
      </c>
      <c r="C1040">
        <v>0.104294478527607</v>
      </c>
      <c r="D1040">
        <v>-0.15094339622641501</v>
      </c>
      <c r="E1040">
        <v>-0.26878808395395998</v>
      </c>
      <c r="F1040">
        <v>-0.34821967410983701</v>
      </c>
      <c r="G1040">
        <v>-0.246336357292393</v>
      </c>
      <c r="H1040">
        <v>-0.46771808772794399</v>
      </c>
      <c r="I1040">
        <v>-0.37136204889406199</v>
      </c>
    </row>
    <row r="1041" spans="1:9" x14ac:dyDescent="0.25">
      <c r="A1041" s="1" t="s">
        <v>1053</v>
      </c>
      <c r="B1041" t="str">
        <f>HYPERLINK("https://www.suredividend.com/sure-analysis-research-database/","Inari Medical Inc")</f>
        <v>Inari Medical Inc</v>
      </c>
      <c r="C1041">
        <v>-0.26829268292682901</v>
      </c>
      <c r="D1041">
        <v>-0.249767008387698</v>
      </c>
      <c r="E1041">
        <v>-0.22966507177033499</v>
      </c>
      <c r="F1041">
        <v>-0.240088105726872</v>
      </c>
      <c r="G1041">
        <v>-0.29137323943661902</v>
      </c>
      <c r="H1041">
        <v>-0.48595146871008899</v>
      </c>
      <c r="I1041">
        <v>0.13620324629498901</v>
      </c>
    </row>
    <row r="1042" spans="1:9" x14ac:dyDescent="0.25">
      <c r="A1042" s="1" t="s">
        <v>1054</v>
      </c>
      <c r="B1042" t="str">
        <f>HYPERLINK("https://www.suredividend.com/sure-analysis-research-database/","Nordic American Tankers Ltd")</f>
        <v>Nordic American Tankers Ltd</v>
      </c>
      <c r="C1042">
        <v>0.212987012987012</v>
      </c>
      <c r="D1042">
        <v>0.116530387797064</v>
      </c>
      <c r="E1042">
        <v>0.50912910001615708</v>
      </c>
      <c r="F1042">
        <v>0.7079325604359431</v>
      </c>
      <c r="G1042">
        <v>0.55791299706431807</v>
      </c>
      <c r="H1042">
        <v>1.3816809465524269</v>
      </c>
      <c r="I1042">
        <v>1.2302879793686421</v>
      </c>
    </row>
    <row r="1043" spans="1:9" x14ac:dyDescent="0.25">
      <c r="A1043" s="1" t="s">
        <v>1055</v>
      </c>
      <c r="B1043" t="str">
        <f>HYPERLINK("https://www.suredividend.com/sure-analysis-research-database/","Nature`s Sunshine Products, Inc.")</f>
        <v>Nature`s Sunshine Products, Inc.</v>
      </c>
      <c r="C1043">
        <v>0.100490196078431</v>
      </c>
      <c r="D1043">
        <v>0.31575091575091502</v>
      </c>
      <c r="E1043">
        <v>0.73694390715667302</v>
      </c>
      <c r="F1043">
        <v>1.158653846153846</v>
      </c>
      <c r="G1043">
        <v>1.1154299175500579</v>
      </c>
      <c r="H1043">
        <v>0.134554643082754</v>
      </c>
      <c r="I1043">
        <v>1.0568261203174569</v>
      </c>
    </row>
    <row r="1044" spans="1:9" x14ac:dyDescent="0.25">
      <c r="A1044" s="1" t="s">
        <v>1056</v>
      </c>
      <c r="B1044" t="str">
        <f>HYPERLINK("https://www.suredividend.com/sure-analysis-research-database/","Nautilus Biotechnology Inc")</f>
        <v>Nautilus Biotechnology Inc</v>
      </c>
      <c r="C1044">
        <v>-6.2091503267972997E-2</v>
      </c>
      <c r="D1044">
        <v>-0.100313479623824</v>
      </c>
      <c r="E1044">
        <v>0.247826086956521</v>
      </c>
      <c r="F1044">
        <v>0.594444444444444</v>
      </c>
      <c r="G1044">
        <v>0.37980769230769201</v>
      </c>
      <c r="H1044">
        <v>-0.49737302977232911</v>
      </c>
      <c r="I1044">
        <v>-0.73909090909090902</v>
      </c>
    </row>
    <row r="1045" spans="1:9" x14ac:dyDescent="0.25">
      <c r="A1045" s="1" t="s">
        <v>1057</v>
      </c>
      <c r="B1045" t="str">
        <f>HYPERLINK("https://www.suredividend.com/sure-analysis-NAVI/","Navient Corp")</f>
        <v>Navient Corp</v>
      </c>
      <c r="C1045">
        <v>2.0970641102456E-2</v>
      </c>
      <c r="D1045">
        <v>-6.0333846179296997E-2</v>
      </c>
      <c r="E1045">
        <v>0.197327093741436</v>
      </c>
      <c r="F1045">
        <v>7.7328680082696E-2</v>
      </c>
      <c r="G1045">
        <v>0.19939185764964201</v>
      </c>
      <c r="H1045">
        <v>-3.8803242346809E-2</v>
      </c>
      <c r="I1045">
        <v>0.84084869174426802</v>
      </c>
    </row>
    <row r="1046" spans="1:9" x14ac:dyDescent="0.25">
      <c r="A1046" s="1" t="s">
        <v>1058</v>
      </c>
      <c r="B1046" t="str">
        <f>HYPERLINK("https://www.suredividend.com/sure-analysis-research-database/","National Bank Holdings Corp")</f>
        <v>National Bank Holdings Corp</v>
      </c>
      <c r="C1046">
        <v>9.3125634947510014E-2</v>
      </c>
      <c r="D1046">
        <v>-6.7418586913813999E-2</v>
      </c>
      <c r="E1046">
        <v>0.18661637883499799</v>
      </c>
      <c r="F1046">
        <v>-0.21508934802325499</v>
      </c>
      <c r="G1046">
        <v>-0.28665663389441698</v>
      </c>
      <c r="H1046">
        <v>-0.24565339315759899</v>
      </c>
      <c r="I1046">
        <v>6.5227004230548002E-2</v>
      </c>
    </row>
    <row r="1047" spans="1:9" x14ac:dyDescent="0.25">
      <c r="A1047" s="1" t="s">
        <v>1059</v>
      </c>
      <c r="B1047" t="str">
        <f>HYPERLINK("https://www.suredividend.com/sure-analysis-research-database/","Northeast Bank")</f>
        <v>Northeast Bank</v>
      </c>
      <c r="C1047">
        <v>0.16965517241379299</v>
      </c>
      <c r="D1047">
        <v>6.688809627155301E-2</v>
      </c>
      <c r="E1047">
        <v>0.43788928704656199</v>
      </c>
      <c r="F1047">
        <v>0.20998235442399801</v>
      </c>
      <c r="G1047">
        <v>0.154071231236135</v>
      </c>
      <c r="H1047">
        <v>0.56449386102202503</v>
      </c>
      <c r="I1047">
        <v>1.402765447023933</v>
      </c>
    </row>
    <row r="1048" spans="1:9" x14ac:dyDescent="0.25">
      <c r="A1048" s="1" t="s">
        <v>1060</v>
      </c>
      <c r="B1048" t="str">
        <f>HYPERLINK("https://www.suredividend.com/sure-analysis-research-database/","Nabors Industries Ltd")</f>
        <v>Nabors Industries Ltd</v>
      </c>
      <c r="C1048">
        <v>-7.6394613904918002E-2</v>
      </c>
      <c r="D1048">
        <v>-0.14637656620386</v>
      </c>
      <c r="E1048">
        <v>6.9133707984307E-2</v>
      </c>
      <c r="F1048">
        <v>-0.34893781881578101</v>
      </c>
      <c r="G1048">
        <v>-0.41090207992521599</v>
      </c>
      <c r="H1048">
        <v>7.1920887024270004E-3</v>
      </c>
      <c r="I1048">
        <v>-0.60634225072441905</v>
      </c>
    </row>
    <row r="1049" spans="1:9" x14ac:dyDescent="0.25">
      <c r="A1049" s="1" t="s">
        <v>1061</v>
      </c>
      <c r="B1049" t="str">
        <f>HYPERLINK("https://www.suredividend.com/sure-analysis-research-database/","NBT Bancorp. Inc.")</f>
        <v>NBT Bancorp. Inc.</v>
      </c>
      <c r="C1049">
        <v>0.120087336244541</v>
      </c>
      <c r="D1049">
        <v>-1.6056554142919E-2</v>
      </c>
      <c r="E1049">
        <v>0.25892218591802002</v>
      </c>
      <c r="F1049">
        <v>-0.14357670604957701</v>
      </c>
      <c r="G1049">
        <v>-0.21701077346078601</v>
      </c>
      <c r="H1049">
        <v>4.0022474448347001E-2</v>
      </c>
      <c r="I1049">
        <v>0.129124559009413</v>
      </c>
    </row>
    <row r="1050" spans="1:9" x14ac:dyDescent="0.25">
      <c r="A1050" s="1" t="s">
        <v>1062</v>
      </c>
      <c r="B1050" t="str">
        <f>HYPERLINK("https://www.suredividend.com/sure-analysis-NC/","Nacco Industries Inc.")</f>
        <v>Nacco Industries Inc.</v>
      </c>
      <c r="C1050">
        <v>3.3124440465532E-2</v>
      </c>
      <c r="D1050">
        <v>5.2628378398922003E-2</v>
      </c>
      <c r="E1050">
        <v>0.105462812767424</v>
      </c>
      <c r="F1050">
        <v>-7.1760277131304007E-2</v>
      </c>
      <c r="G1050">
        <v>-0.35692273970974198</v>
      </c>
      <c r="H1050">
        <v>0.148376781692313</v>
      </c>
      <c r="I1050">
        <v>7.9607823570501002E-2</v>
      </c>
    </row>
    <row r="1051" spans="1:9" x14ac:dyDescent="0.25">
      <c r="A1051" s="1" t="s">
        <v>1063</v>
      </c>
      <c r="B1051" t="str">
        <f>HYPERLINK("https://www.suredividend.com/sure-analysis-research-database/","Noodles &amp; Company")</f>
        <v>Noodles &amp; Company</v>
      </c>
      <c r="C1051">
        <v>-3.0567685589519E-2</v>
      </c>
      <c r="D1051">
        <v>-0.34705882352941098</v>
      </c>
      <c r="E1051">
        <v>-0.52765957446808509</v>
      </c>
      <c r="F1051">
        <v>-0.595628415300546</v>
      </c>
      <c r="G1051">
        <v>-0.60357142857142809</v>
      </c>
      <c r="H1051">
        <v>-0.81422594142259408</v>
      </c>
      <c r="I1051">
        <v>-0.76557550158394905</v>
      </c>
    </row>
    <row r="1052" spans="1:9" x14ac:dyDescent="0.25">
      <c r="A1052" s="1" t="s">
        <v>1064</v>
      </c>
      <c r="B1052" t="str">
        <f>HYPERLINK("https://www.suredividend.com/sure-analysis-research-database/","Noble Corp Plc")</f>
        <v>Noble Corp Plc</v>
      </c>
      <c r="C1052">
        <v>4.7311379741558003E-2</v>
      </c>
      <c r="D1052">
        <v>-3.8559043954593003E-2</v>
      </c>
      <c r="E1052">
        <v>0.37756906349976499</v>
      </c>
      <c r="F1052">
        <v>0.34030737715849502</v>
      </c>
      <c r="G1052">
        <v>0.32450156567946198</v>
      </c>
      <c r="H1052">
        <v>0.69209580797995707</v>
      </c>
      <c r="I1052">
        <v>0.69209580797995707</v>
      </c>
    </row>
    <row r="1053" spans="1:9" x14ac:dyDescent="0.25">
      <c r="A1053" s="1" t="s">
        <v>1065</v>
      </c>
      <c r="B1053" t="str">
        <f>HYPERLINK("https://www.suredividend.com/sure-analysis-research-database/","Neogenomics Inc.")</f>
        <v>Neogenomics Inc.</v>
      </c>
      <c r="C1053">
        <v>0.25782537067545203</v>
      </c>
      <c r="D1053">
        <v>-4.0829145728642997E-2</v>
      </c>
      <c r="E1053">
        <v>5.6747404844290007E-2</v>
      </c>
      <c r="F1053">
        <v>0.65259740259740207</v>
      </c>
      <c r="G1053">
        <v>1.0889192886456911</v>
      </c>
      <c r="H1053">
        <v>-0.60182529335071699</v>
      </c>
      <c r="I1053">
        <v>-0.15072302558398201</v>
      </c>
    </row>
    <row r="1054" spans="1:9" x14ac:dyDescent="0.25">
      <c r="A1054" s="1" t="s">
        <v>1066</v>
      </c>
      <c r="B1054" t="str">
        <f>HYPERLINK("https://www.suredividend.com/sure-analysis-research-database/","Neogen Corp.")</f>
        <v>Neogen Corp.</v>
      </c>
      <c r="C1054">
        <v>-9.4447624499141014E-2</v>
      </c>
      <c r="D1054">
        <v>-0.307052124397722</v>
      </c>
      <c r="E1054">
        <v>-9.1326823664560006E-2</v>
      </c>
      <c r="F1054">
        <v>3.8739330269205001E-2</v>
      </c>
      <c r="G1054">
        <v>0.155588020452885</v>
      </c>
      <c r="H1054">
        <v>-0.6399635867091481</v>
      </c>
      <c r="I1054">
        <v>-0.50023692939504005</v>
      </c>
    </row>
    <row r="1055" spans="1:9" x14ac:dyDescent="0.25">
      <c r="A1055" s="1" t="s">
        <v>1067</v>
      </c>
      <c r="B1055" t="str">
        <f>HYPERLINK("https://www.suredividend.com/sure-analysis-research-database/","Eneti Inc")</f>
        <v>Eneti Inc</v>
      </c>
      <c r="C1055">
        <v>4.4257112750263013E-2</v>
      </c>
      <c r="D1055">
        <v>-0.17749780057434</v>
      </c>
      <c r="E1055">
        <v>0.241465706232383</v>
      </c>
      <c r="F1055">
        <v>-1.0800343375057E-2</v>
      </c>
      <c r="G1055">
        <v>0.15315692708696901</v>
      </c>
      <c r="H1055">
        <v>-0.295464240011374</v>
      </c>
      <c r="I1055">
        <v>-0.69017210923699801</v>
      </c>
    </row>
    <row r="1056" spans="1:9" x14ac:dyDescent="0.25">
      <c r="A1056" s="1" t="s">
        <v>1068</v>
      </c>
      <c r="B1056" t="str">
        <f>HYPERLINK("https://www.suredividend.com/sure-analysis-research-database/","NexTier Oilfield Solutions Inc")</f>
        <v>NexTier Oilfield Solutions Inc</v>
      </c>
      <c r="C1056">
        <v>-0.10989932885905999</v>
      </c>
      <c r="D1056">
        <v>0.407161803713527</v>
      </c>
      <c r="E1056">
        <v>0.16210295728367999</v>
      </c>
      <c r="F1056">
        <v>0.14826839826839799</v>
      </c>
      <c r="G1056">
        <v>0.13233724653148299</v>
      </c>
      <c r="H1056">
        <v>1.947222222222222</v>
      </c>
      <c r="I1056">
        <v>-0.13599348534201899</v>
      </c>
    </row>
    <row r="1057" spans="1:9" x14ac:dyDescent="0.25">
      <c r="A1057" s="1" t="s">
        <v>1069</v>
      </c>
      <c r="B1057" t="str">
        <f>HYPERLINK("https://www.suredividend.com/sure-analysis-research-database/","NextDecade Corporation")</f>
        <v>NextDecade Corporation</v>
      </c>
      <c r="C1057">
        <v>-2.1929824561403001E-2</v>
      </c>
      <c r="D1057">
        <v>-0.20071684587813601</v>
      </c>
      <c r="E1057">
        <v>-0.216168717047451</v>
      </c>
      <c r="F1057">
        <v>-9.7165991902834009E-2</v>
      </c>
      <c r="G1057">
        <v>-0.382271468144044</v>
      </c>
      <c r="H1057">
        <v>0.225274725274725</v>
      </c>
      <c r="I1057">
        <v>-0.138996138996138</v>
      </c>
    </row>
    <row r="1058" spans="1:9" x14ac:dyDescent="0.25">
      <c r="A1058" s="1" t="s">
        <v>1070</v>
      </c>
      <c r="B1058" t="str">
        <f>HYPERLINK("https://www.suredividend.com/sure-analysis-research-database/","Northfield Bancorp Inc")</f>
        <v>Northfield Bancorp Inc</v>
      </c>
      <c r="C1058">
        <v>2.5974025974025001E-2</v>
      </c>
      <c r="D1058">
        <v>-0.182561307901907</v>
      </c>
      <c r="E1058">
        <v>4.9078736236374002E-2</v>
      </c>
      <c r="F1058">
        <v>-0.361487169125075</v>
      </c>
      <c r="G1058">
        <v>-0.35943349054691398</v>
      </c>
      <c r="H1058">
        <v>-0.41539581033664003</v>
      </c>
      <c r="I1058">
        <v>-0.15058330197301201</v>
      </c>
    </row>
    <row r="1059" spans="1:9" x14ac:dyDescent="0.25">
      <c r="A1059" s="1" t="s">
        <v>1071</v>
      </c>
      <c r="B1059" t="str">
        <f>HYPERLINK("https://www.suredividend.com/sure-analysis-research-database/","Novagold Resources Inc.")</f>
        <v>Novagold Resources Inc.</v>
      </c>
      <c r="C1059">
        <v>0.113372093023255</v>
      </c>
      <c r="D1059">
        <v>-0.119540229885057</v>
      </c>
      <c r="E1059">
        <v>-0.32570422535211202</v>
      </c>
      <c r="F1059">
        <v>-0.35953177257524999</v>
      </c>
      <c r="G1059">
        <v>-0.21355236139630401</v>
      </c>
      <c r="H1059">
        <v>-0.48313090418353499</v>
      </c>
      <c r="I1059">
        <v>-6.8126520681264999E-2</v>
      </c>
    </row>
    <row r="1060" spans="1:9" x14ac:dyDescent="0.25">
      <c r="A1060" s="1" t="s">
        <v>1072</v>
      </c>
      <c r="B1060" t="str">
        <f>HYPERLINK("https://www.suredividend.com/sure-analysis-research-database/","Ngm Biopharmaceuticals Inc")</f>
        <v>Ngm Biopharmaceuticals Inc</v>
      </c>
      <c r="C1060">
        <v>-0.30578512396694202</v>
      </c>
      <c r="D1060">
        <v>-0.625</v>
      </c>
      <c r="E1060">
        <v>-0.78680203045685204</v>
      </c>
      <c r="F1060">
        <v>-0.83266932270916305</v>
      </c>
      <c r="G1060">
        <v>-0.84328358208955212</v>
      </c>
      <c r="H1060">
        <v>-0.95822973644952703</v>
      </c>
      <c r="I1060">
        <v>-0.94285714285714206</v>
      </c>
    </row>
    <row r="1061" spans="1:9" x14ac:dyDescent="0.25">
      <c r="A1061" s="1" t="s">
        <v>1073</v>
      </c>
      <c r="B1061" t="str">
        <f>HYPERLINK("https://www.suredividend.com/sure-analysis-research-database/","NeoGames SA")</f>
        <v>NeoGames SA</v>
      </c>
      <c r="C1061">
        <v>-1.623017336776E-2</v>
      </c>
      <c r="D1061">
        <v>-1.4412416851441E-2</v>
      </c>
      <c r="E1061">
        <v>1.091764705882353</v>
      </c>
      <c r="F1061">
        <v>1.18785890073831</v>
      </c>
      <c r="G1061">
        <v>0.65755127408328107</v>
      </c>
      <c r="H1061">
        <v>-0.30329153605015602</v>
      </c>
      <c r="I1061">
        <v>0.21947873799725601</v>
      </c>
    </row>
    <row r="1062" spans="1:9" x14ac:dyDescent="0.25">
      <c r="A1062" s="1" t="s">
        <v>1074</v>
      </c>
      <c r="B1062" t="str">
        <f>HYPERLINK("https://www.suredividend.com/sure-analysis-research-database/","Natural Grocers by Vitamin Cottage Inc")</f>
        <v>Natural Grocers by Vitamin Cottage Inc</v>
      </c>
      <c r="C1062">
        <v>2.4143302180685E-2</v>
      </c>
      <c r="D1062">
        <v>1.7124824033537999E-2</v>
      </c>
      <c r="E1062">
        <v>0.31447421031587303</v>
      </c>
      <c r="F1062">
        <v>0.47586980920314198</v>
      </c>
      <c r="G1062">
        <v>0.18038849592474199</v>
      </c>
      <c r="H1062">
        <v>9.0851776885555013E-2</v>
      </c>
      <c r="I1062">
        <v>-0.164527688124221</v>
      </c>
    </row>
    <row r="1063" spans="1:9" x14ac:dyDescent="0.25">
      <c r="A1063" s="1" t="s">
        <v>1075</v>
      </c>
      <c r="B1063" t="str">
        <f>HYPERLINK("https://www.suredividend.com/sure-analysis-research-database/","Ingevity Corp")</f>
        <v>Ingevity Corp</v>
      </c>
      <c r="C1063">
        <v>4.6739892498200001E-4</v>
      </c>
      <c r="D1063">
        <v>-0.26392709766162298</v>
      </c>
      <c r="E1063">
        <v>-0.33524844720496799</v>
      </c>
      <c r="F1063">
        <v>-0.39224872231686497</v>
      </c>
      <c r="G1063">
        <v>-0.42428725121032801</v>
      </c>
      <c r="H1063">
        <v>-0.45727687626774799</v>
      </c>
      <c r="I1063">
        <v>-0.56608554632069708</v>
      </c>
    </row>
    <row r="1064" spans="1:9" x14ac:dyDescent="0.25">
      <c r="A1064" s="1" t="s">
        <v>1076</v>
      </c>
      <c r="B1064" t="str">
        <f>HYPERLINK("https://www.suredividend.com/sure-analysis-NHC/","National Healthcare Corp.")</f>
        <v>National Healthcare Corp.</v>
      </c>
      <c r="C1064">
        <v>7.4708289134717012E-2</v>
      </c>
      <c r="D1064">
        <v>0.133048526813245</v>
      </c>
      <c r="E1064">
        <v>0.308796173266011</v>
      </c>
      <c r="F1064">
        <v>0.23858907030721899</v>
      </c>
      <c r="G1064">
        <v>0.26176903862166101</v>
      </c>
      <c r="H1064">
        <v>8.0807588208041001E-2</v>
      </c>
      <c r="I1064">
        <v>5.3174000917740001E-2</v>
      </c>
    </row>
    <row r="1065" spans="1:9" x14ac:dyDescent="0.25">
      <c r="A1065" s="1" t="s">
        <v>1077</v>
      </c>
      <c r="B1065" t="str">
        <f>HYPERLINK("https://www.suredividend.com/sure-analysis-NHI/","National Health Investors, Inc.")</f>
        <v>National Health Investors, Inc.</v>
      </c>
      <c r="C1065">
        <v>-8.4811102544330007E-3</v>
      </c>
      <c r="D1065">
        <v>-4.1791239393854013E-2</v>
      </c>
      <c r="E1065">
        <v>9.2654743192149003E-2</v>
      </c>
      <c r="F1065">
        <v>3.8719773840173E-2</v>
      </c>
      <c r="G1065">
        <v>-7.6222482449149996E-3</v>
      </c>
      <c r="H1065">
        <v>0.100240838099475</v>
      </c>
      <c r="I1065">
        <v>-3.5575345676119002E-2</v>
      </c>
    </row>
    <row r="1066" spans="1:9" x14ac:dyDescent="0.25">
      <c r="A1066" s="1" t="s">
        <v>1078</v>
      </c>
      <c r="B1066" t="str">
        <f>HYPERLINK("https://www.suredividend.com/sure-analysis-research-database/","Nicolet Bankshares Inc.")</f>
        <v>Nicolet Bankshares Inc.</v>
      </c>
      <c r="C1066">
        <v>0.110694183864915</v>
      </c>
      <c r="D1066">
        <v>-7.8361984826983005E-2</v>
      </c>
      <c r="E1066">
        <v>0.43887313199828698</v>
      </c>
      <c r="F1066">
        <v>-2.8548996045274999E-2</v>
      </c>
      <c r="G1066">
        <v>-9.6831269100850006E-3</v>
      </c>
      <c r="H1066">
        <v>2.6680896478121E-2</v>
      </c>
      <c r="I1066">
        <v>0.43101524730383001</v>
      </c>
    </row>
    <row r="1067" spans="1:9" x14ac:dyDescent="0.25">
      <c r="A1067" s="1" t="s">
        <v>1079</v>
      </c>
      <c r="B1067" t="str">
        <f>HYPERLINK("https://www.suredividend.com/sure-analysis-NJR/","New Jersey Resources Corporation")</f>
        <v>New Jersey Resources Corporation</v>
      </c>
      <c r="C1067">
        <v>6.5034619188921006E-2</v>
      </c>
      <c r="D1067">
        <v>-2.3924832920497002E-2</v>
      </c>
      <c r="E1067">
        <v>-0.142827574403044</v>
      </c>
      <c r="F1067">
        <v>-0.10952786576137701</v>
      </c>
      <c r="G1067">
        <v>5.5941574208970002E-3</v>
      </c>
      <c r="H1067">
        <v>0.19603340118353699</v>
      </c>
      <c r="I1067">
        <v>0.12602484731866401</v>
      </c>
    </row>
    <row r="1068" spans="1:9" x14ac:dyDescent="0.25">
      <c r="A1068" s="1" t="s">
        <v>1080</v>
      </c>
      <c r="B1068" t="str">
        <f>HYPERLINK("https://www.suredividend.com/sure-analysis-research-database/","Nikola Corp")</f>
        <v>Nikola Corp</v>
      </c>
      <c r="C1068">
        <v>-0.19718309859154901</v>
      </c>
      <c r="D1068">
        <v>-0.54400000000000004</v>
      </c>
      <c r="E1068">
        <v>0.24767429134289101</v>
      </c>
      <c r="F1068">
        <v>-0.47222222222222199</v>
      </c>
      <c r="G1068">
        <v>-0.61486486486486402</v>
      </c>
      <c r="H1068">
        <v>-0.92616580310880803</v>
      </c>
      <c r="I1068">
        <v>-0.88112493352381105</v>
      </c>
    </row>
    <row r="1069" spans="1:9" x14ac:dyDescent="0.25">
      <c r="A1069" s="1" t="s">
        <v>1081</v>
      </c>
      <c r="B1069" t="str">
        <f>HYPERLINK("https://www.suredividend.com/sure-analysis-research-database/","Nektar Therapeutics")</f>
        <v>Nektar Therapeutics</v>
      </c>
      <c r="C1069">
        <v>4.0090771558245003E-2</v>
      </c>
      <c r="D1069">
        <v>3.2669921141568997E-2</v>
      </c>
      <c r="E1069">
        <v>-0.30581850309226299</v>
      </c>
      <c r="F1069">
        <v>-0.7566371681415921</v>
      </c>
      <c r="G1069">
        <v>-0.85411140583554301</v>
      </c>
      <c r="H1069">
        <v>-0.96696696696696605</v>
      </c>
      <c r="I1069">
        <v>-0.98591549295774605</v>
      </c>
    </row>
    <row r="1070" spans="1:9" x14ac:dyDescent="0.25">
      <c r="A1070" s="1" t="s">
        <v>1082</v>
      </c>
      <c r="B1070" t="str">
        <f>HYPERLINK("https://www.suredividend.com/sure-analysis-research-database/","Nkarta Inc")</f>
        <v>Nkarta Inc</v>
      </c>
      <c r="C1070">
        <v>0.72932330827067604</v>
      </c>
      <c r="D1070">
        <v>5.5045871559631997E-2</v>
      </c>
      <c r="E1070">
        <v>-0.51374207188160603</v>
      </c>
      <c r="F1070">
        <v>-0.61602671118530805</v>
      </c>
      <c r="G1070">
        <v>-0.8086522462562391</v>
      </c>
      <c r="H1070">
        <v>-0.87143655673560605</v>
      </c>
      <c r="I1070">
        <v>-0.95198329853862207</v>
      </c>
    </row>
    <row r="1071" spans="1:9" x14ac:dyDescent="0.25">
      <c r="A1071" s="1" t="s">
        <v>1083</v>
      </c>
      <c r="B1071" t="str">
        <f>HYPERLINK("https://www.suredividend.com/sure-analysis-research-database/","NL Industries, Inc.")</f>
        <v>NL Industries, Inc.</v>
      </c>
      <c r="C1071">
        <v>-1.2578616352201E-2</v>
      </c>
      <c r="D1071">
        <v>-0.13218115488078899</v>
      </c>
      <c r="E1071">
        <v>-0.19732783448933999</v>
      </c>
      <c r="F1071">
        <v>-0.28363929489421902</v>
      </c>
      <c r="G1071">
        <v>-0.37455182853955798</v>
      </c>
      <c r="H1071">
        <v>-0.12918076432414399</v>
      </c>
      <c r="I1071">
        <v>2.4068880046963E-2</v>
      </c>
    </row>
    <row r="1072" spans="1:9" x14ac:dyDescent="0.25">
      <c r="A1072" s="1" t="s">
        <v>1084</v>
      </c>
      <c r="B1072" t="str">
        <f>HYPERLINK("https://www.suredividend.com/sure-analysis-research-database/","NMI Holdings Inc")</f>
        <v>NMI Holdings Inc</v>
      </c>
      <c r="C1072">
        <v>9.2613423322084013E-2</v>
      </c>
      <c r="D1072">
        <v>-1.9185459441264999E-2</v>
      </c>
      <c r="E1072">
        <v>0.26420824295010797</v>
      </c>
      <c r="F1072">
        <v>0.39425837320574098</v>
      </c>
      <c r="G1072">
        <v>0.33915441176470501</v>
      </c>
      <c r="H1072">
        <v>0.33363844393592601</v>
      </c>
      <c r="I1072">
        <v>0.43476120137863111</v>
      </c>
    </row>
    <row r="1073" spans="1:9" x14ac:dyDescent="0.25">
      <c r="A1073" s="1" t="s">
        <v>1085</v>
      </c>
      <c r="B1073" t="str">
        <f>HYPERLINK("https://www.suredividend.com/sure-analysis-research-database/","Newmark Group Inc")</f>
        <v>Newmark Group Inc</v>
      </c>
      <c r="C1073">
        <v>0.28987993138936502</v>
      </c>
      <c r="D1073">
        <v>-2.6902522030564001E-2</v>
      </c>
      <c r="E1073">
        <v>0.28439426804898399</v>
      </c>
      <c r="F1073">
        <v>-4.4011085403371002E-2</v>
      </c>
      <c r="G1073">
        <v>-2.0642052484209E-2</v>
      </c>
      <c r="H1073">
        <v>-0.49679137586070699</v>
      </c>
      <c r="I1073">
        <v>-0.158252927085898</v>
      </c>
    </row>
    <row r="1074" spans="1:9" x14ac:dyDescent="0.25">
      <c r="A1074" s="1" t="s">
        <v>1086</v>
      </c>
      <c r="B1074" t="str">
        <f>HYPERLINK("https://www.suredividend.com/sure-analysis-research-database/","NextNav Inc")</f>
        <v>NextNav Inc</v>
      </c>
      <c r="C1074">
        <v>-8.0550098231827003E-2</v>
      </c>
      <c r="D1074">
        <v>0.33333333333333298</v>
      </c>
      <c r="E1074">
        <v>1.351758793969849</v>
      </c>
      <c r="F1074">
        <v>0.59726962457337807</v>
      </c>
      <c r="G1074">
        <v>0.42249240121580511</v>
      </c>
      <c r="H1074">
        <v>-0.44549763033175299</v>
      </c>
      <c r="I1074">
        <v>-0.57260273972602704</v>
      </c>
    </row>
    <row r="1075" spans="1:9" x14ac:dyDescent="0.25">
      <c r="A1075" s="1" t="s">
        <v>1087</v>
      </c>
      <c r="B1075" t="str">
        <f>HYPERLINK("https://www.suredividend.com/sure-analysis-research-database/","Nelnet Inc")</f>
        <v>Nelnet Inc</v>
      </c>
      <c r="C1075">
        <v>1.5163699023549001E-2</v>
      </c>
      <c r="D1075">
        <v>-0.10862526351889699</v>
      </c>
      <c r="E1075">
        <v>-4.1750072110013997E-2</v>
      </c>
      <c r="F1075">
        <v>-1.8007456342612999E-2</v>
      </c>
      <c r="G1075">
        <v>8.6080364500459999E-3</v>
      </c>
      <c r="H1075">
        <v>7.6046548724074001E-2</v>
      </c>
      <c r="I1075">
        <v>0.68152454165754905</v>
      </c>
    </row>
    <row r="1076" spans="1:9" x14ac:dyDescent="0.25">
      <c r="A1076" s="1" t="s">
        <v>1088</v>
      </c>
      <c r="B1076" t="str">
        <f>HYPERLINK("https://www.suredividend.com/sure-analysis-research-database/","Nano X Imaging Ltd")</f>
        <v>Nano X Imaging Ltd</v>
      </c>
      <c r="C1076">
        <v>-0.136170212765957</v>
      </c>
      <c r="D1076">
        <v>-0.46437994722955112</v>
      </c>
      <c r="E1076">
        <v>-0.57708333333333306</v>
      </c>
      <c r="F1076">
        <v>-0.17479674796747899</v>
      </c>
      <c r="G1076">
        <v>-0.54037735849056601</v>
      </c>
      <c r="H1076">
        <v>-0.77079412871659703</v>
      </c>
      <c r="I1076">
        <v>-0.71935483870967709</v>
      </c>
    </row>
    <row r="1077" spans="1:9" x14ac:dyDescent="0.25">
      <c r="A1077" s="1" t="s">
        <v>1089</v>
      </c>
      <c r="B1077" t="str">
        <f>HYPERLINK("https://www.suredividend.com/sure-analysis-research-database/","NI Holdings Inc")</f>
        <v>NI Holdings Inc</v>
      </c>
      <c r="C1077">
        <v>2.1327014218009002E-2</v>
      </c>
      <c r="D1077">
        <v>-2.8549962434260001E-2</v>
      </c>
      <c r="E1077">
        <v>3.8819875776389999E-3</v>
      </c>
      <c r="F1077">
        <v>-2.5621703089674999E-2</v>
      </c>
      <c r="G1077">
        <v>-4.2222222222222001E-2</v>
      </c>
      <c r="H1077">
        <v>-0.35025125628140602</v>
      </c>
      <c r="I1077">
        <v>-0.17115384615384599</v>
      </c>
    </row>
    <row r="1078" spans="1:9" x14ac:dyDescent="0.25">
      <c r="A1078" s="1" t="s">
        <v>1090</v>
      </c>
      <c r="B1078" t="str">
        <f>HYPERLINK("https://www.suredividend.com/sure-analysis-research-database/","Northern Oil and Gas Inc.")</f>
        <v>Northern Oil and Gas Inc.</v>
      </c>
      <c r="C1078">
        <v>2.9497741163964E-2</v>
      </c>
      <c r="D1078">
        <v>-7.447004211949701E-2</v>
      </c>
      <c r="E1078">
        <v>0.27890662397041999</v>
      </c>
      <c r="F1078">
        <v>0.29839661089661002</v>
      </c>
      <c r="G1078">
        <v>0.15446737750546799</v>
      </c>
      <c r="H1078">
        <v>0.736378794126611</v>
      </c>
      <c r="I1078">
        <v>0.44955734993676411</v>
      </c>
    </row>
    <row r="1079" spans="1:9" x14ac:dyDescent="0.25">
      <c r="A1079" s="1" t="s">
        <v>1091</v>
      </c>
      <c r="B1079" t="str">
        <f>HYPERLINK("https://www.suredividend.com/sure-analysis-research-database/","Inotiv Inc")</f>
        <v>Inotiv Inc</v>
      </c>
      <c r="C1079">
        <v>-0.233050847457627</v>
      </c>
      <c r="D1079">
        <v>-0.74326241134751703</v>
      </c>
      <c r="E1079">
        <v>-0.67850799289520403</v>
      </c>
      <c r="F1079">
        <v>-0.63360323886639602</v>
      </c>
      <c r="G1079">
        <v>-0.89905186837702111</v>
      </c>
      <c r="H1079">
        <v>-0.96563508638693707</v>
      </c>
      <c r="I1079">
        <v>0.25694444444444398</v>
      </c>
    </row>
    <row r="1080" spans="1:9" x14ac:dyDescent="0.25">
      <c r="A1080" s="1" t="s">
        <v>1092</v>
      </c>
      <c r="B1080" t="str">
        <f>HYPERLINK("https://www.suredividend.com/sure-analysis-research-database/","Sunnova Energy International Inc")</f>
        <v>Sunnova Energy International Inc</v>
      </c>
      <c r="C1080">
        <v>9.2515592515592007E-2</v>
      </c>
      <c r="D1080">
        <v>-0.32843450479233199</v>
      </c>
      <c r="E1080">
        <v>-0.29933333333333301</v>
      </c>
      <c r="F1080">
        <v>-0.41643531371460302</v>
      </c>
      <c r="G1080">
        <v>-0.43494623655913911</v>
      </c>
      <c r="H1080">
        <v>-0.75654389622422902</v>
      </c>
      <c r="I1080">
        <v>-6.5777777777777005E-2</v>
      </c>
    </row>
    <row r="1081" spans="1:9" x14ac:dyDescent="0.25">
      <c r="A1081" s="1" t="s">
        <v>1093</v>
      </c>
      <c r="B1081" t="str">
        <f>HYPERLINK("https://www.suredividend.com/sure-analysis-research-database/","Novanta Inc")</f>
        <v>Novanta Inc</v>
      </c>
      <c r="C1081">
        <v>5.6593095642300001E-4</v>
      </c>
      <c r="D1081">
        <v>-0.18436076350844799</v>
      </c>
      <c r="E1081">
        <v>-0.107577765158685</v>
      </c>
      <c r="F1081">
        <v>4.0995068815779002E-2</v>
      </c>
      <c r="G1081">
        <v>1.8286537077033E-2</v>
      </c>
      <c r="H1081">
        <v>-0.22131689055274101</v>
      </c>
      <c r="I1081">
        <v>1.2798194713088329</v>
      </c>
    </row>
    <row r="1082" spans="1:9" x14ac:dyDescent="0.25">
      <c r="A1082" s="1" t="s">
        <v>1094</v>
      </c>
      <c r="B1082" t="str">
        <f>HYPERLINK("https://www.suredividend.com/sure-analysis-research-database/","National Presto Industries, Inc.")</f>
        <v>National Presto Industries, Inc.</v>
      </c>
      <c r="C1082">
        <v>8.477653631284901E-2</v>
      </c>
      <c r="D1082">
        <v>-2.9003625453181001E-2</v>
      </c>
      <c r="E1082">
        <v>0.13969185619955901</v>
      </c>
      <c r="F1082">
        <v>0.18134128701863</v>
      </c>
      <c r="G1082">
        <v>0.15849638594470999</v>
      </c>
      <c r="H1082">
        <v>-5.3262083189093007E-2</v>
      </c>
      <c r="I1082">
        <v>-0.30146344622158899</v>
      </c>
    </row>
    <row r="1083" spans="1:9" x14ac:dyDescent="0.25">
      <c r="A1083" s="1" t="s">
        <v>1095</v>
      </c>
      <c r="B1083" t="str">
        <f>HYPERLINK("https://www.suredividend.com/sure-analysis-research-database/","EnPro Industries Inc")</f>
        <v>EnPro Industries Inc</v>
      </c>
      <c r="C1083">
        <v>-2.39368265197E-2</v>
      </c>
      <c r="D1083">
        <v>-0.13102446254749101</v>
      </c>
      <c r="E1083">
        <v>0.228363117636524</v>
      </c>
      <c r="F1083">
        <v>9.9997218951915004E-2</v>
      </c>
      <c r="G1083">
        <v>-8.5417810319479998E-3</v>
      </c>
      <c r="H1083">
        <v>0.314410664161761</v>
      </c>
      <c r="I1083">
        <v>0.76833684536813707</v>
      </c>
    </row>
    <row r="1084" spans="1:9" x14ac:dyDescent="0.25">
      <c r="A1084" s="1" t="s">
        <v>1096</v>
      </c>
      <c r="B1084" t="str">
        <f>HYPERLINK("https://www.suredividend.com/sure-analysis-research-database/","Newpark Resources, Inc.")</f>
        <v>Newpark Resources, Inc.</v>
      </c>
      <c r="C1084">
        <v>8.6232980332829001E-2</v>
      </c>
      <c r="D1084">
        <v>0.36501901140684401</v>
      </c>
      <c r="E1084">
        <v>0.85529715762273806</v>
      </c>
      <c r="F1084">
        <v>0.73012048192771006</v>
      </c>
      <c r="G1084">
        <v>0.94054054054054004</v>
      </c>
      <c r="H1084">
        <v>1.111764705882353</v>
      </c>
      <c r="I1084">
        <v>-0.12758201701093499</v>
      </c>
    </row>
    <row r="1085" spans="1:9" x14ac:dyDescent="0.25">
      <c r="A1085" s="1" t="s">
        <v>1097</v>
      </c>
      <c r="B1085" t="str">
        <f>HYPERLINK("https://www.suredividend.com/sure-analysis-research-database/","National Research Corp")</f>
        <v>National Research Corp</v>
      </c>
      <c r="C1085">
        <v>-9.7487001733102013E-2</v>
      </c>
      <c r="D1085">
        <v>2.4649636724071999E-2</v>
      </c>
      <c r="E1085">
        <v>7.1965252475349004E-2</v>
      </c>
      <c r="F1085">
        <v>0.18319667591601099</v>
      </c>
      <c r="G1085">
        <v>0.18544570880604599</v>
      </c>
      <c r="H1085">
        <v>-6.3916988356259002E-2</v>
      </c>
      <c r="I1085">
        <v>0.238447154930749</v>
      </c>
    </row>
    <row r="1086" spans="1:9" x14ac:dyDescent="0.25">
      <c r="A1086" s="1" t="s">
        <v>1098</v>
      </c>
      <c r="B1086" t="str">
        <f>HYPERLINK("https://www.suredividend.com/sure-analysis-research-database/","Nerdwallet Inc")</f>
        <v>Nerdwallet Inc</v>
      </c>
      <c r="C1086">
        <v>0.39416058394160502</v>
      </c>
      <c r="D1086">
        <v>0.16581892166836201</v>
      </c>
      <c r="E1086">
        <v>0.26490066225165498</v>
      </c>
      <c r="F1086">
        <v>0.19375000000000001</v>
      </c>
      <c r="G1086">
        <v>-0.136397889977392</v>
      </c>
      <c r="H1086">
        <v>-0.59505300353356805</v>
      </c>
      <c r="I1086">
        <v>-0.59505300353356805</v>
      </c>
    </row>
    <row r="1087" spans="1:9" x14ac:dyDescent="0.25">
      <c r="A1087" s="1" t="s">
        <v>1099</v>
      </c>
      <c r="B1087" t="str">
        <f>HYPERLINK("https://www.suredividend.com/sure-analysis-research-database/","Nerdy Inc")</f>
        <v>Nerdy Inc</v>
      </c>
      <c r="C1087">
        <v>-0.14168937329700201</v>
      </c>
      <c r="D1087">
        <v>-0.40227703984819702</v>
      </c>
      <c r="E1087">
        <v>8.2474226804123002E-2</v>
      </c>
      <c r="F1087">
        <v>0.39999999999999902</v>
      </c>
      <c r="G1087">
        <v>0.38157894736842102</v>
      </c>
      <c r="H1087">
        <v>-0.60625000000000007</v>
      </c>
      <c r="I1087">
        <v>-0.67525773195876204</v>
      </c>
    </row>
    <row r="1088" spans="1:9" x14ac:dyDescent="0.25">
      <c r="A1088" s="1" t="s">
        <v>1100</v>
      </c>
      <c r="B1088" t="str">
        <f>HYPERLINK("https://www.suredividend.com/sure-analysis-research-database/","NexPoint Real Estate Finance Inc")</f>
        <v>NexPoint Real Estate Finance Inc</v>
      </c>
      <c r="C1088">
        <v>6.6577896138481002E-2</v>
      </c>
      <c r="D1088">
        <v>-5.8455679240182003E-2</v>
      </c>
      <c r="E1088">
        <v>0.22474255177633501</v>
      </c>
      <c r="F1088">
        <v>8.3867824957375006E-2</v>
      </c>
      <c r="G1088">
        <v>-1.1721159777914001E-2</v>
      </c>
      <c r="H1088">
        <v>-4.7986926162531002E-2</v>
      </c>
      <c r="I1088">
        <v>0.226552331368195</v>
      </c>
    </row>
    <row r="1089" spans="1:9" x14ac:dyDescent="0.25">
      <c r="A1089" s="1" t="s">
        <v>1101</v>
      </c>
      <c r="B1089" t="str">
        <f>HYPERLINK("https://www.suredividend.com/sure-analysis-research-database/","Energy Vault Holdings Inc")</f>
        <v>Energy Vault Holdings Inc</v>
      </c>
      <c r="C1089">
        <v>0</v>
      </c>
      <c r="D1089">
        <v>-0.26213592233009703</v>
      </c>
      <c r="E1089">
        <v>0.34911242603550202</v>
      </c>
      <c r="F1089">
        <v>-0.269230769230769</v>
      </c>
      <c r="G1089">
        <v>-0.26213592233009703</v>
      </c>
      <c r="H1089">
        <v>-0.75718849840255609</v>
      </c>
      <c r="I1089">
        <v>-0.75718849840255609</v>
      </c>
    </row>
    <row r="1090" spans="1:9" x14ac:dyDescent="0.25">
      <c r="A1090" s="1" t="s">
        <v>1102</v>
      </c>
      <c r="B1090" t="str">
        <f>HYPERLINK("https://www.suredividend.com/sure-analysis-research-database/","Nurix Therapeutics Inc")</f>
        <v>Nurix Therapeutics Inc</v>
      </c>
      <c r="C1090">
        <v>-2.269288956127E-2</v>
      </c>
      <c r="D1090">
        <v>-0.32917964693665602</v>
      </c>
      <c r="E1090">
        <v>-0.31567796610169402</v>
      </c>
      <c r="F1090">
        <v>-0.41165755919854202</v>
      </c>
      <c r="G1090">
        <v>-0.50154320987654299</v>
      </c>
      <c r="H1090">
        <v>-0.81</v>
      </c>
      <c r="I1090">
        <v>-0.66017885323513903</v>
      </c>
    </row>
    <row r="1091" spans="1:9" x14ac:dyDescent="0.25">
      <c r="A1091" s="1" t="s">
        <v>1103</v>
      </c>
      <c r="B1091" t="str">
        <f>HYPERLINK("https://www.suredividend.com/sure-analysis-research-database/","Insight Enterprises Inc.")</f>
        <v>Insight Enterprises Inc.</v>
      </c>
      <c r="C1091">
        <v>3.0766010883213998E-2</v>
      </c>
      <c r="D1091">
        <v>3.6551143538654997E-2</v>
      </c>
      <c r="E1091">
        <v>0.18932624969813999</v>
      </c>
      <c r="F1091">
        <v>0.47352149197167598</v>
      </c>
      <c r="G1091">
        <v>0.56863785964539704</v>
      </c>
      <c r="H1091">
        <v>0.45466180958944502</v>
      </c>
      <c r="I1091">
        <v>1.8440808469682379</v>
      </c>
    </row>
    <row r="1092" spans="1:9" x14ac:dyDescent="0.25">
      <c r="A1092" s="1" t="s">
        <v>1104</v>
      </c>
      <c r="B1092" t="str">
        <f>HYPERLINK("https://www.suredividend.com/sure-analysis-NSP/","Insperity Inc")</f>
        <v>Insperity Inc</v>
      </c>
      <c r="C1092">
        <v>0.110826852230863</v>
      </c>
      <c r="D1092">
        <v>0.159579752487674</v>
      </c>
      <c r="E1092">
        <v>-6.5886216249707003E-2</v>
      </c>
      <c r="F1092">
        <v>-3.0285813318182E-2</v>
      </c>
      <c r="G1092">
        <v>-2.3098258946008001E-2</v>
      </c>
      <c r="H1092">
        <v>-6.0182110819723002E-2</v>
      </c>
      <c r="I1092">
        <v>8.1973847231871011E-2</v>
      </c>
    </row>
    <row r="1093" spans="1:9" x14ac:dyDescent="0.25">
      <c r="A1093" s="1" t="s">
        <v>1105</v>
      </c>
      <c r="B1093" t="str">
        <f>HYPERLINK("https://www.suredividend.com/sure-analysis-research-database/","NAPCO Security Technologies Inc")</f>
        <v>NAPCO Security Technologies Inc</v>
      </c>
      <c r="C1093">
        <v>-0.165037760995113</v>
      </c>
      <c r="D1093">
        <v>-0.46682968619685999</v>
      </c>
      <c r="E1093">
        <v>-0.29083232400982501</v>
      </c>
      <c r="F1093">
        <v>-0.30915466554925702</v>
      </c>
      <c r="G1093">
        <v>-0.23108707391709801</v>
      </c>
      <c r="H1093">
        <v>-0.18029212042444201</v>
      </c>
      <c r="I1093">
        <v>1.521160578948074</v>
      </c>
    </row>
    <row r="1094" spans="1:9" x14ac:dyDescent="0.25">
      <c r="A1094" s="1" t="s">
        <v>1106</v>
      </c>
      <c r="B1094" t="str">
        <f>HYPERLINK("https://www.suredividend.com/sure-analysis-research-database/","Nanostring Technologies Inc")</f>
        <v>Nanostring Technologies Inc</v>
      </c>
      <c r="C1094">
        <v>0.19850187265917599</v>
      </c>
      <c r="D1094">
        <v>-0.58656330749354002</v>
      </c>
      <c r="E1094">
        <v>-0.82721382289416812</v>
      </c>
      <c r="F1094">
        <v>-0.79924717691342506</v>
      </c>
      <c r="G1094">
        <v>-0.83367983367983312</v>
      </c>
      <c r="H1094">
        <v>-0.96784565916398713</v>
      </c>
      <c r="I1094">
        <v>-0.89528795811518302</v>
      </c>
    </row>
    <row r="1095" spans="1:9" x14ac:dyDescent="0.25">
      <c r="A1095" s="1" t="s">
        <v>1107</v>
      </c>
      <c r="B1095" t="str">
        <f>HYPERLINK("https://www.suredividend.com/sure-analysis-research-database/","Bank of N T Butterfield &amp; Son Ltd.")</f>
        <v>Bank of N T Butterfield &amp; Son Ltd.</v>
      </c>
      <c r="C1095">
        <v>3.9163498098859002E-2</v>
      </c>
      <c r="D1095">
        <v>-0.10358761750447699</v>
      </c>
      <c r="E1095">
        <v>0.222348447577218</v>
      </c>
      <c r="F1095">
        <v>-4.0008430222347013E-2</v>
      </c>
      <c r="G1095">
        <v>-6.7754116310721008E-2</v>
      </c>
      <c r="H1095">
        <v>-0.19343652702563099</v>
      </c>
      <c r="I1095">
        <v>-0.13218810529323899</v>
      </c>
    </row>
    <row r="1096" spans="1:9" x14ac:dyDescent="0.25">
      <c r="A1096" s="1" t="s">
        <v>1108</v>
      </c>
      <c r="B1096" t="str">
        <f>HYPERLINK("https://www.suredividend.com/sure-analysis-research-database/","Netscout Systems Inc")</f>
        <v>Netscout Systems Inc</v>
      </c>
      <c r="C1096">
        <v>-0.169348659003831</v>
      </c>
      <c r="D1096">
        <v>-0.22543765630582299</v>
      </c>
      <c r="E1096">
        <v>-0.23147819922013399</v>
      </c>
      <c r="F1096">
        <v>-0.33312826822516101</v>
      </c>
      <c r="G1096">
        <v>-0.37879656160458403</v>
      </c>
      <c r="H1096">
        <v>-0.34541062801932298</v>
      </c>
      <c r="I1096">
        <v>-0.25215591583304497</v>
      </c>
    </row>
    <row r="1097" spans="1:9" x14ac:dyDescent="0.25">
      <c r="A1097" s="1" t="s">
        <v>1109</v>
      </c>
      <c r="B1097" t="str">
        <f>HYPERLINK("https://www.suredividend.com/sure-analysis-research-database/","Netgear Inc")</f>
        <v>Netgear Inc</v>
      </c>
      <c r="C1097">
        <v>9.3617021276595005E-2</v>
      </c>
      <c r="D1097">
        <v>-8.7357954545454003E-2</v>
      </c>
      <c r="E1097">
        <v>-6.5454545454545002E-2</v>
      </c>
      <c r="F1097">
        <v>-0.29044726670347798</v>
      </c>
      <c r="G1097">
        <v>-0.32863113897596602</v>
      </c>
      <c r="H1097">
        <v>-0.56455438834293403</v>
      </c>
      <c r="I1097">
        <v>-0.637321200763177</v>
      </c>
    </row>
    <row r="1098" spans="1:9" x14ac:dyDescent="0.25">
      <c r="A1098" s="1" t="s">
        <v>1110</v>
      </c>
      <c r="B1098" t="str">
        <f>HYPERLINK("https://www.suredividend.com/sure-analysis-research-database/","Intellia Therapeutics Inc")</f>
        <v>Intellia Therapeutics Inc</v>
      </c>
      <c r="C1098">
        <v>-6.2197650310980004E-3</v>
      </c>
      <c r="D1098">
        <v>-0.27392072708911802</v>
      </c>
      <c r="E1098">
        <v>-0.34112256586483303</v>
      </c>
      <c r="F1098">
        <v>-0.175695041559186</v>
      </c>
      <c r="G1098">
        <v>-0.43541421279937098</v>
      </c>
      <c r="H1098">
        <v>-0.78527698969687909</v>
      </c>
      <c r="I1098">
        <v>0.51368421052631608</v>
      </c>
    </row>
    <row r="1099" spans="1:9" x14ac:dyDescent="0.25">
      <c r="A1099" s="1" t="s">
        <v>1111</v>
      </c>
      <c r="B1099" t="str">
        <f>HYPERLINK("https://www.suredividend.com/sure-analysis-NTST/","Netstreit Corp")</f>
        <v>Netstreit Corp</v>
      </c>
      <c r="C1099">
        <v>3.2407407407407003E-2</v>
      </c>
      <c r="D1099">
        <v>-8.7795984198592011E-2</v>
      </c>
      <c r="E1099">
        <v>-0.101153356711407</v>
      </c>
      <c r="F1099">
        <v>-0.118796007767691</v>
      </c>
      <c r="G1099">
        <v>-0.13283558873852799</v>
      </c>
      <c r="H1099">
        <v>-0.293137410283696</v>
      </c>
      <c r="I1099">
        <v>-2.230758905457E-3</v>
      </c>
    </row>
    <row r="1100" spans="1:9" x14ac:dyDescent="0.25">
      <c r="A1100" s="1" t="s">
        <v>1112</v>
      </c>
      <c r="B1100" t="str">
        <f>HYPERLINK("https://www.suredividend.com/sure-analysis-NUS/","Nu Skin Enterprises, Inc.")</f>
        <v>Nu Skin Enterprises, Inc.</v>
      </c>
      <c r="C1100">
        <v>-0.117704757233938</v>
      </c>
      <c r="D1100">
        <v>-0.30288610577221098</v>
      </c>
      <c r="E1100">
        <v>-0.51824586867044908</v>
      </c>
      <c r="F1100">
        <v>-0.55702966103781604</v>
      </c>
      <c r="G1100">
        <v>-0.44772751692274598</v>
      </c>
      <c r="H1100">
        <v>-0.54266510069502705</v>
      </c>
      <c r="I1100">
        <v>-0.698764415018578</v>
      </c>
    </row>
    <row r="1101" spans="1:9" x14ac:dyDescent="0.25">
      <c r="A1101" s="1" t="s">
        <v>1113</v>
      </c>
      <c r="B1101" t="str">
        <f>HYPERLINK("https://www.suredividend.com/sure-analysis-research-database/","Nutex Health Inc")</f>
        <v>Nutex Health Inc</v>
      </c>
      <c r="C1101">
        <v>0.31641025641025611</v>
      </c>
      <c r="D1101">
        <v>-0.32465140752433502</v>
      </c>
      <c r="E1101">
        <v>-0.47213654122969312</v>
      </c>
      <c r="F1101">
        <v>-0.86489473684210505</v>
      </c>
      <c r="G1101">
        <v>-0.67461021675751009</v>
      </c>
      <c r="H1101">
        <v>-0.99358249999999992</v>
      </c>
      <c r="I1101">
        <v>-0.99358249999999992</v>
      </c>
    </row>
    <row r="1102" spans="1:9" x14ac:dyDescent="0.25">
      <c r="A1102" s="1" t="s">
        <v>1114</v>
      </c>
      <c r="B1102" t="str">
        <f>HYPERLINK("https://www.suredividend.com/sure-analysis-research-database/","Nuvasive Inc")</f>
        <v>Nuvasive Inc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 s="1" t="s">
        <v>1115</v>
      </c>
      <c r="B1103" t="str">
        <f>HYPERLINK("https://www.suredividend.com/sure-analysis-research-database/","Nuvation Bio Inc")</f>
        <v>Nuvation Bio Inc</v>
      </c>
      <c r="C1103">
        <v>8.8709677419354011E-2</v>
      </c>
      <c r="D1103">
        <v>-0.26630434782608597</v>
      </c>
      <c r="E1103">
        <v>-0.16666666666666599</v>
      </c>
      <c r="F1103">
        <v>-0.296874999999999</v>
      </c>
      <c r="G1103">
        <v>-0.35406698564593297</v>
      </c>
      <c r="H1103">
        <v>-0.85789473684210504</v>
      </c>
      <c r="I1103">
        <v>-0.86082474226804107</v>
      </c>
    </row>
    <row r="1104" spans="1:9" x14ac:dyDescent="0.25">
      <c r="A1104" s="1" t="s">
        <v>1116</v>
      </c>
      <c r="B1104" t="str">
        <f>HYPERLINK("https://www.suredividend.com/sure-analysis-research-database/","Nuvalent Inc")</f>
        <v>Nuvalent Inc</v>
      </c>
      <c r="C1104">
        <v>-2.0170405146929998E-2</v>
      </c>
      <c r="D1104">
        <v>0.243654822335025</v>
      </c>
      <c r="E1104">
        <v>0.45607235142118802</v>
      </c>
      <c r="F1104">
        <v>0.89220953660174607</v>
      </c>
      <c r="G1104">
        <v>0.83192457737321202</v>
      </c>
      <c r="H1104">
        <v>0.90693739424703812</v>
      </c>
      <c r="I1104">
        <v>2.0053333333333332</v>
      </c>
    </row>
    <row r="1105" spans="1:9" x14ac:dyDescent="0.25">
      <c r="A1105" s="1" t="s">
        <v>1117</v>
      </c>
      <c r="B1105" t="str">
        <f>HYPERLINK("https://www.suredividend.com/sure-analysis-research-database/","NV5 Global Inc")</f>
        <v>NV5 Global Inc</v>
      </c>
      <c r="C1105">
        <v>-7.3975832596522004E-2</v>
      </c>
      <c r="D1105">
        <v>-0.134911894273127</v>
      </c>
      <c r="E1105">
        <v>5.2255518822650008E-3</v>
      </c>
      <c r="F1105">
        <v>-0.28763603385731501</v>
      </c>
      <c r="G1105">
        <v>-0.32497851618447399</v>
      </c>
      <c r="H1105">
        <v>-0.13980653403905799</v>
      </c>
      <c r="I1105">
        <v>0.12832176203016499</v>
      </c>
    </row>
    <row r="1106" spans="1:9" x14ac:dyDescent="0.25">
      <c r="A1106" s="1" t="s">
        <v>1118</v>
      </c>
      <c r="B1106" t="str">
        <f>HYPERLINK("https://www.suredividend.com/sure-analysis-research-database/","Nevro Corp")</f>
        <v>Nevro Corp</v>
      </c>
      <c r="C1106">
        <v>-0.110680686220254</v>
      </c>
      <c r="D1106">
        <v>-0.218004866180048</v>
      </c>
      <c r="E1106">
        <v>-0.41264619883040898</v>
      </c>
      <c r="F1106">
        <v>-0.59419191919191905</v>
      </c>
      <c r="G1106">
        <v>-0.60564417177914109</v>
      </c>
      <c r="H1106">
        <v>-0.8535629670129391</v>
      </c>
      <c r="I1106">
        <v>-0.66303208219752507</v>
      </c>
    </row>
    <row r="1107" spans="1:9" x14ac:dyDescent="0.25">
      <c r="A1107" s="1" t="s">
        <v>1119</v>
      </c>
      <c r="B1107" t="str">
        <f>HYPERLINK("https://www.suredividend.com/sure-analysis-research-database/","Invitae Corp")</f>
        <v>Invitae Corp</v>
      </c>
      <c r="C1107">
        <v>-1.4283496351498001E-2</v>
      </c>
      <c r="D1107">
        <v>-0.48382113821138212</v>
      </c>
      <c r="E1107">
        <v>-0.56513698630136899</v>
      </c>
      <c r="F1107">
        <v>-0.6586559139784941</v>
      </c>
      <c r="G1107">
        <v>-0.74191056910569109</v>
      </c>
      <c r="H1107">
        <v>-0.97611361926260309</v>
      </c>
      <c r="I1107">
        <v>-0.95645404663923106</v>
      </c>
    </row>
    <row r="1108" spans="1:9" x14ac:dyDescent="0.25">
      <c r="A1108" s="1" t="s">
        <v>1120</v>
      </c>
      <c r="B1108" t="str">
        <f>HYPERLINK("https://www.suredividend.com/sure-analysis-NWBI/","Northwest Bancshares Inc")</f>
        <v>Northwest Bancshares Inc</v>
      </c>
      <c r="C1108">
        <v>0.113221270405689</v>
      </c>
      <c r="D1108">
        <v>-4.6993098915543013E-2</v>
      </c>
      <c r="E1108">
        <v>0.14511352418558701</v>
      </c>
      <c r="F1108">
        <v>-0.108342098875313</v>
      </c>
      <c r="G1108">
        <v>-0.16786226685796199</v>
      </c>
      <c r="H1108">
        <v>-4.9155715851143013E-2</v>
      </c>
      <c r="I1108">
        <v>-5.8867737610275007E-2</v>
      </c>
    </row>
    <row r="1109" spans="1:9" x14ac:dyDescent="0.25">
      <c r="A1109" s="1" t="s">
        <v>1121</v>
      </c>
      <c r="B1109" t="str">
        <f>HYPERLINK("https://www.suredividend.com/sure-analysis-NWE/","NorthWestern Energy Group Inc")</f>
        <v>NorthWestern Energy Group Inc</v>
      </c>
      <c r="C1109">
        <v>8.1024786502811003E-2</v>
      </c>
      <c r="D1109">
        <v>0.10779082177161101</v>
      </c>
      <c r="E1109">
        <v>0.10779082177161101</v>
      </c>
      <c r="F1109">
        <v>0.10779082177161101</v>
      </c>
      <c r="G1109">
        <v>0.10779082177161101</v>
      </c>
      <c r="H1109">
        <v>0.10779082177161101</v>
      </c>
      <c r="I1109">
        <v>0.10779082177161101</v>
      </c>
    </row>
    <row r="1110" spans="1:9" x14ac:dyDescent="0.25">
      <c r="A1110" s="1" t="s">
        <v>1122</v>
      </c>
      <c r="B1110" t="str">
        <f>HYPERLINK("https://www.suredividend.com/sure-analysis-research-database/","National Western Life Group Inc")</f>
        <v>National Western Life Group Inc</v>
      </c>
      <c r="C1110">
        <v>0.12564960784655199</v>
      </c>
      <c r="D1110">
        <v>0.104929746981945</v>
      </c>
      <c r="E1110">
        <v>0.87556859177463309</v>
      </c>
      <c r="F1110">
        <v>0.70469834537694609</v>
      </c>
      <c r="G1110">
        <v>1.368806830563204</v>
      </c>
      <c r="H1110">
        <v>1.213420370779148</v>
      </c>
      <c r="I1110">
        <v>0.77590611868904502</v>
      </c>
    </row>
    <row r="1111" spans="1:9" x14ac:dyDescent="0.25">
      <c r="A1111" s="1" t="s">
        <v>1123</v>
      </c>
      <c r="B1111" t="str">
        <f>HYPERLINK("https://www.suredividend.com/sure-analysis-NWN/","Northwest Natural Holding Co")</f>
        <v>Northwest Natural Holding Co</v>
      </c>
      <c r="C1111">
        <v>5.3781989810405002E-2</v>
      </c>
      <c r="D1111">
        <v>-3.5458071602649001E-2</v>
      </c>
      <c r="E1111">
        <v>-0.16589808012382101</v>
      </c>
      <c r="F1111">
        <v>-0.13569994243858199</v>
      </c>
      <c r="G1111">
        <v>-0.118095408895265</v>
      </c>
      <c r="H1111">
        <v>-7.3620556487010005E-2</v>
      </c>
      <c r="I1111">
        <v>-0.27120345909735899</v>
      </c>
    </row>
    <row r="1112" spans="1:9" x14ac:dyDescent="0.25">
      <c r="A1112" s="1" t="s">
        <v>1124</v>
      </c>
      <c r="B1112" t="str">
        <f>HYPERLINK("https://www.suredividend.com/sure-analysis-research-database/","Northwest Pipe Co.")</f>
        <v>Northwest Pipe Co.</v>
      </c>
      <c r="C1112">
        <v>-3.6209813874787999E-2</v>
      </c>
      <c r="D1112">
        <v>-0.11304889442541199</v>
      </c>
      <c r="E1112">
        <v>5.8736059479554008E-2</v>
      </c>
      <c r="F1112">
        <v>-0.15489614243323399</v>
      </c>
      <c r="G1112">
        <v>-0.17592592592592499</v>
      </c>
      <c r="H1112">
        <v>0.15490673154906701</v>
      </c>
      <c r="I1112">
        <v>0.50131787032156006</v>
      </c>
    </row>
    <row r="1113" spans="1:9" x14ac:dyDescent="0.25">
      <c r="A1113" s="1" t="s">
        <v>1125</v>
      </c>
      <c r="B1113" t="str">
        <f>HYPERLINK("https://www.suredividend.com/sure-analysis-research-database/","Quanex Building Products Corp")</f>
        <v>Quanex Building Products Corp</v>
      </c>
      <c r="C1113">
        <v>4.4862518089725002E-2</v>
      </c>
      <c r="D1113">
        <v>3.8486571232339013E-2</v>
      </c>
      <c r="E1113">
        <v>0.53057709328146607</v>
      </c>
      <c r="F1113">
        <v>0.231724585017998</v>
      </c>
      <c r="G1113">
        <v>0.33082038072153602</v>
      </c>
      <c r="H1113">
        <v>0.36391757932965901</v>
      </c>
      <c r="I1113">
        <v>1.036183143675</v>
      </c>
    </row>
    <row r="1114" spans="1:9" x14ac:dyDescent="0.25">
      <c r="A1114" s="1" t="s">
        <v>1126</v>
      </c>
      <c r="B1114" t="str">
        <f>HYPERLINK("https://www.suredividend.com/sure-analysis-research-database/","NextGen Healthcare Inc")</f>
        <v>NextGen Healthcare Inc</v>
      </c>
      <c r="C1114">
        <v>6.7311737484220006E-3</v>
      </c>
      <c r="D1114">
        <v>0.43810096153846101</v>
      </c>
      <c r="E1114">
        <v>0.43983152827918098</v>
      </c>
      <c r="F1114">
        <v>0.274227902023429</v>
      </c>
      <c r="G1114">
        <v>0.209196563921172</v>
      </c>
      <c r="H1114">
        <v>0.44767090139140903</v>
      </c>
      <c r="I1114">
        <v>0.58581842279655305</v>
      </c>
    </row>
    <row r="1115" spans="1:9" x14ac:dyDescent="0.25">
      <c r="A1115" s="1" t="s">
        <v>1127</v>
      </c>
      <c r="B1115" t="str">
        <f>HYPERLINK("https://www.suredividend.com/sure-analysis-NXRT/","NexPoint Residential Trust Inc")</f>
        <v>NexPoint Residential Trust Inc</v>
      </c>
      <c r="C1115">
        <v>-2.5300032435938001E-2</v>
      </c>
      <c r="D1115">
        <v>-0.22899492239917199</v>
      </c>
      <c r="E1115">
        <v>-0.26315712040331402</v>
      </c>
      <c r="F1115">
        <v>-0.28776785735447802</v>
      </c>
      <c r="G1115">
        <v>-0.30155749192897902</v>
      </c>
      <c r="H1115">
        <v>-0.55097783728213801</v>
      </c>
      <c r="I1115">
        <v>4.6170771276780001E-2</v>
      </c>
    </row>
    <row r="1116" spans="1:9" x14ac:dyDescent="0.25">
      <c r="A1116" s="1" t="s">
        <v>1128</v>
      </c>
      <c r="B1116" t="str">
        <f>HYPERLINK("https://www.suredividend.com/sure-analysis-research-database/","Nextracker Inc")</f>
        <v>Nextracker Inc</v>
      </c>
      <c r="C1116">
        <v>4.2612839921502013E-2</v>
      </c>
      <c r="D1116">
        <v>-9.0264187866927012E-2</v>
      </c>
      <c r="E1116">
        <v>0.237603993344425</v>
      </c>
      <c r="F1116">
        <v>0.22094550229809501</v>
      </c>
      <c r="G1116">
        <v>0.22094550229809501</v>
      </c>
      <c r="H1116">
        <v>0.22094550229809501</v>
      </c>
      <c r="I1116">
        <v>0.22094550229809501</v>
      </c>
    </row>
    <row r="1117" spans="1:9" x14ac:dyDescent="0.25">
      <c r="A1117" s="1" t="s">
        <v>1129</v>
      </c>
      <c r="B1117" t="str">
        <f>HYPERLINK("https://www.suredividend.com/sure-analysis-NYMT/","New York Mortgage Trust Inc")</f>
        <v>New York Mortgage Trust Inc</v>
      </c>
      <c r="C1117">
        <v>-1.7199017199017001E-2</v>
      </c>
      <c r="D1117">
        <v>-9.9413493037340012E-2</v>
      </c>
      <c r="E1117">
        <v>-8.0671110089634013E-2</v>
      </c>
      <c r="F1117">
        <v>-0.106833837600062</v>
      </c>
      <c r="G1117">
        <v>-0.105455602643378</v>
      </c>
      <c r="H1117">
        <v>-0.37029690500928802</v>
      </c>
      <c r="I1117">
        <v>-0.41859197511573598</v>
      </c>
    </row>
    <row r="1118" spans="1:9" x14ac:dyDescent="0.25">
      <c r="A1118" s="1" t="s">
        <v>1130</v>
      </c>
      <c r="B1118" t="str">
        <f>HYPERLINK("https://www.suredividend.com/sure-analysis-research-database/","OmniAb Inc")</f>
        <v>OmniAb Inc</v>
      </c>
      <c r="C1118">
        <v>-8.3820662768031004E-2</v>
      </c>
      <c r="D1118">
        <v>-0.13123844731977799</v>
      </c>
      <c r="E1118">
        <v>0.36627906976744101</v>
      </c>
      <c r="F1118">
        <v>0.30555555555555503</v>
      </c>
      <c r="G1118">
        <v>1.175925925925926</v>
      </c>
      <c r="H1118">
        <v>0.95020746887966812</v>
      </c>
      <c r="I1118">
        <v>0.95020746887966812</v>
      </c>
    </row>
    <row r="1119" spans="1:9" x14ac:dyDescent="0.25">
      <c r="A1119" s="1" t="s">
        <v>1131</v>
      </c>
      <c r="B1119" t="str">
        <f>HYPERLINK("https://www.suredividend.com/sure-analysis-research-database/","Outbrain Inc")</f>
        <v>Outbrain Inc</v>
      </c>
      <c r="C1119">
        <v>-0.1701244813278</v>
      </c>
      <c r="D1119">
        <v>-0.25093632958801398</v>
      </c>
      <c r="E1119">
        <v>9.5890410958904007E-2</v>
      </c>
      <c r="F1119">
        <v>0.10497237569060699</v>
      </c>
      <c r="G1119">
        <v>6.3829787234042007E-2</v>
      </c>
      <c r="H1119">
        <v>-0.75918121613485801</v>
      </c>
      <c r="I1119">
        <v>-0.8</v>
      </c>
    </row>
    <row r="1120" spans="1:9" x14ac:dyDescent="0.25">
      <c r="A1120" s="1" t="s">
        <v>1132</v>
      </c>
      <c r="B1120" t="str">
        <f>HYPERLINK("https://www.suredividend.com/sure-analysis-research-database/","Origin Bancorp Inc")</f>
        <v>Origin Bancorp Inc</v>
      </c>
      <c r="C1120">
        <v>0.14542887398517401</v>
      </c>
      <c r="D1120">
        <v>-4.8210211241680014E-3</v>
      </c>
      <c r="E1120">
        <v>0.23107389857772001</v>
      </c>
      <c r="F1120">
        <v>-0.107331981723</v>
      </c>
      <c r="G1120">
        <v>-0.20237738242133099</v>
      </c>
      <c r="H1120">
        <v>-0.27175532774376499</v>
      </c>
      <c r="I1120">
        <v>-7.4984678097518007E-2</v>
      </c>
    </row>
    <row r="1121" spans="1:9" x14ac:dyDescent="0.25">
      <c r="A1121" s="1" t="s">
        <v>1133</v>
      </c>
      <c r="B1121" t="str">
        <f>HYPERLINK("https://www.suredividend.com/sure-analysis-research-database/","OceanFirst Financial Corp.")</f>
        <v>OceanFirst Financial Corp.</v>
      </c>
      <c r="C1121">
        <v>3.8991618899051013E-2</v>
      </c>
      <c r="D1121">
        <v>-0.214158504007123</v>
      </c>
      <c r="E1121">
        <v>0.120714971704328</v>
      </c>
      <c r="F1121">
        <v>-0.28430955132493901</v>
      </c>
      <c r="G1121">
        <v>-0.33818911292968501</v>
      </c>
      <c r="H1121">
        <v>-0.27340465494439897</v>
      </c>
      <c r="I1121">
        <v>-0.317455637033349</v>
      </c>
    </row>
    <row r="1122" spans="1:9" x14ac:dyDescent="0.25">
      <c r="A1122" s="1" t="s">
        <v>1134</v>
      </c>
      <c r="B1122" t="str">
        <f>HYPERLINK("https://www.suredividend.com/sure-analysis-research-database/","Ocugen Inc")</f>
        <v>Ocugen Inc</v>
      </c>
      <c r="C1122">
        <v>-4.9382716049382012E-2</v>
      </c>
      <c r="D1122">
        <v>-0.306556195965417</v>
      </c>
      <c r="E1122">
        <v>-0.44604316546762501</v>
      </c>
      <c r="F1122">
        <v>-0.70384615384615301</v>
      </c>
      <c r="G1122">
        <v>-0.75937499999999991</v>
      </c>
      <c r="H1122">
        <v>-0.96172962226640113</v>
      </c>
      <c r="I1122">
        <v>-0.30190389845874799</v>
      </c>
    </row>
    <row r="1123" spans="1:9" x14ac:dyDescent="0.25">
      <c r="A1123" s="1" t="s">
        <v>1135</v>
      </c>
      <c r="B1123" t="str">
        <f>HYPERLINK("https://www.suredividend.com/sure-analysis-research-database/","Eightco Holdings Inc")</f>
        <v>Eightco Holdings Inc</v>
      </c>
      <c r="C1123">
        <v>3.6848294786358003E-2</v>
      </c>
      <c r="D1123">
        <v>-0.60814814814814799</v>
      </c>
      <c r="E1123">
        <v>-0.75954545454545408</v>
      </c>
      <c r="F1123">
        <v>1.759520083463745</v>
      </c>
      <c r="G1123">
        <v>0.151000870322019</v>
      </c>
      <c r="H1123">
        <v>-0.73940886699507302</v>
      </c>
      <c r="I1123">
        <v>-0.73940886699507302</v>
      </c>
    </row>
    <row r="1124" spans="1:9" x14ac:dyDescent="0.25">
      <c r="A1124" s="1" t="s">
        <v>1136</v>
      </c>
      <c r="B1124" t="str">
        <f>HYPERLINK("https://www.suredividend.com/sure-analysis-research-database/","Ocular Therapeutix Inc")</f>
        <v>Ocular Therapeutix Inc</v>
      </c>
      <c r="C1124">
        <v>0.18115942028985499</v>
      </c>
      <c r="D1124">
        <v>-0.27716186252771602</v>
      </c>
      <c r="E1124">
        <v>-0.46469622331691202</v>
      </c>
      <c r="F1124">
        <v>0.16014234875444799</v>
      </c>
      <c r="G1124">
        <v>-6.8571428571428006E-2</v>
      </c>
      <c r="H1124">
        <v>-0.53428571428571403</v>
      </c>
      <c r="I1124">
        <v>-0.37786259541984701</v>
      </c>
    </row>
    <row r="1125" spans="1:9" x14ac:dyDescent="0.25">
      <c r="A1125" s="1" t="s">
        <v>1137</v>
      </c>
      <c r="B1125" t="str">
        <f>HYPERLINK("https://www.suredividend.com/sure-analysis-research-database/","ODP Corporation (The)")</f>
        <v>ODP Corporation (The)</v>
      </c>
      <c r="C1125">
        <v>3.4372331340734003E-2</v>
      </c>
      <c r="D1125">
        <v>1.7002518891687E-2</v>
      </c>
      <c r="E1125">
        <v>0.16690751445086599</v>
      </c>
      <c r="F1125">
        <v>6.3899868247694003E-2</v>
      </c>
      <c r="G1125">
        <v>0.21733668341708501</v>
      </c>
      <c r="H1125">
        <v>0.106164383561643</v>
      </c>
      <c r="I1125">
        <v>0.93258104275611209</v>
      </c>
    </row>
    <row r="1126" spans="1:9" x14ac:dyDescent="0.25">
      <c r="A1126" s="1" t="s">
        <v>1138</v>
      </c>
      <c r="B1126" t="str">
        <f>HYPERLINK("https://www.suredividend.com/sure-analysis-research-database/","Orion S.A")</f>
        <v>Orion S.A</v>
      </c>
      <c r="C1126">
        <v>4.1055718475073E-2</v>
      </c>
      <c r="D1126">
        <v>1.9129003550205002E-2</v>
      </c>
      <c r="E1126">
        <v>-7.865197700522901E-2</v>
      </c>
      <c r="F1126">
        <v>0.19914202232768599</v>
      </c>
      <c r="G1126">
        <v>0.27957131357306703</v>
      </c>
      <c r="H1126">
        <v>7.4509408263128005E-2</v>
      </c>
      <c r="I1126">
        <v>-0.18062111227798799</v>
      </c>
    </row>
    <row r="1127" spans="1:9" x14ac:dyDescent="0.25">
      <c r="A1127" s="1" t="s">
        <v>1139</v>
      </c>
      <c r="B1127" t="str">
        <f>HYPERLINK("https://www.suredividend.com/sure-analysis-research-database/","OFG Bancorp")</f>
        <v>OFG Bancorp</v>
      </c>
      <c r="C1127">
        <v>7.1693032648939004E-2</v>
      </c>
      <c r="D1127">
        <v>-3.6363361227547013E-2</v>
      </c>
      <c r="E1127">
        <v>0.40674566356510999</v>
      </c>
      <c r="F1127">
        <v>0.18430792005921501</v>
      </c>
      <c r="G1127">
        <v>0.188756099655394</v>
      </c>
      <c r="H1127">
        <v>0.25368644451531802</v>
      </c>
      <c r="I1127">
        <v>1.038816922692724</v>
      </c>
    </row>
    <row r="1128" spans="1:9" x14ac:dyDescent="0.25">
      <c r="A1128" s="1" t="s">
        <v>1140</v>
      </c>
      <c r="B1128" t="str">
        <f>HYPERLINK("https://www.suredividend.com/sure-analysis-research-database/","Orthofix Medical Inc")</f>
        <v>Orthofix Medical Inc</v>
      </c>
      <c r="C1128">
        <v>-6.4724919093850008E-3</v>
      </c>
      <c r="D1128">
        <v>-0.33405639913232099</v>
      </c>
      <c r="E1128">
        <v>-0.32079646017699098</v>
      </c>
      <c r="F1128">
        <v>-0.40185094982951702</v>
      </c>
      <c r="G1128">
        <v>-0.18133333333333301</v>
      </c>
      <c r="H1128">
        <v>-0.66953713670613502</v>
      </c>
      <c r="I1128">
        <v>-0.80019524894240102</v>
      </c>
    </row>
    <row r="1129" spans="1:9" x14ac:dyDescent="0.25">
      <c r="A1129" s="1" t="s">
        <v>1141</v>
      </c>
      <c r="B1129" t="str">
        <f>HYPERLINK("https://www.suredividend.com/sure-analysis-research-database/","Omega Flex Inc")</f>
        <v>Omega Flex Inc</v>
      </c>
      <c r="C1129">
        <v>-6.495160468670301E-2</v>
      </c>
      <c r="D1129">
        <v>-0.14345046432404601</v>
      </c>
      <c r="E1129">
        <v>-0.32632683883778002</v>
      </c>
      <c r="F1129">
        <v>-0.19705067592322201</v>
      </c>
      <c r="G1129">
        <v>-0.16438091119128601</v>
      </c>
      <c r="H1129">
        <v>-0.47030512646807798</v>
      </c>
      <c r="I1129">
        <v>0.332251854029327</v>
      </c>
    </row>
    <row r="1130" spans="1:9" x14ac:dyDescent="0.25">
      <c r="A1130" s="1" t="s">
        <v>1142</v>
      </c>
      <c r="B1130" t="str">
        <f>HYPERLINK("https://www.suredividend.com/sure-analysis-OGS/","ONE Gas Inc")</f>
        <v>ONE Gas Inc</v>
      </c>
      <c r="C1130">
        <v>-6.7595923261390009E-2</v>
      </c>
      <c r="D1130">
        <v>-0.189823105083368</v>
      </c>
      <c r="E1130">
        <v>-0.20569154376229701</v>
      </c>
      <c r="F1130">
        <v>-0.15761793145845401</v>
      </c>
      <c r="G1130">
        <v>-0.20550083076950501</v>
      </c>
      <c r="H1130">
        <v>-4.2656493577442001E-2</v>
      </c>
      <c r="I1130">
        <v>-7.8586049487675003E-2</v>
      </c>
    </row>
    <row r="1131" spans="1:9" x14ac:dyDescent="0.25">
      <c r="A1131" s="1" t="s">
        <v>1143</v>
      </c>
      <c r="B1131" t="str">
        <f>HYPERLINK("https://www.suredividend.com/sure-analysis-research-database/","O-I Glass Inc")</f>
        <v>O-I Glass Inc</v>
      </c>
      <c r="C1131">
        <v>-8.1695331695331011E-2</v>
      </c>
      <c r="D1131">
        <v>-0.235685071574642</v>
      </c>
      <c r="E1131">
        <v>-0.29878048780487798</v>
      </c>
      <c r="F1131">
        <v>-9.7767048883524013E-2</v>
      </c>
      <c r="G1131">
        <v>-8.8414634146341001E-2</v>
      </c>
      <c r="H1131">
        <v>0.189339697692919</v>
      </c>
      <c r="I1131">
        <v>-0.13429188550648199</v>
      </c>
    </row>
    <row r="1132" spans="1:9" x14ac:dyDescent="0.25">
      <c r="A1132" s="1" t="s">
        <v>1144</v>
      </c>
      <c r="B1132" t="str">
        <f>HYPERLINK("https://www.suredividend.com/sure-analysis-research-database/","Oceaneering International, Inc.")</f>
        <v>Oceaneering International, Inc.</v>
      </c>
      <c r="C1132">
        <v>-4.1228439209087003E-2</v>
      </c>
      <c r="D1132">
        <v>6.3958916900093005E-2</v>
      </c>
      <c r="E1132">
        <v>0.37953995157384901</v>
      </c>
      <c r="F1132">
        <v>0.30303030303030298</v>
      </c>
      <c r="G1132">
        <v>0.66350364963503605</v>
      </c>
      <c r="H1132">
        <v>0.67450404114621609</v>
      </c>
      <c r="I1132">
        <v>0.20200421940928201</v>
      </c>
    </row>
    <row r="1133" spans="1:9" x14ac:dyDescent="0.25">
      <c r="A1133" s="1" t="s">
        <v>1145</v>
      </c>
      <c r="B1133" t="str">
        <f>HYPERLINK("https://www.suredividend.com/sure-analysis-research-database/","Oil States International, Inc.")</f>
        <v>Oil States International, Inc.</v>
      </c>
      <c r="C1133">
        <v>1.5789473684209999E-2</v>
      </c>
      <c r="D1133">
        <v>-1.2787723785166001E-2</v>
      </c>
      <c r="E1133">
        <v>0.14201183431952599</v>
      </c>
      <c r="F1133">
        <v>3.485254691689E-2</v>
      </c>
      <c r="G1133">
        <v>0.15915915915915901</v>
      </c>
      <c r="H1133">
        <v>0.182235834609494</v>
      </c>
      <c r="I1133">
        <v>-0.6581045172719221</v>
      </c>
    </row>
    <row r="1134" spans="1:9" x14ac:dyDescent="0.25">
      <c r="A1134" s="1" t="s">
        <v>1146</v>
      </c>
      <c r="B1134" t="str">
        <f>HYPERLINK("https://www.suredividend.com/sure-analysis-research-database/","Olo Inc")</f>
        <v>Olo Inc</v>
      </c>
      <c r="C1134">
        <v>-4.1597337770382013E-2</v>
      </c>
      <c r="D1134">
        <v>-0.21845318860244201</v>
      </c>
      <c r="E1134">
        <v>-0.13772455089820301</v>
      </c>
      <c r="F1134">
        <v>-7.8400000000000011E-2</v>
      </c>
      <c r="G1134">
        <v>-0.28179551122194502</v>
      </c>
      <c r="H1134">
        <v>-0.79377013963480103</v>
      </c>
      <c r="I1134">
        <v>-0.83424460431654601</v>
      </c>
    </row>
    <row r="1135" spans="1:9" x14ac:dyDescent="0.25">
      <c r="A1135" s="1" t="s">
        <v>1147</v>
      </c>
      <c r="B1135" t="str">
        <f>HYPERLINK("https://www.suredividend.com/sure-analysis-OLP/","One Liberty Properties, Inc.")</f>
        <v>One Liberty Properties, Inc.</v>
      </c>
      <c r="C1135">
        <v>7.5292805354155001E-2</v>
      </c>
      <c r="D1135">
        <v>-8.4854718436610001E-3</v>
      </c>
      <c r="E1135">
        <v>-7.4647353289849006E-2</v>
      </c>
      <c r="F1135">
        <v>-7.2309794637873001E-2</v>
      </c>
      <c r="G1135">
        <v>-0.106662959873969</v>
      </c>
      <c r="H1135">
        <v>-0.30807024091931901</v>
      </c>
      <c r="I1135">
        <v>0.106583252023187</v>
      </c>
    </row>
    <row r="1136" spans="1:9" x14ac:dyDescent="0.25">
      <c r="A1136" s="1" t="s">
        <v>1148</v>
      </c>
      <c r="B1136" t="str">
        <f>HYPERLINK("https://www.suredividend.com/sure-analysis-research-database/","Outset Medical Inc")</f>
        <v>Outset Medical Inc</v>
      </c>
      <c r="C1136">
        <v>-0.57457457457457406</v>
      </c>
      <c r="D1136">
        <v>-0.75233100233100203</v>
      </c>
      <c r="E1136">
        <v>-0.79713603818615708</v>
      </c>
      <c r="F1136">
        <v>-0.83539891556932611</v>
      </c>
      <c r="G1136">
        <v>-0.6765601217656011</v>
      </c>
      <c r="H1136">
        <v>-0.92602262837249705</v>
      </c>
      <c r="I1136">
        <v>-0.92996044825313107</v>
      </c>
    </row>
    <row r="1137" spans="1:9" x14ac:dyDescent="0.25">
      <c r="A1137" s="1" t="s">
        <v>1149</v>
      </c>
      <c r="B1137" t="str">
        <f>HYPERLINK("https://www.suredividend.com/sure-analysis-research-database/","Omnicell, Inc.")</f>
        <v>Omnicell, Inc.</v>
      </c>
      <c r="C1137">
        <v>-0.30723714155666798</v>
      </c>
      <c r="D1137">
        <v>-0.53154816866728205</v>
      </c>
      <c r="E1137">
        <v>-0.533415082771305</v>
      </c>
      <c r="F1137">
        <v>-0.39627132090440298</v>
      </c>
      <c r="G1137">
        <v>-0.41201468031678501</v>
      </c>
      <c r="H1137">
        <v>-0.82835231758204508</v>
      </c>
      <c r="I1137">
        <v>-0.56036972848064703</v>
      </c>
    </row>
    <row r="1138" spans="1:9" x14ac:dyDescent="0.25">
      <c r="A1138" s="1" t="s">
        <v>1150</v>
      </c>
      <c r="B1138" t="str">
        <f>HYPERLINK("https://www.suredividend.com/sure-analysis-research-database/","Owens &amp; Minor, Inc.")</f>
        <v>Owens &amp; Minor, Inc.</v>
      </c>
      <c r="C1138">
        <v>0.253816793893129</v>
      </c>
      <c r="D1138">
        <v>3.6277602523658997E-2</v>
      </c>
      <c r="E1138">
        <v>0.45461254612546098</v>
      </c>
      <c r="F1138">
        <v>9.2165898617510011E-3</v>
      </c>
      <c r="G1138">
        <v>2.9780564263321999E-2</v>
      </c>
      <c r="H1138">
        <v>-0.56971829756020809</v>
      </c>
      <c r="I1138">
        <v>1.125754961173425</v>
      </c>
    </row>
    <row r="1139" spans="1:9" x14ac:dyDescent="0.25">
      <c r="A1139" s="1" t="s">
        <v>1151</v>
      </c>
      <c r="B1139" t="str">
        <f>HYPERLINK("https://www.suredividend.com/sure-analysis-research-database/","Singular Genomics Systems Inc")</f>
        <v>Singular Genomics Systems Inc</v>
      </c>
      <c r="C1139">
        <v>-2.8077753779696998E-2</v>
      </c>
      <c r="D1139">
        <v>-0.51807228915662606</v>
      </c>
      <c r="E1139">
        <v>-0.660377358490566</v>
      </c>
      <c r="F1139">
        <v>-0.82089552238805907</v>
      </c>
      <c r="G1139">
        <v>-0.84347826086956501</v>
      </c>
      <c r="H1139">
        <v>-0.9772870662460561</v>
      </c>
      <c r="I1139">
        <v>-0.98600311041990607</v>
      </c>
    </row>
    <row r="1140" spans="1:9" x14ac:dyDescent="0.25">
      <c r="A1140" s="1" t="s">
        <v>1152</v>
      </c>
      <c r="B1140" t="str">
        <f>HYPERLINK("https://www.suredividend.com/sure-analysis-research-database/","Old National Bancorp")</f>
        <v>Old National Bancorp</v>
      </c>
      <c r="C1140">
        <v>3.5435861091423999E-2</v>
      </c>
      <c r="D1140">
        <v>-0.14274649705447401</v>
      </c>
      <c r="E1140">
        <v>0.23933291484993899</v>
      </c>
      <c r="F1140">
        <v>-0.15515925334813599</v>
      </c>
      <c r="G1140">
        <v>-0.22312441176001399</v>
      </c>
      <c r="H1140">
        <v>-0.111999854127286</v>
      </c>
      <c r="I1140">
        <v>-4.6935646955217E-2</v>
      </c>
    </row>
    <row r="1141" spans="1:9" x14ac:dyDescent="0.25">
      <c r="A1141" s="1" t="s">
        <v>1153</v>
      </c>
      <c r="B1141" t="str">
        <f>HYPERLINK("https://www.suredividend.com/sure-analysis-research-database/","Ondas Holdings Inc")</f>
        <v>Ondas Holdings Inc</v>
      </c>
      <c r="C1141">
        <v>-4.3333333333333002E-2</v>
      </c>
      <c r="D1141">
        <v>-0.62904761904761908</v>
      </c>
      <c r="E1141">
        <v>-0.39228797503621898</v>
      </c>
      <c r="F1141">
        <v>-0.65704402515723204</v>
      </c>
      <c r="G1141">
        <v>-0.83770833333333306</v>
      </c>
      <c r="H1141">
        <v>-0.94217391304347808</v>
      </c>
      <c r="I1141">
        <v>-0.91133333333333311</v>
      </c>
    </row>
    <row r="1142" spans="1:9" x14ac:dyDescent="0.25">
      <c r="A1142" s="1" t="s">
        <v>1154</v>
      </c>
      <c r="B1142" t="str">
        <f>HYPERLINK("https://www.suredividend.com/sure-analysis-research-database/","Onewater Marine Inc")</f>
        <v>Onewater Marine Inc</v>
      </c>
      <c r="C1142">
        <v>1.7100977198697E-2</v>
      </c>
      <c r="D1142">
        <v>-6.4419475655430006E-2</v>
      </c>
      <c r="E1142">
        <v>-8.1617647058823004E-2</v>
      </c>
      <c r="F1142">
        <v>-0.12657342657342599</v>
      </c>
      <c r="G1142">
        <v>-0.24417549167927299</v>
      </c>
      <c r="H1142">
        <v>-0.48077322801912198</v>
      </c>
      <c r="I1142">
        <v>0.72246164454404405</v>
      </c>
    </row>
    <row r="1143" spans="1:9" x14ac:dyDescent="0.25">
      <c r="A1143" s="1" t="s">
        <v>1155</v>
      </c>
      <c r="B1143" t="str">
        <f>HYPERLINK("https://www.suredividend.com/sure-analysis-research-database/","Orion Office REIT Inc")</f>
        <v>Orion Office REIT Inc</v>
      </c>
      <c r="C1143">
        <v>0.13646055437100199</v>
      </c>
      <c r="D1143">
        <v>-0.123657947090642</v>
      </c>
      <c r="E1143">
        <v>-0.104532777796445</v>
      </c>
      <c r="F1143">
        <v>-0.343749615237813</v>
      </c>
      <c r="G1143">
        <v>-0.38418522968851099</v>
      </c>
      <c r="H1143">
        <v>-0.78679999999999906</v>
      </c>
      <c r="I1143">
        <v>-0.78679999999999906</v>
      </c>
    </row>
    <row r="1144" spans="1:9" x14ac:dyDescent="0.25">
      <c r="A1144" s="1" t="s">
        <v>1156</v>
      </c>
      <c r="B1144" t="str">
        <f>HYPERLINK("https://www.suredividend.com/sure-analysis-research-database/","ON24 Inc")</f>
        <v>ON24 Inc</v>
      </c>
      <c r="C1144">
        <v>-3.0627871362939998E-2</v>
      </c>
      <c r="D1144">
        <v>-0.235507246376811</v>
      </c>
      <c r="E1144">
        <v>-0.14717611554214199</v>
      </c>
      <c r="F1144">
        <v>-0.15014164305948999</v>
      </c>
      <c r="G1144">
        <v>1.9627706724069998E-3</v>
      </c>
      <c r="H1144">
        <v>-0.603336236770041</v>
      </c>
      <c r="I1144">
        <v>-0.89643714323577406</v>
      </c>
    </row>
    <row r="1145" spans="1:9" x14ac:dyDescent="0.25">
      <c r="A1145" s="1" t="s">
        <v>1157</v>
      </c>
      <c r="B1145" t="str">
        <f>HYPERLINK("https://www.suredividend.com/sure-analysis-research-database/","Onto Innovation Inc.")</f>
        <v>Onto Innovation Inc.</v>
      </c>
      <c r="C1145">
        <v>-7.7794151865353003E-2</v>
      </c>
      <c r="D1145">
        <v>4.0533693632830003E-3</v>
      </c>
      <c r="E1145">
        <v>0.44805748386311012</v>
      </c>
      <c r="F1145">
        <v>0.74621824056395902</v>
      </c>
      <c r="G1145">
        <v>0.64772727272727204</v>
      </c>
      <c r="H1145">
        <v>0.35870186264426901</v>
      </c>
      <c r="I1145">
        <v>2.5492537313432839</v>
      </c>
    </row>
    <row r="1146" spans="1:9" x14ac:dyDescent="0.25">
      <c r="A1146" s="1" t="s">
        <v>1158</v>
      </c>
      <c r="B1146" t="str">
        <f>HYPERLINK("https://www.suredividend.com/sure-analysis-research-database/","Ooma Inc")</f>
        <v>Ooma Inc</v>
      </c>
      <c r="C1146">
        <v>-0.149686520376175</v>
      </c>
      <c r="D1146">
        <v>-0.25480769230769201</v>
      </c>
      <c r="E1146">
        <v>-9.2809364548495005E-2</v>
      </c>
      <c r="F1146">
        <v>-0.20337738619676901</v>
      </c>
      <c r="G1146">
        <v>-0.318038969201759</v>
      </c>
      <c r="H1146">
        <v>-0.50636942675159202</v>
      </c>
      <c r="I1146">
        <v>-0.26788124156545201</v>
      </c>
    </row>
    <row r="1147" spans="1:9" x14ac:dyDescent="0.25">
      <c r="A1147" s="1" t="s">
        <v>1159</v>
      </c>
      <c r="B1147" t="str">
        <f>HYPERLINK("https://www.suredividend.com/sure-analysis-research-database/","Offerpad Solutions Inc")</f>
        <v>Offerpad Solutions Inc</v>
      </c>
      <c r="C1147">
        <v>4.739336492891E-3</v>
      </c>
      <c r="D1147">
        <v>-0.21116279069767399</v>
      </c>
      <c r="E1147">
        <v>0.34603174603174602</v>
      </c>
      <c r="F1147">
        <v>0.22765110387260201</v>
      </c>
      <c r="G1147">
        <v>-0.249325012171911</v>
      </c>
      <c r="H1147">
        <v>-0.92686502802932302</v>
      </c>
      <c r="I1147">
        <v>-0.16699410609037299</v>
      </c>
    </row>
    <row r="1148" spans="1:9" x14ac:dyDescent="0.25">
      <c r="A1148" s="1" t="s">
        <v>1160</v>
      </c>
      <c r="B1148" t="str">
        <f>HYPERLINK("https://www.suredividend.com/sure-analysis-research-database/","Option Care Health Inc.")</f>
        <v>Option Care Health Inc.</v>
      </c>
      <c r="C1148">
        <v>-0.114586559306286</v>
      </c>
      <c r="D1148">
        <v>-0.143499101258238</v>
      </c>
      <c r="E1148">
        <v>3.9636363636362998E-2</v>
      </c>
      <c r="F1148">
        <v>-4.9850448654036997E-2</v>
      </c>
      <c r="G1148">
        <v>-9.353202282815401E-2</v>
      </c>
      <c r="H1148">
        <v>4.2289464090410997E-2</v>
      </c>
      <c r="I1148">
        <v>9.1382978723404236</v>
      </c>
    </row>
    <row r="1149" spans="1:9" x14ac:dyDescent="0.25">
      <c r="A1149" s="1" t="s">
        <v>1161</v>
      </c>
      <c r="B1149" t="str">
        <f>HYPERLINK("https://www.suredividend.com/sure-analysis-research-database/","OppFi Inc")</f>
        <v>OppFi Inc</v>
      </c>
      <c r="C1149">
        <v>4.3103448275860004E-3</v>
      </c>
      <c r="D1149">
        <v>9.3896713615023011E-2</v>
      </c>
      <c r="E1149">
        <v>0.21354166666666599</v>
      </c>
      <c r="F1149">
        <v>0.13658536585365799</v>
      </c>
      <c r="G1149">
        <v>5.9090909090909013E-2</v>
      </c>
      <c r="H1149">
        <v>-0.6496240601503761</v>
      </c>
      <c r="I1149">
        <v>-0.76345177664974606</v>
      </c>
    </row>
    <row r="1150" spans="1:9" x14ac:dyDescent="0.25">
      <c r="A1150" s="1" t="s">
        <v>1162</v>
      </c>
      <c r="B1150" t="str">
        <f>HYPERLINK("https://www.suredividend.com/sure-analysis-OPI/","Office Properties Income Trust")</f>
        <v>Office Properties Income Trust</v>
      </c>
      <c r="C1150">
        <v>0.55188038060715905</v>
      </c>
      <c r="D1150">
        <v>-0.174984568598226</v>
      </c>
      <c r="E1150">
        <v>3.5975575174395001E-2</v>
      </c>
      <c r="F1150">
        <v>-0.45889369433418198</v>
      </c>
      <c r="G1150">
        <v>-0.5318360059118511</v>
      </c>
      <c r="H1150">
        <v>-0.68799462530887301</v>
      </c>
      <c r="I1150">
        <v>-0.8467561521252791</v>
      </c>
    </row>
    <row r="1151" spans="1:9" x14ac:dyDescent="0.25">
      <c r="A1151" s="1" t="s">
        <v>1163</v>
      </c>
      <c r="B1151" t="str">
        <f>HYPERLINK("https://www.suredividend.com/sure-analysis-research-database/","Opko Health Inc")</f>
        <v>Opko Health Inc</v>
      </c>
      <c r="C1151">
        <v>-9.9999999999999006E-2</v>
      </c>
      <c r="D1151">
        <v>-0.32160804020100497</v>
      </c>
      <c r="E1151">
        <v>-0.201183431952662</v>
      </c>
      <c r="F1151">
        <v>0.08</v>
      </c>
      <c r="G1151">
        <v>-0.24157303370786501</v>
      </c>
      <c r="H1151">
        <v>-0.67391304347826009</v>
      </c>
      <c r="I1151">
        <v>-0.64190981432360705</v>
      </c>
    </row>
    <row r="1152" spans="1:9" x14ac:dyDescent="0.25">
      <c r="A1152" s="1" t="s">
        <v>1164</v>
      </c>
      <c r="B1152" t="str">
        <f>HYPERLINK("https://www.suredividend.com/sure-analysis-research-database/","Oportun Financial Corp")</f>
        <v>Oportun Financial Corp</v>
      </c>
      <c r="C1152">
        <v>-8.6567164179104011E-2</v>
      </c>
      <c r="D1152">
        <v>0.12087912087912001</v>
      </c>
      <c r="E1152">
        <v>0.64959568733153605</v>
      </c>
      <c r="F1152">
        <v>0.11070780399273999</v>
      </c>
      <c r="G1152">
        <v>0.41995359628770301</v>
      </c>
      <c r="H1152">
        <v>-0.75905511811023607</v>
      </c>
      <c r="I1152">
        <v>-0.62152133580705005</v>
      </c>
    </row>
    <row r="1153" spans="1:9" x14ac:dyDescent="0.25">
      <c r="A1153" s="1" t="s">
        <v>1165</v>
      </c>
      <c r="B1153" t="str">
        <f>HYPERLINK("https://www.suredividend.com/sure-analysis-research-database/","OptimizeRx Corp")</f>
        <v>OptimizeRx Corp</v>
      </c>
      <c r="C1153">
        <v>0.167812929848693</v>
      </c>
      <c r="D1153">
        <v>-0.37756598240469202</v>
      </c>
      <c r="E1153">
        <v>-0.41041666666666599</v>
      </c>
      <c r="F1153">
        <v>-0.49464285714285711</v>
      </c>
      <c r="G1153">
        <v>-0.4</v>
      </c>
      <c r="H1153">
        <v>-0.91238390092879207</v>
      </c>
      <c r="I1153">
        <v>-0.50292740046838402</v>
      </c>
    </row>
    <row r="1154" spans="1:9" x14ac:dyDescent="0.25">
      <c r="A1154" s="1" t="s">
        <v>1166</v>
      </c>
      <c r="B1154" t="str">
        <f>HYPERLINK("https://www.suredividend.com/sure-analysis-research-database/","Oppenheimer Holdings Inc")</f>
        <v>Oppenheimer Holdings Inc</v>
      </c>
      <c r="C1154">
        <v>-1.2685560053981E-2</v>
      </c>
      <c r="D1154">
        <v>-3.7127702978375997E-2</v>
      </c>
      <c r="E1154">
        <v>2.7083789596634999E-2</v>
      </c>
      <c r="F1154">
        <v>-0.126120121454491</v>
      </c>
      <c r="G1154">
        <v>6.1142481510100006E-3</v>
      </c>
      <c r="H1154">
        <v>-0.26397353685061897</v>
      </c>
      <c r="I1154">
        <v>0.35126648910823011</v>
      </c>
    </row>
    <row r="1155" spans="1:9" x14ac:dyDescent="0.25">
      <c r="A1155" s="1" t="s">
        <v>1167</v>
      </c>
      <c r="B1155" t="str">
        <f>HYPERLINK("https://www.suredividend.com/sure-analysis-research-database/","Ormat Technologies Inc")</f>
        <v>Ormat Technologies Inc</v>
      </c>
      <c r="C1155">
        <v>-4.5838183934807E-2</v>
      </c>
      <c r="D1155">
        <v>-0.146899329697323</v>
      </c>
      <c r="E1155">
        <v>-0.21613586181420799</v>
      </c>
      <c r="F1155">
        <v>-0.23848612388624099</v>
      </c>
      <c r="G1155">
        <v>-0.33270779989985999</v>
      </c>
      <c r="H1155">
        <v>-0.13149096920150599</v>
      </c>
      <c r="I1155">
        <v>0.26735436635180898</v>
      </c>
    </row>
    <row r="1156" spans="1:9" x14ac:dyDescent="0.25">
      <c r="A1156" s="1" t="s">
        <v>1168</v>
      </c>
      <c r="B1156" t="str">
        <f>HYPERLINK("https://www.suredividend.com/sure-analysis-ORC/","Orchid Island Capital Inc")</f>
        <v>Orchid Island Capital Inc</v>
      </c>
      <c r="C1156">
        <v>-9.0597117364447005E-2</v>
      </c>
      <c r="D1156">
        <v>-0.27407204492535198</v>
      </c>
      <c r="E1156">
        <v>-0.202426290992857</v>
      </c>
      <c r="F1156">
        <v>-0.231301320956801</v>
      </c>
      <c r="G1156">
        <v>-0.190754160745116</v>
      </c>
      <c r="H1156">
        <v>-0.58324008153735407</v>
      </c>
      <c r="I1156">
        <v>-0.50224315674644704</v>
      </c>
    </row>
    <row r="1157" spans="1:9" x14ac:dyDescent="0.25">
      <c r="A1157" s="1" t="s">
        <v>1169</v>
      </c>
      <c r="B1157" t="str">
        <f>HYPERLINK("https://www.suredividend.com/sure-analysis-research-database/","Origin Materials Inc")</f>
        <v>Origin Materials Inc</v>
      </c>
      <c r="C1157">
        <v>3.5398230088495013E-2</v>
      </c>
      <c r="D1157">
        <v>-0.72727272727272707</v>
      </c>
      <c r="E1157">
        <v>-0.70750000000000002</v>
      </c>
      <c r="F1157">
        <v>-0.74620390455531405</v>
      </c>
      <c r="G1157">
        <v>-0.79328621908127206</v>
      </c>
      <c r="H1157">
        <v>-0.83817427385892107</v>
      </c>
      <c r="I1157">
        <v>-0.88300000000000001</v>
      </c>
    </row>
    <row r="1158" spans="1:9" x14ac:dyDescent="0.25">
      <c r="A1158" s="1" t="s">
        <v>1170</v>
      </c>
      <c r="B1158" t="str">
        <f>HYPERLINK("https://www.suredividend.com/sure-analysis-research-database/","Organogenesis Holdings Inc")</f>
        <v>Organogenesis Holdings Inc</v>
      </c>
      <c r="C1158">
        <v>-0.171328671328671</v>
      </c>
      <c r="D1158">
        <v>-0.38759689922480611</v>
      </c>
      <c r="E1158">
        <v>0.15048543689320301</v>
      </c>
      <c r="F1158">
        <v>-0.118959107806691</v>
      </c>
      <c r="G1158">
        <v>-0.25236593059936901</v>
      </c>
      <c r="H1158">
        <v>-0.79283216783216703</v>
      </c>
      <c r="I1158">
        <v>-0.76650246305418701</v>
      </c>
    </row>
    <row r="1159" spans="1:9" x14ac:dyDescent="0.25">
      <c r="A1159" s="1" t="s">
        <v>1171</v>
      </c>
      <c r="B1159" t="str">
        <f>HYPERLINK("https://www.suredividend.com/sure-analysis-research-database/","Orrstown Financial Services, Inc.")</f>
        <v>Orrstown Financial Services, Inc.</v>
      </c>
      <c r="C1159">
        <v>0.114047968673519</v>
      </c>
      <c r="D1159">
        <v>-2.1092110243264E-2</v>
      </c>
      <c r="E1159">
        <v>0.46043479376812702</v>
      </c>
      <c r="F1159">
        <v>3.3010026006798997E-2</v>
      </c>
      <c r="G1159">
        <v>-6.6175957723537002E-2</v>
      </c>
      <c r="H1159">
        <v>1.0401452563072001E-2</v>
      </c>
      <c r="I1159">
        <v>0.34700061550116001</v>
      </c>
    </row>
    <row r="1160" spans="1:9" x14ac:dyDescent="0.25">
      <c r="A1160" s="1" t="s">
        <v>1172</v>
      </c>
      <c r="B1160" t="str">
        <f>HYPERLINK("https://www.suredividend.com/sure-analysis-research-database/","Old Second Bancorporation Inc.")</f>
        <v>Old Second Bancorporation Inc.</v>
      </c>
      <c r="C1160">
        <v>9.0293453724604011E-2</v>
      </c>
      <c r="D1160">
        <v>-9.8269349247935012E-2</v>
      </c>
      <c r="E1160">
        <v>0.306370471880127</v>
      </c>
      <c r="F1160">
        <v>-7.6528921406174011E-2</v>
      </c>
      <c r="G1160">
        <v>-0.13021033422973399</v>
      </c>
      <c r="H1160">
        <v>9.5097379777352012E-2</v>
      </c>
      <c r="I1160">
        <v>8.181960714045701E-2</v>
      </c>
    </row>
    <row r="1161" spans="1:9" x14ac:dyDescent="0.25">
      <c r="A1161" s="1" t="s">
        <v>1173</v>
      </c>
      <c r="B1161" t="str">
        <f>HYPERLINK("https://www.suredividend.com/sure-analysis-research-database/","Oscar Health Inc")</f>
        <v>Oscar Health Inc</v>
      </c>
      <c r="C1161">
        <v>2.8725314183123001E-2</v>
      </c>
      <c r="D1161">
        <v>-0.20305980528511799</v>
      </c>
      <c r="E1161">
        <v>-0.176724137931034</v>
      </c>
      <c r="F1161">
        <v>1.3292682926829269</v>
      </c>
      <c r="G1161">
        <v>0.7630769230769231</v>
      </c>
      <c r="H1161">
        <v>-0.66234531526222706</v>
      </c>
      <c r="I1161">
        <v>-0.8353448275862061</v>
      </c>
    </row>
    <row r="1162" spans="1:9" x14ac:dyDescent="0.25">
      <c r="A1162" s="1" t="s">
        <v>1174</v>
      </c>
      <c r="B1162" t="str">
        <f>HYPERLINK("https://www.suredividend.com/sure-analysis-research-database/","OSI Systems, Inc.")</f>
        <v>OSI Systems, Inc.</v>
      </c>
      <c r="C1162">
        <v>-8.2480331613230012E-2</v>
      </c>
      <c r="D1162">
        <v>-8.518893387314401E-2</v>
      </c>
      <c r="E1162">
        <v>-7.2912214719206003E-2</v>
      </c>
      <c r="F1162">
        <v>0.36393360160965699</v>
      </c>
      <c r="G1162">
        <v>0.27509992946155598</v>
      </c>
      <c r="H1162">
        <v>0.15432098765432101</v>
      </c>
      <c r="I1162">
        <v>0.50263230811859205</v>
      </c>
    </row>
    <row r="1163" spans="1:9" x14ac:dyDescent="0.25">
      <c r="A1163" s="1" t="s">
        <v>1175</v>
      </c>
      <c r="B1163" t="str">
        <f>HYPERLINK("https://www.suredividend.com/sure-analysis-research-database/","OneSpan Inc")</f>
        <v>OneSpan Inc</v>
      </c>
      <c r="C1163">
        <v>-0.22057460611677401</v>
      </c>
      <c r="D1163">
        <v>-0.37238805970149202</v>
      </c>
      <c r="E1163">
        <v>-0.35007727975270397</v>
      </c>
      <c r="F1163">
        <v>-0.248436103663985</v>
      </c>
      <c r="G1163">
        <v>-0.27811158798283198</v>
      </c>
      <c r="H1163">
        <v>-0.60142180094786701</v>
      </c>
      <c r="I1163">
        <v>-0.45389610389610302</v>
      </c>
    </row>
    <row r="1164" spans="1:9" x14ac:dyDescent="0.25">
      <c r="A1164" s="1" t="s">
        <v>1176</v>
      </c>
      <c r="B1164" t="str">
        <f>HYPERLINK("https://www.suredividend.com/sure-analysis-research-database/","Overstock.com Inc")</f>
        <v>Overstock.com Inc</v>
      </c>
      <c r="C1164">
        <v>0.12391158740790301</v>
      </c>
      <c r="D1164">
        <v>-0.50443000590667408</v>
      </c>
      <c r="E1164">
        <v>-0.14951849974657799</v>
      </c>
      <c r="F1164">
        <v>-0.13326446280991699</v>
      </c>
      <c r="G1164">
        <v>-0.23865698729582499</v>
      </c>
      <c r="H1164">
        <v>-0.84002288111354706</v>
      </c>
      <c r="I1164">
        <v>-0.24003623188405701</v>
      </c>
    </row>
    <row r="1165" spans="1:9" x14ac:dyDescent="0.25">
      <c r="A1165" s="1" t="s">
        <v>1177</v>
      </c>
      <c r="B1165" t="str">
        <f>HYPERLINK("https://www.suredividend.com/sure-analysis-research-database/","Orasure Technologies Inc.")</f>
        <v>Orasure Technologies Inc.</v>
      </c>
      <c r="C1165">
        <v>-4.5762711864406003E-2</v>
      </c>
      <c r="D1165">
        <v>-5.2188552188552013E-2</v>
      </c>
      <c r="E1165">
        <v>-0.18049490538573501</v>
      </c>
      <c r="F1165">
        <v>0.16804979253112001</v>
      </c>
      <c r="G1165">
        <v>0.30626450116009202</v>
      </c>
      <c r="H1165">
        <v>-0.45445736434108502</v>
      </c>
      <c r="I1165">
        <v>-0.60352112676056302</v>
      </c>
    </row>
    <row r="1166" spans="1:9" x14ac:dyDescent="0.25">
      <c r="A1166" s="1" t="s">
        <v>1178</v>
      </c>
      <c r="B1166" t="str">
        <f>HYPERLINK("https://www.suredividend.com/sure-analysis-research-database/","OneSpaWorld Holdings Limited")</f>
        <v>OneSpaWorld Holdings Limited</v>
      </c>
      <c r="C1166">
        <v>9.1074681238600009E-4</v>
      </c>
      <c r="D1166">
        <v>-6.2286689419794997E-2</v>
      </c>
      <c r="E1166">
        <v>-0.104319478402607</v>
      </c>
      <c r="F1166">
        <v>0.17792068595927099</v>
      </c>
      <c r="G1166">
        <v>0.124872057318321</v>
      </c>
      <c r="H1166">
        <v>-7.8020134228187002E-2</v>
      </c>
      <c r="I1166">
        <v>-0.101456147953135</v>
      </c>
    </row>
    <row r="1167" spans="1:9" x14ac:dyDescent="0.25">
      <c r="A1167" s="1" t="s">
        <v>1179</v>
      </c>
      <c r="B1167" t="str">
        <f>HYPERLINK("https://www.suredividend.com/sure-analysis-research-database/","Outlook Therapeutics Inc")</f>
        <v>Outlook Therapeutics Inc</v>
      </c>
      <c r="C1167">
        <v>0.8056611744824671</v>
      </c>
      <c r="D1167">
        <v>-0.7377914110429441</v>
      </c>
      <c r="E1167">
        <v>-0.614954954954955</v>
      </c>
      <c r="F1167">
        <v>-0.60425925925925905</v>
      </c>
      <c r="G1167">
        <v>-0.60056074766355105</v>
      </c>
      <c r="H1167">
        <v>-0.79550239234449704</v>
      </c>
      <c r="I1167">
        <v>-0.52165640738668106</v>
      </c>
    </row>
    <row r="1168" spans="1:9" x14ac:dyDescent="0.25">
      <c r="A1168" s="1" t="s">
        <v>1180</v>
      </c>
      <c r="B1168" t="str">
        <f>HYPERLINK("https://www.suredividend.com/sure-analysis-OTTR/","Otter Tail Corporation")</f>
        <v>Otter Tail Corporation</v>
      </c>
      <c r="C1168">
        <v>0.107266898209992</v>
      </c>
      <c r="D1168">
        <v>-6.6831482532220002E-2</v>
      </c>
      <c r="E1168">
        <v>9.0158716798097005E-2</v>
      </c>
      <c r="F1168">
        <v>0.44335497756348302</v>
      </c>
      <c r="G1168">
        <v>0.53178891656749105</v>
      </c>
      <c r="H1168">
        <v>0.37452884785993701</v>
      </c>
      <c r="I1168">
        <v>1.1384400661474281</v>
      </c>
    </row>
    <row r="1169" spans="1:9" x14ac:dyDescent="0.25">
      <c r="A1169" s="1" t="s">
        <v>1181</v>
      </c>
      <c r="B1169" t="str">
        <f>HYPERLINK("https://www.suredividend.com/sure-analysis-research-database/","Ouster Inc")</f>
        <v>Ouster Inc</v>
      </c>
      <c r="C1169">
        <v>-8.5836909871240003E-3</v>
      </c>
      <c r="D1169">
        <v>-0.16606498194945801</v>
      </c>
      <c r="E1169">
        <v>0.23529411764705799</v>
      </c>
      <c r="F1169">
        <v>-0.46465816917728803</v>
      </c>
      <c r="G1169">
        <v>-0.60512820512820509</v>
      </c>
      <c r="H1169">
        <v>-0.93333333333333313</v>
      </c>
      <c r="I1169">
        <v>-0.52371134020618504</v>
      </c>
    </row>
    <row r="1170" spans="1:9" x14ac:dyDescent="0.25">
      <c r="A1170" s="1" t="s">
        <v>1182</v>
      </c>
      <c r="B1170" t="str">
        <f>HYPERLINK("https://www.suredividend.com/sure-analysis-research-database/","Outfront Media Inc")</f>
        <v>Outfront Media Inc</v>
      </c>
      <c r="C1170">
        <v>0.30151843817787399</v>
      </c>
      <c r="D1170">
        <v>1.3967400948059001E-2</v>
      </c>
      <c r="E1170">
        <v>-0.16458974394675599</v>
      </c>
      <c r="F1170">
        <v>-0.228385138697771</v>
      </c>
      <c r="G1170">
        <v>-0.20642268573015701</v>
      </c>
      <c r="H1170">
        <v>-0.49255107262017012</v>
      </c>
      <c r="I1170">
        <v>-0.16824353829198799</v>
      </c>
    </row>
    <row r="1171" spans="1:9" x14ac:dyDescent="0.25">
      <c r="A1171" s="1" t="s">
        <v>1183</v>
      </c>
      <c r="B1171" t="str">
        <f>HYPERLINK("https://www.suredividend.com/sure-analysis-research-database/","Oxford Industries, Inc.")</f>
        <v>Oxford Industries, Inc.</v>
      </c>
      <c r="C1171">
        <v>-5.8634760062906008E-2</v>
      </c>
      <c r="D1171">
        <v>-0.15828658731244499</v>
      </c>
      <c r="E1171">
        <v>-0.101823726696487</v>
      </c>
      <c r="F1171">
        <v>-2.5222733139455999E-2</v>
      </c>
      <c r="G1171">
        <v>-0.10741183689384499</v>
      </c>
      <c r="H1171">
        <v>-5.2548835070343997E-2</v>
      </c>
      <c r="I1171">
        <v>7.2024976403107011E-2</v>
      </c>
    </row>
    <row r="1172" spans="1:9" x14ac:dyDescent="0.25">
      <c r="A1172" s="1" t="s">
        <v>1184</v>
      </c>
      <c r="B1172" t="str">
        <f>HYPERLINK("https://www.suredividend.com/sure-analysis-research-database/","Pacific Biosciences of California Inc")</f>
        <v>Pacific Biosciences of California Inc</v>
      </c>
      <c r="C1172">
        <v>-9.8626716604244005E-2</v>
      </c>
      <c r="D1172">
        <v>-0.40722495894909599</v>
      </c>
      <c r="E1172">
        <v>-0.39327731092436902</v>
      </c>
      <c r="F1172">
        <v>-0.117359413202933</v>
      </c>
      <c r="G1172">
        <v>-0.124848484848484</v>
      </c>
      <c r="H1172">
        <v>-0.75997340425531901</v>
      </c>
      <c r="I1172">
        <v>-4.4973544973545013E-2</v>
      </c>
    </row>
    <row r="1173" spans="1:9" x14ac:dyDescent="0.25">
      <c r="A1173" s="1" t="s">
        <v>1185</v>
      </c>
      <c r="B1173" t="str">
        <f>HYPERLINK("https://www.suredividend.com/sure-analysis-research-database/","Ranpak Holdings Corp")</f>
        <v>Ranpak Holdings Corp</v>
      </c>
      <c r="C1173">
        <v>-0.39544513457556901</v>
      </c>
      <c r="D1173">
        <v>-0.5628742514970061</v>
      </c>
      <c r="E1173">
        <v>-5.1948051948051001E-2</v>
      </c>
      <c r="F1173">
        <v>-0.49393414211438402</v>
      </c>
      <c r="G1173">
        <v>-0.44168260038240897</v>
      </c>
      <c r="H1173">
        <v>-0.92169482434969108</v>
      </c>
      <c r="I1173">
        <v>-0.69958847736625507</v>
      </c>
    </row>
    <row r="1174" spans="1:9" x14ac:dyDescent="0.25">
      <c r="A1174" s="1" t="s">
        <v>1186</v>
      </c>
      <c r="B1174" t="str">
        <f>HYPERLINK("https://www.suredividend.com/sure-analysis-research-database/","Phibro Animal Health Corp.")</f>
        <v>Phibro Animal Health Corp.</v>
      </c>
      <c r="C1174">
        <v>-2.063492063492E-2</v>
      </c>
      <c r="D1174">
        <v>-0.175050974362402</v>
      </c>
      <c r="E1174">
        <v>-0.115158468378029</v>
      </c>
      <c r="F1174">
        <v>-4.8580966993315003E-2</v>
      </c>
      <c r="G1174">
        <v>-0.10944322159275401</v>
      </c>
      <c r="H1174">
        <v>-0.39503279765464899</v>
      </c>
      <c r="I1174">
        <v>-0.66851659834634303</v>
      </c>
    </row>
    <row r="1175" spans="1:9" x14ac:dyDescent="0.25">
      <c r="A1175" s="1" t="s">
        <v>1187</v>
      </c>
      <c r="B1175" t="str">
        <f>HYPERLINK("https://www.suredividend.com/sure-analysis-research-database/","Par Technology Corp.")</f>
        <v>Par Technology Corp.</v>
      </c>
      <c r="C1175">
        <v>-0.22158820732287199</v>
      </c>
      <c r="D1175">
        <v>-0.105220005465974</v>
      </c>
      <c r="E1175">
        <v>0.15281690140845</v>
      </c>
      <c r="F1175">
        <v>0.255849635596471</v>
      </c>
      <c r="G1175">
        <v>0.312750601443464</v>
      </c>
      <c r="H1175">
        <v>-0.50551276242259402</v>
      </c>
      <c r="I1175">
        <v>0.71773347324239201</v>
      </c>
    </row>
    <row r="1176" spans="1:9" x14ac:dyDescent="0.25">
      <c r="A1176" s="1" t="s">
        <v>1188</v>
      </c>
      <c r="B1176" t="str">
        <f>HYPERLINK("https://www.suredividend.com/sure-analysis-research-database/","Par Pacific Holdings Inc")</f>
        <v>Par Pacific Holdings Inc</v>
      </c>
      <c r="C1176">
        <v>-1.0958904109588E-2</v>
      </c>
      <c r="D1176">
        <v>8.0670183059260003E-3</v>
      </c>
      <c r="E1176">
        <v>0.52822201317027206</v>
      </c>
      <c r="F1176">
        <v>0.39741935483870899</v>
      </c>
      <c r="G1176">
        <v>0.39922480620154999</v>
      </c>
      <c r="H1176">
        <v>1.1166123778501631</v>
      </c>
      <c r="I1176">
        <v>0.80399777901166003</v>
      </c>
    </row>
    <row r="1177" spans="1:9" x14ac:dyDescent="0.25">
      <c r="A1177" s="1" t="s">
        <v>1189</v>
      </c>
      <c r="B1177" t="str">
        <f>HYPERLINK("https://www.suredividend.com/sure-analysis-research-database/","Patrick Industries, Inc.")</f>
        <v>Patrick Industries, Inc.</v>
      </c>
      <c r="C1177">
        <v>9.1421667337897E-2</v>
      </c>
      <c r="D1177">
        <v>-3.5183178721338013E-2</v>
      </c>
      <c r="E1177">
        <v>0.28105333152651701</v>
      </c>
      <c r="F1177">
        <v>0.37277051430771302</v>
      </c>
      <c r="G1177">
        <v>0.81308903092286811</v>
      </c>
      <c r="H1177">
        <v>8.2932950066534006E-2</v>
      </c>
      <c r="I1177">
        <v>0.88262864050129308</v>
      </c>
    </row>
    <row r="1178" spans="1:9" x14ac:dyDescent="0.25">
      <c r="A1178" s="1" t="s">
        <v>1190</v>
      </c>
      <c r="B1178" t="str">
        <f>HYPERLINK("https://www.suredividend.com/sure-analysis-research-database/","Payoneer Global Inc")</f>
        <v>Payoneer Global Inc</v>
      </c>
      <c r="C1178">
        <v>-5.4635761589402997E-2</v>
      </c>
      <c r="D1178">
        <v>0.16056910569105601</v>
      </c>
      <c r="E1178">
        <v>6.7289719626168004E-2</v>
      </c>
      <c r="F1178">
        <v>4.3875685557586003E-2</v>
      </c>
      <c r="G1178">
        <v>-0.159057437407952</v>
      </c>
      <c r="H1178">
        <v>-0.26700898587933197</v>
      </c>
      <c r="I1178">
        <v>-0.46132075471698097</v>
      </c>
    </row>
    <row r="1179" spans="1:9" x14ac:dyDescent="0.25">
      <c r="A1179" s="1" t="s">
        <v>1191</v>
      </c>
      <c r="B1179" t="str">
        <f>HYPERLINK("https://www.suredividend.com/sure-analysis-research-database/","PBF Energy Inc")</f>
        <v>PBF Energy Inc</v>
      </c>
      <c r="C1179">
        <v>7.4479737130330008E-3</v>
      </c>
      <c r="D1179">
        <v>2.0931425108386002E-2</v>
      </c>
      <c r="E1179">
        <v>0.47765207864103498</v>
      </c>
      <c r="F1179">
        <v>0.143967245573625</v>
      </c>
      <c r="G1179">
        <v>2.4814824718559999E-2</v>
      </c>
      <c r="H1179">
        <v>2.3541921932434802</v>
      </c>
      <c r="I1179">
        <v>0.14879936852254699</v>
      </c>
    </row>
    <row r="1180" spans="1:9" x14ac:dyDescent="0.25">
      <c r="A1180" s="1" t="s">
        <v>1192</v>
      </c>
      <c r="B1180" t="str">
        <f>HYPERLINK("https://www.suredividend.com/sure-analysis-research-database/","Pioneer Bancorp Inc")</f>
        <v>Pioneer Bancorp Inc</v>
      </c>
      <c r="C1180">
        <v>-2.3529411764705001E-2</v>
      </c>
      <c r="D1180">
        <v>-0.14959016393442601</v>
      </c>
      <c r="E1180">
        <v>-2.5821596244130999E-2</v>
      </c>
      <c r="F1180">
        <v>-0.27192982456140302</v>
      </c>
      <c r="G1180">
        <v>-0.20877025738798799</v>
      </c>
      <c r="H1180">
        <v>-0.35658914728682101</v>
      </c>
      <c r="I1180">
        <v>-0.43728813559322011</v>
      </c>
    </row>
    <row r="1181" spans="1:9" x14ac:dyDescent="0.25">
      <c r="A1181" s="1" t="s">
        <v>1193</v>
      </c>
      <c r="B1181" t="str">
        <f>HYPERLINK("https://www.suredividend.com/sure-analysis-research-database/","Prestige Consumer Healthcare Inc")</f>
        <v>Prestige Consumer Healthcare Inc</v>
      </c>
      <c r="C1181">
        <v>4.2169728783902002E-2</v>
      </c>
      <c r="D1181">
        <v>-0.11527035056446799</v>
      </c>
      <c r="E1181">
        <v>-3.9664624314737003E-2</v>
      </c>
      <c r="F1181">
        <v>-4.8562300319488001E-2</v>
      </c>
      <c r="G1181">
        <v>7.3346548927734012E-2</v>
      </c>
      <c r="H1181">
        <v>-3.3744321868916002E-2</v>
      </c>
      <c r="I1181">
        <v>0.57858468062549706</v>
      </c>
    </row>
    <row r="1182" spans="1:9" x14ac:dyDescent="0.25">
      <c r="A1182" s="1" t="s">
        <v>1194</v>
      </c>
      <c r="B1182" t="str">
        <f>HYPERLINK("https://www.suredividend.com/sure-analysis-research-database/","Pitney Bowes, Inc.")</f>
        <v>Pitney Bowes, Inc.</v>
      </c>
      <c r="C1182">
        <v>0.18786127167630001</v>
      </c>
      <c r="D1182">
        <v>0.20818390263977801</v>
      </c>
      <c r="E1182">
        <v>0.46482286691852498</v>
      </c>
      <c r="F1182">
        <v>0.12723183675708299</v>
      </c>
      <c r="G1182">
        <v>0.39819697227419598</v>
      </c>
      <c r="H1182">
        <v>-0.38148053394332399</v>
      </c>
      <c r="I1182">
        <v>-0.35917425470874298</v>
      </c>
    </row>
    <row r="1183" spans="1:9" x14ac:dyDescent="0.25">
      <c r="A1183" s="1" t="s">
        <v>1195</v>
      </c>
      <c r="B1183" t="str">
        <f>HYPERLINK("https://www.suredividend.com/sure-analysis-research-database/","PCB Bancorp.")</f>
        <v>PCB Bancorp.</v>
      </c>
      <c r="C1183">
        <v>4.6526867627784997E-2</v>
      </c>
      <c r="D1183">
        <v>9.3285468702590003E-3</v>
      </c>
      <c r="E1183">
        <v>0.23946416652437799</v>
      </c>
      <c r="F1183">
        <v>-5.7132904703708007E-2</v>
      </c>
      <c r="G1183">
        <v>-0.10417286042037099</v>
      </c>
      <c r="H1183">
        <v>-0.242812168108026</v>
      </c>
      <c r="I1183">
        <v>0.12960382523324099</v>
      </c>
    </row>
    <row r="1184" spans="1:9" x14ac:dyDescent="0.25">
      <c r="A1184" s="1" t="s">
        <v>1196</v>
      </c>
      <c r="B1184" t="str">
        <f>HYPERLINK("https://www.suredividend.com/sure-analysis-research-database/","PotlatchDeltic Corp")</f>
        <v>PotlatchDeltic Corp</v>
      </c>
      <c r="C1184">
        <v>1.7998244073748001E-2</v>
      </c>
      <c r="D1184">
        <v>-7.0218733147965007E-2</v>
      </c>
      <c r="E1184">
        <v>6.5832017704117007E-2</v>
      </c>
      <c r="F1184">
        <v>9.6300988750978006E-2</v>
      </c>
      <c r="G1184">
        <v>0.11792708647182799</v>
      </c>
      <c r="H1184">
        <v>-2.9621849618585001E-2</v>
      </c>
      <c r="I1184">
        <v>0.66940822034172809</v>
      </c>
    </row>
    <row r="1185" spans="1:9" x14ac:dyDescent="0.25">
      <c r="A1185" s="1" t="s">
        <v>1197</v>
      </c>
      <c r="B1185" t="str">
        <f>HYPERLINK("https://www.suredividend.com/sure-analysis-research-database/","Pacira BioSciences Inc")</f>
        <v>Pacira BioSciences Inc</v>
      </c>
      <c r="C1185">
        <v>8.3042568039078002E-2</v>
      </c>
      <c r="D1185">
        <v>-0.21377912867274501</v>
      </c>
      <c r="E1185">
        <v>-0.28048215113583602</v>
      </c>
      <c r="F1185">
        <v>-0.196063196063196</v>
      </c>
      <c r="G1185">
        <v>-0.37745687926193311</v>
      </c>
      <c r="H1185">
        <v>-0.44856990584473211</v>
      </c>
      <c r="I1185">
        <v>-0.38314785373608901</v>
      </c>
    </row>
    <row r="1186" spans="1:9" x14ac:dyDescent="0.25">
      <c r="A1186" s="1" t="s">
        <v>1198</v>
      </c>
      <c r="B1186" t="str">
        <f>HYPERLINK("https://www.suredividend.com/sure-analysis-research-database/","PureCycle Technologies Inc")</f>
        <v>PureCycle Technologies Inc</v>
      </c>
      <c r="C1186">
        <v>-2.3483365949119001E-2</v>
      </c>
      <c r="D1186">
        <v>-0.54512306289881507</v>
      </c>
      <c r="E1186">
        <v>-0.26074074074074</v>
      </c>
      <c r="F1186">
        <v>-0.261834319526627</v>
      </c>
      <c r="G1186">
        <v>-0.36675126903553301</v>
      </c>
      <c r="H1186">
        <v>-0.61820964039785709</v>
      </c>
      <c r="I1186">
        <v>-0.51078431372549005</v>
      </c>
    </row>
    <row r="1187" spans="1:9" x14ac:dyDescent="0.25">
      <c r="A1187" s="1" t="s">
        <v>1199</v>
      </c>
      <c r="B1187" t="str">
        <f>HYPERLINK("https://www.suredividend.com/sure-analysis-research-database/","Vaxcyte Inc")</f>
        <v>Vaxcyte Inc</v>
      </c>
      <c r="C1187">
        <v>5.9277812565225997E-2</v>
      </c>
      <c r="D1187">
        <v>2.1949254933548001E-2</v>
      </c>
      <c r="E1187">
        <v>2.7744025921425001E-2</v>
      </c>
      <c r="F1187">
        <v>5.8394160583941007E-2</v>
      </c>
      <c r="G1187">
        <v>0.18050709467317899</v>
      </c>
      <c r="H1187">
        <v>1.034068136272545</v>
      </c>
      <c r="I1187">
        <v>0.94072657743785804</v>
      </c>
    </row>
    <row r="1188" spans="1:9" x14ac:dyDescent="0.25">
      <c r="A1188" s="1" t="s">
        <v>1200</v>
      </c>
      <c r="B1188" t="str">
        <f>HYPERLINK("https://www.suredividend.com/sure-analysis-research-database/","Pure Cycle Corp.")</f>
        <v>Pure Cycle Corp.</v>
      </c>
      <c r="C1188">
        <v>4.1928721174004001E-2</v>
      </c>
      <c r="D1188">
        <v>-0.183237469186524</v>
      </c>
      <c r="E1188">
        <v>3.3264033264033002E-2</v>
      </c>
      <c r="F1188">
        <v>-5.1526717557252001E-2</v>
      </c>
      <c r="G1188">
        <v>0.17078916372202499</v>
      </c>
      <c r="H1188">
        <v>-0.35075114304376198</v>
      </c>
      <c r="I1188">
        <v>-1.4866204162537E-2</v>
      </c>
    </row>
    <row r="1189" spans="1:9" x14ac:dyDescent="0.25">
      <c r="A1189" s="1" t="s">
        <v>1201</v>
      </c>
      <c r="B1189" t="str">
        <f>HYPERLINK("https://www.suredividend.com/sure-analysis-research-database/","Pagerduty Inc")</f>
        <v>Pagerduty Inc</v>
      </c>
      <c r="C1189">
        <v>-2.2799817601459001E-2</v>
      </c>
      <c r="D1189">
        <v>-0.14142628205128199</v>
      </c>
      <c r="E1189">
        <v>-0.23491610139235999</v>
      </c>
      <c r="F1189">
        <v>-0.19314759036144499</v>
      </c>
      <c r="G1189">
        <v>3.3767486734200998E-2</v>
      </c>
      <c r="H1189">
        <v>-0.50553760959852301</v>
      </c>
      <c r="I1189">
        <v>-0.43973856209150303</v>
      </c>
    </row>
    <row r="1190" spans="1:9" x14ac:dyDescent="0.25">
      <c r="A1190" s="1" t="s">
        <v>1202</v>
      </c>
      <c r="B1190" t="str">
        <f>HYPERLINK("https://www.suredividend.com/sure-analysis-PDCO/","Patterson Companies Inc.")</f>
        <v>Patterson Companies Inc.</v>
      </c>
      <c r="C1190">
        <v>5.8523100149954002E-2</v>
      </c>
      <c r="D1190">
        <v>-4.9236304329899012E-2</v>
      </c>
      <c r="E1190">
        <v>0.236504897560355</v>
      </c>
      <c r="F1190">
        <v>0.169627995927154</v>
      </c>
      <c r="G1190">
        <v>0.20753926539098599</v>
      </c>
      <c r="H1190">
        <v>2.4552395997892999E-2</v>
      </c>
      <c r="I1190">
        <v>0.691351451204537</v>
      </c>
    </row>
    <row r="1191" spans="1:9" x14ac:dyDescent="0.25">
      <c r="A1191" s="1" t="s">
        <v>1203</v>
      </c>
      <c r="B1191" t="str">
        <f>HYPERLINK("https://www.suredividend.com/sure-analysis-research-database/","PDF Solutions Inc.")</f>
        <v>PDF Solutions Inc.</v>
      </c>
      <c r="C1191">
        <v>-0.13994990607388799</v>
      </c>
      <c r="D1191">
        <v>-0.35997204100652302</v>
      </c>
      <c r="E1191">
        <v>-0.25676406926406897</v>
      </c>
      <c r="F1191">
        <v>-3.6816269284712003E-2</v>
      </c>
      <c r="G1191">
        <v>0.17242851045667901</v>
      </c>
      <c r="H1191">
        <v>0.108555286521388</v>
      </c>
      <c r="I1191">
        <v>2.2741358760429078</v>
      </c>
    </row>
    <row r="1192" spans="1:9" x14ac:dyDescent="0.25">
      <c r="A1192" s="1" t="s">
        <v>1204</v>
      </c>
      <c r="B1192" t="str">
        <f>HYPERLINK("https://www.suredividend.com/sure-analysis-research-database/","PDL Biopharma Inc")</f>
        <v>PDL Biopharma Inc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 s="1" t="s">
        <v>1205</v>
      </c>
      <c r="B1193" t="str">
        <f>HYPERLINK("https://www.suredividend.com/sure-analysis-PDM/","Piedmont Office Realty Trust Inc")</f>
        <v>Piedmont Office Realty Trust Inc</v>
      </c>
      <c r="C1193">
        <v>0.16858237547892699</v>
      </c>
      <c r="D1193">
        <v>-0.13396558577999801</v>
      </c>
      <c r="E1193">
        <v>2.1638641388087999E-2</v>
      </c>
      <c r="F1193">
        <v>-0.28369285689122697</v>
      </c>
      <c r="G1193">
        <v>-0.34772613051893198</v>
      </c>
      <c r="H1193">
        <v>-0.61581579311995305</v>
      </c>
      <c r="I1193">
        <v>-0.54612082114928107</v>
      </c>
    </row>
    <row r="1194" spans="1:9" x14ac:dyDescent="0.25">
      <c r="A1194" s="1" t="s">
        <v>1206</v>
      </c>
      <c r="B1194" t="str">
        <f>HYPERLINK("https://www.suredividend.com/sure-analysis-research-database/","Pebblebrook Hotel Trust")</f>
        <v>Pebblebrook Hotel Trust</v>
      </c>
      <c r="C1194">
        <v>-1.1520737327188E-2</v>
      </c>
      <c r="D1194">
        <v>-0.10309213689866401</v>
      </c>
      <c r="E1194">
        <v>-8.7822752691525008E-2</v>
      </c>
      <c r="F1194">
        <v>-3.6691067498988997E-2</v>
      </c>
      <c r="G1194">
        <v>-0.142285904698433</v>
      </c>
      <c r="H1194">
        <v>-0.47309811756421399</v>
      </c>
      <c r="I1194">
        <v>-0.58316599515475009</v>
      </c>
    </row>
    <row r="1195" spans="1:9" x14ac:dyDescent="0.25">
      <c r="A1195" s="1" t="s">
        <v>1207</v>
      </c>
      <c r="B1195" t="str">
        <f>HYPERLINK("https://www.suredividend.com/sure-analysis-research-database/","Peoples Bancorp, Inc. (Marietta, OH)")</f>
        <v>Peoples Bancorp, Inc. (Marietta, OH)</v>
      </c>
      <c r="C1195">
        <v>0.15694287594549999</v>
      </c>
      <c r="D1195">
        <v>5.6360230707887003E-2</v>
      </c>
      <c r="E1195">
        <v>0.26668979442976698</v>
      </c>
      <c r="F1195">
        <v>0.11482982013191601</v>
      </c>
      <c r="G1195">
        <v>5.9689385990370013E-2</v>
      </c>
      <c r="H1195">
        <v>3.3974484646495003E-2</v>
      </c>
      <c r="I1195">
        <v>0.116083674924954</v>
      </c>
    </row>
    <row r="1196" spans="1:9" x14ac:dyDescent="0.25">
      <c r="A1196" s="1" t="s">
        <v>1208</v>
      </c>
      <c r="B1196" t="str">
        <f>HYPERLINK("https://www.suredividend.com/sure-analysis-PECO/","Phillips Edison &amp; Company Inc")</f>
        <v>Phillips Edison &amp; Company Inc</v>
      </c>
      <c r="C1196">
        <v>7.8557333513656E-2</v>
      </c>
      <c r="D1196">
        <v>-1.258033483044E-3</v>
      </c>
      <c r="E1196">
        <v>0.18289936759212999</v>
      </c>
      <c r="F1196">
        <v>0.14348467913018201</v>
      </c>
      <c r="G1196">
        <v>0.187410538141629</v>
      </c>
      <c r="H1196">
        <v>0.17445845717192801</v>
      </c>
      <c r="I1196">
        <v>0.36388370646766099</v>
      </c>
    </row>
    <row r="1197" spans="1:9" x14ac:dyDescent="0.25">
      <c r="A1197" s="1" t="s">
        <v>1209</v>
      </c>
      <c r="B1197" t="str">
        <f>HYPERLINK("https://www.suredividend.com/sure-analysis-research-database/","PepGen Inc")</f>
        <v>PepGen Inc</v>
      </c>
      <c r="C1197">
        <v>9.8532494758909003E-2</v>
      </c>
      <c r="D1197">
        <v>3.8314176245210002E-3</v>
      </c>
      <c r="E1197">
        <v>-0.64353741496598604</v>
      </c>
      <c r="F1197">
        <v>-0.60807778608825702</v>
      </c>
      <c r="G1197">
        <v>-0.51255813953488305</v>
      </c>
      <c r="H1197">
        <v>-0.59348332040341301</v>
      </c>
      <c r="I1197">
        <v>-0.59348332040341301</v>
      </c>
    </row>
    <row r="1198" spans="1:9" x14ac:dyDescent="0.25">
      <c r="A1198" s="1" t="s">
        <v>1210</v>
      </c>
      <c r="B1198" t="str">
        <f>HYPERLINK("https://www.suredividend.com/sure-analysis-research-database/","PetIQ Inc")</f>
        <v>PetIQ Inc</v>
      </c>
      <c r="C1198">
        <v>-8.5354477611940011E-2</v>
      </c>
      <c r="D1198">
        <v>0.15420835785756301</v>
      </c>
      <c r="E1198">
        <v>0.71266375545851501</v>
      </c>
      <c r="F1198">
        <v>1.126898047722342</v>
      </c>
      <c r="G1198">
        <v>1.4120541205412049</v>
      </c>
      <c r="H1198">
        <v>-0.23368503321610001</v>
      </c>
      <c r="I1198">
        <v>-0.38985687616677001</v>
      </c>
    </row>
    <row r="1199" spans="1:9" x14ac:dyDescent="0.25">
      <c r="A1199" s="1" t="s">
        <v>1211</v>
      </c>
      <c r="B1199" t="str">
        <f>HYPERLINK("https://www.suredividend.com/sure-analysis-PETS/","Petmed Express, Inc.")</f>
        <v>Petmed Express, Inc.</v>
      </c>
      <c r="C1199">
        <v>-0.26950354609929</v>
      </c>
      <c r="D1199">
        <v>-0.44414034492594912</v>
      </c>
      <c r="E1199">
        <v>-0.49612132224474098</v>
      </c>
      <c r="F1199">
        <v>-0.57665930762365503</v>
      </c>
      <c r="G1199">
        <v>-0.65878706135680609</v>
      </c>
      <c r="H1199">
        <v>-0.74562427894538108</v>
      </c>
      <c r="I1199">
        <v>-0.6825131222038251</v>
      </c>
    </row>
    <row r="1200" spans="1:9" x14ac:dyDescent="0.25">
      <c r="A1200" s="1" t="s">
        <v>1212</v>
      </c>
      <c r="B1200" t="str">
        <f>HYPERLINK("https://www.suredividend.com/sure-analysis-research-database/","Preferred Bank (Los Angeles, CA)")</f>
        <v>Preferred Bank (Los Angeles, CA)</v>
      </c>
      <c r="C1200">
        <v>3.3730809190385E-2</v>
      </c>
      <c r="D1200">
        <v>-2.7351704896848999E-2</v>
      </c>
      <c r="E1200">
        <v>0.49031226486079699</v>
      </c>
      <c r="F1200">
        <v>-9.2538715293686014E-2</v>
      </c>
      <c r="G1200">
        <v>-0.10524963506946999</v>
      </c>
      <c r="H1200">
        <v>1.309696652769E-3</v>
      </c>
      <c r="I1200">
        <v>0.42224655714455611</v>
      </c>
    </row>
    <row r="1201" spans="1:9" x14ac:dyDescent="0.25">
      <c r="A1201" s="1" t="s">
        <v>1213</v>
      </c>
      <c r="B1201" t="str">
        <f>HYPERLINK("https://www.suredividend.com/sure-analysis-research-database/","Premier Financial Corp")</f>
        <v>Premier Financial Corp</v>
      </c>
      <c r="C1201">
        <v>0.155489614243323</v>
      </c>
      <c r="D1201">
        <v>-8.1603773584905004E-2</v>
      </c>
      <c r="E1201">
        <v>0.398465781761765</v>
      </c>
      <c r="F1201">
        <v>-0.21552352825042001</v>
      </c>
      <c r="G1201">
        <v>-0.25304135319596199</v>
      </c>
      <c r="H1201">
        <v>-0.29719310404574201</v>
      </c>
      <c r="I1201">
        <v>-0.24508256788246999</v>
      </c>
    </row>
    <row r="1202" spans="1:9" x14ac:dyDescent="0.25">
      <c r="A1202" s="1" t="s">
        <v>1214</v>
      </c>
      <c r="B1202" t="str">
        <f>HYPERLINK("https://www.suredividend.com/sure-analysis-research-database/","Peoples Financial Services Corp")</f>
        <v>Peoples Financial Services Corp</v>
      </c>
      <c r="C1202">
        <v>6.2578222778470003E-3</v>
      </c>
      <c r="D1202">
        <v>-0.107138890986544</v>
      </c>
      <c r="E1202">
        <v>0.116167491760629</v>
      </c>
      <c r="F1202">
        <v>-0.186132672521652</v>
      </c>
      <c r="G1202">
        <v>-0.24140637973460499</v>
      </c>
      <c r="H1202">
        <v>-5.4815971258880998E-2</v>
      </c>
      <c r="I1202">
        <v>0.17608509941137199</v>
      </c>
    </row>
    <row r="1203" spans="1:9" x14ac:dyDescent="0.25">
      <c r="A1203" s="1" t="s">
        <v>1215</v>
      </c>
      <c r="B1203" t="str">
        <f>HYPERLINK("https://www.suredividend.com/sure-analysis-research-database/","Provident Financial Services Inc")</f>
        <v>Provident Financial Services Inc</v>
      </c>
      <c r="C1203">
        <v>2.9840848806364999E-2</v>
      </c>
      <c r="D1203">
        <v>-0.1409067775983</v>
      </c>
      <c r="E1203">
        <v>5.5450214420181998E-2</v>
      </c>
      <c r="F1203">
        <v>-0.243940079938853</v>
      </c>
      <c r="G1203">
        <v>-0.27076876843034497</v>
      </c>
      <c r="H1203">
        <v>-0.32402434034699801</v>
      </c>
      <c r="I1203">
        <v>-0.20872693181702301</v>
      </c>
    </row>
    <row r="1204" spans="1:9" x14ac:dyDescent="0.25">
      <c r="A1204" s="1" t="s">
        <v>1216</v>
      </c>
      <c r="B1204" t="str">
        <f>HYPERLINK("https://www.suredividend.com/sure-analysis-research-database/","PennyMac Financial Services Inc.")</f>
        <v>PennyMac Financial Services Inc.</v>
      </c>
      <c r="C1204">
        <v>0.112030651340996</v>
      </c>
      <c r="D1204">
        <v>-3.6077995849927012E-2</v>
      </c>
      <c r="E1204">
        <v>0.27625818548309</v>
      </c>
      <c r="F1204">
        <v>0.29236337211373298</v>
      </c>
      <c r="G1204">
        <v>0.43254822214763711</v>
      </c>
      <c r="H1204">
        <v>0.158265411347042</v>
      </c>
      <c r="I1204">
        <v>2.8571944970124821</v>
      </c>
    </row>
    <row r="1205" spans="1:9" x14ac:dyDescent="0.25">
      <c r="A1205" s="1" t="s">
        <v>1217</v>
      </c>
      <c r="B1205" t="str">
        <f>HYPERLINK("https://www.suredividend.com/sure-analysis-research-database/","PFSWEB Inc")</f>
        <v>PFSWEB Inc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25">
      <c r="A1206" s="1" t="s">
        <v>1218</v>
      </c>
      <c r="B1206" t="str">
        <f>HYPERLINK("https://www.suredividend.com/sure-analysis-research-database/","Peapack-Gladstone Financial Corp.")</f>
        <v>Peapack-Gladstone Financial Corp.</v>
      </c>
      <c r="C1206">
        <v>-2.3373587845730002E-3</v>
      </c>
      <c r="D1206">
        <v>-0.12949190335694499</v>
      </c>
      <c r="E1206">
        <v>7.4281016141480999E-2</v>
      </c>
      <c r="F1206">
        <v>-0.30700999572462201</v>
      </c>
      <c r="G1206">
        <v>-0.34135401771477297</v>
      </c>
      <c r="H1206">
        <v>-0.25950128380097598</v>
      </c>
      <c r="I1206">
        <v>-3.8313500035673E-2</v>
      </c>
    </row>
    <row r="1207" spans="1:9" x14ac:dyDescent="0.25">
      <c r="A1207" s="1" t="s">
        <v>1219</v>
      </c>
      <c r="B1207" t="str">
        <f>HYPERLINK("https://www.suredividend.com/sure-analysis-research-database/","Precigen Inc")</f>
        <v>Precigen Inc</v>
      </c>
      <c r="C1207">
        <v>-7.6335877862595006E-2</v>
      </c>
      <c r="D1207">
        <v>9.0090090090090003E-2</v>
      </c>
      <c r="E1207">
        <v>8.3333333333330002E-3</v>
      </c>
      <c r="F1207">
        <v>-0.20394736842105199</v>
      </c>
      <c r="G1207">
        <v>-0.25308641975308599</v>
      </c>
      <c r="H1207">
        <v>-0.7699619771863111</v>
      </c>
      <c r="I1207">
        <v>-0.90663580246913511</v>
      </c>
    </row>
    <row r="1208" spans="1:9" x14ac:dyDescent="0.25">
      <c r="A1208" s="1" t="s">
        <v>1220</v>
      </c>
      <c r="B1208" t="str">
        <f>HYPERLINK("https://www.suredividend.com/sure-analysis-research-database/","Progyny Inc")</f>
        <v>Progyny Inc</v>
      </c>
      <c r="C1208">
        <v>-3.9445950015055013E-2</v>
      </c>
      <c r="D1208">
        <v>-0.256410256410256</v>
      </c>
      <c r="E1208">
        <v>-4.6622833233710997E-2</v>
      </c>
      <c r="F1208">
        <v>2.4077046548956E-2</v>
      </c>
      <c r="G1208">
        <v>-0.18601684103087501</v>
      </c>
      <c r="H1208">
        <v>-0.47080291970802901</v>
      </c>
      <c r="I1208">
        <v>1.001254705144291</v>
      </c>
    </row>
    <row r="1209" spans="1:9" x14ac:dyDescent="0.25">
      <c r="A1209" s="1" t="s">
        <v>1221</v>
      </c>
      <c r="B1209" t="str">
        <f>HYPERLINK("https://www.suredividend.com/sure-analysis-PGRE/","Paramount Group Inc")</f>
        <v>Paramount Group Inc</v>
      </c>
      <c r="C1209">
        <v>0.112903225806451</v>
      </c>
      <c r="D1209">
        <v>5.6843025797990001E-3</v>
      </c>
      <c r="E1209">
        <v>8.7592884485476002E-2</v>
      </c>
      <c r="F1209">
        <v>-0.159634623749456</v>
      </c>
      <c r="G1209">
        <v>-0.223946784922394</v>
      </c>
      <c r="H1209">
        <v>-0.40886337767877901</v>
      </c>
      <c r="I1209">
        <v>-0.58918091349834101</v>
      </c>
    </row>
    <row r="1210" spans="1:9" x14ac:dyDescent="0.25">
      <c r="A1210" s="1" t="s">
        <v>1222</v>
      </c>
      <c r="B1210" t="str">
        <f>HYPERLINK("https://www.suredividend.com/sure-analysis-research-database/","PGT Innovations Inc")</f>
        <v>PGT Innovations Inc</v>
      </c>
      <c r="C1210">
        <v>0.17039848197343399</v>
      </c>
      <c r="D1210">
        <v>0.16070756492284499</v>
      </c>
      <c r="E1210">
        <v>0.23064644852354299</v>
      </c>
      <c r="F1210">
        <v>0.71714922048997709</v>
      </c>
      <c r="G1210">
        <v>0.48340548340548312</v>
      </c>
      <c r="H1210">
        <v>0.40950639853747711</v>
      </c>
      <c r="I1210">
        <v>0.37494427106553702</v>
      </c>
    </row>
    <row r="1211" spans="1:9" x14ac:dyDescent="0.25">
      <c r="A1211" s="1" t="s">
        <v>1223</v>
      </c>
      <c r="B1211" t="str">
        <f>HYPERLINK("https://www.suredividend.com/sure-analysis-research-database/","Phathom Pharmaceuticals Inc")</f>
        <v>Phathom Pharmaceuticals Inc</v>
      </c>
      <c r="C1211">
        <v>-0.130478087649402</v>
      </c>
      <c r="D1211">
        <v>-0.40409556313993111</v>
      </c>
      <c r="E1211">
        <v>-0.253846153846153</v>
      </c>
      <c r="F1211">
        <v>-0.22192513368983899</v>
      </c>
      <c r="G1211">
        <v>-0.121730382293762</v>
      </c>
      <c r="H1211">
        <v>-0.63365505665127908</v>
      </c>
      <c r="I1211">
        <v>-0.6451219512195121</v>
      </c>
    </row>
    <row r="1212" spans="1:9" x14ac:dyDescent="0.25">
      <c r="A1212" s="1" t="s">
        <v>1224</v>
      </c>
      <c r="B1212" t="str">
        <f>HYPERLINK("https://www.suredividend.com/sure-analysis-research-database/","Phreesia Inc")</f>
        <v>Phreesia Inc</v>
      </c>
      <c r="C1212">
        <v>-8.2491582491582005E-2</v>
      </c>
      <c r="D1212">
        <v>-0.45336008024072211</v>
      </c>
      <c r="E1212">
        <v>-0.46498691099476402</v>
      </c>
      <c r="F1212">
        <v>-0.49474660074165611</v>
      </c>
      <c r="G1212">
        <v>-0.32826622843056602</v>
      </c>
      <c r="H1212">
        <v>-0.77997577714977806</v>
      </c>
      <c r="I1212">
        <v>-0.348086124401913</v>
      </c>
    </row>
    <row r="1213" spans="1:9" x14ac:dyDescent="0.25">
      <c r="A1213" s="1" t="s">
        <v>1225</v>
      </c>
      <c r="B1213" t="str">
        <f>HYPERLINK("https://www.suredividend.com/sure-analysis-research-database/","Impinj Inc")</f>
        <v>Impinj Inc</v>
      </c>
      <c r="C1213">
        <v>0.34428794992175199</v>
      </c>
      <c r="D1213">
        <v>0.13175230566534901</v>
      </c>
      <c r="E1213">
        <v>-0.203615714451269</v>
      </c>
      <c r="F1213">
        <v>-0.37058069243451103</v>
      </c>
      <c r="G1213">
        <v>-0.38417420915852601</v>
      </c>
      <c r="H1213">
        <v>-0.123357571118765</v>
      </c>
      <c r="I1213">
        <v>2.0747203579418341</v>
      </c>
    </row>
    <row r="1214" spans="1:9" x14ac:dyDescent="0.25">
      <c r="A1214" s="1" t="s">
        <v>1226</v>
      </c>
      <c r="B1214" t="str">
        <f>HYPERLINK("https://www.suredividend.com/sure-analysis-research-database/","P3 Health Partners Inc")</f>
        <v>P3 Health Partners Inc</v>
      </c>
      <c r="C1214">
        <v>-0.19473684210526301</v>
      </c>
      <c r="D1214">
        <v>-0.31081081081081002</v>
      </c>
      <c r="E1214">
        <v>-9.4674556213017014E-2</v>
      </c>
      <c r="F1214">
        <v>-0.16847826086956499</v>
      </c>
      <c r="G1214">
        <v>-0.69153225806451601</v>
      </c>
      <c r="H1214">
        <v>-0.84653961885656903</v>
      </c>
      <c r="I1214">
        <v>-0.84195357773714707</v>
      </c>
    </row>
    <row r="1215" spans="1:9" x14ac:dyDescent="0.25">
      <c r="A1215" s="1" t="s">
        <v>1227</v>
      </c>
      <c r="B1215" t="str">
        <f>HYPERLINK("https://www.suredividend.com/sure-analysis-research-database/","Piper Sandler Co`s")</f>
        <v>Piper Sandler Co`s</v>
      </c>
      <c r="C1215">
        <v>2.8039368406145002E-2</v>
      </c>
      <c r="D1215">
        <v>-2.374506964028E-2</v>
      </c>
      <c r="E1215">
        <v>0.17738455038571699</v>
      </c>
      <c r="F1215">
        <v>0.12992371711360801</v>
      </c>
      <c r="G1215">
        <v>8.9741761450206001E-2</v>
      </c>
      <c r="H1215">
        <v>-0.12213927385276201</v>
      </c>
      <c r="I1215">
        <v>1.116941363100862</v>
      </c>
    </row>
    <row r="1216" spans="1:9" x14ac:dyDescent="0.25">
      <c r="A1216" s="1" t="s">
        <v>1228</v>
      </c>
      <c r="B1216" t="str">
        <f>HYPERLINK("https://www.suredividend.com/sure-analysis-research-database/","PJT Partners Inc")</f>
        <v>PJT Partners Inc</v>
      </c>
      <c r="C1216">
        <v>8.1337844872462012E-2</v>
      </c>
      <c r="D1216">
        <v>3.2090576537298E-2</v>
      </c>
      <c r="E1216">
        <v>0.35811691018187197</v>
      </c>
      <c r="F1216">
        <v>0.13899619192270801</v>
      </c>
      <c r="G1216">
        <v>0.10626184947702499</v>
      </c>
      <c r="H1216">
        <v>2.6000069149120002E-2</v>
      </c>
      <c r="I1216">
        <v>0.96195104213153404</v>
      </c>
    </row>
    <row r="1217" spans="1:9" x14ac:dyDescent="0.25">
      <c r="A1217" s="1" t="s">
        <v>1229</v>
      </c>
      <c r="B1217" t="str">
        <f>HYPERLINK("https://www.suredividend.com/sure-analysis-research-database/","Parke Bancorp Inc")</f>
        <v>Parke Bancorp Inc</v>
      </c>
      <c r="C1217">
        <v>0.113453192808431</v>
      </c>
      <c r="D1217">
        <v>-1.4864790741045001E-2</v>
      </c>
      <c r="E1217">
        <v>0.223000027238307</v>
      </c>
      <c r="F1217">
        <v>-6.8527537043664002E-2</v>
      </c>
      <c r="G1217">
        <v>-0.10932579533338201</v>
      </c>
      <c r="H1217">
        <v>-0.14512014013175401</v>
      </c>
      <c r="I1217">
        <v>0.225043824646844</v>
      </c>
    </row>
    <row r="1218" spans="1:9" x14ac:dyDescent="0.25">
      <c r="A1218" s="1" t="s">
        <v>1230</v>
      </c>
      <c r="B1218" t="str">
        <f>HYPERLINK("https://www.suredividend.com/sure-analysis-research-database/","Park Aerospace Corp")</f>
        <v>Park Aerospace Corp</v>
      </c>
      <c r="C1218">
        <v>-5.3571428571428013E-2</v>
      </c>
      <c r="D1218">
        <v>4.0242816786882997E-2</v>
      </c>
      <c r="E1218">
        <v>0.18564443450193299</v>
      </c>
      <c r="F1218">
        <v>0.22676057502335301</v>
      </c>
      <c r="G1218">
        <v>0.345116700657149</v>
      </c>
      <c r="H1218">
        <v>0.25997622686364402</v>
      </c>
      <c r="I1218">
        <v>0.33623872210916811</v>
      </c>
    </row>
    <row r="1219" spans="1:9" x14ac:dyDescent="0.25">
      <c r="A1219" s="1" t="s">
        <v>1231</v>
      </c>
      <c r="B1219" t="str">
        <f>HYPERLINK("https://www.suredividend.com/sure-analysis-research-database/","Planet Labs PBC")</f>
        <v>Planet Labs PBC</v>
      </c>
      <c r="C1219">
        <v>-0.116279069767441</v>
      </c>
      <c r="D1219">
        <v>-0.33137829912023398</v>
      </c>
      <c r="E1219">
        <v>-0.40469973890339411</v>
      </c>
      <c r="F1219">
        <v>-0.47586206896551703</v>
      </c>
      <c r="G1219">
        <v>-0.57062146892655308</v>
      </c>
      <c r="H1219">
        <v>-0.77514792899408202</v>
      </c>
      <c r="I1219">
        <v>-0.7696969696969691</v>
      </c>
    </row>
    <row r="1220" spans="1:9" x14ac:dyDescent="0.25">
      <c r="A1220" s="1" t="s">
        <v>1232</v>
      </c>
      <c r="B1220" t="str">
        <f>HYPERLINK("https://www.suredividend.com/sure-analysis-research-database/","Photronics, Inc.")</f>
        <v>Photronics, Inc.</v>
      </c>
      <c r="C1220">
        <v>-2.1717670286277999E-2</v>
      </c>
      <c r="D1220">
        <v>-0.23148507173322899</v>
      </c>
      <c r="E1220">
        <v>0.39185393258426898</v>
      </c>
      <c r="F1220">
        <v>0.17765894236482399</v>
      </c>
      <c r="G1220">
        <v>0.19613759806879799</v>
      </c>
      <c r="H1220">
        <v>0.43727338651196501</v>
      </c>
      <c r="I1220">
        <v>0.94695481335952802</v>
      </c>
    </row>
    <row r="1221" spans="1:9" x14ac:dyDescent="0.25">
      <c r="A1221" s="1" t="s">
        <v>1233</v>
      </c>
      <c r="B1221" t="str">
        <f>HYPERLINK("https://www.suredividend.com/sure-analysis-research-database/","Dave &amp; Buster`s Entertainment Inc")</f>
        <v>Dave &amp; Buster`s Entertainment Inc</v>
      </c>
      <c r="C1221">
        <v>1.5079586707623001E-2</v>
      </c>
      <c r="D1221">
        <v>-0.14911048689138501</v>
      </c>
      <c r="E1221">
        <v>1.4512977951437E-2</v>
      </c>
      <c r="F1221">
        <v>2.5677200902933999E-2</v>
      </c>
      <c r="G1221">
        <v>-3.6575669228730012E-2</v>
      </c>
      <c r="H1221">
        <v>-3.7850714663843002E-2</v>
      </c>
      <c r="I1221">
        <v>-0.39065889302752799</v>
      </c>
    </row>
    <row r="1222" spans="1:9" x14ac:dyDescent="0.25">
      <c r="A1222" s="1" t="s">
        <v>1234</v>
      </c>
      <c r="B1222" t="str">
        <f>HYPERLINK("https://www.suredividend.com/sure-analysis-research-database/","PLBY Group Inc")</f>
        <v>PLBY Group Inc</v>
      </c>
      <c r="C1222">
        <v>-2.5787965616044999E-2</v>
      </c>
      <c r="D1222">
        <v>-0.624309392265193</v>
      </c>
      <c r="E1222">
        <v>-0.62637362637362604</v>
      </c>
      <c r="F1222">
        <v>-0.75272727272727202</v>
      </c>
      <c r="G1222">
        <v>-0.81111111111111112</v>
      </c>
      <c r="H1222">
        <v>-0.97775596990513503</v>
      </c>
      <c r="I1222">
        <v>-0.93117408906882604</v>
      </c>
    </row>
    <row r="1223" spans="1:9" x14ac:dyDescent="0.25">
      <c r="A1223" s="1" t="s">
        <v>1235</v>
      </c>
      <c r="B1223" t="str">
        <f>HYPERLINK("https://www.suredividend.com/sure-analysis-research-database/","Childrens Place Inc")</f>
        <v>Childrens Place Inc</v>
      </c>
      <c r="C1223">
        <v>0.179541595925297</v>
      </c>
      <c r="D1223">
        <v>-0.104703608247422</v>
      </c>
      <c r="E1223">
        <v>6.5976217874952003E-2</v>
      </c>
      <c r="F1223">
        <v>-0.236957715540911</v>
      </c>
      <c r="G1223">
        <v>-0.26964520367936901</v>
      </c>
      <c r="H1223">
        <v>-0.72210000000000008</v>
      </c>
      <c r="I1223">
        <v>-0.81816409202113904</v>
      </c>
    </row>
    <row r="1224" spans="1:9" x14ac:dyDescent="0.25">
      <c r="A1224" s="1" t="s">
        <v>1236</v>
      </c>
      <c r="B1224" t="str">
        <f>HYPERLINK("https://www.suredividend.com/sure-analysis-research-database/","Piedmont Lithium Inc")</f>
        <v>Piedmont Lithium Inc</v>
      </c>
      <c r="C1224">
        <v>-0.17694896242288199</v>
      </c>
      <c r="D1224">
        <v>-0.43230174081237899</v>
      </c>
      <c r="E1224">
        <v>-0.43361636433809297</v>
      </c>
      <c r="F1224">
        <v>-0.33325761017719202</v>
      </c>
      <c r="G1224">
        <v>-0.52322936972059708</v>
      </c>
      <c r="H1224">
        <v>-0.55791534869709203</v>
      </c>
      <c r="I1224">
        <v>-0.55163458600672099</v>
      </c>
    </row>
    <row r="1225" spans="1:9" x14ac:dyDescent="0.25">
      <c r="A1225" s="1" t="s">
        <v>1237</v>
      </c>
      <c r="B1225" t="str">
        <f>HYPERLINK("https://www.suredividend.com/sure-analysis-research-database/","Polymet Mining Corp")</f>
        <v>Polymet Mining Corp</v>
      </c>
      <c r="C1225">
        <v>9.5693779904300006E-3</v>
      </c>
      <c r="D1225">
        <v>1.4423076923075999E-2</v>
      </c>
      <c r="E1225">
        <v>0.37908496732026098</v>
      </c>
      <c r="F1225">
        <v>-0.20377358490566</v>
      </c>
      <c r="G1225">
        <v>-0.29666666666666602</v>
      </c>
      <c r="H1225">
        <v>-0.36445783132530102</v>
      </c>
      <c r="I1225">
        <v>-0.75737086610551507</v>
      </c>
    </row>
    <row r="1226" spans="1:9" x14ac:dyDescent="0.25">
      <c r="A1226" s="1" t="s">
        <v>1238</v>
      </c>
      <c r="B1226" t="str">
        <f>HYPERLINK("https://www.suredividend.com/sure-analysis-research-database/","Palomar Holdings Inc")</f>
        <v>Palomar Holdings Inc</v>
      </c>
      <c r="C1226">
        <v>0.13927632908833601</v>
      </c>
      <c r="D1226">
        <v>-3.6910457963089012E-2</v>
      </c>
      <c r="E1226">
        <v>0.14692714692714601</v>
      </c>
      <c r="F1226">
        <v>0.24800708591674001</v>
      </c>
      <c r="G1226">
        <v>-0.16503703703703701</v>
      </c>
      <c r="H1226">
        <v>-0.38018255801165701</v>
      </c>
      <c r="I1226">
        <v>1.9678778304370721</v>
      </c>
    </row>
    <row r="1227" spans="1:9" x14ac:dyDescent="0.25">
      <c r="A1227" s="1" t="s">
        <v>1239</v>
      </c>
      <c r="B1227" t="str">
        <f>HYPERLINK("https://www.suredividend.com/sure-analysis-research-database/","Douglas Dynamics Inc")</f>
        <v>Douglas Dynamics Inc</v>
      </c>
      <c r="C1227">
        <v>-8.1618887015177E-2</v>
      </c>
      <c r="D1227">
        <v>-0.13919552874827701</v>
      </c>
      <c r="E1227">
        <v>4.1340013002409012E-2</v>
      </c>
      <c r="F1227">
        <v>-0.225088575534654</v>
      </c>
      <c r="G1227">
        <v>-0.24860372193646599</v>
      </c>
      <c r="H1227">
        <v>-0.31888560379803199</v>
      </c>
      <c r="I1227">
        <v>-0.27700542710579101</v>
      </c>
    </row>
    <row r="1228" spans="1:9" x14ac:dyDescent="0.25">
      <c r="A1228" s="1" t="s">
        <v>1240</v>
      </c>
      <c r="B1228" t="str">
        <f>HYPERLINK("https://www.suredividend.com/sure-analysis-research-database/","Preformed Line Products Co.")</f>
        <v>Preformed Line Products Co.</v>
      </c>
      <c r="C1228">
        <v>-0.27548157845520799</v>
      </c>
      <c r="D1228">
        <v>-0.28860388972442103</v>
      </c>
      <c r="E1228">
        <v>-0.22119277723647399</v>
      </c>
      <c r="F1228">
        <v>0.40805652580043611</v>
      </c>
      <c r="G1228">
        <v>0.42205668404572799</v>
      </c>
      <c r="H1228">
        <v>0.71381551783123109</v>
      </c>
      <c r="I1228">
        <v>0.94904183010701104</v>
      </c>
    </row>
    <row r="1229" spans="1:9" x14ac:dyDescent="0.25">
      <c r="A1229" s="1" t="s">
        <v>1241</v>
      </c>
      <c r="B1229" t="str">
        <f>HYPERLINK("https://www.suredividend.com/sure-analysis-research-database/","ePlus Inc")</f>
        <v>ePlus Inc</v>
      </c>
      <c r="C1229">
        <v>1.8008142812402001E-2</v>
      </c>
      <c r="D1229">
        <v>0.114711934156378</v>
      </c>
      <c r="E1229">
        <v>0.48086560364464698</v>
      </c>
      <c r="F1229">
        <v>0.46815718157181502</v>
      </c>
      <c r="G1229">
        <v>0.32999181669394401</v>
      </c>
      <c r="H1229">
        <v>0.11518998198816301</v>
      </c>
      <c r="I1229">
        <v>0.49328126794533111</v>
      </c>
    </row>
    <row r="1230" spans="1:9" x14ac:dyDescent="0.25">
      <c r="A1230" s="1" t="s">
        <v>1242</v>
      </c>
      <c r="B1230" t="str">
        <f>HYPERLINK("https://www.suredividend.com/sure-analysis-research-database/","Plexus Corp.")</f>
        <v>Plexus Corp.</v>
      </c>
      <c r="C1230">
        <v>6.0145547945205012E-2</v>
      </c>
      <c r="D1230">
        <v>5.6852791878170003E-3</v>
      </c>
      <c r="E1230">
        <v>0.16926345609065099</v>
      </c>
      <c r="F1230">
        <v>-3.7598367822792002E-2</v>
      </c>
      <c r="G1230">
        <v>-2.0662382600097999E-2</v>
      </c>
      <c r="H1230">
        <v>6.964690638160001E-2</v>
      </c>
      <c r="I1230">
        <v>0.64606181455633105</v>
      </c>
    </row>
    <row r="1231" spans="1:9" x14ac:dyDescent="0.25">
      <c r="A1231" s="1" t="s">
        <v>1243</v>
      </c>
      <c r="B1231" t="str">
        <f>HYPERLINK("https://www.suredividend.com/sure-analysis-PLYM/","Plymouth Industrial Reit Inc")</f>
        <v>Plymouth Industrial Reit Inc</v>
      </c>
      <c r="C1231">
        <v>4.8672566371681013E-2</v>
      </c>
      <c r="D1231">
        <v>-4.1262135922330002E-2</v>
      </c>
      <c r="E1231">
        <v>5.2491340261124002E-2</v>
      </c>
      <c r="F1231">
        <v>0.14804568500597401</v>
      </c>
      <c r="G1231">
        <v>0.173932425961903</v>
      </c>
      <c r="H1231">
        <v>-0.123499100076431</v>
      </c>
      <c r="I1231">
        <v>1.132765395806461</v>
      </c>
    </row>
    <row r="1232" spans="1:9" x14ac:dyDescent="0.25">
      <c r="A1232" s="1" t="s">
        <v>1244</v>
      </c>
      <c r="B1232" t="str">
        <f>HYPERLINK("https://www.suredividend.com/sure-analysis-PMT/","Pennymac Mortgage Investment Trust")</f>
        <v>Pennymac Mortgage Investment Trust</v>
      </c>
      <c r="C1232">
        <v>0.21916542262031699</v>
      </c>
      <c r="D1232">
        <v>0.12530962418595501</v>
      </c>
      <c r="E1232">
        <v>0.25090033825366298</v>
      </c>
      <c r="F1232">
        <v>0.21748853058363099</v>
      </c>
      <c r="G1232">
        <v>0.12496822702711501</v>
      </c>
      <c r="H1232">
        <v>-0.116673748728447</v>
      </c>
      <c r="I1232">
        <v>0.14638079561501</v>
      </c>
    </row>
    <row r="1233" spans="1:9" x14ac:dyDescent="0.25">
      <c r="A1233" s="1" t="s">
        <v>1245</v>
      </c>
      <c r="B1233" t="str">
        <f>HYPERLINK("https://www.suredividend.com/sure-analysis-research-database/","PMV Pharmaceuticals Inc")</f>
        <v>PMV Pharmaceuticals Inc</v>
      </c>
      <c r="C1233">
        <v>-0.673504273504273</v>
      </c>
      <c r="D1233">
        <v>-0.71060606060606002</v>
      </c>
      <c r="E1233">
        <v>-0.59873949579831909</v>
      </c>
      <c r="F1233">
        <v>-0.78045977011494205</v>
      </c>
      <c r="G1233">
        <v>-0.83067375886524808</v>
      </c>
      <c r="H1233">
        <v>-0.92341619887730508</v>
      </c>
      <c r="I1233">
        <v>-0.94908024526792811</v>
      </c>
    </row>
    <row r="1234" spans="1:9" x14ac:dyDescent="0.25">
      <c r="A1234" s="1" t="s">
        <v>1246</v>
      </c>
      <c r="B1234" t="str">
        <f>HYPERLINK("https://www.suredividend.com/sure-analysis-PNM/","PNM Resources Inc")</f>
        <v>PNM Resources Inc</v>
      </c>
      <c r="C1234">
        <v>-1.6455807782060999E-2</v>
      </c>
      <c r="D1234">
        <v>-2.7482785986577E-2</v>
      </c>
      <c r="E1234">
        <v>-9.8459300965754004E-2</v>
      </c>
      <c r="F1234">
        <v>-0.10296444861932599</v>
      </c>
      <c r="G1234">
        <v>-6.7211380021163003E-2</v>
      </c>
      <c r="H1234">
        <v>-6.558327217752101E-2</v>
      </c>
      <c r="I1234">
        <v>0.27768570137110099</v>
      </c>
    </row>
    <row r="1235" spans="1:9" x14ac:dyDescent="0.25">
      <c r="A1235" s="1" t="s">
        <v>1247</v>
      </c>
      <c r="B1235" t="str">
        <f>HYPERLINK("https://www.suredividend.com/sure-analysis-research-database/","POINT Biopharma Global Inc")</f>
        <v>POINT Biopharma Global Inc</v>
      </c>
      <c r="C1235">
        <v>2.8225806451612E-2</v>
      </c>
      <c r="D1235">
        <v>0.44230769230769201</v>
      </c>
      <c r="E1235">
        <v>0.60377358490566002</v>
      </c>
      <c r="F1235">
        <v>0.748971193415637</v>
      </c>
      <c r="G1235">
        <v>0.49647887323943601</v>
      </c>
      <c r="H1235">
        <v>0.30769230769230699</v>
      </c>
      <c r="I1235">
        <v>6.0732113144758001E-2</v>
      </c>
    </row>
    <row r="1236" spans="1:9" x14ac:dyDescent="0.25">
      <c r="A1236" s="1" t="s">
        <v>1248</v>
      </c>
      <c r="B1236" t="str">
        <f>HYPERLINK("https://www.suredividend.com/sure-analysis-research-database/","Pennant Group Inc")</f>
        <v>Pennant Group Inc</v>
      </c>
      <c r="C1236">
        <v>6.2784349408553E-2</v>
      </c>
      <c r="D1236">
        <v>6.0853769300635012E-2</v>
      </c>
      <c r="E1236">
        <v>-9.876543209876501E-2</v>
      </c>
      <c r="F1236">
        <v>6.375227686703E-2</v>
      </c>
      <c r="G1236">
        <v>-0.120481927710843</v>
      </c>
      <c r="H1236">
        <v>-0.46909090909090911</v>
      </c>
      <c r="I1236">
        <v>-0.22597746852219999</v>
      </c>
    </row>
    <row r="1237" spans="1:9" x14ac:dyDescent="0.25">
      <c r="A1237" s="1" t="s">
        <v>1249</v>
      </c>
      <c r="B1237" t="str">
        <f>HYPERLINK("https://www.suredividend.com/sure-analysis-POR/","Portland General Electric Co")</f>
        <v>Portland General Electric Co</v>
      </c>
      <c r="C1237">
        <v>5.9443190368698003E-2</v>
      </c>
      <c r="D1237">
        <v>-8.3446709065935001E-2</v>
      </c>
      <c r="E1237">
        <v>-0.14650286418605499</v>
      </c>
      <c r="F1237">
        <v>-0.110639480532605</v>
      </c>
      <c r="G1237">
        <v>-3.0661302870151001E-2</v>
      </c>
      <c r="H1237">
        <v>-7.4035508458413002E-2</v>
      </c>
      <c r="I1237">
        <v>0.126517157784409</v>
      </c>
    </row>
    <row r="1238" spans="1:9" x14ac:dyDescent="0.25">
      <c r="A1238" s="1" t="s">
        <v>1250</v>
      </c>
      <c r="B1238" t="str">
        <f>HYPERLINK("https://www.suredividend.com/sure-analysis-research-database/","Power Integrations Inc.")</f>
        <v>Power Integrations Inc.</v>
      </c>
      <c r="C1238">
        <v>-1.2798522232484E-2</v>
      </c>
      <c r="D1238">
        <v>-0.10820388065999099</v>
      </c>
      <c r="E1238">
        <v>2.4986266389574002E-2</v>
      </c>
      <c r="F1238">
        <v>5.4854700179897013E-2</v>
      </c>
      <c r="G1238">
        <v>0.14655596471145299</v>
      </c>
      <c r="H1238">
        <v>-0.25195559323660599</v>
      </c>
      <c r="I1238">
        <v>1.6660585307102711</v>
      </c>
    </row>
    <row r="1239" spans="1:9" x14ac:dyDescent="0.25">
      <c r="A1239" s="1" t="s">
        <v>1251</v>
      </c>
      <c r="B1239" t="str">
        <f>HYPERLINK("https://www.suredividend.com/sure-analysis-research-database/","Powell Industries, Inc.")</f>
        <v>Powell Industries, Inc.</v>
      </c>
      <c r="C1239">
        <v>-3.8766202592414013E-2</v>
      </c>
      <c r="D1239">
        <v>-1.6547638928455E-2</v>
      </c>
      <c r="E1239">
        <v>0.69035428002178101</v>
      </c>
      <c r="F1239">
        <v>1.3267164218128571</v>
      </c>
      <c r="G1239">
        <v>2.1989678944887801</v>
      </c>
      <c r="H1239">
        <v>2.210058637979615</v>
      </c>
      <c r="I1239">
        <v>2.1416097562889078</v>
      </c>
    </row>
    <row r="1240" spans="1:9" x14ac:dyDescent="0.25">
      <c r="A1240" s="1" t="s">
        <v>1252</v>
      </c>
      <c r="B1240" t="str">
        <f>HYPERLINK("https://www.suredividend.com/sure-analysis-research-database/","AMMO Inc")</f>
        <v>AMMO Inc</v>
      </c>
      <c r="C1240">
        <v>0.54871794871794799</v>
      </c>
      <c r="D1240">
        <v>0.43127962085308003</v>
      </c>
      <c r="E1240">
        <v>0.66850828729281708</v>
      </c>
      <c r="F1240">
        <v>0.74566473988439308</v>
      </c>
      <c r="G1240">
        <v>-1.9480519480519001E-2</v>
      </c>
      <c r="H1240">
        <v>-0.53680981595092003</v>
      </c>
      <c r="I1240">
        <v>136.27272727272731</v>
      </c>
    </row>
    <row r="1241" spans="1:9" x14ac:dyDescent="0.25">
      <c r="A1241" s="1" t="s">
        <v>1253</v>
      </c>
      <c r="B1241" t="str">
        <f>HYPERLINK("https://www.suredividend.com/sure-analysis-research-database/","Pacific Premier Bancorp, Inc.")</f>
        <v>Pacific Premier Bancorp, Inc.</v>
      </c>
      <c r="C1241">
        <v>5.2195607798277997E-2</v>
      </c>
      <c r="D1241">
        <v>-0.12435475531993399</v>
      </c>
      <c r="E1241">
        <v>0.27834952735811702</v>
      </c>
      <c r="F1241">
        <v>-0.24814679105949999</v>
      </c>
      <c r="G1241">
        <v>-0.35025986560670302</v>
      </c>
      <c r="H1241">
        <v>-0.43287064720248902</v>
      </c>
      <c r="I1241">
        <v>-0.108857968496834</v>
      </c>
    </row>
    <row r="1242" spans="1:9" x14ac:dyDescent="0.25">
      <c r="A1242" s="1" t="s">
        <v>1254</v>
      </c>
      <c r="B1242" t="str">
        <f>HYPERLINK("https://www.suredividend.com/sure-analysis-research-database/","Permian Resources Corp")</f>
        <v>Permian Resources Corp</v>
      </c>
      <c r="C1242">
        <v>0.17777777777777701</v>
      </c>
      <c r="D1242">
        <v>0.24165397680684</v>
      </c>
      <c r="E1242">
        <v>0.53787164367804208</v>
      </c>
      <c r="F1242">
        <v>0.60024154589371903</v>
      </c>
      <c r="G1242">
        <v>0.42695051827919711</v>
      </c>
      <c r="H1242">
        <v>0.97603195739014603</v>
      </c>
      <c r="I1242">
        <v>-0.24092071611253199</v>
      </c>
    </row>
    <row r="1243" spans="1:9" x14ac:dyDescent="0.25">
      <c r="A1243" s="1" t="s">
        <v>1255</v>
      </c>
      <c r="B1243" t="str">
        <f>HYPERLINK("https://www.suredividend.com/sure-analysis-research-database/","Proassurance Corporation")</f>
        <v>Proassurance Corporation</v>
      </c>
      <c r="C1243">
        <v>-9.9612617598220012E-3</v>
      </c>
      <c r="D1243">
        <v>7.2541966426858007E-2</v>
      </c>
      <c r="E1243">
        <v>-7.7648363838040014E-3</v>
      </c>
      <c r="F1243">
        <v>2.6939215990171999E-2</v>
      </c>
      <c r="G1243">
        <v>-0.174750787654013</v>
      </c>
      <c r="H1243">
        <v>-0.27356448790153898</v>
      </c>
      <c r="I1243">
        <v>-0.55915112565548208</v>
      </c>
    </row>
    <row r="1244" spans="1:9" x14ac:dyDescent="0.25">
      <c r="A1244" s="1" t="s">
        <v>1256</v>
      </c>
      <c r="B1244" t="str">
        <f>HYPERLINK("https://www.suredividend.com/sure-analysis-research-database/","PRA Group Inc")</f>
        <v>PRA Group Inc</v>
      </c>
      <c r="C1244">
        <v>-0.22388059701492499</v>
      </c>
      <c r="D1244">
        <v>-0.35596330275229299</v>
      </c>
      <c r="E1244">
        <v>-0.59102825517040403</v>
      </c>
      <c r="F1244">
        <v>-0.58436944937833002</v>
      </c>
      <c r="G1244">
        <v>-0.54797166773985806</v>
      </c>
      <c r="H1244">
        <v>-0.68931179464483205</v>
      </c>
      <c r="I1244">
        <v>-0.55086372360844504</v>
      </c>
    </row>
    <row r="1245" spans="1:9" x14ac:dyDescent="0.25">
      <c r="A1245" s="1" t="s">
        <v>1257</v>
      </c>
      <c r="B1245" t="str">
        <f>HYPERLINK("https://www.suredividend.com/sure-analysis-research-database/","Praxis Precision Medicines Inc")</f>
        <v>Praxis Precision Medicines Inc</v>
      </c>
      <c r="C1245">
        <v>-0.312883435582821</v>
      </c>
      <c r="D1245">
        <v>0.16666666666666599</v>
      </c>
      <c r="E1245">
        <v>7.6923076923077011E-2</v>
      </c>
      <c r="F1245">
        <v>-0.52941176470588203</v>
      </c>
      <c r="G1245">
        <v>-0.46411483253588498</v>
      </c>
      <c r="H1245">
        <v>-0.94959495949594908</v>
      </c>
      <c r="I1245">
        <v>-0.95971223021582708</v>
      </c>
    </row>
    <row r="1246" spans="1:9" x14ac:dyDescent="0.25">
      <c r="A1246" s="1" t="s">
        <v>1258</v>
      </c>
      <c r="B1246" t="str">
        <f>HYPERLINK("https://www.suredividend.com/sure-analysis-research-database/","Porch Group Inc")</f>
        <v>Porch Group Inc</v>
      </c>
      <c r="C1246">
        <v>-9.4800000000000009E-2</v>
      </c>
      <c r="D1246">
        <v>-0.46543307086614111</v>
      </c>
      <c r="E1246">
        <v>-0.24566666666666601</v>
      </c>
      <c r="F1246">
        <v>-0.63888297872340405</v>
      </c>
      <c r="G1246">
        <v>-0.57031645569620204</v>
      </c>
      <c r="H1246">
        <v>-0.97052105948762413</v>
      </c>
      <c r="I1246">
        <v>-0.93142424242424204</v>
      </c>
    </row>
    <row r="1247" spans="1:9" x14ac:dyDescent="0.25">
      <c r="A1247" s="1" t="s">
        <v>1259</v>
      </c>
      <c r="B1247" t="str">
        <f>HYPERLINK("https://www.suredividend.com/sure-analysis-research-database/","Procept BioRobotics Corp")</f>
        <v>Procept BioRobotics Corp</v>
      </c>
      <c r="C1247">
        <v>9.2813406380921004E-2</v>
      </c>
      <c r="D1247">
        <v>-2.3329493087557E-2</v>
      </c>
      <c r="E1247">
        <v>0.176613462873004</v>
      </c>
      <c r="F1247">
        <v>-0.18367838228213701</v>
      </c>
      <c r="G1247">
        <v>-0.14905897114178099</v>
      </c>
      <c r="H1247">
        <v>-0.22879235842619899</v>
      </c>
      <c r="I1247">
        <v>-0.19146399618502599</v>
      </c>
    </row>
    <row r="1248" spans="1:9" x14ac:dyDescent="0.25">
      <c r="A1248" s="1" t="s">
        <v>1260</v>
      </c>
      <c r="B1248" t="str">
        <f>HYPERLINK("https://www.suredividend.com/sure-analysis-research-database/","Perdoceo Education Corporation")</f>
        <v>Perdoceo Education Corporation</v>
      </c>
      <c r="C1248">
        <v>9.2219020172910008E-3</v>
      </c>
      <c r="D1248">
        <v>0.11412282711053399</v>
      </c>
      <c r="E1248">
        <v>0.44058314410767702</v>
      </c>
      <c r="F1248">
        <v>0.27683467506708598</v>
      </c>
      <c r="G1248">
        <v>0.53264418321706508</v>
      </c>
      <c r="H1248">
        <v>0.69190186775917206</v>
      </c>
      <c r="I1248">
        <v>0.304769001490313</v>
      </c>
    </row>
    <row r="1249" spans="1:9" x14ac:dyDescent="0.25">
      <c r="A1249" s="1" t="s">
        <v>1261</v>
      </c>
      <c r="B1249" t="str">
        <f>HYPERLINK("https://www.suredividend.com/sure-analysis-research-database/","Pardes Biosciences Inc")</f>
        <v>Pardes Biosciences Inc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 s="1" t="s">
        <v>1262</v>
      </c>
      <c r="B1250" t="str">
        <f>HYPERLINK("https://www.suredividend.com/sure-analysis-research-database/","Perficient Inc.")</f>
        <v>Perficient Inc.</v>
      </c>
      <c r="C1250">
        <v>6.0663344217219008E-2</v>
      </c>
      <c r="D1250">
        <v>2.3379207428286999E-2</v>
      </c>
      <c r="E1250">
        <v>-0.17320830542531801</v>
      </c>
      <c r="F1250">
        <v>-0.116139195188314</v>
      </c>
      <c r="G1250">
        <v>-5.2938468620529998E-2</v>
      </c>
      <c r="H1250">
        <v>-0.58532652512765304</v>
      </c>
      <c r="I1250">
        <v>1.4589641434262941</v>
      </c>
    </row>
    <row r="1251" spans="1:9" x14ac:dyDescent="0.25">
      <c r="A1251" s="1" t="s">
        <v>1263</v>
      </c>
      <c r="B1251" t="str">
        <f>HYPERLINK("https://www.suredividend.com/sure-analysis-research-database/","PROG Holdings Inc")</f>
        <v>PROG Holdings Inc</v>
      </c>
      <c r="C1251">
        <v>-6.5738341968910999E-2</v>
      </c>
      <c r="D1251">
        <v>-0.25644329896907198</v>
      </c>
      <c r="E1251">
        <v>2.0877565463552E-2</v>
      </c>
      <c r="F1251">
        <v>0.70811130846654802</v>
      </c>
      <c r="G1251">
        <v>0.7337740384615381</v>
      </c>
      <c r="H1251">
        <v>-0.38023630504833511</v>
      </c>
      <c r="I1251">
        <v>-0.50905900991581599</v>
      </c>
    </row>
    <row r="1252" spans="1:9" x14ac:dyDescent="0.25">
      <c r="A1252" s="1" t="s">
        <v>1264</v>
      </c>
      <c r="B1252" t="str">
        <f>HYPERLINK("https://www.suredividend.com/sure-analysis-research-database/","Progress Software Corp.")</f>
        <v>Progress Software Corp.</v>
      </c>
      <c r="C1252">
        <v>-1.4092664092663999E-2</v>
      </c>
      <c r="D1252">
        <v>-0.15029765371010601</v>
      </c>
      <c r="E1252">
        <v>-3.4290533513351998E-2</v>
      </c>
      <c r="F1252">
        <v>2.7218163679077999E-2</v>
      </c>
      <c r="G1252">
        <v>4.8725594079329998E-2</v>
      </c>
      <c r="H1252">
        <v>1.0902785475621001E-2</v>
      </c>
      <c r="I1252">
        <v>0.72066414199269502</v>
      </c>
    </row>
    <row r="1253" spans="1:9" x14ac:dyDescent="0.25">
      <c r="A1253" s="1" t="s">
        <v>1265</v>
      </c>
      <c r="B1253" t="str">
        <f>HYPERLINK("https://www.suredividend.com/sure-analysis-research-database/","Primoris Services Corp")</f>
        <v>Primoris Services Corp</v>
      </c>
      <c r="C1253">
        <v>-1.0309278350515001E-2</v>
      </c>
      <c r="D1253">
        <v>-3.0670200681560001E-2</v>
      </c>
      <c r="E1253">
        <v>0.29989929165644003</v>
      </c>
      <c r="F1253">
        <v>0.41179714607412798</v>
      </c>
      <c r="G1253">
        <v>0.45351312987934611</v>
      </c>
      <c r="H1253">
        <v>0.14583683014983101</v>
      </c>
      <c r="I1253">
        <v>0.45457989062241011</v>
      </c>
    </row>
    <row r="1254" spans="1:9" x14ac:dyDescent="0.25">
      <c r="A1254" s="1" t="s">
        <v>1266</v>
      </c>
      <c r="B1254" t="str">
        <f>HYPERLINK("https://www.suredividend.com/sure-analysis-research-database/","Park National Corp.")</f>
        <v>Park National Corp.</v>
      </c>
      <c r="C1254">
        <v>0.15256207078711001</v>
      </c>
      <c r="D1254">
        <v>2.0364054550310001E-3</v>
      </c>
      <c r="E1254">
        <v>0.109069892041312</v>
      </c>
      <c r="F1254">
        <v>-0.202732153375945</v>
      </c>
      <c r="G1254">
        <v>-0.23262035283003299</v>
      </c>
      <c r="H1254">
        <v>-0.13235468392466099</v>
      </c>
      <c r="I1254">
        <v>0.40056489921684402</v>
      </c>
    </row>
    <row r="1255" spans="1:9" x14ac:dyDescent="0.25">
      <c r="A1255" s="1" t="s">
        <v>1267</v>
      </c>
      <c r="B1255" t="str">
        <f>HYPERLINK("https://www.suredividend.com/sure-analysis-research-database/","Proto Labs Inc")</f>
        <v>Proto Labs Inc</v>
      </c>
      <c r="C1255">
        <v>0.221665381649961</v>
      </c>
      <c r="D1255">
        <v>3.4606594841657998E-2</v>
      </c>
      <c r="E1255">
        <v>0.13057438458794099</v>
      </c>
      <c r="F1255">
        <v>0.24128476302389301</v>
      </c>
      <c r="G1255">
        <v>0.28716490658001598</v>
      </c>
      <c r="H1255">
        <v>-0.50336937784046298</v>
      </c>
      <c r="I1255">
        <v>-0.74466199339295702</v>
      </c>
    </row>
    <row r="1256" spans="1:9" x14ac:dyDescent="0.25">
      <c r="A1256" s="1" t="s">
        <v>1268</v>
      </c>
      <c r="B1256" t="str">
        <f>HYPERLINK("https://www.suredividend.com/sure-analysis-research-database/","Perimeter Solutions SA")</f>
        <v>Perimeter Solutions SA</v>
      </c>
      <c r="C1256">
        <v>-0.21621621621621601</v>
      </c>
      <c r="D1256">
        <v>-0.46744574290484098</v>
      </c>
      <c r="E1256">
        <v>-0.55571030640668506</v>
      </c>
      <c r="F1256">
        <v>-0.65098468271334808</v>
      </c>
      <c r="G1256">
        <v>-0.63914027149321206</v>
      </c>
      <c r="H1256">
        <v>-0.73416666666666608</v>
      </c>
      <c r="I1256">
        <v>-0.73416666666666608</v>
      </c>
    </row>
    <row r="1257" spans="1:9" x14ac:dyDescent="0.25">
      <c r="A1257" s="1" t="s">
        <v>1269</v>
      </c>
      <c r="B1257" t="str">
        <f>HYPERLINK("https://www.suredividend.com/sure-analysis-research-database/","Prime Medicine Inc")</f>
        <v>Prime Medicine Inc</v>
      </c>
      <c r="C1257">
        <v>-0.10344827586206801</v>
      </c>
      <c r="D1257">
        <v>-0.43231441048034902</v>
      </c>
      <c r="E1257">
        <v>-0.48412698412698402</v>
      </c>
      <c r="F1257">
        <v>-0.58019375672766405</v>
      </c>
      <c r="G1257">
        <v>-0.61424332344213606</v>
      </c>
      <c r="H1257">
        <v>-0.49251789199739698</v>
      </c>
      <c r="I1257">
        <v>-0.49251789199739698</v>
      </c>
    </row>
    <row r="1258" spans="1:9" x14ac:dyDescent="0.25">
      <c r="A1258" s="1" t="s">
        <v>1270</v>
      </c>
      <c r="B1258" t="str">
        <f>HYPERLINK("https://www.suredividend.com/sure-analysis-research-database/","Primo Water Corporation")</f>
        <v>Primo Water Corporation</v>
      </c>
      <c r="C1258">
        <v>6.4888248017303002E-2</v>
      </c>
      <c r="D1258">
        <v>5.8417175452174001E-2</v>
      </c>
      <c r="E1258">
        <v>3.3365749907297002E-2</v>
      </c>
      <c r="F1258">
        <v>-3.3370637242390012E-2</v>
      </c>
      <c r="G1258">
        <v>0.16798595570035599</v>
      </c>
      <c r="H1258">
        <v>-0.176585365853658</v>
      </c>
      <c r="I1258">
        <v>9.2865294073420004E-3</v>
      </c>
    </row>
    <row r="1259" spans="1:9" x14ac:dyDescent="0.25">
      <c r="A1259" s="1" t="s">
        <v>1271</v>
      </c>
      <c r="B1259" t="str">
        <f>HYPERLINK("https://www.suredividend.com/sure-analysis-research-database/","Pros Holdings Inc")</f>
        <v>Pros Holdings Inc</v>
      </c>
      <c r="C1259">
        <v>4.2282672974571001E-2</v>
      </c>
      <c r="D1259">
        <v>-6.5234685759745004E-2</v>
      </c>
      <c r="E1259">
        <v>0.32468996617812801</v>
      </c>
      <c r="F1259">
        <v>0.45300906842539101</v>
      </c>
      <c r="G1259">
        <v>0.365220759101471</v>
      </c>
      <c r="H1259">
        <v>0.15611675959330901</v>
      </c>
      <c r="I1259">
        <v>7.1103008204193005E-2</v>
      </c>
    </row>
    <row r="1260" spans="1:9" x14ac:dyDescent="0.25">
      <c r="A1260" s="1" t="s">
        <v>1272</v>
      </c>
      <c r="B1260" t="str">
        <f>HYPERLINK("https://www.suredividend.com/sure-analysis-research-database/","Purple Innovation Inc")</f>
        <v>Purple Innovation Inc</v>
      </c>
      <c r="C1260">
        <v>-0.39735099337748297</v>
      </c>
      <c r="D1260">
        <v>-0.71562499999999996</v>
      </c>
      <c r="E1260">
        <v>-0.65789473684210509</v>
      </c>
      <c r="F1260">
        <v>-0.81002087682672208</v>
      </c>
      <c r="G1260">
        <v>-0.74074074074074003</v>
      </c>
      <c r="H1260">
        <v>-0.95392405063291108</v>
      </c>
      <c r="I1260">
        <v>-0.82666666666666611</v>
      </c>
    </row>
    <row r="1261" spans="1:9" x14ac:dyDescent="0.25">
      <c r="A1261" s="1" t="s">
        <v>1273</v>
      </c>
      <c r="B1261" t="str">
        <f>HYPERLINK("https://www.suredividend.com/sure-analysis-research-database/","Prothena Corporation plc")</f>
        <v>Prothena Corporation plc</v>
      </c>
      <c r="C1261">
        <v>-0.17071554770318001</v>
      </c>
      <c r="D1261">
        <v>-0.39111399383817103</v>
      </c>
      <c r="E1261">
        <v>-0.46479475484606603</v>
      </c>
      <c r="F1261">
        <v>-0.37676348547717797</v>
      </c>
      <c r="G1261">
        <v>-0.31176686217008798</v>
      </c>
      <c r="H1261">
        <v>-0.33457380825801802</v>
      </c>
      <c r="I1261">
        <v>1.810628742514969</v>
      </c>
    </row>
    <row r="1262" spans="1:9" x14ac:dyDescent="0.25">
      <c r="A1262" s="1" t="s">
        <v>1274</v>
      </c>
      <c r="B1262" t="str">
        <f>HYPERLINK("https://www.suredividend.com/sure-analysis-research-database/","Priority Technology Holdings Inc")</f>
        <v>Priority Technology Holdings Inc</v>
      </c>
      <c r="C1262">
        <v>0.14920634920634901</v>
      </c>
      <c r="D1262">
        <v>-0.163972286374133</v>
      </c>
      <c r="E1262">
        <v>8.7087087087087012E-2</v>
      </c>
      <c r="F1262">
        <v>-0.31178707224334601</v>
      </c>
      <c r="G1262">
        <v>-0.261224489795918</v>
      </c>
      <c r="H1262">
        <v>-0.38435374149659801</v>
      </c>
      <c r="I1262">
        <v>-0.64579256360078208</v>
      </c>
    </row>
    <row r="1263" spans="1:9" x14ac:dyDescent="0.25">
      <c r="A1263" s="1" t="s">
        <v>1275</v>
      </c>
      <c r="B1263" t="str">
        <f>HYPERLINK("https://www.suredividend.com/sure-analysis-research-database/","CarParts.com Inc")</f>
        <v>CarParts.com Inc</v>
      </c>
      <c r="C1263">
        <v>-0.209595959595959</v>
      </c>
      <c r="D1263">
        <v>-0.30289532293986599</v>
      </c>
      <c r="E1263">
        <v>-0.26869158878504601</v>
      </c>
      <c r="F1263">
        <v>-0.5</v>
      </c>
      <c r="G1263">
        <v>-0.31509846827133398</v>
      </c>
      <c r="H1263">
        <v>-0.79407894736842111</v>
      </c>
      <c r="I1263">
        <v>1.5241935483870961</v>
      </c>
    </row>
    <row r="1264" spans="1:9" x14ac:dyDescent="0.25">
      <c r="A1264" s="1" t="s">
        <v>1276</v>
      </c>
      <c r="B1264" t="str">
        <f>HYPERLINK("https://www.suredividend.com/sure-analysis-research-database/","Privia Health Group Inc")</f>
        <v>Privia Health Group Inc</v>
      </c>
      <c r="C1264">
        <v>4.3941411451398002E-2</v>
      </c>
      <c r="D1264">
        <v>-0.13972201901975101</v>
      </c>
      <c r="E1264">
        <v>-0.14254465913233599</v>
      </c>
      <c r="F1264">
        <v>3.5667107001321002E-2</v>
      </c>
      <c r="G1264">
        <v>-0.175893482831114</v>
      </c>
      <c r="H1264">
        <v>-0.14316939890710301</v>
      </c>
      <c r="I1264">
        <v>-0.32316546762589898</v>
      </c>
    </row>
    <row r="1265" spans="1:9" x14ac:dyDescent="0.25">
      <c r="A1265" s="1" t="s">
        <v>1277</v>
      </c>
      <c r="B1265" t="str">
        <f>HYPERLINK("https://www.suredividend.com/sure-analysis-research-database/","Paysafe Limited")</f>
        <v>Paysafe Limited</v>
      </c>
      <c r="C1265">
        <v>-1.0999083409715E-2</v>
      </c>
      <c r="D1265">
        <v>-4.5977011494252998E-2</v>
      </c>
      <c r="E1265">
        <v>-0.18381240544629299</v>
      </c>
      <c r="F1265">
        <v>-0.22318214542836501</v>
      </c>
      <c r="G1265">
        <v>-0.29752604166666602</v>
      </c>
      <c r="H1265">
        <v>-0.88058875608676401</v>
      </c>
      <c r="I1265">
        <v>8.4422110552763011E-2</v>
      </c>
    </row>
    <row r="1266" spans="1:9" x14ac:dyDescent="0.25">
      <c r="A1266" s="1" t="s">
        <v>1278</v>
      </c>
      <c r="B1266" t="str">
        <f>HYPERLINK("https://www.suredividend.com/sure-analysis-research-database/","Pricesmart Inc.")</f>
        <v>Pricesmart Inc.</v>
      </c>
      <c r="C1266">
        <v>-0.101881720430107</v>
      </c>
      <c r="D1266">
        <v>-0.13654859789293</v>
      </c>
      <c r="E1266">
        <v>-5.5506319004790007E-2</v>
      </c>
      <c r="F1266">
        <v>0.112982182624352</v>
      </c>
      <c r="G1266">
        <v>-2.9732414081512001E-2</v>
      </c>
      <c r="H1266">
        <v>-0.10474677142103</v>
      </c>
      <c r="I1266">
        <v>1.4548645800752E-2</v>
      </c>
    </row>
    <row r="1267" spans="1:9" x14ac:dyDescent="0.25">
      <c r="A1267" s="1" t="s">
        <v>1279</v>
      </c>
      <c r="B1267" t="str">
        <f>HYPERLINK("https://www.suredividend.com/sure-analysis-research-database/","Parsons Corp")</f>
        <v>Parsons Corp</v>
      </c>
      <c r="C1267">
        <v>0.13105726872246601</v>
      </c>
      <c r="D1267">
        <v>0.14428969359331401</v>
      </c>
      <c r="E1267">
        <v>0.39538043478260798</v>
      </c>
      <c r="F1267">
        <v>0.33232432432432402</v>
      </c>
      <c r="G1267">
        <v>0.27261462205700099</v>
      </c>
      <c r="H1267">
        <v>0.71595655806182101</v>
      </c>
      <c r="I1267">
        <v>1.0492184901895569</v>
      </c>
    </row>
    <row r="1268" spans="1:9" x14ac:dyDescent="0.25">
      <c r="A1268" s="1" t="s">
        <v>1280</v>
      </c>
      <c r="B1268" t="str">
        <f>HYPERLINK("https://www.suredividend.com/sure-analysis-PSTL/","Postal Realty Trust Inc")</f>
        <v>Postal Realty Trust Inc</v>
      </c>
      <c r="C1268">
        <v>6.8769298292895006E-2</v>
      </c>
      <c r="D1268">
        <v>-3.4898031553549001E-2</v>
      </c>
      <c r="E1268">
        <v>-3.7033953572271003E-2</v>
      </c>
      <c r="F1268">
        <v>1.903720073124E-2</v>
      </c>
      <c r="G1268">
        <v>-6.6420043719522009E-2</v>
      </c>
      <c r="H1268">
        <v>-0.18246661836858499</v>
      </c>
      <c r="I1268">
        <v>2.8125300919239E-2</v>
      </c>
    </row>
    <row r="1269" spans="1:9" x14ac:dyDescent="0.25">
      <c r="A1269" s="1" t="s">
        <v>1281</v>
      </c>
      <c r="B1269" t="str">
        <f>HYPERLINK("https://www.suredividend.com/sure-analysis-research-database/","PTC Therapeutics Inc")</f>
        <v>PTC Therapeutics Inc</v>
      </c>
      <c r="C1269">
        <v>-7.8773584905660013E-2</v>
      </c>
      <c r="D1269">
        <v>-0.49547920433996312</v>
      </c>
      <c r="E1269">
        <v>-0.65037593984962405</v>
      </c>
      <c r="F1269">
        <v>-0.48834162955200411</v>
      </c>
      <c r="G1269">
        <v>-0.43292682926829201</v>
      </c>
      <c r="H1269">
        <v>-0.53041596537629199</v>
      </c>
      <c r="I1269">
        <v>-0.5078125</v>
      </c>
    </row>
    <row r="1270" spans="1:9" x14ac:dyDescent="0.25">
      <c r="A1270" s="1" t="s">
        <v>1282</v>
      </c>
      <c r="B1270" t="str">
        <f>HYPERLINK("https://www.suredividend.com/sure-analysis-research-database/","Patterson-UTI Energy Inc")</f>
        <v>Patterson-UTI Energy Inc</v>
      </c>
      <c r="C1270">
        <v>4.2242079610073001E-2</v>
      </c>
      <c r="D1270">
        <v>-0.155231899707656</v>
      </c>
      <c r="E1270">
        <v>0.25519737807562398</v>
      </c>
      <c r="F1270">
        <v>-0.217267696887983</v>
      </c>
      <c r="G1270">
        <v>-0.26921236700006801</v>
      </c>
      <c r="H1270">
        <v>0.47047025248994201</v>
      </c>
      <c r="I1270">
        <v>-0.13649793715212499</v>
      </c>
    </row>
    <row r="1271" spans="1:9" x14ac:dyDescent="0.25">
      <c r="A1271" s="1" t="s">
        <v>1283</v>
      </c>
      <c r="B1271" t="str">
        <f>HYPERLINK("https://www.suredividend.com/sure-analysis-research-database/","Protagonist Therapeutics Inc")</f>
        <v>Protagonist Therapeutics Inc</v>
      </c>
      <c r="C1271">
        <v>4.3887147335423003E-2</v>
      </c>
      <c r="D1271">
        <v>-0.13190823774765301</v>
      </c>
      <c r="E1271">
        <v>-0.29449152542372797</v>
      </c>
      <c r="F1271">
        <v>0.52612282309807501</v>
      </c>
      <c r="G1271">
        <v>1.1129441624365479</v>
      </c>
      <c r="H1271">
        <v>-0.50826934435912507</v>
      </c>
      <c r="I1271">
        <v>1.063197026022304</v>
      </c>
    </row>
    <row r="1272" spans="1:9" x14ac:dyDescent="0.25">
      <c r="A1272" s="1" t="s">
        <v>1284</v>
      </c>
      <c r="B1272" t="str">
        <f>HYPERLINK("https://www.suredividend.com/sure-analysis-research-database/","Portillos Inc")</f>
        <v>Portillos Inc</v>
      </c>
      <c r="C1272">
        <v>4.4557606619987013E-2</v>
      </c>
      <c r="D1272">
        <v>-0.15542974781266</v>
      </c>
      <c r="E1272">
        <v>-0.21257197696737001</v>
      </c>
      <c r="F1272">
        <v>5.5147058823530014E-3</v>
      </c>
      <c r="G1272">
        <v>-0.25914221218961597</v>
      </c>
      <c r="H1272">
        <v>-0.68067717454757704</v>
      </c>
      <c r="I1272">
        <v>-0.43608247422680402</v>
      </c>
    </row>
    <row r="1273" spans="1:9" x14ac:dyDescent="0.25">
      <c r="A1273" s="1" t="s">
        <v>1285</v>
      </c>
      <c r="B1273" t="str">
        <f>HYPERLINK("https://www.suredividend.com/sure-analysis-research-database/","Proterra Inc")</f>
        <v>Proterra Inc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s="1" t="s">
        <v>1286</v>
      </c>
      <c r="B1274" t="str">
        <f>HYPERLINK("https://www.suredividend.com/sure-analysis-research-database/","P.A.M. Transportation Services, Inc.")</f>
        <v>P.A.M. Transportation Services, Inc.</v>
      </c>
      <c r="C1274">
        <v>-0.109895337773548</v>
      </c>
      <c r="D1274">
        <v>-0.27899807321772602</v>
      </c>
      <c r="E1274">
        <v>-0.196650923142979</v>
      </c>
      <c r="F1274">
        <v>-0.27760617760617701</v>
      </c>
      <c r="G1274">
        <v>-0.30806213017751399</v>
      </c>
      <c r="H1274">
        <v>-0.38474186122985798</v>
      </c>
      <c r="I1274">
        <v>0.25297170601037999</v>
      </c>
    </row>
    <row r="1275" spans="1:9" x14ac:dyDescent="0.25">
      <c r="A1275" s="1" t="s">
        <v>1287</v>
      </c>
      <c r="B1275" t="str">
        <f>HYPERLINK("https://www.suredividend.com/sure-analysis-research-database/","Pactiv Evergreen Inc")</f>
        <v>Pactiv Evergreen Inc</v>
      </c>
      <c r="C1275">
        <v>0.33458646616541299</v>
      </c>
      <c r="D1275">
        <v>0.27409108854035802</v>
      </c>
      <c r="E1275">
        <v>0.59266625790725103</v>
      </c>
      <c r="F1275">
        <v>-1.4864902365249E-2</v>
      </c>
      <c r="G1275">
        <v>3.7607170693686E-2</v>
      </c>
      <c r="H1275">
        <v>-0.17012771461744</v>
      </c>
      <c r="I1275">
        <v>9.3642496996334007E-2</v>
      </c>
    </row>
    <row r="1276" spans="1:9" x14ac:dyDescent="0.25">
      <c r="A1276" s="1" t="s">
        <v>1288</v>
      </c>
      <c r="B1276" t="str">
        <f>HYPERLINK("https://www.suredividend.com/sure-analysis-research-database/","PubMatic Inc")</f>
        <v>PubMatic Inc</v>
      </c>
      <c r="C1276">
        <v>2.0151133501259001E-2</v>
      </c>
      <c r="D1276">
        <v>-0.37628336755646802</v>
      </c>
      <c r="E1276">
        <v>2.3588879528222001E-2</v>
      </c>
      <c r="F1276">
        <v>-5.1522248243559013E-2</v>
      </c>
      <c r="G1276">
        <v>-0.25551470588235198</v>
      </c>
      <c r="H1276">
        <v>-0.55116364979682309</v>
      </c>
      <c r="I1276">
        <v>-0.58743633276740204</v>
      </c>
    </row>
    <row r="1277" spans="1:9" x14ac:dyDescent="0.25">
      <c r="A1277" s="1" t="s">
        <v>1289</v>
      </c>
      <c r="B1277" t="str">
        <f>HYPERLINK("https://www.suredividend.com/sure-analysis-research-database/","ProPetro Holding Corp")</f>
        <v>ProPetro Holding Corp</v>
      </c>
      <c r="C1277">
        <v>9.1880341880342012E-2</v>
      </c>
      <c r="D1277">
        <v>2.7135678391959E-2</v>
      </c>
      <c r="E1277">
        <v>0.54147812971342302</v>
      </c>
      <c r="F1277">
        <v>-1.4464802314367999E-2</v>
      </c>
      <c r="G1277">
        <v>-0.115151515151515</v>
      </c>
      <c r="H1277">
        <v>8.2627118644067007E-2</v>
      </c>
      <c r="I1277">
        <v>-0.41898806139852102</v>
      </c>
    </row>
    <row r="1278" spans="1:9" x14ac:dyDescent="0.25">
      <c r="A1278" s="1" t="s">
        <v>1290</v>
      </c>
      <c r="B1278" t="str">
        <f>HYPERLINK("https://www.suredividend.com/sure-analysis-research-database/","Provident Bancorp Inc")</f>
        <v>Provident Bancorp Inc</v>
      </c>
      <c r="C1278">
        <v>6.3761955366630008E-3</v>
      </c>
      <c r="D1278">
        <v>-1.2513034410844E-2</v>
      </c>
      <c r="E1278">
        <v>0.63275862068965505</v>
      </c>
      <c r="F1278">
        <v>0.30082417582417498</v>
      </c>
      <c r="G1278">
        <v>-0.246019108280254</v>
      </c>
      <c r="H1278">
        <v>-0.48260130797515111</v>
      </c>
      <c r="I1278">
        <v>-0.100545181695572</v>
      </c>
    </row>
    <row r="1279" spans="1:9" x14ac:dyDescent="0.25">
      <c r="A1279" s="1" t="s">
        <v>1291</v>
      </c>
      <c r="B1279" t="str">
        <f>HYPERLINK("https://www.suredividend.com/sure-analysis-research-database/","Perella Weinberg Partners")</f>
        <v>Perella Weinberg Partners</v>
      </c>
      <c r="C1279">
        <v>6.5641025641025003E-2</v>
      </c>
      <c r="D1279">
        <v>-4.2246250564604002E-2</v>
      </c>
      <c r="E1279">
        <v>0.43415186274103801</v>
      </c>
      <c r="F1279">
        <v>9.3407981141606006E-2</v>
      </c>
      <c r="G1279">
        <v>0.28794734167172797</v>
      </c>
      <c r="H1279">
        <v>-0.174427104853319</v>
      </c>
      <c r="I1279">
        <v>5.0025265285497007E-2</v>
      </c>
    </row>
    <row r="1280" spans="1:9" x14ac:dyDescent="0.25">
      <c r="A1280" s="1" t="s">
        <v>1292</v>
      </c>
      <c r="B1280" t="str">
        <f>HYPERLINK("https://www.suredividend.com/sure-analysis-research-database/","PowerSchool Holdings Inc")</f>
        <v>PowerSchool Holdings Inc</v>
      </c>
      <c r="C1280">
        <v>-8.6819613135402013E-2</v>
      </c>
      <c r="D1280">
        <v>-9.5768374164810002E-2</v>
      </c>
      <c r="E1280">
        <v>4.0492055356227012E-2</v>
      </c>
      <c r="F1280">
        <v>-0.120450606585788</v>
      </c>
      <c r="G1280">
        <v>0.15014164305948999</v>
      </c>
      <c r="H1280">
        <v>-0.17244190786791599</v>
      </c>
      <c r="I1280">
        <v>0.12777777777777699</v>
      </c>
    </row>
    <row r="1281" spans="1:9" x14ac:dyDescent="0.25">
      <c r="A1281" s="1" t="s">
        <v>1293</v>
      </c>
      <c r="B1281" t="str">
        <f>HYPERLINK("https://www.suredividend.com/sure-analysis-research-database/","Papa John`s International, Inc.")</f>
        <v>Papa John`s International, Inc.</v>
      </c>
      <c r="C1281">
        <v>4.5028430920547001E-2</v>
      </c>
      <c r="D1281">
        <v>-0.15230150142363399</v>
      </c>
      <c r="E1281">
        <v>-9.6596427038868005E-2</v>
      </c>
      <c r="F1281">
        <v>-0.15633696397930999</v>
      </c>
      <c r="G1281">
        <v>-7.0753891901346011E-2</v>
      </c>
      <c r="H1281">
        <v>-0.49143402889701698</v>
      </c>
      <c r="I1281">
        <v>0.34956784059222201</v>
      </c>
    </row>
    <row r="1282" spans="1:9" x14ac:dyDescent="0.25">
      <c r="A1282" s="1" t="s">
        <v>1294</v>
      </c>
      <c r="B1282" t="str">
        <f>HYPERLINK("https://www.suredividend.com/sure-analysis-research-database/","QCR Holding, Inc.")</f>
        <v>QCR Holding, Inc.</v>
      </c>
      <c r="C1282">
        <v>6.3621193158114001E-2</v>
      </c>
      <c r="D1282">
        <v>-3.3212808840063002E-2</v>
      </c>
      <c r="E1282">
        <v>0.40464450015150999</v>
      </c>
      <c r="F1282">
        <v>3.3902429133379E-2</v>
      </c>
      <c r="G1282">
        <v>4.2765875645210012E-2</v>
      </c>
      <c r="H1282">
        <v>-0.13163873173954899</v>
      </c>
      <c r="I1282">
        <v>0.39474706361841011</v>
      </c>
    </row>
    <row r="1283" spans="1:9" x14ac:dyDescent="0.25">
      <c r="A1283" s="1" t="s">
        <v>1295</v>
      </c>
      <c r="B1283" t="str">
        <f>HYPERLINK("https://www.suredividend.com/sure-analysis-research-database/","Qualys Inc")</f>
        <v>Qualys Inc</v>
      </c>
      <c r="C1283">
        <v>9.8475058154561007E-2</v>
      </c>
      <c r="D1283">
        <v>0.18359674162779299</v>
      </c>
      <c r="E1283">
        <v>0.57043879907621209</v>
      </c>
      <c r="F1283">
        <v>0.514746502717633</v>
      </c>
      <c r="G1283">
        <v>0.527540659538143</v>
      </c>
      <c r="H1283">
        <v>0.2405137186223</v>
      </c>
      <c r="I1283">
        <v>1.2718161165308031</v>
      </c>
    </row>
    <row r="1284" spans="1:9" x14ac:dyDescent="0.25">
      <c r="A1284" s="1" t="s">
        <v>1296</v>
      </c>
      <c r="B1284" t="str">
        <f>HYPERLINK("https://www.suredividend.com/sure-analysis-research-database/","QuinStreet Inc")</f>
        <v>QuinStreet Inc</v>
      </c>
      <c r="C1284">
        <v>0.207236842105263</v>
      </c>
      <c r="D1284">
        <v>0.226057906458797</v>
      </c>
      <c r="E1284">
        <v>0.279488669378268</v>
      </c>
      <c r="F1284">
        <v>-0.23275261324041799</v>
      </c>
      <c r="G1284">
        <v>-0.17713004484304901</v>
      </c>
      <c r="H1284">
        <v>-0.28783958602845999</v>
      </c>
      <c r="I1284">
        <v>-0.36099825885084103</v>
      </c>
    </row>
    <row r="1285" spans="1:9" x14ac:dyDescent="0.25">
      <c r="A1285" s="1" t="s">
        <v>1297</v>
      </c>
      <c r="B1285" t="str">
        <f>HYPERLINK("https://www.suredividend.com/sure-analysis-research-database/","Qurate Retail Inc")</f>
        <v>Qurate Retail Inc</v>
      </c>
      <c r="C1285">
        <v>0.32745098039215698</v>
      </c>
      <c r="D1285">
        <v>-0.27886663826161001</v>
      </c>
      <c r="E1285">
        <v>-5.2086250350040997E-2</v>
      </c>
      <c r="F1285">
        <v>-0.58466257668711608</v>
      </c>
      <c r="G1285">
        <v>-0.61966292134831402</v>
      </c>
      <c r="H1285">
        <v>-0.90580607460381513</v>
      </c>
      <c r="I1285">
        <v>-0.96103776516764605</v>
      </c>
    </row>
    <row r="1286" spans="1:9" x14ac:dyDescent="0.25">
      <c r="A1286" s="1" t="s">
        <v>1298</v>
      </c>
      <c r="B1286" t="str">
        <f>HYPERLINK("https://www.suredividend.com/sure-analysis-research-database/","Quantum-Si Incorporated")</f>
        <v>Quantum-Si Incorporated</v>
      </c>
      <c r="C1286">
        <v>-0.11038961038961</v>
      </c>
      <c r="D1286">
        <v>-0.59587020648967504</v>
      </c>
      <c r="E1286">
        <v>-2.836879432624E-2</v>
      </c>
      <c r="F1286">
        <v>-0.25136612021857901</v>
      </c>
      <c r="G1286">
        <v>-0.45200000000000001</v>
      </c>
      <c r="H1286">
        <v>-0.83292682926829209</v>
      </c>
      <c r="I1286">
        <v>-0.86133603238866407</v>
      </c>
    </row>
    <row r="1287" spans="1:9" x14ac:dyDescent="0.25">
      <c r="A1287" s="1" t="s">
        <v>1299</v>
      </c>
      <c r="B1287" t="str">
        <f>HYPERLINK("https://www.suredividend.com/sure-analysis-research-database/","Quanterix Corp")</f>
        <v>Quanterix Corp</v>
      </c>
      <c r="C1287">
        <v>-0.12585812356979301</v>
      </c>
      <c r="D1287">
        <v>1.7482517482509999E-3</v>
      </c>
      <c r="E1287">
        <v>0.24632952691680199</v>
      </c>
      <c r="F1287">
        <v>0.65487364620938604</v>
      </c>
      <c r="G1287">
        <v>1.2897102897102899</v>
      </c>
      <c r="H1287">
        <v>-0.59289520426287701</v>
      </c>
      <c r="I1287">
        <v>0.31046312178387597</v>
      </c>
    </row>
    <row r="1288" spans="1:9" x14ac:dyDescent="0.25">
      <c r="A1288" s="1" t="s">
        <v>1300</v>
      </c>
      <c r="B1288" t="str">
        <f>HYPERLINK("https://www.suredividend.com/sure-analysis-research-database/","Q2 Holdings Inc")</f>
        <v>Q2 Holdings Inc</v>
      </c>
      <c r="C1288">
        <v>8.8300924450111007E-2</v>
      </c>
      <c r="D1288">
        <v>4.0536421822614001E-2</v>
      </c>
      <c r="E1288">
        <v>0.57690531177829107</v>
      </c>
      <c r="F1288">
        <v>0.27056196501674701</v>
      </c>
      <c r="G1288">
        <v>0.28442437923250502</v>
      </c>
      <c r="H1288">
        <v>-0.6080817357364251</v>
      </c>
      <c r="I1288">
        <v>-0.35827067669172902</v>
      </c>
    </row>
    <row r="1289" spans="1:9" x14ac:dyDescent="0.25">
      <c r="A1289" s="1" t="s">
        <v>1301</v>
      </c>
      <c r="B1289" t="str">
        <f>HYPERLINK("https://www.suredividend.com/sure-analysis-research-database/","Quad/Graphics Inc")</f>
        <v>Quad/Graphics Inc</v>
      </c>
      <c r="C1289">
        <v>-0.10891089108910799</v>
      </c>
      <c r="D1289">
        <v>-0.20353982300884901</v>
      </c>
      <c r="E1289">
        <v>0.6423357664233571</v>
      </c>
      <c r="F1289">
        <v>0.10294117647058799</v>
      </c>
      <c r="G1289">
        <v>0.37195121951219501</v>
      </c>
      <c r="H1289">
        <v>-1.3157894736842E-2</v>
      </c>
      <c r="I1289">
        <v>-0.70220763407274001</v>
      </c>
    </row>
    <row r="1290" spans="1:9" x14ac:dyDescent="0.25">
      <c r="A1290" s="1" t="s">
        <v>1302</v>
      </c>
      <c r="B1290" t="str">
        <f>HYPERLINK("https://www.suredividend.com/sure-analysis-research-database/","Quotient Technology Inc")</f>
        <v>Quotient Technology Inc</v>
      </c>
      <c r="C1290">
        <v>7.5757575757570009E-3</v>
      </c>
      <c r="D1290">
        <v>0.32119205298013198</v>
      </c>
      <c r="E1290">
        <v>0.20909090909090899</v>
      </c>
      <c r="F1290">
        <v>0.163265306122448</v>
      </c>
      <c r="G1290">
        <v>1.2931034482758621</v>
      </c>
      <c r="H1290">
        <v>-0.42424242424242398</v>
      </c>
      <c r="I1290">
        <v>-0.73663366336633607</v>
      </c>
    </row>
    <row r="1291" spans="1:9" x14ac:dyDescent="0.25">
      <c r="A1291" s="1" t="s">
        <v>1303</v>
      </c>
      <c r="B1291" t="str">
        <f>HYPERLINK("https://www.suredividend.com/sure-analysis-research-database/","Rite Aid Corp.")</f>
        <v>Rite Aid Corp.</v>
      </c>
      <c r="C1291">
        <v>-2.9200359389037998E-2</v>
      </c>
      <c r="D1291">
        <v>-0.579025974025974</v>
      </c>
      <c r="E1291">
        <v>-0.73538775510204002</v>
      </c>
      <c r="F1291">
        <v>-0.80589820359281406</v>
      </c>
      <c r="G1291">
        <v>-0.83204663212435204</v>
      </c>
      <c r="H1291">
        <v>-0.95319133574007209</v>
      </c>
      <c r="I1291">
        <v>-0.9699861111111111</v>
      </c>
    </row>
    <row r="1292" spans="1:9" x14ac:dyDescent="0.25">
      <c r="A1292" s="1" t="s">
        <v>1304</v>
      </c>
      <c r="B1292" t="str">
        <f>HYPERLINK("https://www.suredividend.com/sure-analysis-research-database/","Radius Global Infrastructure Inc")</f>
        <v>Radius Global Infrastructure Inc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 s="1" t="s">
        <v>1305</v>
      </c>
      <c r="B1293" t="str">
        <f>HYPERLINK("https://www.suredividend.com/sure-analysis-research-database/","LiveRamp Holdings Inc")</f>
        <v>LiveRamp Holdings Inc</v>
      </c>
      <c r="C1293">
        <v>1.9716361120718999E-2</v>
      </c>
      <c r="D1293">
        <v>2.4678484532499E-2</v>
      </c>
      <c r="E1293">
        <v>0.26252676659528901</v>
      </c>
      <c r="F1293">
        <v>0.25767918088737202</v>
      </c>
      <c r="G1293">
        <v>0.81975308641975309</v>
      </c>
      <c r="H1293">
        <v>-0.47628353171078303</v>
      </c>
      <c r="I1293">
        <v>-0.38145195132186299</v>
      </c>
    </row>
    <row r="1294" spans="1:9" x14ac:dyDescent="0.25">
      <c r="A1294" s="1" t="s">
        <v>1306</v>
      </c>
      <c r="B1294" t="str">
        <f>HYPERLINK("https://www.suredividend.com/sure-analysis-research-database/","RAPT Therapeutics Inc")</f>
        <v>RAPT Therapeutics Inc</v>
      </c>
      <c r="C1294">
        <v>3.6096256684491998E-2</v>
      </c>
      <c r="D1294">
        <v>-0.33845497225778898</v>
      </c>
      <c r="E1294">
        <v>-0.15669205658324201</v>
      </c>
      <c r="F1294">
        <v>-0.21717171717171699</v>
      </c>
      <c r="G1294">
        <v>-0.24205378973105099</v>
      </c>
      <c r="H1294">
        <v>-0.60205391527599406</v>
      </c>
      <c r="I1294">
        <v>0.19230769230769201</v>
      </c>
    </row>
    <row r="1295" spans="1:9" x14ac:dyDescent="0.25">
      <c r="A1295" s="1" t="s">
        <v>1307</v>
      </c>
      <c r="B1295" t="str">
        <f>HYPERLINK("https://www.suredividend.com/sure-analysis-research-database/","RBB Bancorp")</f>
        <v>RBB Bancorp</v>
      </c>
      <c r="C1295">
        <v>0.14119228296893599</v>
      </c>
      <c r="D1295">
        <v>-4.2395202869311012E-2</v>
      </c>
      <c r="E1295">
        <v>0.58316540430361508</v>
      </c>
      <c r="F1295">
        <v>-0.28733786545439299</v>
      </c>
      <c r="G1295">
        <v>-0.34047696011501799</v>
      </c>
      <c r="H1295">
        <v>-0.42915605295026499</v>
      </c>
      <c r="I1295">
        <v>-0.24150788454496</v>
      </c>
    </row>
    <row r="1296" spans="1:9" x14ac:dyDescent="0.25">
      <c r="A1296" s="1" t="s">
        <v>1308</v>
      </c>
      <c r="B1296" t="str">
        <f>HYPERLINK("https://www.suredividend.com/sure-analysis-research-database/","Ribbon Communications Inc")</f>
        <v>Ribbon Communications Inc</v>
      </c>
      <c r="C1296">
        <v>-0.19844357976653601</v>
      </c>
      <c r="D1296">
        <v>-0.32013201320132001</v>
      </c>
      <c r="E1296">
        <v>-0.20769230769230701</v>
      </c>
      <c r="F1296">
        <v>-0.26164874551971301</v>
      </c>
      <c r="G1296">
        <v>-0.17928286852589601</v>
      </c>
      <c r="H1296">
        <v>-0.65837479270315002</v>
      </c>
      <c r="I1296">
        <v>-0.69481481481481411</v>
      </c>
    </row>
    <row r="1297" spans="1:9" x14ac:dyDescent="0.25">
      <c r="A1297" s="1" t="s">
        <v>1309</v>
      </c>
      <c r="B1297" t="str">
        <f>HYPERLINK("https://www.suredividend.com/sure-analysis-research-database/","RBC Bearings Inc.")</f>
        <v>RBC Bearings Inc.</v>
      </c>
      <c r="C1297">
        <v>-6.5694668135966E-2</v>
      </c>
      <c r="D1297">
        <v>-1.5399945647250001E-3</v>
      </c>
      <c r="E1297">
        <v>-1.7296718972895E-2</v>
      </c>
      <c r="F1297">
        <v>5.2973489371865003E-2</v>
      </c>
      <c r="G1297">
        <v>-0.103574478467732</v>
      </c>
      <c r="H1297">
        <v>-4.1398504087667001E-2</v>
      </c>
      <c r="I1297">
        <v>0.30949269335867802</v>
      </c>
    </row>
    <row r="1298" spans="1:9" x14ac:dyDescent="0.25">
      <c r="A1298" s="1" t="s">
        <v>1310</v>
      </c>
      <c r="B1298" t="str">
        <f>HYPERLINK("https://www.suredividend.com/sure-analysis-RBCAA/","Republic Bancorp, Inc. (KY)")</f>
        <v>Republic Bancorp, Inc. (KY)</v>
      </c>
      <c r="C1298">
        <v>9.0930178612850007E-2</v>
      </c>
      <c r="D1298">
        <v>1.8717278337474001E-2</v>
      </c>
      <c r="E1298">
        <v>0.27192330056388703</v>
      </c>
      <c r="F1298">
        <v>0.19938691768018199</v>
      </c>
      <c r="G1298">
        <v>9.9803097127837012E-2</v>
      </c>
      <c r="H1298">
        <v>-8.7503080137912012E-2</v>
      </c>
      <c r="I1298">
        <v>0.19357605843269199</v>
      </c>
    </row>
    <row r="1299" spans="1:9" x14ac:dyDescent="0.25">
      <c r="A1299" s="1" t="s">
        <v>1311</v>
      </c>
      <c r="B1299" t="str">
        <f>HYPERLINK("https://www.suredividend.com/sure-analysis-research-database/","Vicarious Surgical Inc")</f>
        <v>Vicarious Surgical Inc</v>
      </c>
      <c r="C1299">
        <v>-0.21082903609678699</v>
      </c>
      <c r="D1299">
        <v>-0.58111380145278402</v>
      </c>
      <c r="E1299">
        <v>-0.81663594470046008</v>
      </c>
      <c r="F1299">
        <v>-0.80301980198019807</v>
      </c>
      <c r="G1299">
        <v>-0.89417553191489307</v>
      </c>
      <c r="H1299">
        <v>-0.96852056962025312</v>
      </c>
      <c r="I1299">
        <v>-0.95918974358974307</v>
      </c>
    </row>
    <row r="1300" spans="1:9" x14ac:dyDescent="0.25">
      <c r="A1300" s="1" t="s">
        <v>1312</v>
      </c>
      <c r="B1300" t="str">
        <f>HYPERLINK("https://www.suredividend.com/sure-analysis-research-database/","Ready Capital Corp")</f>
        <v>Ready Capital Corp</v>
      </c>
      <c r="C1300">
        <v>5.1759834368528997E-2</v>
      </c>
      <c r="D1300">
        <v>-6.7727402024206004E-2</v>
      </c>
      <c r="E1300">
        <v>0.117404454220511</v>
      </c>
      <c r="F1300">
        <v>2.1362151294295001E-2</v>
      </c>
      <c r="G1300">
        <v>-2.1835406477452E-2</v>
      </c>
      <c r="H1300">
        <v>-0.14727185745339699</v>
      </c>
      <c r="I1300">
        <v>0.26112483398085901</v>
      </c>
    </row>
    <row r="1301" spans="1:9" x14ac:dyDescent="0.25">
      <c r="A1301" s="1" t="s">
        <v>1313</v>
      </c>
      <c r="B1301" t="str">
        <f>HYPERLINK("https://www.suredividend.com/sure-analysis-research-database/","Rocket Pharmaceuticals Inc")</f>
        <v>Rocket Pharmaceuticals Inc</v>
      </c>
      <c r="C1301">
        <v>0.119530416221985</v>
      </c>
      <c r="D1301">
        <v>0.205747126436781</v>
      </c>
      <c r="E1301">
        <v>0.122525414660246</v>
      </c>
      <c r="F1301">
        <v>7.2049054675523E-2</v>
      </c>
      <c r="G1301">
        <v>0.233392122281011</v>
      </c>
      <c r="H1301">
        <v>-0.41754580788450801</v>
      </c>
      <c r="I1301">
        <v>0.17469204927211601</v>
      </c>
    </row>
    <row r="1302" spans="1:9" x14ac:dyDescent="0.25">
      <c r="A1302" s="1" t="s">
        <v>1314</v>
      </c>
      <c r="B1302" t="str">
        <f>HYPERLINK("https://www.suredividend.com/sure-analysis-research-database/","Rocky Brands, Inc")</f>
        <v>Rocky Brands, Inc</v>
      </c>
      <c r="C1302">
        <v>0.47959914101646411</v>
      </c>
      <c r="D1302">
        <v>2.8788150271754999E-2</v>
      </c>
      <c r="E1302">
        <v>7.1745228478246006E-2</v>
      </c>
      <c r="F1302">
        <v>-9.0473068410329011E-2</v>
      </c>
      <c r="G1302">
        <v>-3.9292785632615998E-2</v>
      </c>
      <c r="H1302">
        <v>-0.47799998484760398</v>
      </c>
      <c r="I1302">
        <v>-0.12628130613970101</v>
      </c>
    </row>
    <row r="1303" spans="1:9" x14ac:dyDescent="0.25">
      <c r="A1303" s="1" t="s">
        <v>1315</v>
      </c>
      <c r="B1303" t="str">
        <f>HYPERLINK("https://www.suredividend.com/sure-analysis-research-database/","R1 RCM Inc.")</f>
        <v>R1 RCM Inc.</v>
      </c>
      <c r="C1303">
        <v>-0.17642857142857099</v>
      </c>
      <c r="D1303">
        <v>-0.333526011560693</v>
      </c>
      <c r="E1303">
        <v>-0.26042334830019198</v>
      </c>
      <c r="F1303">
        <v>5.2968036529679997E-2</v>
      </c>
      <c r="G1303">
        <v>-0.22304582210242599</v>
      </c>
      <c r="H1303">
        <v>-0.43618581907090398</v>
      </c>
      <c r="I1303">
        <v>-0.43618581907090398</v>
      </c>
    </row>
    <row r="1304" spans="1:9" x14ac:dyDescent="0.25">
      <c r="A1304" s="1" t="s">
        <v>1316</v>
      </c>
      <c r="B1304" t="str">
        <f>HYPERLINK("https://www.suredividend.com/sure-analysis-research-database/","Arcus Biosciences Inc")</f>
        <v>Arcus Biosciences Inc</v>
      </c>
      <c r="C1304">
        <v>3.4766118836915001E-2</v>
      </c>
      <c r="D1304">
        <v>-0.13932702418506801</v>
      </c>
      <c r="E1304">
        <v>-0.16008209338122101</v>
      </c>
      <c r="F1304">
        <v>-0.20841392649903201</v>
      </c>
      <c r="G1304">
        <v>-0.32799671592774998</v>
      </c>
      <c r="H1304">
        <v>-0.53743995478948803</v>
      </c>
      <c r="I1304">
        <v>0.51433857539315408</v>
      </c>
    </row>
    <row r="1305" spans="1:9" x14ac:dyDescent="0.25">
      <c r="A1305" s="1" t="s">
        <v>1317</v>
      </c>
      <c r="B1305" t="str">
        <f>HYPERLINK("https://www.suredividend.com/sure-analysis-research-database/","Redfin Corp")</f>
        <v>Redfin Corp</v>
      </c>
      <c r="C1305">
        <v>-9.7810218978102006E-2</v>
      </c>
      <c r="D1305">
        <v>-0.43041474654377798</v>
      </c>
      <c r="E1305">
        <v>-0.12711864406779599</v>
      </c>
      <c r="F1305">
        <v>0.45754716981131999</v>
      </c>
      <c r="G1305">
        <v>0.53731343283582</v>
      </c>
      <c r="H1305">
        <v>-0.87955564217501403</v>
      </c>
      <c r="I1305">
        <v>-0.614232209737827</v>
      </c>
    </row>
    <row r="1306" spans="1:9" x14ac:dyDescent="0.25">
      <c r="A1306" s="1" t="s">
        <v>1318</v>
      </c>
      <c r="B1306" t="str">
        <f>HYPERLINK("https://www.suredividend.com/sure-analysis-research-database/","Radian Group, Inc.")</f>
        <v>Radian Group, Inc.</v>
      </c>
      <c r="C1306">
        <v>5.8112324492978998E-2</v>
      </c>
      <c r="D1306">
        <v>-1.7865223451047001E-2</v>
      </c>
      <c r="E1306">
        <v>0.15179689655904299</v>
      </c>
      <c r="F1306">
        <v>0.46279392021221999</v>
      </c>
      <c r="G1306">
        <v>0.35798699576035697</v>
      </c>
      <c r="H1306">
        <v>0.31902645831915211</v>
      </c>
      <c r="I1306">
        <v>0.60947770579720406</v>
      </c>
    </row>
    <row r="1307" spans="1:9" x14ac:dyDescent="0.25">
      <c r="A1307" s="1" t="s">
        <v>1319</v>
      </c>
      <c r="B1307" t="str">
        <f>HYPERLINK("https://www.suredividend.com/sure-analysis-research-database/","Radnet Inc")</f>
        <v>Radnet Inc</v>
      </c>
      <c r="C1307">
        <v>8.0391471513450007E-3</v>
      </c>
      <c r="D1307">
        <v>-0.131325301204819</v>
      </c>
      <c r="E1307">
        <v>3.7783375314861013E-2</v>
      </c>
      <c r="F1307">
        <v>0.53159851301115202</v>
      </c>
      <c r="G1307">
        <v>0.71055753262158905</v>
      </c>
      <c r="H1307">
        <v>-0.109326744904261</v>
      </c>
      <c r="I1307">
        <v>0.96860068259385612</v>
      </c>
    </row>
    <row r="1308" spans="1:9" x14ac:dyDescent="0.25">
      <c r="A1308" s="1" t="s">
        <v>1320</v>
      </c>
      <c r="B1308" t="str">
        <f>HYPERLINK("https://www.suredividend.com/sure-analysis-research-database/","Red Violet Inc")</f>
        <v>Red Violet Inc</v>
      </c>
      <c r="C1308">
        <v>-1.2226184411613999E-2</v>
      </c>
      <c r="D1308">
        <v>-4.4827586206896003E-2</v>
      </c>
      <c r="E1308">
        <v>0.17800729040097099</v>
      </c>
      <c r="F1308">
        <v>-0.15768896611642</v>
      </c>
      <c r="G1308">
        <v>0.15416666666666601</v>
      </c>
      <c r="H1308">
        <v>-0.44297615627693199</v>
      </c>
      <c r="I1308">
        <v>2.2533557046979862</v>
      </c>
    </row>
    <row r="1309" spans="1:9" x14ac:dyDescent="0.25">
      <c r="A1309" s="1" t="s">
        <v>1321</v>
      </c>
      <c r="B1309" t="str">
        <f>HYPERLINK("https://www.suredividend.com/sure-analysis-research-database/","Redwire Corporation")</f>
        <v>Redwire Corporation</v>
      </c>
      <c r="C1309">
        <v>3.5587188612099002E-2</v>
      </c>
      <c r="D1309">
        <v>-0.14159292035398199</v>
      </c>
      <c r="E1309">
        <v>6.2043795620437013E-2</v>
      </c>
      <c r="F1309">
        <v>0.46969696969696911</v>
      </c>
      <c r="G1309">
        <v>9.8113207547169998E-2</v>
      </c>
      <c r="H1309">
        <v>-0.77598152424942202</v>
      </c>
      <c r="I1309">
        <v>-0.76225490196078405</v>
      </c>
    </row>
    <row r="1310" spans="1:9" x14ac:dyDescent="0.25">
      <c r="A1310" s="1" t="s">
        <v>1322</v>
      </c>
      <c r="B1310" t="str">
        <f>HYPERLINK("https://www.suredividend.com/sure-analysis-research-database/","Therealreal Inc")</f>
        <v>Therealreal Inc</v>
      </c>
      <c r="C1310">
        <v>-0.111764705882352</v>
      </c>
      <c r="D1310">
        <v>-0.34061135371179002</v>
      </c>
      <c r="E1310">
        <v>0.37272727272727202</v>
      </c>
      <c r="F1310">
        <v>0.20799999999999999</v>
      </c>
      <c r="G1310">
        <v>8.6330935251798011E-2</v>
      </c>
      <c r="H1310">
        <v>-0.88437978560490005</v>
      </c>
      <c r="I1310">
        <v>-0.94775086505190309</v>
      </c>
    </row>
    <row r="1311" spans="1:9" x14ac:dyDescent="0.25">
      <c r="A1311" s="1" t="s">
        <v>1323</v>
      </c>
      <c r="B1311" t="str">
        <f>HYPERLINK("https://www.suredividend.com/sure-analysis-research-database/","Chicago Atlantic Real Estate Finance Inc")</f>
        <v>Chicago Atlantic Real Estate Finance Inc</v>
      </c>
      <c r="C1311">
        <v>-6.8870523415900009E-4</v>
      </c>
      <c r="D1311">
        <v>-7.7479091586710007E-3</v>
      </c>
      <c r="E1311">
        <v>0.18664998323478599</v>
      </c>
      <c r="F1311">
        <v>0.128629543492295</v>
      </c>
      <c r="G1311">
        <v>0.231518731646042</v>
      </c>
      <c r="H1311">
        <v>0.142007130657893</v>
      </c>
      <c r="I1311">
        <v>0.142007130657893</v>
      </c>
    </row>
    <row r="1312" spans="1:9" x14ac:dyDescent="0.25">
      <c r="A1312" s="1" t="s">
        <v>1324</v>
      </c>
      <c r="B1312" t="str">
        <f>HYPERLINK("https://www.suredividend.com/sure-analysis-research-database/","Ring Energy Inc")</f>
        <v>Ring Energy Inc</v>
      </c>
      <c r="C1312">
        <v>-5.8139534883720001E-3</v>
      </c>
      <c r="D1312">
        <v>-0.18957345971563899</v>
      </c>
      <c r="E1312">
        <v>-3.3898305084744999E-2</v>
      </c>
      <c r="F1312">
        <v>-0.30487804878048702</v>
      </c>
      <c r="G1312">
        <v>-0.46394984326018801</v>
      </c>
      <c r="H1312">
        <v>-0.53783783783783701</v>
      </c>
      <c r="I1312">
        <v>-0.76734693877551008</v>
      </c>
    </row>
    <row r="1313" spans="1:9" x14ac:dyDescent="0.25">
      <c r="A1313" s="1" t="s">
        <v>1325</v>
      </c>
      <c r="B1313" t="str">
        <f>HYPERLINK("https://www.suredividend.com/sure-analysis-research-database/","Remitly Global Inc")</f>
        <v>Remitly Global Inc</v>
      </c>
      <c r="C1313">
        <v>-0.23572003218020901</v>
      </c>
      <c r="D1313">
        <v>-0.14759982054733001</v>
      </c>
      <c r="E1313">
        <v>3.9387308533915998E-2</v>
      </c>
      <c r="F1313">
        <v>0.65938864628820903</v>
      </c>
      <c r="G1313">
        <v>0.99789695057833805</v>
      </c>
      <c r="H1313">
        <v>-0.44068295554901299</v>
      </c>
      <c r="I1313">
        <v>-0.60784313725490202</v>
      </c>
    </row>
    <row r="1314" spans="1:9" x14ac:dyDescent="0.25">
      <c r="A1314" s="1" t="s">
        <v>1326</v>
      </c>
      <c r="B1314" t="str">
        <f>HYPERLINK("https://www.suredividend.com/sure-analysis-research-database/","Rent the Runway Inc")</f>
        <v>Rent the Runway Inc</v>
      </c>
      <c r="C1314">
        <v>-0.32240585207260902</v>
      </c>
      <c r="D1314">
        <v>-0.69867469879518007</v>
      </c>
      <c r="E1314">
        <v>-0.77055045871559602</v>
      </c>
      <c r="F1314">
        <v>-0.83599999999999997</v>
      </c>
      <c r="G1314">
        <v>-0.70576470588235307</v>
      </c>
      <c r="H1314">
        <v>-0.96879600748596306</v>
      </c>
      <c r="I1314">
        <v>-0.97406946604458211</v>
      </c>
    </row>
    <row r="1315" spans="1:9" x14ac:dyDescent="0.25">
      <c r="A1315" s="1" t="s">
        <v>1327</v>
      </c>
      <c r="B1315" t="str">
        <f>HYPERLINK("https://www.suredividend.com/sure-analysis-research-database/","Replimune Group Inc")</f>
        <v>Replimune Group Inc</v>
      </c>
      <c r="C1315">
        <v>-0.10691823899371</v>
      </c>
      <c r="D1315">
        <v>-0.28246589186457799</v>
      </c>
      <c r="E1315">
        <v>-0.18624641833810801</v>
      </c>
      <c r="F1315">
        <v>-0.47794117647058798</v>
      </c>
      <c r="G1315">
        <v>-0.23408845738942799</v>
      </c>
      <c r="H1315">
        <v>-0.57395739573957305</v>
      </c>
      <c r="I1315">
        <v>9.2395167022030003E-3</v>
      </c>
    </row>
    <row r="1316" spans="1:9" x14ac:dyDescent="0.25">
      <c r="A1316" s="1" t="s">
        <v>1328</v>
      </c>
      <c r="B1316" t="str">
        <f>HYPERLINK("https://www.suredividend.com/sure-analysis-research-database/","Riley Exploration Permian Inc.")</f>
        <v>Riley Exploration Permian Inc.</v>
      </c>
      <c r="C1316">
        <v>0.19040961573592499</v>
      </c>
      <c r="D1316">
        <v>-0.12885236598568101</v>
      </c>
      <c r="E1316">
        <v>-0.175144278709784</v>
      </c>
      <c r="F1316">
        <v>0.159686634003188</v>
      </c>
      <c r="G1316">
        <v>0.13274348841004399</v>
      </c>
      <c r="H1316">
        <v>0.49634933875699411</v>
      </c>
      <c r="I1316">
        <v>1.6141168861471451</v>
      </c>
    </row>
    <row r="1317" spans="1:9" x14ac:dyDescent="0.25">
      <c r="A1317" s="1" t="s">
        <v>1329</v>
      </c>
      <c r="B1317" t="str">
        <f>HYPERLINK("https://www.suredividend.com/sure-analysis-research-database/","RPC, Inc.")</f>
        <v>RPC, Inc.</v>
      </c>
      <c r="C1317">
        <v>-7.2639225181590009E-3</v>
      </c>
      <c r="D1317">
        <v>-1.3177688188218E-2</v>
      </c>
      <c r="E1317">
        <v>0.21343060508752901</v>
      </c>
      <c r="F1317">
        <v>-6.3745247365356E-2</v>
      </c>
      <c r="G1317">
        <v>-0.198169479592435</v>
      </c>
      <c r="H1317">
        <v>0.642858573918618</v>
      </c>
      <c r="I1317">
        <v>-0.42281973674948897</v>
      </c>
    </row>
    <row r="1318" spans="1:9" x14ac:dyDescent="0.25">
      <c r="A1318" s="1" t="s">
        <v>1330</v>
      </c>
      <c r="B1318" t="str">
        <f>HYPERLINK("https://www.suredividend.com/sure-analysis-research-database/","Reata Pharmaceuticals Inc")</f>
        <v>Reata Pharmaceuticals Inc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25">
      <c r="A1319" s="1" t="s">
        <v>1331</v>
      </c>
      <c r="B1319" t="str">
        <f>HYPERLINK("https://www.suredividend.com/sure-analysis-research-database/","REV Group Inc")</f>
        <v>REV Group Inc</v>
      </c>
      <c r="C1319">
        <v>-5.5068836045055997E-2</v>
      </c>
      <c r="D1319">
        <v>0.11793056984845</v>
      </c>
      <c r="E1319">
        <v>0.46630413672557702</v>
      </c>
      <c r="F1319">
        <v>0.21005224861364799</v>
      </c>
      <c r="G1319">
        <v>0.11339689281158501</v>
      </c>
      <c r="H1319">
        <v>-6.5634533157597999E-2</v>
      </c>
      <c r="I1319">
        <v>0.37834087921717502</v>
      </c>
    </row>
    <row r="1320" spans="1:9" x14ac:dyDescent="0.25">
      <c r="A1320" s="1" t="s">
        <v>1332</v>
      </c>
      <c r="B1320" t="str">
        <f>HYPERLINK("https://www.suredividend.com/sure-analysis-research-database/","REX American Resources Corp")</f>
        <v>REX American Resources Corp</v>
      </c>
      <c r="C1320">
        <v>-7.0148090413090008E-3</v>
      </c>
      <c r="D1320">
        <v>4.9135328026350997E-2</v>
      </c>
      <c r="E1320">
        <v>0.37630536550234001</v>
      </c>
      <c r="F1320">
        <v>0.19962335216572499</v>
      </c>
      <c r="G1320">
        <v>0.256823413350871</v>
      </c>
      <c r="H1320">
        <v>0.23836401162545801</v>
      </c>
      <c r="I1320">
        <v>0.55176613885505399</v>
      </c>
    </row>
    <row r="1321" spans="1:9" x14ac:dyDescent="0.25">
      <c r="A1321" s="1" t="s">
        <v>1333</v>
      </c>
      <c r="B1321" t="str">
        <f>HYPERLINK("https://www.suredividend.com/sure-analysis-research-database/","Resideo Technologies Inc")</f>
        <v>Resideo Technologies Inc</v>
      </c>
      <c r="C1321">
        <v>1.8625561978163001E-2</v>
      </c>
      <c r="D1321">
        <v>3.8637851997380013E-2</v>
      </c>
      <c r="E1321">
        <v>-1.6738995660259999E-2</v>
      </c>
      <c r="F1321">
        <v>-3.5866261398176003E-2</v>
      </c>
      <c r="G1321">
        <v>-1.3681592039799999E-2</v>
      </c>
      <c r="H1321">
        <v>-0.41691176470588198</v>
      </c>
      <c r="I1321">
        <v>-0.33305298570226999</v>
      </c>
    </row>
    <row r="1322" spans="1:9" x14ac:dyDescent="0.25">
      <c r="A1322" s="1" t="s">
        <v>1334</v>
      </c>
      <c r="B1322" t="str">
        <f>HYPERLINK("https://www.suredividend.com/sure-analysis-research-database/","Regenxbio Inc")</f>
        <v>Regenxbio Inc</v>
      </c>
      <c r="C1322">
        <v>1.1213720316621999E-2</v>
      </c>
      <c r="D1322">
        <v>-0.13389830508474501</v>
      </c>
      <c r="E1322">
        <v>-0.230035158211953</v>
      </c>
      <c r="F1322">
        <v>-0.32407407407407401</v>
      </c>
      <c r="G1322">
        <v>-0.26049204052098401</v>
      </c>
      <c r="H1322">
        <v>-0.602437759336099</v>
      </c>
      <c r="I1322">
        <v>-0.78286118980169905</v>
      </c>
    </row>
    <row r="1323" spans="1:9" x14ac:dyDescent="0.25">
      <c r="A1323" s="1" t="s">
        <v>1335</v>
      </c>
      <c r="B1323" t="str">
        <f>HYPERLINK("https://www.suredividend.com/sure-analysis-research-database/","Resources Connection Inc")</f>
        <v>Resources Connection Inc</v>
      </c>
      <c r="C1323">
        <v>-3.7983425414364003E-2</v>
      </c>
      <c r="D1323">
        <v>-0.11516229435304499</v>
      </c>
      <c r="E1323">
        <v>2.6271277935720001E-3</v>
      </c>
      <c r="F1323">
        <v>-0.21494147284418799</v>
      </c>
      <c r="G1323">
        <v>-0.19422013466299501</v>
      </c>
      <c r="H1323">
        <v>-0.17755000826582901</v>
      </c>
      <c r="I1323">
        <v>-0.100274503471661</v>
      </c>
    </row>
    <row r="1324" spans="1:9" x14ac:dyDescent="0.25">
      <c r="A1324" s="1" t="s">
        <v>1336</v>
      </c>
      <c r="B1324" t="str">
        <f>HYPERLINK("https://www.suredividend.com/sure-analysis-research-database/","Sturm, Ruger &amp; Co., Inc.")</f>
        <v>Sturm, Ruger &amp; Co., Inc.</v>
      </c>
      <c r="C1324">
        <v>-0.132923549750288</v>
      </c>
      <c r="D1324">
        <v>-0.17773434297986601</v>
      </c>
      <c r="E1324">
        <v>-0.14447948570215499</v>
      </c>
      <c r="F1324">
        <v>-9.0207333565786002E-2</v>
      </c>
      <c r="G1324">
        <v>-6.0522810522810007E-2</v>
      </c>
      <c r="H1324">
        <v>-0.29157374522706803</v>
      </c>
      <c r="I1324">
        <v>7.5025541978151006E-2</v>
      </c>
    </row>
    <row r="1325" spans="1:9" x14ac:dyDescent="0.25">
      <c r="A1325" s="1" t="s">
        <v>1337</v>
      </c>
      <c r="B1325" t="str">
        <f>HYPERLINK("https://www.suredividend.com/sure-analysis-research-database/","Rigetti Computing Inc")</f>
        <v>Rigetti Computing Inc</v>
      </c>
      <c r="C1325">
        <v>-7.1428571428571008E-2</v>
      </c>
      <c r="D1325">
        <v>-0.57299270072992703</v>
      </c>
      <c r="E1325">
        <v>2.0061664953751279</v>
      </c>
      <c r="F1325">
        <v>0.60449808008776706</v>
      </c>
      <c r="G1325">
        <v>-0.34636871508379802</v>
      </c>
      <c r="H1325">
        <v>-0.87592788971367908</v>
      </c>
      <c r="I1325">
        <v>-0.87592788971367908</v>
      </c>
    </row>
    <row r="1326" spans="1:9" x14ac:dyDescent="0.25">
      <c r="A1326" s="1" t="s">
        <v>1338</v>
      </c>
      <c r="B1326" t="str">
        <f>HYPERLINK("https://www.suredividend.com/sure-analysis-research-database/","Ryman Hospitality Properties Inc")</f>
        <v>Ryman Hospitality Properties Inc</v>
      </c>
      <c r="C1326">
        <v>0.103813304462889</v>
      </c>
      <c r="D1326">
        <v>5.4764775730294007E-2</v>
      </c>
      <c r="E1326">
        <v>1.6633299615438E-2</v>
      </c>
      <c r="F1326">
        <v>0.15869997297713601</v>
      </c>
      <c r="G1326">
        <v>0.12148893055226199</v>
      </c>
      <c r="H1326">
        <v>4.5967394451448013E-2</v>
      </c>
      <c r="I1326">
        <v>0.37944512511368811</v>
      </c>
    </row>
    <row r="1327" spans="1:9" x14ac:dyDescent="0.25">
      <c r="A1327" s="1" t="s">
        <v>1339</v>
      </c>
      <c r="B1327" t="str">
        <f>HYPERLINK("https://www.suredividend.com/sure-analysis-research-database/","RCI Hospitality Holdings Inc")</f>
        <v>RCI Hospitality Holdings Inc</v>
      </c>
      <c r="C1327">
        <v>-3.4234851078397001E-2</v>
      </c>
      <c r="D1327">
        <v>-0.17909709410265201</v>
      </c>
      <c r="E1327">
        <v>-0.225508525995294</v>
      </c>
      <c r="F1327">
        <v>-0.39201472440766599</v>
      </c>
      <c r="G1327">
        <v>-0.28493030541916797</v>
      </c>
      <c r="H1327">
        <v>-0.172363209623001</v>
      </c>
      <c r="I1327">
        <v>1.1893080125879389</v>
      </c>
    </row>
    <row r="1328" spans="1:9" x14ac:dyDescent="0.25">
      <c r="A1328" s="1" t="s">
        <v>1340</v>
      </c>
      <c r="B1328" t="str">
        <f>HYPERLINK("https://www.suredividend.com/sure-analysis-research-database/","Lordstown Motors Corp.")</f>
        <v>Lordstown Motors Corp.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1" t="s">
        <v>1341</v>
      </c>
      <c r="B1329" t="str">
        <f>HYPERLINK("https://www.suredividend.com/sure-analysis-research-database/","Rigel Pharmaceuticals")</f>
        <v>Rigel Pharmaceuticals</v>
      </c>
      <c r="C1329">
        <v>-0.12762376237623699</v>
      </c>
      <c r="D1329">
        <v>-0.27778688524590101</v>
      </c>
      <c r="E1329">
        <v>-0.246923076923076</v>
      </c>
      <c r="F1329">
        <v>-0.41260000000000002</v>
      </c>
      <c r="G1329">
        <v>0.190675675675675</v>
      </c>
      <c r="H1329">
        <v>-0.74311953352769611</v>
      </c>
      <c r="I1329">
        <v>-0.70920792079207906</v>
      </c>
    </row>
    <row r="1330" spans="1:9" x14ac:dyDescent="0.25">
      <c r="A1330" s="1" t="s">
        <v>1342</v>
      </c>
      <c r="B1330" t="str">
        <f>HYPERLINK("https://www.suredividend.com/sure-analysis-research-database/","B. Riley Financial Inc")</f>
        <v>B. Riley Financial Inc</v>
      </c>
      <c r="C1330">
        <v>6.7831449126413007E-2</v>
      </c>
      <c r="D1330">
        <v>-0.19990913308729899</v>
      </c>
      <c r="E1330">
        <v>0.62969527521694602</v>
      </c>
      <c r="F1330">
        <v>0.37309902105572701</v>
      </c>
      <c r="G1330">
        <v>0.101070072671684</v>
      </c>
      <c r="H1330">
        <v>-0.33982704612315101</v>
      </c>
      <c r="I1330">
        <v>2.0036497669208249</v>
      </c>
    </row>
    <row r="1331" spans="1:9" x14ac:dyDescent="0.25">
      <c r="A1331" s="1" t="s">
        <v>1343</v>
      </c>
      <c r="B1331" t="str">
        <f>HYPERLINK("https://www.suredividend.com/sure-analysis-research-database/","Riot Platforms Inc")</f>
        <v>Riot Platforms Inc</v>
      </c>
      <c r="C1331">
        <v>0.25648097076668502</v>
      </c>
      <c r="D1331">
        <v>-0.33430742255990598</v>
      </c>
      <c r="E1331">
        <v>5.0738007380073002E-2</v>
      </c>
      <c r="F1331">
        <v>2.359882005899705</v>
      </c>
      <c r="G1331">
        <v>0.96718480138169205</v>
      </c>
      <c r="H1331">
        <v>-0.651894865525672</v>
      </c>
      <c r="I1331">
        <v>3.484251968503937</v>
      </c>
    </row>
    <row r="1332" spans="1:9" x14ac:dyDescent="0.25">
      <c r="A1332" s="1" t="s">
        <v>1344</v>
      </c>
      <c r="B1332" t="str">
        <f>HYPERLINK("https://www.suredividend.com/sure-analysis-research-database/","Rocket Lab USA Inc")</f>
        <v>Rocket Lab USA Inc</v>
      </c>
      <c r="C1332">
        <v>6.9605568445475011E-2</v>
      </c>
      <c r="D1332">
        <v>-0.32503660322108302</v>
      </c>
      <c r="E1332">
        <v>0.18814432989690699</v>
      </c>
      <c r="F1332">
        <v>0.222811671087533</v>
      </c>
      <c r="G1332">
        <v>-0.110038610038609</v>
      </c>
      <c r="H1332">
        <v>-0.70711562897077507</v>
      </c>
      <c r="I1332">
        <v>-0.558005752636625</v>
      </c>
    </row>
    <row r="1333" spans="1:9" x14ac:dyDescent="0.25">
      <c r="A1333" s="1" t="s">
        <v>1345</v>
      </c>
      <c r="B1333" t="str">
        <f>HYPERLINK("https://www.suredividend.com/sure-analysis-research-database/","Relay Therapeutics Inc")</f>
        <v>Relay Therapeutics Inc</v>
      </c>
      <c r="C1333">
        <v>-0.124563445867287</v>
      </c>
      <c r="D1333">
        <v>-0.33155555555555499</v>
      </c>
      <c r="E1333">
        <v>-0.32976827094474098</v>
      </c>
      <c r="F1333">
        <v>-0.49665327978580898</v>
      </c>
      <c r="G1333">
        <v>-0.63299170326988707</v>
      </c>
      <c r="H1333">
        <v>-0.79329301814183606</v>
      </c>
      <c r="I1333">
        <v>-0.78544935805991412</v>
      </c>
    </row>
    <row r="1334" spans="1:9" x14ac:dyDescent="0.25">
      <c r="A1334" s="1" t="s">
        <v>1346</v>
      </c>
      <c r="B1334" t="str">
        <f>HYPERLINK("https://www.suredividend.com/sure-analysis-research-database/","Radiant Logistics, Inc.")</f>
        <v>Radiant Logistics, Inc.</v>
      </c>
      <c r="C1334">
        <v>6.5972222222222002E-2</v>
      </c>
      <c r="D1334">
        <v>-0.17139001349527599</v>
      </c>
      <c r="E1334">
        <v>-5.1004636785161997E-2</v>
      </c>
      <c r="F1334">
        <v>0.206286836935166</v>
      </c>
      <c r="G1334">
        <v>2.3333333333333001E-2</v>
      </c>
      <c r="H1334">
        <v>-0.120343839541547</v>
      </c>
      <c r="I1334">
        <v>0.13493530499075701</v>
      </c>
    </row>
    <row r="1335" spans="1:9" x14ac:dyDescent="0.25">
      <c r="A1335" s="1" t="s">
        <v>1347</v>
      </c>
      <c r="B1335" t="str">
        <f>HYPERLINK("https://www.suredividend.com/sure-analysis-RLI/","RLI Corp.")</f>
        <v>RLI Corp.</v>
      </c>
      <c r="C1335">
        <v>-3.2457952198280001E-3</v>
      </c>
      <c r="D1335">
        <v>-3.9563103038770002E-3</v>
      </c>
      <c r="E1335">
        <v>-6.5699312421690003E-3</v>
      </c>
      <c r="F1335">
        <v>3.5735639056247E-2</v>
      </c>
      <c r="G1335">
        <v>6.8049418627629005E-2</v>
      </c>
      <c r="H1335">
        <v>0.25807010258597002</v>
      </c>
      <c r="I1335">
        <v>0.98549962235538513</v>
      </c>
    </row>
    <row r="1336" spans="1:9" x14ac:dyDescent="0.25">
      <c r="A1336" s="1" t="s">
        <v>1348</v>
      </c>
      <c r="B1336" t="str">
        <f>HYPERLINK("https://www.suredividend.com/sure-analysis-research-database/","RLJ Lodging Trust")</f>
        <v>RLJ Lodging Trust</v>
      </c>
      <c r="C1336">
        <v>6.591143151390301E-2</v>
      </c>
      <c r="D1336">
        <v>6.8166572062541009E-2</v>
      </c>
      <c r="E1336">
        <v>2.9543419874663999E-2</v>
      </c>
      <c r="F1336">
        <v>3.5098605751509998E-3</v>
      </c>
      <c r="G1336">
        <v>-6.2423567138625007E-2</v>
      </c>
      <c r="H1336">
        <v>-0.29203660888955701</v>
      </c>
      <c r="I1336">
        <v>-0.37925078268379497</v>
      </c>
    </row>
    <row r="1337" spans="1:9" x14ac:dyDescent="0.25">
      <c r="A1337" s="1" t="s">
        <v>1349</v>
      </c>
      <c r="B1337" t="str">
        <f>HYPERLINK("https://www.suredividend.com/sure-analysis-research-database/","Relmada Therapeutics Inc")</f>
        <v>Relmada Therapeutics Inc</v>
      </c>
      <c r="C1337">
        <v>5.6856187290969001E-2</v>
      </c>
      <c r="D1337">
        <v>0.244094488188976</v>
      </c>
      <c r="E1337">
        <v>3.9473684210526001E-2</v>
      </c>
      <c r="F1337">
        <v>-9.4555873925501008E-2</v>
      </c>
      <c r="G1337">
        <v>-0.50314465408805009</v>
      </c>
      <c r="H1337">
        <v>-0.87549251379038606</v>
      </c>
      <c r="I1337">
        <v>0.66315789473684206</v>
      </c>
    </row>
    <row r="1338" spans="1:9" x14ac:dyDescent="0.25">
      <c r="A1338" s="1" t="s">
        <v>1350</v>
      </c>
      <c r="B1338" t="str">
        <f>HYPERLINK("https://www.suredividend.com/sure-analysis-research-database/","Rallybio Corp")</f>
        <v>Rallybio Corp</v>
      </c>
      <c r="C1338">
        <v>0.11590296495956801</v>
      </c>
      <c r="D1338">
        <v>-0.30303030303030298</v>
      </c>
      <c r="E1338">
        <v>-0.248638838475499</v>
      </c>
      <c r="F1338">
        <v>-0.36986301369863001</v>
      </c>
      <c r="G1338">
        <v>-0.51972157772621808</v>
      </c>
      <c r="H1338">
        <v>-0.78210526315789408</v>
      </c>
      <c r="I1338">
        <v>-0.70638297872340405</v>
      </c>
    </row>
    <row r="1339" spans="1:9" x14ac:dyDescent="0.25">
      <c r="A1339" s="1" t="s">
        <v>1351</v>
      </c>
      <c r="B1339" t="str">
        <f>HYPERLINK("https://www.suredividend.com/sure-analysis-research-database/","Regional Management Corp")</f>
        <v>Regional Management Corp</v>
      </c>
      <c r="C1339">
        <v>-0.105783866057838</v>
      </c>
      <c r="D1339">
        <v>-0.24977413412761401</v>
      </c>
      <c r="E1339">
        <v>-8.7272303569347009E-2</v>
      </c>
      <c r="F1339">
        <v>-0.13645166150374999</v>
      </c>
      <c r="G1339">
        <v>-0.14814022699344201</v>
      </c>
      <c r="H1339">
        <v>-0.56576370154107603</v>
      </c>
      <c r="I1339">
        <v>-0.129436171000963</v>
      </c>
    </row>
    <row r="1340" spans="1:9" x14ac:dyDescent="0.25">
      <c r="A1340" s="1" t="s">
        <v>1352</v>
      </c>
      <c r="B1340" t="str">
        <f>HYPERLINK("https://www.suredividend.com/sure-analysis-research-database/","RE/MAX Holdings Inc")</f>
        <v>RE/MAX Holdings Inc</v>
      </c>
      <c r="C1340">
        <v>-2.2651006711408999E-2</v>
      </c>
      <c r="D1340">
        <v>-0.39367759261379598</v>
      </c>
      <c r="E1340">
        <v>-0.34433056995401801</v>
      </c>
      <c r="F1340">
        <v>-0.35121709445499399</v>
      </c>
      <c r="G1340">
        <v>-0.35200017799136701</v>
      </c>
      <c r="H1340">
        <v>-0.59202683868075801</v>
      </c>
      <c r="I1340">
        <v>-0.61009013109673405</v>
      </c>
    </row>
    <row r="1341" spans="1:9" x14ac:dyDescent="0.25">
      <c r="A1341" s="1" t="s">
        <v>1353</v>
      </c>
      <c r="B1341" t="str">
        <f>HYPERLINK("https://www.suredividend.com/sure-analysis-research-database/","RumbleON Inc")</f>
        <v>RumbleON Inc</v>
      </c>
      <c r="C1341">
        <v>0.20036764705882301</v>
      </c>
      <c r="D1341">
        <v>-0.41696428571428501</v>
      </c>
      <c r="E1341">
        <v>-2.8273809523809E-2</v>
      </c>
      <c r="F1341">
        <v>9.2735703245740014E-3</v>
      </c>
      <c r="G1341">
        <v>-0.60231425091352009</v>
      </c>
      <c r="H1341">
        <v>-0.84667762385536505</v>
      </c>
      <c r="I1341">
        <v>-0.95134128166915011</v>
      </c>
    </row>
    <row r="1342" spans="1:9" x14ac:dyDescent="0.25">
      <c r="A1342" s="1" t="s">
        <v>1354</v>
      </c>
      <c r="B1342" t="str">
        <f>HYPERLINK("https://www.suredividend.com/sure-analysis-research-database/","Rambus Inc.")</f>
        <v>Rambus Inc.</v>
      </c>
      <c r="C1342">
        <v>1.6987740805604001E-2</v>
      </c>
      <c r="D1342">
        <v>7.9970243630276008E-2</v>
      </c>
      <c r="E1342">
        <v>0.242670661245452</v>
      </c>
      <c r="F1342">
        <v>0.62116136236739206</v>
      </c>
      <c r="G1342">
        <v>0.64550864267497809</v>
      </c>
      <c r="H1342">
        <v>1.4205919132972069</v>
      </c>
      <c r="I1342">
        <v>5.2710583153347734</v>
      </c>
    </row>
    <row r="1343" spans="1:9" x14ac:dyDescent="0.25">
      <c r="A1343" s="1" t="s">
        <v>1355</v>
      </c>
      <c r="B1343" t="str">
        <f>HYPERLINK("https://www.suredividend.com/sure-analysis-research-database/","Rimini Street Inc.")</f>
        <v>Rimini Street Inc.</v>
      </c>
      <c r="C1343">
        <v>0.29953917050691198</v>
      </c>
      <c r="D1343">
        <v>0.146341463414634</v>
      </c>
      <c r="E1343">
        <v>-0.30370370370370298</v>
      </c>
      <c r="F1343">
        <v>-0.25984251968503902</v>
      </c>
      <c r="G1343">
        <v>-0.33333333333333298</v>
      </c>
      <c r="H1343">
        <v>-0.6461731493099121</v>
      </c>
      <c r="I1343">
        <v>-0.6077885952712101</v>
      </c>
    </row>
    <row r="1344" spans="1:9" x14ac:dyDescent="0.25">
      <c r="A1344" s="1" t="s">
        <v>1356</v>
      </c>
      <c r="B1344" t="str">
        <f>HYPERLINK("https://www.suredividend.com/sure-analysis-research-database/","RMR Group Inc (The)")</f>
        <v>RMR Group Inc (The)</v>
      </c>
      <c r="C1344">
        <v>3.5163312696870001E-2</v>
      </c>
      <c r="D1344">
        <v>6.7049894462657009E-2</v>
      </c>
      <c r="E1344">
        <v>0.12546894539391401</v>
      </c>
      <c r="F1344">
        <v>-5.8148246514632997E-2</v>
      </c>
      <c r="G1344">
        <v>-1.2349784471111999E-2</v>
      </c>
      <c r="H1344">
        <v>-0.179456009724965</v>
      </c>
      <c r="I1344">
        <v>-0.51687481445634109</v>
      </c>
    </row>
    <row r="1345" spans="1:9" x14ac:dyDescent="0.25">
      <c r="A1345" s="1" t="s">
        <v>1357</v>
      </c>
      <c r="B1345" t="str">
        <f>HYPERLINK("https://www.suredividend.com/sure-analysis-research-database/","Avidity Biosciences Inc")</f>
        <v>Avidity Biosciences Inc</v>
      </c>
      <c r="C1345">
        <v>-4.5375218150087E-2</v>
      </c>
      <c r="D1345">
        <v>-0.41056034482758602</v>
      </c>
      <c r="E1345">
        <v>-0.51160714285714204</v>
      </c>
      <c r="F1345">
        <v>-0.75349256421811606</v>
      </c>
      <c r="G1345">
        <v>-0.59660766961651901</v>
      </c>
      <c r="H1345">
        <v>-0.79280303030303001</v>
      </c>
      <c r="I1345">
        <v>-0.80807017543859605</v>
      </c>
    </row>
    <row r="1346" spans="1:9" x14ac:dyDescent="0.25">
      <c r="A1346" s="1" t="s">
        <v>1358</v>
      </c>
      <c r="B1346" t="str">
        <f>HYPERLINK("https://www.suredividend.com/sure-analysis-research-database/","Renasant Corp.")</f>
        <v>Renasant Corp.</v>
      </c>
      <c r="C1346">
        <v>4.7876447876447001E-2</v>
      </c>
      <c r="D1346">
        <v>-0.111279933722571</v>
      </c>
      <c r="E1346">
        <v>8.3848500822670008E-2</v>
      </c>
      <c r="F1346">
        <v>-0.25547353145308799</v>
      </c>
      <c r="G1346">
        <v>-0.30472118397220899</v>
      </c>
      <c r="H1346">
        <v>-0.25175206912333098</v>
      </c>
      <c r="I1346">
        <v>-0.122091970085138</v>
      </c>
    </row>
    <row r="1347" spans="1:9" x14ac:dyDescent="0.25">
      <c r="A1347" s="1" t="s">
        <v>1359</v>
      </c>
      <c r="B1347" t="str">
        <f>HYPERLINK("https://www.suredividend.com/sure-analysis-research-database/","Construction Partners Inc")</f>
        <v>Construction Partners Inc</v>
      </c>
      <c r="C1347">
        <v>3.3264033264033002E-2</v>
      </c>
      <c r="D1347">
        <v>0.16291313249488101</v>
      </c>
      <c r="E1347">
        <v>0.63218390804597702</v>
      </c>
      <c r="F1347">
        <v>0.48969651554889398</v>
      </c>
      <c r="G1347">
        <v>0.314380165289256</v>
      </c>
      <c r="H1347">
        <v>-1.9482120838471E-2</v>
      </c>
      <c r="I1347">
        <v>3.1416666666666662</v>
      </c>
    </row>
    <row r="1348" spans="1:9" x14ac:dyDescent="0.25">
      <c r="A1348" s="1" t="s">
        <v>1360</v>
      </c>
      <c r="B1348" t="str">
        <f>HYPERLINK("https://www.suredividend.com/sure-analysis-research-database/","Ranger Oil Corp")</f>
        <v>Ranger Oil Corp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s="1" t="s">
        <v>1361</v>
      </c>
      <c r="B1349" t="str">
        <f>HYPERLINK("https://www.suredividend.com/sure-analysis-research-database/","Gibraltar Industries Inc.")</f>
        <v>Gibraltar Industries Inc.</v>
      </c>
      <c r="C1349">
        <v>1.5172413793103001E-2</v>
      </c>
      <c r="D1349">
        <v>-9.7301717089125009E-2</v>
      </c>
      <c r="E1349">
        <v>0.25335856196783302</v>
      </c>
      <c r="F1349">
        <v>0.44376634699215312</v>
      </c>
      <c r="G1349">
        <v>0.35404742436631198</v>
      </c>
      <c r="H1349">
        <v>-9.7670617082141004E-2</v>
      </c>
      <c r="I1349">
        <v>1.0158247108947041</v>
      </c>
    </row>
    <row r="1350" spans="1:9" x14ac:dyDescent="0.25">
      <c r="A1350" s="1" t="s">
        <v>1362</v>
      </c>
      <c r="B1350" t="str">
        <f>HYPERLINK("https://www.suredividend.com/sure-analysis-research-database/","Rogers Corp.")</f>
        <v>Rogers Corp.</v>
      </c>
      <c r="C1350">
        <v>-8.926380368098101E-2</v>
      </c>
      <c r="D1350">
        <v>-0.21698424210456899</v>
      </c>
      <c r="E1350">
        <v>-0.26695882970187002</v>
      </c>
      <c r="F1350">
        <v>-4.8600636835930003E-3</v>
      </c>
      <c r="G1350">
        <v>0.124408256012118</v>
      </c>
      <c r="H1350">
        <v>-0.55910305910305902</v>
      </c>
      <c r="I1350">
        <v>-7.2404905100367012E-2</v>
      </c>
    </row>
    <row r="1351" spans="1:9" x14ac:dyDescent="0.25">
      <c r="A1351" s="1" t="s">
        <v>1363</v>
      </c>
      <c r="B1351" t="str">
        <f>HYPERLINK("https://www.suredividend.com/sure-analysis-research-database/","Retail Opportunity Investments Corp")</f>
        <v>Retail Opportunity Investments Corp</v>
      </c>
      <c r="C1351">
        <v>9.4871794871794007E-2</v>
      </c>
      <c r="D1351">
        <v>-0.116588279105692</v>
      </c>
      <c r="E1351">
        <v>4.1150223103619002E-2</v>
      </c>
      <c r="F1351">
        <v>-9.8896306248637003E-2</v>
      </c>
      <c r="G1351">
        <v>-5.3096102244922998E-2</v>
      </c>
      <c r="H1351">
        <v>-0.22301477545672899</v>
      </c>
      <c r="I1351">
        <v>-0.11270268959832599</v>
      </c>
    </row>
    <row r="1352" spans="1:9" x14ac:dyDescent="0.25">
      <c r="A1352" s="1" t="s">
        <v>1364</v>
      </c>
      <c r="B1352" t="str">
        <f>HYPERLINK("https://www.suredividend.com/sure-analysis-research-database/","Root Inc")</f>
        <v>Root Inc</v>
      </c>
      <c r="C1352">
        <v>0.119369369369369</v>
      </c>
      <c r="D1352">
        <v>-1.4866204162537E-2</v>
      </c>
      <c r="E1352">
        <v>1.0368852459016391</v>
      </c>
      <c r="F1352">
        <v>1.2138084632516699</v>
      </c>
      <c r="G1352">
        <v>0.31481481481481399</v>
      </c>
      <c r="H1352">
        <v>-0.89021426993593911</v>
      </c>
      <c r="I1352">
        <v>-0.97954732510288012</v>
      </c>
    </row>
    <row r="1353" spans="1:9" x14ac:dyDescent="0.25">
      <c r="A1353" s="1" t="s">
        <v>1365</v>
      </c>
      <c r="B1353" t="str">
        <f>HYPERLINK("https://www.suredividend.com/sure-analysis-research-database/","Rover Group Inc")</f>
        <v>Rover Group Inc</v>
      </c>
      <c r="C1353">
        <v>4.4943820224717997E-2</v>
      </c>
      <c r="D1353">
        <v>-6.1068702290070003E-3</v>
      </c>
      <c r="E1353">
        <v>0.6234413965087281</v>
      </c>
      <c r="F1353">
        <v>0.77384196185286003</v>
      </c>
      <c r="G1353">
        <v>0.53176470588235203</v>
      </c>
      <c r="H1353">
        <v>-0.46726677577741399</v>
      </c>
      <c r="I1353">
        <v>-0.40818181818181798</v>
      </c>
    </row>
    <row r="1354" spans="1:9" x14ac:dyDescent="0.25">
      <c r="A1354" s="1" t="s">
        <v>1366</v>
      </c>
      <c r="B1354" t="str">
        <f>HYPERLINK("https://www.suredividend.com/sure-analysis-research-database/","Repay Holdings Corporation")</f>
        <v>Repay Holdings Corporation</v>
      </c>
      <c r="C1354">
        <v>0</v>
      </c>
      <c r="D1354">
        <v>-0.19634146341463399</v>
      </c>
      <c r="E1354">
        <v>0.146086956521739</v>
      </c>
      <c r="F1354">
        <v>-0.181366459627329</v>
      </c>
      <c r="G1354">
        <v>0.26730769230769202</v>
      </c>
      <c r="H1354">
        <v>-0.6502123142250531</v>
      </c>
      <c r="I1354">
        <v>-0.32340862422997901</v>
      </c>
    </row>
    <row r="1355" spans="1:9" x14ac:dyDescent="0.25">
      <c r="A1355" s="1" t="s">
        <v>1367</v>
      </c>
      <c r="B1355" t="str">
        <f>HYPERLINK("https://www.suredividend.com/sure-analysis-research-database/","Rapid7 Inc")</f>
        <v>Rapid7 Inc</v>
      </c>
      <c r="C1355">
        <v>0.11630434782608701</v>
      </c>
      <c r="D1355">
        <v>0.198086794213719</v>
      </c>
      <c r="E1355">
        <v>0.12609649122807001</v>
      </c>
      <c r="F1355">
        <v>0.51118304885226606</v>
      </c>
      <c r="G1355">
        <v>0.78919860627177707</v>
      </c>
      <c r="H1355">
        <v>-0.62325752017608205</v>
      </c>
      <c r="I1355">
        <v>0.45591153955202701</v>
      </c>
    </row>
    <row r="1356" spans="1:9" x14ac:dyDescent="0.25">
      <c r="A1356" s="1" t="s">
        <v>1368</v>
      </c>
      <c r="B1356" t="str">
        <f>HYPERLINK("https://www.suredividend.com/sure-analysis-RPT/","RPT Realty")</f>
        <v>RPT Realty</v>
      </c>
      <c r="C1356">
        <v>0.114511352418558</v>
      </c>
      <c r="D1356">
        <v>8.6653127616774003E-2</v>
      </c>
      <c r="E1356">
        <v>0.28779842361610097</v>
      </c>
      <c r="F1356">
        <v>0.17156287940892601</v>
      </c>
      <c r="G1356">
        <v>0.18998682476943299</v>
      </c>
      <c r="H1356">
        <v>-0.122868352561861</v>
      </c>
      <c r="I1356">
        <v>0.105778648383937</v>
      </c>
    </row>
    <row r="1357" spans="1:9" x14ac:dyDescent="0.25">
      <c r="A1357" s="1" t="s">
        <v>1369</v>
      </c>
      <c r="B1357" t="str">
        <f>HYPERLINK("https://www.suredividend.com/sure-analysis-research-database/","Red River Bancshares Inc")</f>
        <v>Red River Bancshares Inc</v>
      </c>
      <c r="C1357">
        <v>6.2070494347151013E-2</v>
      </c>
      <c r="D1357">
        <v>-2.6075007064056001E-2</v>
      </c>
      <c r="E1357">
        <v>7.8306039954265008E-2</v>
      </c>
      <c r="F1357">
        <v>-5.4074331474783001E-2</v>
      </c>
      <c r="G1357">
        <v>-0.16021328584299399</v>
      </c>
      <c r="H1357">
        <v>-6.8830002682142011E-2</v>
      </c>
      <c r="I1357">
        <v>-2.3179854384272999E-2</v>
      </c>
    </row>
    <row r="1358" spans="1:9" x14ac:dyDescent="0.25">
      <c r="A1358" s="1" t="s">
        <v>1370</v>
      </c>
      <c r="B1358" t="str">
        <f>HYPERLINK("https://www.suredividend.com/sure-analysis-research-database/","Red Rock Resorts Inc")</f>
        <v>Red Rock Resorts Inc</v>
      </c>
      <c r="C1358">
        <v>5.0822122571001001E-2</v>
      </c>
      <c r="D1358">
        <v>-5.4991094332859002E-2</v>
      </c>
      <c r="E1358">
        <v>-7.1930859069026007E-2</v>
      </c>
      <c r="F1358">
        <v>8.3733717016520007E-2</v>
      </c>
      <c r="G1358">
        <v>0.114846649116686</v>
      </c>
      <c r="H1358">
        <v>-1.0168186927555001E-2</v>
      </c>
      <c r="I1358">
        <v>0.99979139207858803</v>
      </c>
    </row>
    <row r="1359" spans="1:9" x14ac:dyDescent="0.25">
      <c r="A1359" s="1" t="s">
        <v>1371</v>
      </c>
      <c r="B1359" t="str">
        <f>HYPERLINK("https://www.suredividend.com/sure-analysis-research-database/","Rush Street Interactive Inc")</f>
        <v>Rush Street Interactive Inc</v>
      </c>
      <c r="C1359">
        <v>-7.3170731707316999E-2</v>
      </c>
      <c r="D1359">
        <v>-0.11007025761124101</v>
      </c>
      <c r="E1359">
        <v>0.21405750798722001</v>
      </c>
      <c r="F1359">
        <v>5.8495821727018997E-2</v>
      </c>
      <c r="G1359">
        <v>1.6042780748662E-2</v>
      </c>
      <c r="H1359">
        <v>-0.80837115481593502</v>
      </c>
      <c r="I1359">
        <v>-0.60498960498960508</v>
      </c>
    </row>
    <row r="1360" spans="1:9" x14ac:dyDescent="0.25">
      <c r="A1360" s="1" t="s">
        <v>1372</v>
      </c>
      <c r="B1360" t="str">
        <f>HYPERLINK("https://www.suredividend.com/sure-analysis-research-database/","Reservoir Media Inc")</f>
        <v>Reservoir Media Inc</v>
      </c>
      <c r="C1360">
        <v>-5.0167224080260014E-3</v>
      </c>
      <c r="D1360">
        <v>9.3750000000000014E-2</v>
      </c>
      <c r="E1360">
        <v>-5.2547770700636001E-2</v>
      </c>
      <c r="F1360">
        <v>-3.3500837520930001E-3</v>
      </c>
      <c r="G1360">
        <v>3.1195840554592E-2</v>
      </c>
      <c r="H1360">
        <v>-0.38722966014418098</v>
      </c>
      <c r="I1360">
        <v>-0.40618762475049802</v>
      </c>
    </row>
    <row r="1361" spans="1:9" x14ac:dyDescent="0.25">
      <c r="A1361" s="1" t="s">
        <v>1373</v>
      </c>
      <c r="B1361" t="str">
        <f>HYPERLINK("https://www.suredividend.com/sure-analysis-RTL/","Necessity Retail REIT Inc (The)")</f>
        <v>Necessity Retail REIT Inc (The)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 s="1" t="s">
        <v>1374</v>
      </c>
      <c r="B1362" t="str">
        <f>HYPERLINK("https://www.suredividend.com/sure-analysis-research-database/","Rush Enterprises Inc")</f>
        <v>Rush Enterprises Inc</v>
      </c>
      <c r="C1362">
        <v>-5.8358061325420013E-2</v>
      </c>
      <c r="D1362">
        <v>-0.10610538472914301</v>
      </c>
      <c r="E1362">
        <v>0.152078612422965</v>
      </c>
      <c r="F1362">
        <v>0.110323854176689</v>
      </c>
      <c r="G1362">
        <v>0.18829924670315601</v>
      </c>
      <c r="H1362">
        <v>0.10745964810237001</v>
      </c>
      <c r="I1362">
        <v>1.4388369412066091</v>
      </c>
    </row>
    <row r="1363" spans="1:9" x14ac:dyDescent="0.25">
      <c r="A1363" s="1" t="s">
        <v>1375</v>
      </c>
      <c r="B1363" t="str">
        <f>HYPERLINK("https://www.suredividend.com/sure-analysis-research-database/","Rush Enterprises Inc")</f>
        <v>Rush Enterprises Inc</v>
      </c>
      <c r="C1363">
        <v>-5.4954756124475007E-2</v>
      </c>
      <c r="D1363">
        <v>-5.7029665467950012E-2</v>
      </c>
      <c r="E1363">
        <v>0.17525326131407601</v>
      </c>
      <c r="F1363">
        <v>0.158621883937582</v>
      </c>
      <c r="G1363">
        <v>0.25630057328615502</v>
      </c>
      <c r="H1363">
        <v>0.23742919893653899</v>
      </c>
      <c r="I1363">
        <v>3.0851762101929059</v>
      </c>
    </row>
    <row r="1364" spans="1:9" x14ac:dyDescent="0.25">
      <c r="A1364" s="1" t="s">
        <v>1376</v>
      </c>
      <c r="B1364" t="str">
        <f>HYPERLINK("https://www.suredividend.com/sure-analysis-research-database/","Revolve Group Inc")</f>
        <v>Revolve Group Inc</v>
      </c>
      <c r="C1364">
        <v>-3.8876889848811998E-2</v>
      </c>
      <c r="D1364">
        <v>-0.24018212862834301</v>
      </c>
      <c r="E1364">
        <v>-0.27876823338735801</v>
      </c>
      <c r="F1364">
        <v>-0.40026954177897511</v>
      </c>
      <c r="G1364">
        <v>-0.39235320892125602</v>
      </c>
      <c r="H1364">
        <v>-0.82727390348039809</v>
      </c>
      <c r="I1364">
        <v>-0.6073529411764701</v>
      </c>
    </row>
    <row r="1365" spans="1:9" x14ac:dyDescent="0.25">
      <c r="A1365" s="1" t="s">
        <v>1377</v>
      </c>
      <c r="B1365" t="str">
        <f>HYPERLINK("https://www.suredividend.com/sure-analysis-research-database/","Revolution Medicines Inc")</f>
        <v>Revolution Medicines Inc</v>
      </c>
      <c r="C1365">
        <v>-8.9564502875924004E-2</v>
      </c>
      <c r="D1365">
        <v>-0.28997116308875298</v>
      </c>
      <c r="E1365">
        <v>-8.5431283532810001E-2</v>
      </c>
      <c r="F1365">
        <v>-6.9689336691855008E-2</v>
      </c>
      <c r="G1365">
        <v>8.0975609756097008E-2</v>
      </c>
      <c r="H1365">
        <v>-0.33771667662881011</v>
      </c>
      <c r="I1365">
        <v>-0.23321799307958399</v>
      </c>
    </row>
    <row r="1366" spans="1:9" x14ac:dyDescent="0.25">
      <c r="A1366" s="1" t="s">
        <v>1378</v>
      </c>
      <c r="B1366" t="str">
        <f>HYPERLINK("https://www.suredividend.com/sure-analysis-research-database/","Revance Therapeutics Inc")</f>
        <v>Revance Therapeutics Inc</v>
      </c>
      <c r="C1366">
        <v>-0.12511848341232201</v>
      </c>
      <c r="D1366">
        <v>-0.59428571428571408</v>
      </c>
      <c r="E1366">
        <v>-0.72676139727649502</v>
      </c>
      <c r="F1366">
        <v>-0.5</v>
      </c>
      <c r="G1366">
        <v>-0.56421152030217103</v>
      </c>
      <c r="H1366">
        <v>-0.33405483405483399</v>
      </c>
      <c r="I1366">
        <v>-0.62901929260450107</v>
      </c>
    </row>
    <row r="1367" spans="1:9" x14ac:dyDescent="0.25">
      <c r="A1367" s="1" t="s">
        <v>1379</v>
      </c>
      <c r="B1367" t="str">
        <f>HYPERLINK("https://www.suredividend.com/sure-analysis-research-database/","Redwood Trust Inc.")</f>
        <v>Redwood Trust Inc.</v>
      </c>
      <c r="C1367">
        <v>1.9117647058823E-2</v>
      </c>
      <c r="D1367">
        <v>-8.7593643437388014E-2</v>
      </c>
      <c r="E1367">
        <v>0.30801608123666901</v>
      </c>
      <c r="F1367">
        <v>0.113217246032256</v>
      </c>
      <c r="G1367">
        <v>0.120380250266757</v>
      </c>
      <c r="H1367">
        <v>-0.36345516170810799</v>
      </c>
      <c r="I1367">
        <v>-0.34954618409813998</v>
      </c>
    </row>
    <row r="1368" spans="1:9" x14ac:dyDescent="0.25">
      <c r="A1368" s="1" t="s">
        <v>1380</v>
      </c>
      <c r="B1368" t="str">
        <f>HYPERLINK("https://www.suredividend.com/sure-analysis-research-database/","Prometheus Biosciences Inc")</f>
        <v>Prometheus Biosciences Inc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 s="1" t="s">
        <v>1381</v>
      </c>
      <c r="B1369" t="str">
        <f>HYPERLINK("https://www.suredividend.com/sure-analysis-research-database/","Recursion Pharmaceuticals Inc")</f>
        <v>Recursion Pharmaceuticals Inc</v>
      </c>
      <c r="C1369">
        <v>-0.17458100558659201</v>
      </c>
      <c r="D1369">
        <v>-0.52338709677419304</v>
      </c>
      <c r="E1369">
        <v>0.149805447470817</v>
      </c>
      <c r="F1369">
        <v>-0.23346303501945501</v>
      </c>
      <c r="G1369">
        <v>-0.38692946058091199</v>
      </c>
      <c r="H1369">
        <v>-0.69723360655737709</v>
      </c>
      <c r="I1369">
        <v>-0.81118210862619811</v>
      </c>
    </row>
    <row r="1370" spans="1:9" x14ac:dyDescent="0.25">
      <c r="A1370" s="1" t="s">
        <v>1382</v>
      </c>
      <c r="B1370" t="str">
        <f>HYPERLINK("https://www.suredividend.com/sure-analysis-research-database/","RxSight Inc")</f>
        <v>RxSight Inc</v>
      </c>
      <c r="C1370">
        <v>-7.8887195121951012E-2</v>
      </c>
      <c r="D1370">
        <v>-0.19620884602593899</v>
      </c>
      <c r="E1370">
        <v>0.33388520971302399</v>
      </c>
      <c r="F1370">
        <v>0.90765588003157005</v>
      </c>
      <c r="G1370">
        <v>1.065811965811966</v>
      </c>
      <c r="H1370">
        <v>0.87947122861586302</v>
      </c>
      <c r="I1370">
        <v>0.510625</v>
      </c>
    </row>
    <row r="1371" spans="1:9" x14ac:dyDescent="0.25">
      <c r="A1371" s="1" t="s">
        <v>1383</v>
      </c>
      <c r="B1371" t="str">
        <f>HYPERLINK("https://www.suredividend.com/sure-analysis-research-database/","Rackspace Technology Inc")</f>
        <v>Rackspace Technology Inc</v>
      </c>
      <c r="C1371">
        <v>-0.16814159292035399</v>
      </c>
      <c r="D1371">
        <v>-0.308823529411764</v>
      </c>
      <c r="E1371">
        <v>7.6335877862595006E-2</v>
      </c>
      <c r="F1371">
        <v>-0.52203389830508407</v>
      </c>
      <c r="G1371">
        <v>-0.69546436285097102</v>
      </c>
      <c r="H1371">
        <v>-0.90395095367847411</v>
      </c>
      <c r="I1371">
        <v>-0.91397193410616206</v>
      </c>
    </row>
    <row r="1372" spans="1:9" x14ac:dyDescent="0.25">
      <c r="A1372" s="1" t="s">
        <v>1384</v>
      </c>
      <c r="B1372" t="str">
        <f>HYPERLINK("https://www.suredividend.com/sure-analysis-research-database/","Rayonier Advanced Materials Inc")</f>
        <v>Rayonier Advanced Materials Inc</v>
      </c>
      <c r="C1372">
        <v>-0.13864306784660699</v>
      </c>
      <c r="D1372">
        <v>-0.31934731934731903</v>
      </c>
      <c r="E1372">
        <v>-0.44905660377358397</v>
      </c>
      <c r="F1372">
        <v>-0.69583333333333308</v>
      </c>
      <c r="G1372">
        <v>-0.59103641456582601</v>
      </c>
      <c r="H1372">
        <v>-0.56024096385542099</v>
      </c>
      <c r="I1372">
        <v>-0.77039693023840905</v>
      </c>
    </row>
    <row r="1373" spans="1:9" x14ac:dyDescent="0.25">
      <c r="A1373" s="1" t="s">
        <v>1385</v>
      </c>
      <c r="B1373" t="str">
        <f>HYPERLINK("https://www.suredividend.com/sure-analysis-research-database/","Ryerson Holding Corp.")</f>
        <v>Ryerson Holding Corp.</v>
      </c>
      <c r="C1373">
        <v>1.8271257905831999E-2</v>
      </c>
      <c r="D1373">
        <v>-2.7813654219684E-2</v>
      </c>
      <c r="E1373">
        <v>-0.172994769149109</v>
      </c>
      <c r="F1373">
        <v>-2.7255639097743999E-2</v>
      </c>
      <c r="G1373">
        <v>0.10515356982145101</v>
      </c>
      <c r="H1373">
        <v>9.1755699883967007E-2</v>
      </c>
      <c r="I1373">
        <v>2.5136216491470562</v>
      </c>
    </row>
    <row r="1374" spans="1:9" x14ac:dyDescent="0.25">
      <c r="A1374" s="1" t="s">
        <v>1386</v>
      </c>
      <c r="B1374" t="str">
        <f>HYPERLINK("https://www.suredividend.com/sure-analysis-research-database/","Sabre Corp")</f>
        <v>Sabre Corp</v>
      </c>
      <c r="C1374">
        <v>7.552083333333301E-2</v>
      </c>
      <c r="D1374">
        <v>-0.14492753623188401</v>
      </c>
      <c r="E1374">
        <v>0.101333333333333</v>
      </c>
      <c r="F1374">
        <v>-0.331715210355987</v>
      </c>
      <c r="G1374">
        <v>-0.104121475054229</v>
      </c>
      <c r="H1374">
        <v>-0.55059847660500505</v>
      </c>
      <c r="I1374">
        <v>-0.82054323691334308</v>
      </c>
    </row>
    <row r="1375" spans="1:9" x14ac:dyDescent="0.25">
      <c r="A1375" s="1" t="s">
        <v>1387</v>
      </c>
      <c r="B1375" t="str">
        <f>HYPERLINK("https://www.suredividend.com/sure-analysis-SAFE/","Safehold Inc.")</f>
        <v>Safehold Inc.</v>
      </c>
      <c r="C1375">
        <v>5.7669441141498003E-2</v>
      </c>
      <c r="D1375">
        <v>-0.21110746498984501</v>
      </c>
      <c r="E1375">
        <v>-0.33218965963820302</v>
      </c>
      <c r="F1375">
        <v>1.3315858453473131</v>
      </c>
      <c r="G1375">
        <v>1.200098936433341</v>
      </c>
      <c r="H1375">
        <v>-0.13260554761893101</v>
      </c>
      <c r="I1375">
        <v>1.4460332737522339</v>
      </c>
    </row>
    <row r="1376" spans="1:9" x14ac:dyDescent="0.25">
      <c r="A1376" s="1" t="s">
        <v>1388</v>
      </c>
      <c r="B1376" t="str">
        <f>HYPERLINK("https://www.suredividend.com/sure-analysis-research-database/","Safety Insurance Group, Inc.")</f>
        <v>Safety Insurance Group, Inc.</v>
      </c>
      <c r="C1376">
        <v>0.13359499927314999</v>
      </c>
      <c r="D1376">
        <v>0.10339479969663</v>
      </c>
      <c r="E1376">
        <v>0.15890594998186899</v>
      </c>
      <c r="F1376">
        <v>-1.5561898533947001E-2</v>
      </c>
      <c r="G1376">
        <v>-1.9136769918517E-2</v>
      </c>
      <c r="H1376">
        <v>0.105871841961582</v>
      </c>
      <c r="I1376">
        <v>0.16822919943790701</v>
      </c>
    </row>
    <row r="1377" spans="1:9" x14ac:dyDescent="0.25">
      <c r="A1377" s="1" t="s">
        <v>1389</v>
      </c>
      <c r="B1377" t="str">
        <f>HYPERLINK("https://www.suredividend.com/sure-analysis-research-database/","Sage Therapeutics Inc")</f>
        <v>Sage Therapeutics Inc</v>
      </c>
      <c r="C1377">
        <v>8.2358922216573011E-2</v>
      </c>
      <c r="D1377">
        <v>-0.41024930747922411</v>
      </c>
      <c r="E1377">
        <v>-0.55747245894824304</v>
      </c>
      <c r="F1377">
        <v>-0.44179339276350199</v>
      </c>
      <c r="G1377">
        <v>-0.38786658999424911</v>
      </c>
      <c r="H1377">
        <v>-0.54381829869295006</v>
      </c>
      <c r="I1377">
        <v>-0.84521992002908009</v>
      </c>
    </row>
    <row r="1378" spans="1:9" x14ac:dyDescent="0.25">
      <c r="A1378" s="1" t="s">
        <v>1390</v>
      </c>
      <c r="B1378" t="str">
        <f>HYPERLINK("https://www.suredividend.com/sure-analysis-research-database/","Sonic Automotive, Inc.")</f>
        <v>Sonic Automotive, Inc.</v>
      </c>
      <c r="C1378">
        <v>0.17819799777530501</v>
      </c>
      <c r="D1378">
        <v>7.7686636563612008E-2</v>
      </c>
      <c r="E1378">
        <v>0.34052193282203103</v>
      </c>
      <c r="F1378">
        <v>9.3487390620289004E-2</v>
      </c>
      <c r="G1378">
        <v>0.19771041913080001</v>
      </c>
      <c r="H1378">
        <v>5.4314307499049003E-2</v>
      </c>
      <c r="I1378">
        <v>2.1273620559334838</v>
      </c>
    </row>
    <row r="1379" spans="1:9" x14ac:dyDescent="0.25">
      <c r="A1379" s="1" t="s">
        <v>1391</v>
      </c>
      <c r="B1379" t="str">
        <f>HYPERLINK("https://www.suredividend.com/sure-analysis-research-database/","Saia Inc.")</f>
        <v>Saia Inc.</v>
      </c>
      <c r="C1379">
        <v>-4.1262075951869003E-2</v>
      </c>
      <c r="D1379">
        <v>-8.5417305018031006E-2</v>
      </c>
      <c r="E1379">
        <v>0.33178885227896698</v>
      </c>
      <c r="F1379">
        <v>0.85058183899275008</v>
      </c>
      <c r="G1379">
        <v>0.84864221057646405</v>
      </c>
      <c r="H1379">
        <v>0.104240182128628</v>
      </c>
      <c r="I1379">
        <v>5.0838820947005328</v>
      </c>
    </row>
    <row r="1380" spans="1:9" x14ac:dyDescent="0.25">
      <c r="A1380" s="1" t="s">
        <v>1392</v>
      </c>
      <c r="B1380" t="str">
        <f>HYPERLINK("https://www.suredividend.com/sure-analysis-research-database/","Silvercrest Asset Management Group Inc")</f>
        <v>Silvercrest Asset Management Group Inc</v>
      </c>
      <c r="C1380">
        <v>9.6415327564894002E-2</v>
      </c>
      <c r="D1380">
        <v>-9.7747420137423005E-2</v>
      </c>
      <c r="E1380">
        <v>2.1924720900490999E-2</v>
      </c>
      <c r="F1380">
        <v>-8.7114925765120008E-3</v>
      </c>
      <c r="G1380">
        <v>4.4014571477333002E-2</v>
      </c>
      <c r="H1380">
        <v>0.183866317868773</v>
      </c>
      <c r="I1380">
        <v>0.5427830972196851</v>
      </c>
    </row>
    <row r="1381" spans="1:9" x14ac:dyDescent="0.25">
      <c r="A1381" s="1" t="s">
        <v>1393</v>
      </c>
      <c r="B1381" t="str">
        <f>HYPERLINK("https://www.suredividend.com/sure-analysis-research-database/","Sana Biotechnology Inc")</f>
        <v>Sana Biotechnology Inc</v>
      </c>
      <c r="C1381">
        <v>-3.5519125683060003E-2</v>
      </c>
      <c r="D1381">
        <v>-0.34386617100371702</v>
      </c>
      <c r="E1381">
        <v>-0.38608695652173902</v>
      </c>
      <c r="F1381">
        <v>-0.10632911392405001</v>
      </c>
      <c r="G1381">
        <v>-0.31456310679611599</v>
      </c>
      <c r="H1381">
        <v>-0.84652173913043405</v>
      </c>
      <c r="I1381">
        <v>-0.89943019943019908</v>
      </c>
    </row>
    <row r="1382" spans="1:9" x14ac:dyDescent="0.25">
      <c r="A1382" s="1" t="s">
        <v>1394</v>
      </c>
      <c r="B1382" t="str">
        <f>HYPERLINK("https://www.suredividend.com/sure-analysis-research-database/","Sanmina Corp")</f>
        <v>Sanmina Corp</v>
      </c>
      <c r="C1382">
        <v>6.2228927022440006E-3</v>
      </c>
      <c r="D1382">
        <v>-3.3508422387248001E-2</v>
      </c>
      <c r="E1382">
        <v>3.5513293227246001E-2</v>
      </c>
      <c r="F1382">
        <v>-6.8598359224995006E-2</v>
      </c>
      <c r="G1382">
        <v>-7.1838580622717002E-2</v>
      </c>
      <c r="H1382">
        <v>0.28300072132724202</v>
      </c>
      <c r="I1382">
        <v>1.0618238021638331</v>
      </c>
    </row>
    <row r="1383" spans="1:9" x14ac:dyDescent="0.25">
      <c r="A1383" s="1" t="s">
        <v>1395</v>
      </c>
      <c r="B1383" t="str">
        <f>HYPERLINK("https://www.suredividend.com/sure-analysis-research-database/","Sandy Spring Bancorp")</f>
        <v>Sandy Spring Bancorp</v>
      </c>
      <c r="C1383">
        <v>0.121939275220372</v>
      </c>
      <c r="D1383">
        <v>-3.0998735349723999E-2</v>
      </c>
      <c r="E1383">
        <v>0.157596887474104</v>
      </c>
      <c r="F1383">
        <v>-0.30278490412151099</v>
      </c>
      <c r="G1383">
        <v>-0.28350945886355999</v>
      </c>
      <c r="H1383">
        <v>-0.48042581950296798</v>
      </c>
      <c r="I1383">
        <v>-0.21058253564610899</v>
      </c>
    </row>
    <row r="1384" spans="1:9" x14ac:dyDescent="0.25">
      <c r="A1384" s="1" t="s">
        <v>1396</v>
      </c>
      <c r="B1384" t="str">
        <f>HYPERLINK("https://www.suredividend.com/sure-analysis-research-database/","EchoStar Corp")</f>
        <v>EchoStar Corp</v>
      </c>
      <c r="C1384">
        <v>7.9720279720279008E-2</v>
      </c>
      <c r="D1384">
        <v>-0.203302373581011</v>
      </c>
      <c r="E1384">
        <v>-3.5602748282323002E-2</v>
      </c>
      <c r="F1384">
        <v>-7.4340527577937007E-2</v>
      </c>
      <c r="G1384">
        <v>-0.1002331002331</v>
      </c>
      <c r="H1384">
        <v>-0.40523882896764202</v>
      </c>
      <c r="I1384">
        <v>-0.62669245647969007</v>
      </c>
    </row>
    <row r="1385" spans="1:9" x14ac:dyDescent="0.25">
      <c r="A1385" s="1" t="s">
        <v>1397</v>
      </c>
      <c r="B1385" t="str">
        <f>HYPERLINK("https://www.suredividend.com/sure-analysis-research-database/","Cassava Sciences Inc")</f>
        <v>Cassava Sciences Inc</v>
      </c>
      <c r="C1385">
        <v>0.20488322717622001</v>
      </c>
      <c r="D1385">
        <v>0.125154894671623</v>
      </c>
      <c r="E1385">
        <v>1.6114592658906999E-2</v>
      </c>
      <c r="F1385">
        <v>-0.23155044008124501</v>
      </c>
      <c r="G1385">
        <v>-0.35639353558264802</v>
      </c>
      <c r="H1385">
        <v>-0.73104265402843605</v>
      </c>
      <c r="I1385">
        <v>17.606557377049182</v>
      </c>
    </row>
    <row r="1386" spans="1:9" x14ac:dyDescent="0.25">
      <c r="A1386" s="1" t="s">
        <v>1398</v>
      </c>
      <c r="B1386" t="str">
        <f>HYPERLINK("https://www.suredividend.com/sure-analysis-research-database/","Spirit Airlines Inc")</f>
        <v>Spirit Airlines Inc</v>
      </c>
      <c r="C1386">
        <v>-0.31630366803689203</v>
      </c>
      <c r="D1386">
        <v>-0.29171253341720399</v>
      </c>
      <c r="E1386">
        <v>-0.27622402344879798</v>
      </c>
      <c r="F1386">
        <v>-0.38740424791086298</v>
      </c>
      <c r="G1386">
        <v>-0.44444444444444398</v>
      </c>
      <c r="H1386">
        <v>-0.49219806981149011</v>
      </c>
      <c r="I1386">
        <v>-0.77773610603922105</v>
      </c>
    </row>
    <row r="1387" spans="1:9" x14ac:dyDescent="0.25">
      <c r="A1387" s="1" t="s">
        <v>1399</v>
      </c>
      <c r="B1387" t="str">
        <f>HYPERLINK("https://www.suredividend.com/sure-analysis-research-database/","Safe Bulkers, Inc")</f>
        <v>Safe Bulkers, Inc</v>
      </c>
      <c r="C1387">
        <v>3.5256410256409999E-2</v>
      </c>
      <c r="D1387">
        <v>-3.1479538300100002E-3</v>
      </c>
      <c r="E1387">
        <v>-2.4581747901188999E-2</v>
      </c>
      <c r="F1387">
        <v>0.158453482533534</v>
      </c>
      <c r="G1387">
        <v>0.26577317971627801</v>
      </c>
      <c r="H1387">
        <v>-0.14631567819008301</v>
      </c>
      <c r="I1387">
        <v>0.40367650254226201</v>
      </c>
    </row>
    <row r="1388" spans="1:9" x14ac:dyDescent="0.25">
      <c r="A1388" s="1" t="s">
        <v>1400</v>
      </c>
      <c r="B1388" t="str">
        <f>HYPERLINK("https://www.suredividend.com/sure-analysis-research-database/","Seacoast Banking Corp. Of Florida")</f>
        <v>Seacoast Banking Corp. Of Florida</v>
      </c>
      <c r="C1388">
        <v>8.1766917293232003E-2</v>
      </c>
      <c r="D1388">
        <v>-2.3355465518338E-2</v>
      </c>
      <c r="E1388">
        <v>0.26116945800393299</v>
      </c>
      <c r="F1388">
        <v>-0.23248758043543399</v>
      </c>
      <c r="G1388">
        <v>-0.226408309893706</v>
      </c>
      <c r="H1388">
        <v>-0.33780359058887099</v>
      </c>
      <c r="I1388">
        <v>-6.0910288784363997E-2</v>
      </c>
    </row>
    <row r="1389" spans="1:9" x14ac:dyDescent="0.25">
      <c r="A1389" s="1" t="s">
        <v>1401</v>
      </c>
      <c r="B1389" t="str">
        <f>HYPERLINK("https://www.suredividend.com/sure-analysis-research-database/","Sinclair Inc")</f>
        <v>Sinclair Inc</v>
      </c>
      <c r="C1389">
        <v>0.46936758893280611</v>
      </c>
      <c r="D1389">
        <v>8.8699344730387E-2</v>
      </c>
      <c r="E1389">
        <v>2.3808540229410001E-2</v>
      </c>
      <c r="F1389">
        <v>2.3808540229410001E-2</v>
      </c>
      <c r="G1389">
        <v>2.3808540229410001E-2</v>
      </c>
      <c r="H1389">
        <v>2.3808540229410001E-2</v>
      </c>
      <c r="I1389">
        <v>2.3808540229410001E-2</v>
      </c>
    </row>
    <row r="1390" spans="1:9" x14ac:dyDescent="0.25">
      <c r="A1390" s="1" t="s">
        <v>1402</v>
      </c>
      <c r="B1390" t="str">
        <f>HYPERLINK("https://www.suredividend.com/sure-analysis-research-database/","Sally Beauty Holdings Inc")</f>
        <v>Sally Beauty Holdings Inc</v>
      </c>
      <c r="C1390">
        <v>0.161654135338345</v>
      </c>
      <c r="D1390">
        <v>-0.18469656992084399</v>
      </c>
      <c r="E1390">
        <v>-0.23070539419087099</v>
      </c>
      <c r="F1390">
        <v>-0.25958466453674101</v>
      </c>
      <c r="G1390">
        <v>-0.25302175664786403</v>
      </c>
      <c r="H1390">
        <v>-0.45147928994082798</v>
      </c>
      <c r="I1390">
        <v>-0.49973016729627612</v>
      </c>
    </row>
    <row r="1391" spans="1:9" x14ac:dyDescent="0.25">
      <c r="A1391" s="1" t="s">
        <v>1403</v>
      </c>
      <c r="B1391" t="str">
        <f>HYPERLINK("https://www.suredividend.com/sure-analysis-research-database/","SilverBow Resources Inc")</f>
        <v>SilverBow Resources Inc</v>
      </c>
      <c r="C1391">
        <v>0.16864379608848901</v>
      </c>
      <c r="D1391">
        <v>-1.5131045663334E-2</v>
      </c>
      <c r="E1391">
        <v>0.66819221967963305</v>
      </c>
      <c r="F1391">
        <v>0.28889674681753802</v>
      </c>
      <c r="G1391">
        <v>-1.1123168746608E-2</v>
      </c>
      <c r="H1391">
        <v>0.280295047418335</v>
      </c>
      <c r="I1391">
        <v>0.41388673390224912</v>
      </c>
    </row>
    <row r="1392" spans="1:9" x14ac:dyDescent="0.25">
      <c r="A1392" s="1" t="s">
        <v>1404</v>
      </c>
      <c r="B1392" t="str">
        <f>HYPERLINK("https://www.suredividend.com/sure-analysis-SBRA/","Sabra Healthcare REIT Inc")</f>
        <v>Sabra Healthcare REIT Inc</v>
      </c>
      <c r="C1392">
        <v>1.2417823228634E-2</v>
      </c>
      <c r="D1392">
        <v>0.111307108837537</v>
      </c>
      <c r="E1392">
        <v>0.31356976325416502</v>
      </c>
      <c r="F1392">
        <v>0.20087336244541401</v>
      </c>
      <c r="G1392">
        <v>0.115618661257606</v>
      </c>
      <c r="H1392">
        <v>0.157807683632809</v>
      </c>
      <c r="I1392">
        <v>-1.2574359705054E-2</v>
      </c>
    </row>
    <row r="1393" spans="1:9" x14ac:dyDescent="0.25">
      <c r="A1393" s="1" t="s">
        <v>1405</v>
      </c>
      <c r="B1393" t="str">
        <f>HYPERLINK("https://www.suredividend.com/sure-analysis-SBSI/","Southside Bancshares Inc")</f>
        <v>Southside Bancshares Inc</v>
      </c>
      <c r="C1393">
        <v>5.3309481216458003E-2</v>
      </c>
      <c r="D1393">
        <v>-0.12471086321823301</v>
      </c>
      <c r="E1393">
        <v>0.10653396277475401</v>
      </c>
      <c r="F1393">
        <v>-0.154547751970041</v>
      </c>
      <c r="G1393">
        <v>-0.12966614537295101</v>
      </c>
      <c r="H1393">
        <v>-0.262730052515457</v>
      </c>
      <c r="I1393">
        <v>6.8940100866698009E-2</v>
      </c>
    </row>
    <row r="1394" spans="1:9" x14ac:dyDescent="0.25">
      <c r="A1394" s="1" t="s">
        <v>1406</v>
      </c>
      <c r="B1394" t="str">
        <f>HYPERLINK("https://www.suredividend.com/sure-analysis-research-database/","Sterling Bancorp Inc")</f>
        <v>Sterling Bancorp Inc</v>
      </c>
      <c r="C1394">
        <v>8.6355785837650013E-3</v>
      </c>
      <c r="D1394">
        <v>-3.4710743801651997E-2</v>
      </c>
      <c r="E1394">
        <v>0.26956521739130401</v>
      </c>
      <c r="F1394">
        <v>-4.1050903119867997E-2</v>
      </c>
      <c r="G1394">
        <v>-7.8864353312302002E-2</v>
      </c>
      <c r="H1394">
        <v>8.1481481481481002E-2</v>
      </c>
      <c r="I1394">
        <v>-0.40921782058026102</v>
      </c>
    </row>
    <row r="1395" spans="1:9" x14ac:dyDescent="0.25">
      <c r="A1395" s="1" t="s">
        <v>1407</v>
      </c>
      <c r="B1395" t="str">
        <f>HYPERLINK("https://www.suredividend.com/sure-analysis-SCHL/","Scholastic Corp.")</f>
        <v>Scholastic Corp.</v>
      </c>
      <c r="C1395">
        <v>5.0276949296974002E-2</v>
      </c>
      <c r="D1395">
        <v>-8.5167135603560012E-2</v>
      </c>
      <c r="E1395">
        <v>0.11360209619217999</v>
      </c>
      <c r="F1395">
        <v>2.9998981491879E-2</v>
      </c>
      <c r="G1395">
        <v>6.5367192417092004E-2</v>
      </c>
      <c r="H1395">
        <v>7.3635497481965004E-2</v>
      </c>
      <c r="I1395">
        <v>-2.5561710307204999E-2</v>
      </c>
    </row>
    <row r="1396" spans="1:9" x14ac:dyDescent="0.25">
      <c r="A1396" s="1" t="s">
        <v>1408</v>
      </c>
      <c r="B1396" t="str">
        <f>HYPERLINK("https://www.suredividend.com/sure-analysis-SCL/","Stepan Co.")</f>
        <v>Stepan Co.</v>
      </c>
      <c r="C1396">
        <v>0.101971351581335</v>
      </c>
      <c r="D1396">
        <v>-0.16674977721012299</v>
      </c>
      <c r="E1396">
        <v>-0.135039580009951</v>
      </c>
      <c r="F1396">
        <v>-0.26162863626515198</v>
      </c>
      <c r="G1396">
        <v>-0.24775925198031901</v>
      </c>
      <c r="H1396">
        <v>-0.35644286007726</v>
      </c>
      <c r="I1396">
        <v>-2.0177780355887999E-2</v>
      </c>
    </row>
    <row r="1397" spans="1:9" x14ac:dyDescent="0.25">
      <c r="A1397" s="1" t="s">
        <v>1409</v>
      </c>
      <c r="B1397" t="str">
        <f>HYPERLINK("https://www.suredividend.com/sure-analysis-research-database/","Steelcase, Inc.")</f>
        <v>Steelcase, Inc.</v>
      </c>
      <c r="C1397">
        <v>3.6330608537693002E-2</v>
      </c>
      <c r="D1397">
        <v>0.334081635039227</v>
      </c>
      <c r="E1397">
        <v>0.52824098257457008</v>
      </c>
      <c r="F1397">
        <v>0.66888502098904401</v>
      </c>
      <c r="G1397">
        <v>0.53995654110374702</v>
      </c>
      <c r="H1397">
        <v>2.6171418293010999E-2</v>
      </c>
      <c r="I1397">
        <v>-0.18768065384231999</v>
      </c>
    </row>
    <row r="1398" spans="1:9" x14ac:dyDescent="0.25">
      <c r="A1398" s="1" t="s">
        <v>1410</v>
      </c>
      <c r="B1398" t="str">
        <f>HYPERLINK("https://www.suredividend.com/sure-analysis-research-database/","Scansource, Inc.")</f>
        <v>Scansource, Inc.</v>
      </c>
      <c r="C1398">
        <v>3.7913156189241001E-2</v>
      </c>
      <c r="D1398">
        <v>8.3192424754819E-2</v>
      </c>
      <c r="E1398">
        <v>0.21602126044039399</v>
      </c>
      <c r="F1398">
        <v>9.6167008898015008E-2</v>
      </c>
      <c r="G1398">
        <v>3.2226877215597E-2</v>
      </c>
      <c r="H1398">
        <v>-0.16653655997918199</v>
      </c>
      <c r="I1398">
        <v>-0.22200631527811501</v>
      </c>
    </row>
    <row r="1399" spans="1:9" x14ac:dyDescent="0.25">
      <c r="A1399" s="1" t="s">
        <v>1411</v>
      </c>
      <c r="B1399" t="str">
        <f>HYPERLINK("https://www.suredividend.com/sure-analysis-research-database/","Sculptor Capital Management Inc")</f>
        <v>Sculptor Capital Management Inc</v>
      </c>
      <c r="C1399">
        <v>2.2782750203416999E-2</v>
      </c>
      <c r="D1399">
        <v>0.138586956521739</v>
      </c>
      <c r="E1399">
        <v>0.52578170518547307</v>
      </c>
      <c r="F1399">
        <v>0.49584091963871302</v>
      </c>
      <c r="G1399">
        <v>0.35097373285757211</v>
      </c>
      <c r="H1399">
        <v>-0.47673619928150002</v>
      </c>
      <c r="I1399">
        <v>-0.24345015618511001</v>
      </c>
    </row>
    <row r="1400" spans="1:9" x14ac:dyDescent="0.25">
      <c r="A1400" s="1" t="s">
        <v>1412</v>
      </c>
      <c r="B1400" t="str">
        <f>HYPERLINK("https://www.suredividend.com/sure-analysis-research-database/","Shoe Carnival, Inc.")</f>
        <v>Shoe Carnival, Inc.</v>
      </c>
      <c r="C1400">
        <v>1.6243231986672001E-2</v>
      </c>
      <c r="D1400">
        <v>-8.7215783685104006E-2</v>
      </c>
      <c r="E1400">
        <v>0.13343924486932901</v>
      </c>
      <c r="F1400">
        <v>4.7646445086581002E-2</v>
      </c>
      <c r="G1400">
        <v>1.0046652564649001E-2</v>
      </c>
      <c r="H1400">
        <v>-0.33962672671372202</v>
      </c>
      <c r="I1400">
        <v>0.28495444731160102</v>
      </c>
    </row>
    <row r="1401" spans="1:9" x14ac:dyDescent="0.25">
      <c r="A1401" s="1" t="s">
        <v>1413</v>
      </c>
      <c r="B1401" t="str">
        <f>HYPERLINK("https://www.suredividend.com/sure-analysis-research-database/","SecureWorks Corp")</f>
        <v>SecureWorks Corp</v>
      </c>
      <c r="C1401">
        <v>-4.9919484702093002E-2</v>
      </c>
      <c r="D1401">
        <v>-0.16312056737588601</v>
      </c>
      <c r="E1401">
        <v>-0.31554524361948899</v>
      </c>
      <c r="F1401">
        <v>-7.6682316118935001E-2</v>
      </c>
      <c r="G1401">
        <v>-0.108761329305135</v>
      </c>
      <c r="H1401">
        <v>-0.68228325255788902</v>
      </c>
      <c r="I1401">
        <v>-0.63958460598656008</v>
      </c>
    </row>
    <row r="1402" spans="1:9" x14ac:dyDescent="0.25">
      <c r="A1402" s="1" t="s">
        <v>1414</v>
      </c>
      <c r="B1402" t="str">
        <f>HYPERLINK("https://www.suredividend.com/sure-analysis-research-database/","Sandridge Energy Inc")</f>
        <v>Sandridge Energy Inc</v>
      </c>
      <c r="C1402">
        <v>0.104109589041095</v>
      </c>
      <c r="D1402">
        <v>1.0867877658739999E-3</v>
      </c>
      <c r="E1402">
        <v>0.39645688049551697</v>
      </c>
      <c r="F1402">
        <v>7.501067008109201E-2</v>
      </c>
      <c r="G1402">
        <v>-0.119409589258108</v>
      </c>
      <c r="H1402">
        <v>0.46694816540477602</v>
      </c>
      <c r="I1402">
        <v>1.0570145216037561</v>
      </c>
    </row>
    <row r="1403" spans="1:9" x14ac:dyDescent="0.25">
      <c r="A1403" s="1" t="s">
        <v>1415</v>
      </c>
      <c r="B1403" t="str">
        <f>HYPERLINK("https://www.suredividend.com/sure-analysis-research-database/","Schrodinger Inc")</f>
        <v>Schrodinger Inc</v>
      </c>
      <c r="C1403">
        <v>3.4306569343065002E-2</v>
      </c>
      <c r="D1403">
        <v>-0.28722334004024103</v>
      </c>
      <c r="E1403">
        <v>-5.9096945551128002E-2</v>
      </c>
      <c r="F1403">
        <v>0.51631888710540308</v>
      </c>
      <c r="G1403">
        <v>0.35468451242829802</v>
      </c>
      <c r="H1403">
        <v>-0.51900882552613703</v>
      </c>
      <c r="I1403">
        <v>-1.0474860335194999E-2</v>
      </c>
    </row>
    <row r="1404" spans="1:9" x14ac:dyDescent="0.25">
      <c r="A1404" s="1" t="s">
        <v>1416</v>
      </c>
      <c r="B1404" t="str">
        <f>HYPERLINK("https://www.suredividend.com/sure-analysis-research-database/","SeaWorld Entertainment Inc")</f>
        <v>SeaWorld Entertainment Inc</v>
      </c>
      <c r="C1404">
        <v>5.7021466905187002E-2</v>
      </c>
      <c r="D1404">
        <v>-0.13010673536989301</v>
      </c>
      <c r="E1404">
        <v>-0.106258271885044</v>
      </c>
      <c r="F1404">
        <v>-0.116613717062231</v>
      </c>
      <c r="G1404">
        <v>-0.180478502080443</v>
      </c>
      <c r="H1404">
        <v>-0.28799517999698698</v>
      </c>
      <c r="I1404">
        <v>0.79802206162038802</v>
      </c>
    </row>
    <row r="1405" spans="1:9" x14ac:dyDescent="0.25">
      <c r="A1405" s="1" t="s">
        <v>1417</v>
      </c>
      <c r="B1405" t="str">
        <f>HYPERLINK("https://www.suredividend.com/sure-analysis-research-database/","Vivid Seats Inc")</f>
        <v>Vivid Seats Inc</v>
      </c>
      <c r="C1405">
        <v>-2.9687499999999999E-2</v>
      </c>
      <c r="D1405">
        <v>-0.20077220077220001</v>
      </c>
      <c r="E1405">
        <v>-0.13268156424581001</v>
      </c>
      <c r="F1405">
        <v>-0.14931506849314999</v>
      </c>
      <c r="G1405">
        <v>-0.25180722891566198</v>
      </c>
      <c r="H1405">
        <v>-0.53308270676691705</v>
      </c>
      <c r="I1405">
        <v>-0.379</v>
      </c>
    </row>
    <row r="1406" spans="1:9" x14ac:dyDescent="0.25">
      <c r="A1406" s="1" t="s">
        <v>1418</v>
      </c>
      <c r="B1406" t="str">
        <f>HYPERLINK("https://www.suredividend.com/sure-analysis-research-database/","Seer Inc")</f>
        <v>Seer Inc</v>
      </c>
      <c r="C1406">
        <v>-0.13744075829383801</v>
      </c>
      <c r="D1406">
        <v>-0.63380281690140805</v>
      </c>
      <c r="E1406">
        <v>-0.47246376811594198</v>
      </c>
      <c r="F1406">
        <v>-0.68620689655172407</v>
      </c>
      <c r="G1406">
        <v>-0.76209150326797304</v>
      </c>
      <c r="H1406">
        <v>-0.94800000000000006</v>
      </c>
      <c r="I1406">
        <v>-0.96776478923131404</v>
      </c>
    </row>
    <row r="1407" spans="1:9" x14ac:dyDescent="0.25">
      <c r="A1407" s="1" t="s">
        <v>1419</v>
      </c>
      <c r="B1407" t="str">
        <f>HYPERLINK("https://www.suredividend.com/sure-analysis-research-database/","Select Medical Holdings Corporation")</f>
        <v>Select Medical Holdings Corporation</v>
      </c>
      <c r="C1407">
        <v>-8.8271352676747003E-2</v>
      </c>
      <c r="D1407">
        <v>-0.25186447043674198</v>
      </c>
      <c r="E1407">
        <v>-0.22439117662396299</v>
      </c>
      <c r="F1407">
        <v>-8.9298543530794E-2</v>
      </c>
      <c r="G1407">
        <v>-1.4353940154363001E-2</v>
      </c>
      <c r="H1407">
        <v>-0.34990194621465698</v>
      </c>
      <c r="I1407">
        <v>0.18256315661143399</v>
      </c>
    </row>
    <row r="1408" spans="1:9" x14ac:dyDescent="0.25">
      <c r="A1408" s="1" t="s">
        <v>1420</v>
      </c>
      <c r="B1408" t="str">
        <f>HYPERLINK("https://www.suredividend.com/sure-analysis-research-database/","Seneca Foods Corp.")</f>
        <v>Seneca Foods Corp.</v>
      </c>
      <c r="C1408">
        <v>-2.7198549410689999E-3</v>
      </c>
      <c r="D1408">
        <v>0.42523969940398998</v>
      </c>
      <c r="E1408">
        <v>0.16451408003387599</v>
      </c>
      <c r="F1408">
        <v>-9.7621000820344014E-2</v>
      </c>
      <c r="G1408">
        <v>-0.120843989769821</v>
      </c>
      <c r="H1408">
        <v>5.8914131690412007E-2</v>
      </c>
      <c r="I1408">
        <v>0.69230769230769207</v>
      </c>
    </row>
    <row r="1409" spans="1:9" x14ac:dyDescent="0.25">
      <c r="A1409" s="1" t="s">
        <v>1421</v>
      </c>
      <c r="B1409" t="str">
        <f>HYPERLINK("https://www.suredividend.com/sure-analysis-research-database/","Senseonics Holdings Inc")</f>
        <v>Senseonics Holdings Inc</v>
      </c>
      <c r="C1409">
        <v>-3.3183047790802001E-2</v>
      </c>
      <c r="D1409">
        <v>-0.36936830961063399</v>
      </c>
      <c r="E1409">
        <v>-6.9916724496877011E-2</v>
      </c>
      <c r="F1409">
        <v>-0.47951456310679602</v>
      </c>
      <c r="G1409">
        <v>-0.54567796610169406</v>
      </c>
      <c r="H1409">
        <v>-0.86218508997429311</v>
      </c>
      <c r="I1409">
        <v>-0.86002610966057402</v>
      </c>
    </row>
    <row r="1410" spans="1:9" x14ac:dyDescent="0.25">
      <c r="A1410" s="1" t="s">
        <v>1422</v>
      </c>
      <c r="B1410" t="str">
        <f>HYPERLINK("https://www.suredividend.com/sure-analysis-research-database/","ServisFirst Bancshares Inc")</f>
        <v>ServisFirst Bancshares Inc</v>
      </c>
      <c r="C1410">
        <v>-6.6527276183230002E-3</v>
      </c>
      <c r="D1410">
        <v>-0.101269675848299</v>
      </c>
      <c r="E1410">
        <v>0.18594565890786699</v>
      </c>
      <c r="F1410">
        <v>-0.22842855434440701</v>
      </c>
      <c r="G1410">
        <v>-0.27151173164421399</v>
      </c>
      <c r="H1410">
        <v>-0.35661074457594311</v>
      </c>
      <c r="I1410">
        <v>0.54983585263214008</v>
      </c>
    </row>
    <row r="1411" spans="1:9" x14ac:dyDescent="0.25">
      <c r="A1411" s="1" t="s">
        <v>1423</v>
      </c>
      <c r="B1411" t="str">
        <f>HYPERLINK("https://www.suredividend.com/sure-analysis-research-database/","Stitch Fix Inc")</f>
        <v>Stitch Fix Inc</v>
      </c>
      <c r="C1411">
        <v>6.4896755162240999E-2</v>
      </c>
      <c r="D1411">
        <v>-0.221982758620689</v>
      </c>
      <c r="E1411">
        <v>0.223728813559321</v>
      </c>
      <c r="F1411">
        <v>0.16077170418006401</v>
      </c>
      <c r="G1411">
        <v>-6.4766839378238003E-2</v>
      </c>
      <c r="H1411">
        <v>-0.89899272523782803</v>
      </c>
      <c r="I1411">
        <v>-0.86906057308668805</v>
      </c>
    </row>
    <row r="1412" spans="1:9" x14ac:dyDescent="0.25">
      <c r="A1412" s="1" t="s">
        <v>1424</v>
      </c>
      <c r="B1412" t="str">
        <f>HYPERLINK("https://www.suredividend.com/sure-analysis-SFL/","SFL Corporation Ltd")</f>
        <v>SFL Corporation Ltd</v>
      </c>
      <c r="C1412">
        <v>5.1643192488261998E-2</v>
      </c>
      <c r="D1412">
        <v>0.15267843359234201</v>
      </c>
      <c r="E1412">
        <v>0.36865773780428102</v>
      </c>
      <c r="F1412">
        <v>0.30618337881650398</v>
      </c>
      <c r="G1412">
        <v>0.181858472447924</v>
      </c>
      <c r="H1412">
        <v>0.69537707002512705</v>
      </c>
      <c r="I1412">
        <v>0.43356330077949912</v>
      </c>
    </row>
    <row r="1413" spans="1:9" x14ac:dyDescent="0.25">
      <c r="A1413" s="1" t="s">
        <v>1425</v>
      </c>
      <c r="B1413" t="str">
        <f>HYPERLINK("https://www.suredividend.com/sure-analysis-research-database/","Sprouts Farmers Market Inc")</f>
        <v>Sprouts Farmers Market Inc</v>
      </c>
      <c r="C1413">
        <v>-2.4367385192127E-2</v>
      </c>
      <c r="D1413">
        <v>9.550118389897401E-2</v>
      </c>
      <c r="E1413">
        <v>0.14647577092510999</v>
      </c>
      <c r="F1413">
        <v>0.28637627432808099</v>
      </c>
      <c r="G1413">
        <v>0.44232767578801502</v>
      </c>
      <c r="H1413">
        <v>0.80650759219088908</v>
      </c>
      <c r="I1413">
        <v>0.57132075471698107</v>
      </c>
    </row>
    <row r="1414" spans="1:9" x14ac:dyDescent="0.25">
      <c r="A1414" s="1" t="s">
        <v>1426</v>
      </c>
      <c r="B1414" t="str">
        <f>HYPERLINK("https://www.suredividend.com/sure-analysis-research-database/","Simmons First National Corp.")</f>
        <v>Simmons First National Corp.</v>
      </c>
      <c r="C1414">
        <v>-4.5565006075334001E-2</v>
      </c>
      <c r="D1414">
        <v>-0.17624912827127601</v>
      </c>
      <c r="E1414">
        <v>3.5282643364569002E-2</v>
      </c>
      <c r="F1414">
        <v>-0.238779139350418</v>
      </c>
      <c r="G1414">
        <v>-0.30688832122262899</v>
      </c>
      <c r="H1414">
        <v>-0.45179379630178901</v>
      </c>
      <c r="I1414">
        <v>-0.32027535121991302</v>
      </c>
    </row>
    <row r="1415" spans="1:9" x14ac:dyDescent="0.25">
      <c r="A1415" s="1" t="s">
        <v>1427</v>
      </c>
      <c r="B1415" t="str">
        <f>HYPERLINK("https://www.suredividend.com/sure-analysis-research-database/","Southern First Bancshares Inc")</f>
        <v>Southern First Bancshares Inc</v>
      </c>
      <c r="C1415">
        <v>7.6404494382022001E-2</v>
      </c>
      <c r="D1415">
        <v>-3.6863270777479001E-2</v>
      </c>
      <c r="E1415">
        <v>0.34739803094233401</v>
      </c>
      <c r="F1415">
        <v>-0.37180327868852397</v>
      </c>
      <c r="G1415">
        <v>-0.374537540805223</v>
      </c>
      <c r="H1415">
        <v>-0.49895397489539711</v>
      </c>
      <c r="I1415">
        <v>-0.21753335148380001</v>
      </c>
    </row>
    <row r="1416" spans="1:9" x14ac:dyDescent="0.25">
      <c r="A1416" s="1" t="s">
        <v>1428</v>
      </c>
      <c r="B1416" t="str">
        <f>HYPERLINK("https://www.suredividend.com/sure-analysis-research-database/","Sweetgreen Inc")</f>
        <v>Sweetgreen Inc</v>
      </c>
      <c r="C1416">
        <v>-0.14121800529567499</v>
      </c>
      <c r="D1416">
        <v>-0.33899456521739102</v>
      </c>
      <c r="E1416">
        <v>0.22698612862547299</v>
      </c>
      <c r="F1416">
        <v>0.13535589264877401</v>
      </c>
      <c r="G1416">
        <v>-0.44144661308840399</v>
      </c>
      <c r="H1416">
        <v>-0.80343434343434306</v>
      </c>
      <c r="I1416">
        <v>-0.80343434343434306</v>
      </c>
    </row>
    <row r="1417" spans="1:9" x14ac:dyDescent="0.25">
      <c r="A1417" s="1" t="s">
        <v>1429</v>
      </c>
      <c r="B1417" t="str">
        <f>HYPERLINK("https://www.suredividend.com/sure-analysis-research-database/","Superior Group of Companies Inc..")</f>
        <v>Superior Group of Companies Inc..</v>
      </c>
      <c r="C1417">
        <v>5.6209150326797012E-2</v>
      </c>
      <c r="D1417">
        <v>-3.0140077540779998E-2</v>
      </c>
      <c r="E1417">
        <v>0.124001891884372</v>
      </c>
      <c r="F1417">
        <v>-0.132814596189965</v>
      </c>
      <c r="G1417">
        <v>-0.14594960257060699</v>
      </c>
      <c r="H1417">
        <v>-0.6294920648022041</v>
      </c>
      <c r="I1417">
        <v>-0.43943388372415698</v>
      </c>
    </row>
    <row r="1418" spans="1:9" x14ac:dyDescent="0.25">
      <c r="A1418" s="1" t="s">
        <v>1430</v>
      </c>
      <c r="B1418" t="str">
        <f>HYPERLINK("https://www.suredividend.com/sure-analysis-research-database/","SMART Global Holdings Inc")</f>
        <v>SMART Global Holdings Inc</v>
      </c>
      <c r="C1418">
        <v>-0.38693467336683401</v>
      </c>
      <c r="D1418">
        <v>-0.45474860335195499</v>
      </c>
      <c r="E1418">
        <v>-8.2706766917293006E-2</v>
      </c>
      <c r="F1418">
        <v>-1.6129032258063999E-2</v>
      </c>
      <c r="G1418">
        <v>6.8775790921590009E-3</v>
      </c>
      <c r="H1418">
        <v>-0.48103509393831911</v>
      </c>
      <c r="I1418">
        <v>-5.5788455336988008E-2</v>
      </c>
    </row>
    <row r="1419" spans="1:9" x14ac:dyDescent="0.25">
      <c r="A1419" s="1" t="s">
        <v>1431</v>
      </c>
      <c r="B1419" t="str">
        <f>HYPERLINK("https://www.suredividend.com/sure-analysis-research-database/","Sight Sciences Inc")</f>
        <v>Sight Sciences Inc</v>
      </c>
      <c r="C1419">
        <v>-0.48876404494381998</v>
      </c>
      <c r="D1419">
        <v>-0.78959537572254301</v>
      </c>
      <c r="E1419">
        <v>-0.82942830365510711</v>
      </c>
      <c r="F1419">
        <v>-0.85094185094185004</v>
      </c>
      <c r="G1419">
        <v>-0.76903553299492311</v>
      </c>
      <c r="H1419">
        <v>-0.92720000000000002</v>
      </c>
      <c r="I1419">
        <v>-0.94567164179104413</v>
      </c>
    </row>
    <row r="1420" spans="1:9" x14ac:dyDescent="0.25">
      <c r="A1420" s="1" t="s">
        <v>1432</v>
      </c>
      <c r="B1420" t="str">
        <f>HYPERLINK("https://www.suredividend.com/sure-analysis-research-database/","Sangamo Therapeutics Inc")</f>
        <v>Sangamo Therapeutics Inc</v>
      </c>
      <c r="C1420">
        <v>-0.14577530176415901</v>
      </c>
      <c r="D1420">
        <v>-0.6101694915254231</v>
      </c>
      <c r="E1420">
        <v>-0.66176470588235303</v>
      </c>
      <c r="F1420">
        <v>-0.85350318471337505</v>
      </c>
      <c r="G1420">
        <v>-0.8729281767955801</v>
      </c>
      <c r="H1420">
        <v>-0.95775941230486605</v>
      </c>
      <c r="I1420">
        <v>-0.9669302659956861</v>
      </c>
    </row>
    <row r="1421" spans="1:9" x14ac:dyDescent="0.25">
      <c r="A1421" s="1" t="s">
        <v>1433</v>
      </c>
      <c r="B1421" t="str">
        <f>HYPERLINK("https://www.suredividend.com/sure-analysis-research-database/","Surgery Partners Inc")</f>
        <v>Surgery Partners Inc</v>
      </c>
      <c r="C1421">
        <v>-8.8278388278388006E-2</v>
      </c>
      <c r="D1421">
        <v>-0.32474226804123701</v>
      </c>
      <c r="E1421">
        <v>-0.28312211981566798</v>
      </c>
      <c r="F1421">
        <v>-0.106604450825556</v>
      </c>
      <c r="G1421">
        <v>-4.2692307692307002E-2</v>
      </c>
      <c r="H1421">
        <v>-0.47588966098125901</v>
      </c>
      <c r="I1421">
        <v>0.72847222222222208</v>
      </c>
    </row>
    <row r="1422" spans="1:9" x14ac:dyDescent="0.25">
      <c r="A1422" s="1" t="s">
        <v>1434</v>
      </c>
      <c r="B1422" t="str">
        <f>HYPERLINK("https://www.suredividend.com/sure-analysis-research-database/","Shake Shack Inc")</f>
        <v>Shake Shack Inc</v>
      </c>
      <c r="C1422">
        <v>2.6742581090406999E-2</v>
      </c>
      <c r="D1422">
        <v>-0.24584970219237101</v>
      </c>
      <c r="E1422">
        <v>-3.3457852850413999E-2</v>
      </c>
      <c r="F1422">
        <v>0.43294004334216202</v>
      </c>
      <c r="G1422">
        <v>0.26563164610803902</v>
      </c>
      <c r="H1422">
        <v>-0.23783299180327799</v>
      </c>
      <c r="I1422">
        <v>0.261072261072261</v>
      </c>
    </row>
    <row r="1423" spans="1:9" x14ac:dyDescent="0.25">
      <c r="A1423" s="1" t="s">
        <v>1435</v>
      </c>
      <c r="B1423" t="str">
        <f>HYPERLINK("https://www.suredividend.com/sure-analysis-research-database/","Shore Bancshares Inc.")</f>
        <v>Shore Bancshares Inc.</v>
      </c>
      <c r="C1423">
        <v>0.154296875</v>
      </c>
      <c r="D1423">
        <v>4.8802129547471013E-2</v>
      </c>
      <c r="E1423">
        <v>9.3189301172727002E-2</v>
      </c>
      <c r="F1423">
        <v>-0.29521197304871499</v>
      </c>
      <c r="G1423">
        <v>-0.377563862895539</v>
      </c>
      <c r="H1423">
        <v>-0.34936257348569899</v>
      </c>
      <c r="I1423">
        <v>-0.14848246896859699</v>
      </c>
    </row>
    <row r="1424" spans="1:9" x14ac:dyDescent="0.25">
      <c r="A1424" s="1" t="s">
        <v>1436</v>
      </c>
      <c r="B1424" t="str">
        <f>HYPERLINK("https://www.suredividend.com/sure-analysis-research-database/","Sharecare Inc")</f>
        <v>Sharecare Inc</v>
      </c>
      <c r="C1424">
        <v>0.27317400044672702</v>
      </c>
      <c r="D1424">
        <v>-8.0645161290322009E-2</v>
      </c>
      <c r="E1424">
        <v>-0.25</v>
      </c>
      <c r="F1424">
        <v>-0.28749999999999998</v>
      </c>
      <c r="G1424">
        <v>-0.32142857142857101</v>
      </c>
      <c r="H1424">
        <v>-0.8446866485013621</v>
      </c>
      <c r="I1424">
        <v>-0.88600000000000001</v>
      </c>
    </row>
    <row r="1425" spans="1:9" x14ac:dyDescent="0.25">
      <c r="A1425" s="1" t="s">
        <v>1437</v>
      </c>
      <c r="B1425" t="str">
        <f>HYPERLINK("https://www.suredividend.com/sure-analysis-research-database/","Shenandoah Telecommunications Co.")</f>
        <v>Shenandoah Telecommunications Co.</v>
      </c>
      <c r="C1425">
        <v>0.13278388278388201</v>
      </c>
      <c r="D1425">
        <v>0.255837563451776</v>
      </c>
      <c r="E1425">
        <v>0.263534218590398</v>
      </c>
      <c r="F1425">
        <v>0.55793450881612006</v>
      </c>
      <c r="G1425">
        <v>0.28921313183949898</v>
      </c>
      <c r="H1425">
        <v>-9.3789491034962008E-2</v>
      </c>
      <c r="I1425">
        <v>2.6611393975608001E-2</v>
      </c>
    </row>
    <row r="1426" spans="1:9" x14ac:dyDescent="0.25">
      <c r="A1426" s="1" t="s">
        <v>1438</v>
      </c>
      <c r="B1426" t="str">
        <f>HYPERLINK("https://www.suredividend.com/sure-analysis-research-database/","Shoals Technologies Group Inc")</f>
        <v>Shoals Technologies Group Inc</v>
      </c>
      <c r="C1426">
        <v>-4.6329723225029998E-2</v>
      </c>
      <c r="D1426">
        <v>-0.30846422338568902</v>
      </c>
      <c r="E1426">
        <v>-0.125275938189845</v>
      </c>
      <c r="F1426">
        <v>-0.35751925415484398</v>
      </c>
      <c r="G1426">
        <v>-0.215734784760019</v>
      </c>
      <c r="H1426">
        <v>-0.51603053435114499</v>
      </c>
      <c r="I1426">
        <v>-0.48837959974176798</v>
      </c>
    </row>
    <row r="1427" spans="1:9" x14ac:dyDescent="0.25">
      <c r="A1427" s="1" t="s">
        <v>1439</v>
      </c>
      <c r="B1427" t="str">
        <f>HYPERLINK("https://www.suredividend.com/sure-analysis-research-database/","Sunstone Hotel Investors Inc")</f>
        <v>Sunstone Hotel Investors Inc</v>
      </c>
      <c r="C1427">
        <v>4.7058823529411001E-2</v>
      </c>
      <c r="D1427">
        <v>3.6121371193919997E-2</v>
      </c>
      <c r="E1427">
        <v>-2.5471217524190002E-3</v>
      </c>
      <c r="F1427">
        <v>3.1884057971014013E-2</v>
      </c>
      <c r="G1427">
        <v>-3.3697218548275003E-2</v>
      </c>
      <c r="H1427">
        <v>-0.20886331679407799</v>
      </c>
      <c r="I1427">
        <v>-0.22727810884407401</v>
      </c>
    </row>
    <row r="1428" spans="1:9" x14ac:dyDescent="0.25">
      <c r="A1428" s="1" t="s">
        <v>1440</v>
      </c>
      <c r="B1428" t="str">
        <f>HYPERLINK("https://www.suredividend.com/sure-analysis-research-database/","Steven Madden Ltd.")</f>
        <v>Steven Madden Ltd.</v>
      </c>
      <c r="C1428">
        <v>0.103689567430025</v>
      </c>
      <c r="D1428">
        <v>-2.8035707783276999E-2</v>
      </c>
      <c r="E1428">
        <v>0.111869446660706</v>
      </c>
      <c r="F1428">
        <v>0.120927753460501</v>
      </c>
      <c r="G1428">
        <v>0.19931428255429701</v>
      </c>
      <c r="H1428">
        <v>-0.260594592751696</v>
      </c>
      <c r="I1428">
        <v>0.17946974847042799</v>
      </c>
    </row>
    <row r="1429" spans="1:9" x14ac:dyDescent="0.25">
      <c r="A1429" s="1" t="s">
        <v>1441</v>
      </c>
      <c r="B1429" t="str">
        <f>HYPERLINK("https://www.suredividend.com/sure-analysis-research-database/","Shyft Group Inc (The)")</f>
        <v>Shyft Group Inc (The)</v>
      </c>
      <c r="C1429">
        <v>-0.230040595399188</v>
      </c>
      <c r="D1429">
        <v>-0.27276445364672203</v>
      </c>
      <c r="E1429">
        <v>-0.50933048187368402</v>
      </c>
      <c r="F1429">
        <v>-0.538014354843947</v>
      </c>
      <c r="G1429">
        <v>-0.515482835404665</v>
      </c>
      <c r="H1429">
        <v>-0.75379316462323609</v>
      </c>
      <c r="I1429">
        <v>0.56507866651996908</v>
      </c>
    </row>
    <row r="1430" spans="1:9" x14ac:dyDescent="0.25">
      <c r="A1430" s="1" t="s">
        <v>1442</v>
      </c>
      <c r="B1430" t="str">
        <f>HYPERLINK("https://www.suredividend.com/sure-analysis-research-database/","SI-BONE Inc")</f>
        <v>SI-BONE Inc</v>
      </c>
      <c r="C1430">
        <v>-0.125121713729308</v>
      </c>
      <c r="D1430">
        <v>-0.24527509449811</v>
      </c>
      <c r="E1430">
        <v>-0.26533115290269799</v>
      </c>
      <c r="F1430">
        <v>0.32132352941176401</v>
      </c>
      <c r="G1430">
        <v>8.8431253785584002E-2</v>
      </c>
      <c r="H1430">
        <v>-0.24400504838031101</v>
      </c>
      <c r="I1430">
        <v>-2.0174482006542999E-2</v>
      </c>
    </row>
    <row r="1431" spans="1:9" x14ac:dyDescent="0.25">
      <c r="A1431" s="1" t="s">
        <v>1443</v>
      </c>
      <c r="B1431" t="str">
        <f>HYPERLINK("https://www.suredividend.com/sure-analysis-research-database/","Signet Jewelers Ltd")</f>
        <v>Signet Jewelers Ltd</v>
      </c>
      <c r="C1431">
        <v>8.5331913139087001E-2</v>
      </c>
      <c r="D1431">
        <v>-5.8313510424881997E-2</v>
      </c>
      <c r="E1431">
        <v>0.13545646667994601</v>
      </c>
      <c r="F1431">
        <v>0.128296259253636</v>
      </c>
      <c r="G1431">
        <v>0.21764941141323399</v>
      </c>
      <c r="H1431">
        <v>-0.26085752616882202</v>
      </c>
      <c r="I1431">
        <v>0.46322256385313298</v>
      </c>
    </row>
    <row r="1432" spans="1:9" x14ac:dyDescent="0.25">
      <c r="A1432" s="1" t="s">
        <v>1444</v>
      </c>
      <c r="B1432" t="str">
        <f>HYPERLINK("https://www.suredividend.com/sure-analysis-research-database/","SIGA Technologies Inc")</f>
        <v>SIGA Technologies Inc</v>
      </c>
      <c r="C1432">
        <v>-4.6554934823090997E-2</v>
      </c>
      <c r="D1432">
        <v>-0.109565217391304</v>
      </c>
      <c r="E1432">
        <v>3.0720296332084999E-2</v>
      </c>
      <c r="F1432">
        <v>-0.18495996434199799</v>
      </c>
      <c r="G1432">
        <v>-0.34867508809423797</v>
      </c>
      <c r="H1432">
        <v>-0.133803650882268</v>
      </c>
      <c r="I1432">
        <v>0.321699623109091</v>
      </c>
    </row>
    <row r="1433" spans="1:9" x14ac:dyDescent="0.25">
      <c r="A1433" s="1" t="s">
        <v>1445</v>
      </c>
      <c r="B1433" t="str">
        <f>HYPERLINK("https://www.suredividend.com/sure-analysis-research-database/","Selective Insurance Group Inc.")</f>
        <v>Selective Insurance Group Inc.</v>
      </c>
      <c r="C1433">
        <v>-1.1732163296450999E-2</v>
      </c>
      <c r="D1433">
        <v>9.0248365605700015E-3</v>
      </c>
      <c r="E1433">
        <v>1.8798759466735E-2</v>
      </c>
      <c r="F1433">
        <v>0.18328260708187899</v>
      </c>
      <c r="G1433">
        <v>0.12907848408599701</v>
      </c>
      <c r="H1433">
        <v>0.34771976378157599</v>
      </c>
      <c r="I1433">
        <v>0.75812801194597101</v>
      </c>
    </row>
    <row r="1434" spans="1:9" x14ac:dyDescent="0.25">
      <c r="A1434" s="1" t="s">
        <v>1446</v>
      </c>
      <c r="B1434" t="str">
        <f>HYPERLINK("https://www.suredividend.com/sure-analysis-research-database/","Silk Road Medical Inc")</f>
        <v>Silk Road Medical Inc</v>
      </c>
      <c r="C1434">
        <v>-0.41404682274247401</v>
      </c>
      <c r="D1434">
        <v>-0.58757062146892602</v>
      </c>
      <c r="E1434">
        <v>-0.79033030157970308</v>
      </c>
      <c r="F1434">
        <v>-0.83424787133396405</v>
      </c>
      <c r="G1434">
        <v>-0.79388235294117604</v>
      </c>
      <c r="H1434">
        <v>-0.85414585414585409</v>
      </c>
      <c r="I1434">
        <v>-0.75787728026533996</v>
      </c>
    </row>
    <row r="1435" spans="1:9" x14ac:dyDescent="0.25">
      <c r="A1435" s="1" t="s">
        <v>1447</v>
      </c>
      <c r="B1435" t="str">
        <f>HYPERLINK("https://www.suredividend.com/sure-analysis-research-database/","SITE Centers Corp")</f>
        <v>SITE Centers Corp</v>
      </c>
      <c r="C1435">
        <v>7.6858108108108003E-2</v>
      </c>
      <c r="D1435">
        <v>-8.1127438615709008E-2</v>
      </c>
      <c r="E1435">
        <v>9.1562861178887012E-2</v>
      </c>
      <c r="F1435">
        <v>-3.7365325521520998E-2</v>
      </c>
      <c r="G1435">
        <v>7.0897622187318002E-2</v>
      </c>
      <c r="H1435">
        <v>-0.180322599309542</v>
      </c>
      <c r="I1435">
        <v>0.30298818624044399</v>
      </c>
    </row>
    <row r="1436" spans="1:9" x14ac:dyDescent="0.25">
      <c r="A1436" s="1" t="s">
        <v>1448</v>
      </c>
      <c r="B1436" t="str">
        <f>HYPERLINK("https://www.suredividend.com/sure-analysis-research-database/","SiTime Corp")</f>
        <v>SiTime Corp</v>
      </c>
      <c r="C1436">
        <v>-1.6751447114541001E-2</v>
      </c>
      <c r="D1436">
        <v>-0.180781877968578</v>
      </c>
      <c r="E1436">
        <v>0.32674556213017703</v>
      </c>
      <c r="F1436">
        <v>0.103227711080496</v>
      </c>
      <c r="G1436">
        <v>0.30027835768963101</v>
      </c>
      <c r="H1436">
        <v>-0.61341379310344801</v>
      </c>
      <c r="I1436">
        <v>5.0112600536193037</v>
      </c>
    </row>
    <row r="1437" spans="1:9" x14ac:dyDescent="0.25">
      <c r="A1437" s="1" t="s">
        <v>1449</v>
      </c>
      <c r="B1437" t="str">
        <f>HYPERLINK("https://www.suredividend.com/sure-analysis-SJW/","SJW Group")</f>
        <v>SJW Group</v>
      </c>
      <c r="C1437">
        <v>0.10587474692481701</v>
      </c>
      <c r="D1437">
        <v>-5.5872040158844997E-2</v>
      </c>
      <c r="E1437">
        <v>-0.13345580491290501</v>
      </c>
      <c r="F1437">
        <v>-0.182232555447778</v>
      </c>
      <c r="G1437">
        <v>-5.6494222841549008E-2</v>
      </c>
      <c r="H1437">
        <v>-3.2215318691495E-2</v>
      </c>
      <c r="I1437">
        <v>0.187728751989445</v>
      </c>
    </row>
    <row r="1438" spans="1:9" x14ac:dyDescent="0.25">
      <c r="A1438" s="1" t="s">
        <v>1450</v>
      </c>
      <c r="B1438" t="str">
        <f>HYPERLINK("https://www.suredividend.com/sure-analysis-research-database/","Skillsoft Corp.")</f>
        <v>Skillsoft Corp.</v>
      </c>
      <c r="C1438">
        <v>0.23291307232913</v>
      </c>
      <c r="D1438">
        <v>-0.31185185185185099</v>
      </c>
      <c r="E1438">
        <v>-0.16306306306306301</v>
      </c>
      <c r="F1438">
        <v>-0.28538461538461501</v>
      </c>
      <c r="G1438">
        <v>-0.48674033149171197</v>
      </c>
      <c r="H1438">
        <v>-0.9242868785656071</v>
      </c>
      <c r="I1438">
        <v>0.87676767676767609</v>
      </c>
    </row>
    <row r="1439" spans="1:9" x14ac:dyDescent="0.25">
      <c r="A1439" s="1" t="s">
        <v>1451</v>
      </c>
      <c r="B1439" t="str">
        <f>HYPERLINK("https://www.suredividend.com/sure-analysis-research-database/","Beauty Health Company (The)")</f>
        <v>Beauty Health Company (The)</v>
      </c>
      <c r="C1439">
        <v>-0.22340425531914801</v>
      </c>
      <c r="D1439">
        <v>-0.43846153846153801</v>
      </c>
      <c r="E1439">
        <v>-0.55891238670694809</v>
      </c>
      <c r="F1439">
        <v>-0.51868131868131806</v>
      </c>
      <c r="G1439">
        <v>-0.60433604336043301</v>
      </c>
      <c r="H1439">
        <v>-0.85066484827821309</v>
      </c>
      <c r="I1439">
        <v>-0.59593723189328307</v>
      </c>
    </row>
    <row r="1440" spans="1:9" x14ac:dyDescent="0.25">
      <c r="A1440" s="1" t="s">
        <v>1452</v>
      </c>
      <c r="B1440" t="str">
        <f>HYPERLINK("https://www.suredividend.com/sure-analysis-research-database/","Skillz Inc")</f>
        <v>Skillz Inc</v>
      </c>
      <c r="C1440">
        <v>0.42857142857142799</v>
      </c>
      <c r="D1440">
        <v>-0.42857142857142799</v>
      </c>
      <c r="E1440">
        <v>-0.47826086956521702</v>
      </c>
      <c r="F1440">
        <v>-0.40769990128331601</v>
      </c>
      <c r="G1440">
        <v>-0.69214982042072803</v>
      </c>
      <c r="H1440">
        <v>-0.97368421052631504</v>
      </c>
      <c r="I1440">
        <v>-0.39393939393939298</v>
      </c>
    </row>
    <row r="1441" spans="1:9" x14ac:dyDescent="0.25">
      <c r="A1441" s="1" t="s">
        <v>1453</v>
      </c>
      <c r="B1441" t="str">
        <f>HYPERLINK("https://www.suredividend.com/sure-analysis-SKT/","Tanger Factory Outlet Centers, Inc.")</f>
        <v>Tanger Factory Outlet Centers, Inc.</v>
      </c>
      <c r="C1441">
        <v>8.0329157144534008E-2</v>
      </c>
      <c r="D1441">
        <v>-1.6402816442880001E-3</v>
      </c>
      <c r="E1441">
        <v>0.29737000536954911</v>
      </c>
      <c r="F1441">
        <v>0.39844604114658511</v>
      </c>
      <c r="G1441">
        <v>0.34088985307390002</v>
      </c>
      <c r="H1441">
        <v>0.238325982067051</v>
      </c>
      <c r="I1441">
        <v>0.37608081598370802</v>
      </c>
    </row>
    <row r="1442" spans="1:9" x14ac:dyDescent="0.25">
      <c r="A1442" s="1" t="s">
        <v>1454</v>
      </c>
      <c r="B1442" t="str">
        <f>HYPERLINK("https://www.suredividend.com/sure-analysis-research-database/","Skyward Specialty Insurance Group Inc")</f>
        <v>Skyward Specialty Insurance Group Inc</v>
      </c>
      <c r="C1442">
        <v>-3.0555555555554999E-2</v>
      </c>
      <c r="D1442">
        <v>0.185059422750424</v>
      </c>
      <c r="E1442">
        <v>0.29800092980009202</v>
      </c>
      <c r="F1442">
        <v>0.46178010471204112</v>
      </c>
      <c r="G1442">
        <v>0.46178010471204112</v>
      </c>
      <c r="H1442">
        <v>0.46178010471204112</v>
      </c>
      <c r="I1442">
        <v>0.46178010471204112</v>
      </c>
    </row>
    <row r="1443" spans="1:9" x14ac:dyDescent="0.25">
      <c r="A1443" s="1" t="s">
        <v>1455</v>
      </c>
      <c r="B1443" t="str">
        <f>HYPERLINK("https://www.suredividend.com/sure-analysis-research-database/","Skyline Champion Corp")</f>
        <v>Skyline Champion Corp</v>
      </c>
      <c r="C1443">
        <v>-2.2350041084633999E-2</v>
      </c>
      <c r="D1443">
        <v>-0.122566371681415</v>
      </c>
      <c r="E1443">
        <v>-0.17888198757763901</v>
      </c>
      <c r="F1443">
        <v>0.15492137449039001</v>
      </c>
      <c r="G1443">
        <v>0.27278562259306799</v>
      </c>
      <c r="H1443">
        <v>-0.17660899653979201</v>
      </c>
      <c r="I1443">
        <v>1.3607142857142851</v>
      </c>
    </row>
    <row r="1444" spans="1:9" x14ac:dyDescent="0.25">
      <c r="A1444" s="1" t="s">
        <v>1456</v>
      </c>
      <c r="B1444" t="str">
        <f>HYPERLINK("https://www.suredividend.com/sure-analysis-research-database/","SkyWater Technology Inc")</f>
        <v>SkyWater Technology Inc</v>
      </c>
      <c r="C1444">
        <v>-6.3651591289782011E-2</v>
      </c>
      <c r="D1444">
        <v>-0.45034414945919299</v>
      </c>
      <c r="E1444">
        <v>-0.35599078341013801</v>
      </c>
      <c r="F1444">
        <v>-0.213783403656821</v>
      </c>
      <c r="G1444">
        <v>-0.33846153846153798</v>
      </c>
      <c r="H1444">
        <v>-0.74887690925426709</v>
      </c>
      <c r="I1444">
        <v>-0.684892897406989</v>
      </c>
    </row>
    <row r="1445" spans="1:9" x14ac:dyDescent="0.25">
      <c r="A1445" s="1" t="s">
        <v>1457</v>
      </c>
      <c r="B1445" t="str">
        <f>HYPERLINK("https://www.suredividend.com/sure-analysis-research-database/","Skywest Inc.")</f>
        <v>Skywest Inc.</v>
      </c>
      <c r="C1445">
        <v>7.4083011583011005E-2</v>
      </c>
      <c r="D1445">
        <v>5.7747148288973003E-2</v>
      </c>
      <c r="E1445">
        <v>0.63760117733627608</v>
      </c>
      <c r="F1445">
        <v>1.695941853422168</v>
      </c>
      <c r="G1445">
        <v>1.5376282782212081</v>
      </c>
      <c r="H1445">
        <v>-1.0229041583277001E-2</v>
      </c>
      <c r="I1445">
        <v>-0.19061543049585</v>
      </c>
    </row>
    <row r="1446" spans="1:9" x14ac:dyDescent="0.25">
      <c r="A1446" s="1" t="s">
        <v>1458</v>
      </c>
      <c r="B1446" t="str">
        <f>HYPERLINK("https://www.suredividend.com/sure-analysis-research-database/","Silicon Laboratories Inc")</f>
        <v>Silicon Laboratories Inc</v>
      </c>
      <c r="C1446">
        <v>-0.19884474006651401</v>
      </c>
      <c r="D1446">
        <v>-0.34670282614901499</v>
      </c>
      <c r="E1446">
        <v>-0.32312925170068002</v>
      </c>
      <c r="F1446">
        <v>-0.32527456327854298</v>
      </c>
      <c r="G1446">
        <v>-0.23957468017943101</v>
      </c>
      <c r="H1446">
        <v>-0.54906403940886606</v>
      </c>
      <c r="I1446">
        <v>6.2318672391783007E-2</v>
      </c>
    </row>
    <row r="1447" spans="1:9" x14ac:dyDescent="0.25">
      <c r="A1447" s="1" t="s">
        <v>1459</v>
      </c>
      <c r="B1447" t="str">
        <f>HYPERLINK("https://www.suredividend.com/sure-analysis-research-database/","U.S. Silica Holdings Inc")</f>
        <v>U.S. Silica Holdings Inc</v>
      </c>
      <c r="C1447">
        <v>-6.0534591194968013E-2</v>
      </c>
      <c r="D1447">
        <v>-7.722007722007701E-2</v>
      </c>
      <c r="E1447">
        <v>-1.8883415435138998E-2</v>
      </c>
      <c r="F1447">
        <v>-4.3999999999999997E-2</v>
      </c>
      <c r="G1447">
        <v>-0.18038408779149501</v>
      </c>
      <c r="H1447">
        <v>0.12629594721960399</v>
      </c>
      <c r="I1447">
        <v>-0.123765389099494</v>
      </c>
    </row>
    <row r="1448" spans="1:9" x14ac:dyDescent="0.25">
      <c r="A1448" s="1" t="s">
        <v>1460</v>
      </c>
      <c r="B1448" t="str">
        <f>HYPERLINK("https://www.suredividend.com/sure-analysis-research-database/","Solid Power Inc")</f>
        <v>Solid Power Inc</v>
      </c>
      <c r="C1448">
        <v>-0.25925925925925902</v>
      </c>
      <c r="D1448">
        <v>-0.45945945945945899</v>
      </c>
      <c r="E1448">
        <v>-0.31372549019607798</v>
      </c>
      <c r="F1448">
        <v>-0.44881889763779498</v>
      </c>
      <c r="G1448">
        <v>-0.76230899830220711</v>
      </c>
      <c r="H1448">
        <v>-0.88627132412672605</v>
      </c>
      <c r="I1448">
        <v>-0.86</v>
      </c>
    </row>
    <row r="1449" spans="1:9" x14ac:dyDescent="0.25">
      <c r="A1449" s="1" t="s">
        <v>1461</v>
      </c>
      <c r="B1449" t="str">
        <f>HYPERLINK("https://www.suredividend.com/sure-analysis-research-database/","SomaLogic Inc")</f>
        <v>SomaLogic Inc</v>
      </c>
      <c r="C1449">
        <v>9.1787439613526006E-2</v>
      </c>
      <c r="D1449">
        <v>2.7272727272727001E-2</v>
      </c>
      <c r="E1449">
        <v>-0.201413427561837</v>
      </c>
      <c r="F1449">
        <v>-9.9601593625498003E-2</v>
      </c>
      <c r="G1449">
        <v>-0.24916943521594601</v>
      </c>
      <c r="H1449">
        <v>-0.83515681983953305</v>
      </c>
      <c r="I1449">
        <v>-0.8366107576633891</v>
      </c>
    </row>
    <row r="1450" spans="1:9" x14ac:dyDescent="0.25">
      <c r="A1450" s="1" t="s">
        <v>1462</v>
      </c>
      <c r="B1450" t="str">
        <f>HYPERLINK("https://www.suredividend.com/sure-analysis-research-database/","Simulations Plus Inc.")</f>
        <v>Simulations Plus Inc.</v>
      </c>
      <c r="C1450">
        <v>-0.126182670686529</v>
      </c>
      <c r="D1450">
        <v>-0.27610840321297497</v>
      </c>
      <c r="E1450">
        <v>-9.758630922939901E-2</v>
      </c>
      <c r="F1450">
        <v>8.172580137149001E-3</v>
      </c>
      <c r="G1450">
        <v>-2.9766415400364E-2</v>
      </c>
      <c r="H1450">
        <v>-0.31444310009243398</v>
      </c>
      <c r="I1450">
        <v>0.8495146861299071</v>
      </c>
    </row>
    <row r="1451" spans="1:9" x14ac:dyDescent="0.25">
      <c r="A1451" s="1" t="s">
        <v>1463</v>
      </c>
      <c r="B1451" t="str">
        <f>HYPERLINK("https://www.suredividend.com/sure-analysis-research-database/","SelectQuote Inc")</f>
        <v>SelectQuote Inc</v>
      </c>
      <c r="C1451">
        <v>0.109243697478991</v>
      </c>
      <c r="D1451">
        <v>-0.232558139534883</v>
      </c>
      <c r="E1451">
        <v>0.233644859813084</v>
      </c>
      <c r="F1451">
        <v>0.96457806221163811</v>
      </c>
      <c r="G1451">
        <v>0.94432169686257206</v>
      </c>
      <c r="H1451">
        <v>-0.89908256880733906</v>
      </c>
      <c r="I1451">
        <v>-0.95111111111111113</v>
      </c>
    </row>
    <row r="1452" spans="1:9" x14ac:dyDescent="0.25">
      <c r="A1452" s="1" t="s">
        <v>1464</v>
      </c>
      <c r="B1452" t="str">
        <f>HYPERLINK("https://www.suredividend.com/sure-analysis-research-database/","Sylvamo Corp")</f>
        <v>Sylvamo Corp</v>
      </c>
      <c r="C1452">
        <v>9.0345649582836002E-2</v>
      </c>
      <c r="D1452">
        <v>-5.1987323905712007E-2</v>
      </c>
      <c r="E1452">
        <v>5.1416907261994001E-2</v>
      </c>
      <c r="F1452">
        <v>-3.6054186652278997E-2</v>
      </c>
      <c r="G1452">
        <v>2.602754168377E-2</v>
      </c>
      <c r="H1452">
        <v>0.64167426368719904</v>
      </c>
      <c r="I1452">
        <v>0.82960000000000012</v>
      </c>
    </row>
    <row r="1453" spans="1:9" x14ac:dyDescent="0.25">
      <c r="A1453" s="1" t="s">
        <v>1465</v>
      </c>
      <c r="B1453" t="str">
        <f>HYPERLINK("https://www.suredividend.com/sure-analysis-research-database/","SM Energy Co")</f>
        <v>SM Energy Co</v>
      </c>
      <c r="C1453">
        <v>0.114495323911391</v>
      </c>
      <c r="D1453">
        <v>5.9540577759858007E-2</v>
      </c>
      <c r="E1453">
        <v>0.61281966468335403</v>
      </c>
      <c r="F1453">
        <v>0.18248968572129801</v>
      </c>
      <c r="G1453">
        <v>-0.106397636491302</v>
      </c>
      <c r="H1453">
        <v>0.16405829783439599</v>
      </c>
      <c r="I1453">
        <v>0.81823899936202105</v>
      </c>
    </row>
    <row r="1454" spans="1:9" x14ac:dyDescent="0.25">
      <c r="A1454" s="1" t="s">
        <v>1466</v>
      </c>
      <c r="B1454" t="str">
        <f>HYPERLINK("https://www.suredividend.com/sure-analysis-research-database/","Southern Missouri Bancorp, Inc.")</f>
        <v>Southern Missouri Bancorp, Inc.</v>
      </c>
      <c r="C1454">
        <v>0.12094320486815401</v>
      </c>
      <c r="D1454">
        <v>-6.2258724111891997E-2</v>
      </c>
      <c r="E1454">
        <v>0.44281448362514803</v>
      </c>
      <c r="F1454">
        <v>-1.5661250317277001E-2</v>
      </c>
      <c r="G1454">
        <v>-9.8263019197350004E-2</v>
      </c>
      <c r="H1454">
        <v>-0.21157334008635001</v>
      </c>
      <c r="I1454">
        <v>0.43055452189191701</v>
      </c>
    </row>
    <row r="1455" spans="1:9" x14ac:dyDescent="0.25">
      <c r="A1455" s="1" t="s">
        <v>1467</v>
      </c>
      <c r="B1455" t="str">
        <f>HYPERLINK("https://www.suredividend.com/sure-analysis-research-database/","SmartFinancial Inc")</f>
        <v>SmartFinancial Inc</v>
      </c>
      <c r="C1455">
        <v>3.0732860520094E-2</v>
      </c>
      <c r="D1455">
        <v>-0.119501427780941</v>
      </c>
      <c r="E1455">
        <v>0.102491225585888</v>
      </c>
      <c r="F1455">
        <v>-0.19662434817858501</v>
      </c>
      <c r="G1455">
        <v>-0.22707095346825301</v>
      </c>
      <c r="H1455">
        <v>-0.14349250752390699</v>
      </c>
      <c r="I1455">
        <v>0.123369696844774</v>
      </c>
    </row>
    <row r="1456" spans="1:9" x14ac:dyDescent="0.25">
      <c r="A1456" s="1" t="s">
        <v>1468</v>
      </c>
      <c r="B1456" t="str">
        <f>HYPERLINK("https://www.suredividend.com/sure-analysis-research-database/","Super Micro Computer Inc")</f>
        <v>Super Micro Computer Inc</v>
      </c>
      <c r="C1456">
        <v>-9.0584878744650002E-2</v>
      </c>
      <c r="D1456">
        <v>-0.24576296252477101</v>
      </c>
      <c r="E1456">
        <v>0.86950146627565905</v>
      </c>
      <c r="F1456">
        <v>2.1059683313032891</v>
      </c>
      <c r="G1456">
        <v>2.3276784549132201</v>
      </c>
      <c r="H1456">
        <v>4.428997232275921</v>
      </c>
      <c r="I1456">
        <v>15.293929712460059</v>
      </c>
    </row>
    <row r="1457" spans="1:9" x14ac:dyDescent="0.25">
      <c r="A1457" s="1" t="s">
        <v>1469</v>
      </c>
      <c r="B1457" t="str">
        <f>HYPERLINK("https://www.suredividend.com/sure-analysis-research-database/","Summit Financial Group Inc")</f>
        <v>Summit Financial Group Inc</v>
      </c>
      <c r="C1457">
        <v>-5.2333187963366001E-2</v>
      </c>
      <c r="D1457">
        <v>-4.8394795731133013E-2</v>
      </c>
      <c r="E1457">
        <v>0.272009927882363</v>
      </c>
      <c r="F1457">
        <v>-8.5276016804317012E-2</v>
      </c>
      <c r="G1457">
        <v>-0.190155148831818</v>
      </c>
      <c r="H1457">
        <v>-0.12815657072243</v>
      </c>
      <c r="I1457">
        <v>0.233558700477415</v>
      </c>
    </row>
    <row r="1458" spans="1:9" x14ac:dyDescent="0.25">
      <c r="A1458" s="1" t="s">
        <v>1470</v>
      </c>
      <c r="B1458" t="str">
        <f>HYPERLINK("https://www.suredividend.com/sure-analysis-research-database/","Standard Motor Products, Inc.")</f>
        <v>Standard Motor Products, Inc.</v>
      </c>
      <c r="C1458">
        <v>7.1641791044774999E-2</v>
      </c>
      <c r="D1458">
        <v>-5.5526616259674012E-2</v>
      </c>
      <c r="E1458">
        <v>2.084340432792E-2</v>
      </c>
      <c r="F1458">
        <v>5.5606032538541003E-2</v>
      </c>
      <c r="G1458">
        <v>6.3520718518550014E-3</v>
      </c>
      <c r="H1458">
        <v>-0.245490809279412</v>
      </c>
      <c r="I1458">
        <v>-0.28434734072243001</v>
      </c>
    </row>
    <row r="1459" spans="1:9" x14ac:dyDescent="0.25">
      <c r="A1459" s="1" t="s">
        <v>1471</v>
      </c>
      <c r="B1459" t="str">
        <f>HYPERLINK("https://www.suredividend.com/sure-analysis-research-database/","Simply Good Foods Co")</f>
        <v>Simply Good Foods Co</v>
      </c>
      <c r="C1459">
        <v>0.103793002058218</v>
      </c>
      <c r="D1459">
        <v>-2.0099190811798E-2</v>
      </c>
      <c r="E1459">
        <v>1.5417906410603E-2</v>
      </c>
      <c r="F1459">
        <v>-1.2884564817249001E-2</v>
      </c>
      <c r="G1459">
        <v>-7.6658736452550006E-3</v>
      </c>
      <c r="H1459">
        <v>-4.9620253164555997E-2</v>
      </c>
      <c r="I1459">
        <v>0.91922290388548011</v>
      </c>
    </row>
    <row r="1460" spans="1:9" x14ac:dyDescent="0.25">
      <c r="A1460" s="1" t="s">
        <v>1472</v>
      </c>
      <c r="B1460" t="str">
        <f>HYPERLINK("https://www.suredividend.com/sure-analysis-research-database/","NuScale Power Corporation")</f>
        <v>NuScale Power Corporation</v>
      </c>
      <c r="C1460">
        <v>-0.262820512820512</v>
      </c>
      <c r="D1460">
        <v>-0.53315290933694104</v>
      </c>
      <c r="E1460">
        <v>-0.55136540962288605</v>
      </c>
      <c r="F1460">
        <v>-0.66374269005847908</v>
      </c>
      <c r="G1460">
        <v>-0.70386266094420602</v>
      </c>
      <c r="H1460">
        <v>-0.65396188565697</v>
      </c>
      <c r="I1460">
        <v>-0.65326633165829107</v>
      </c>
    </row>
    <row r="1461" spans="1:9" x14ac:dyDescent="0.25">
      <c r="A1461" s="1" t="s">
        <v>1473</v>
      </c>
      <c r="B1461" t="str">
        <f>HYPERLINK("https://www.suredividend.com/sure-analysis-research-database/","SmartRent Inc")</f>
        <v>SmartRent Inc</v>
      </c>
      <c r="C1461">
        <v>0</v>
      </c>
      <c r="D1461">
        <v>-0.30729166666666602</v>
      </c>
      <c r="E1461">
        <v>1.9157088122604998E-2</v>
      </c>
      <c r="F1461">
        <v>9.4650205761316011E-2</v>
      </c>
      <c r="G1461">
        <v>5.1383399209486001E-2</v>
      </c>
      <c r="H1461">
        <v>-0.79679144385026701</v>
      </c>
      <c r="I1461">
        <v>-0.76036036036036003</v>
      </c>
    </row>
    <row r="1462" spans="1:9" x14ac:dyDescent="0.25">
      <c r="A1462" s="1" t="s">
        <v>1474</v>
      </c>
      <c r="B1462" t="str">
        <f>HYPERLINK("https://www.suredividend.com/sure-analysis-research-database/","Semtech Corp.")</f>
        <v>Semtech Corp.</v>
      </c>
      <c r="C1462">
        <v>-0.40501212611156001</v>
      </c>
      <c r="D1462">
        <v>-0.46433770014555997</v>
      </c>
      <c r="E1462">
        <v>-0.18629076838031999</v>
      </c>
      <c r="F1462">
        <v>-0.48692924363889811</v>
      </c>
      <c r="G1462">
        <v>-0.46492184660123498</v>
      </c>
      <c r="H1462">
        <v>-0.83820619916465111</v>
      </c>
      <c r="I1462">
        <v>-0.68932038834951403</v>
      </c>
    </row>
    <row r="1463" spans="1:9" x14ac:dyDescent="0.25">
      <c r="A1463" s="1" t="s">
        <v>1475</v>
      </c>
      <c r="B1463" t="str">
        <f>HYPERLINK("https://www.suredividend.com/sure-analysis-research-database/","Sleep Number Corp")</f>
        <v>Sleep Number Corp</v>
      </c>
      <c r="C1463">
        <v>-0.19644572526416901</v>
      </c>
      <c r="D1463">
        <v>-0.42070637119113502</v>
      </c>
      <c r="E1463">
        <v>-0.26396832380114299</v>
      </c>
      <c r="F1463">
        <v>-0.35604311008467998</v>
      </c>
      <c r="G1463">
        <v>-0.33716323296354911</v>
      </c>
      <c r="H1463">
        <v>-0.8167780089803961</v>
      </c>
      <c r="I1463">
        <v>-0.57419190633749007</v>
      </c>
    </row>
    <row r="1464" spans="1:9" x14ac:dyDescent="0.25">
      <c r="A1464" s="1" t="s">
        <v>1476</v>
      </c>
      <c r="B1464" t="str">
        <f>HYPERLINK("https://www.suredividend.com/sure-analysis-research-database/","Science 37 Holdings Inc")</f>
        <v>Science 37 Holdings Inc</v>
      </c>
      <c r="C1464">
        <v>-6.1171469059990012E-2</v>
      </c>
      <c r="D1464">
        <v>0.42371060171919711</v>
      </c>
      <c r="E1464">
        <v>0.47222222222222199</v>
      </c>
      <c r="F1464">
        <v>-4.2630057803468013E-2</v>
      </c>
      <c r="G1464">
        <v>-0.72299651567944201</v>
      </c>
      <c r="H1464">
        <v>-0.9638307552320291</v>
      </c>
      <c r="I1464">
        <v>-0.96042807366849103</v>
      </c>
    </row>
    <row r="1465" spans="1:9" x14ac:dyDescent="0.25">
      <c r="A1465" s="1" t="s">
        <v>1477</v>
      </c>
      <c r="B1465" t="str">
        <f>HYPERLINK("https://www.suredividend.com/sure-analysis-research-database/","Sun Country Airlines Holdings Inc")</f>
        <v>Sun Country Airlines Holdings Inc</v>
      </c>
      <c r="C1465">
        <v>-7.1573261309925001E-2</v>
      </c>
      <c r="D1465">
        <v>-0.171686746987951</v>
      </c>
      <c r="E1465">
        <v>-0.19778296382730401</v>
      </c>
      <c r="F1465">
        <v>-0.133039092055485</v>
      </c>
      <c r="G1465">
        <v>-0.274023231256599</v>
      </c>
      <c r="H1465">
        <v>-0.55270006506180802</v>
      </c>
      <c r="I1465">
        <v>-0.62204507971412804</v>
      </c>
    </row>
    <row r="1466" spans="1:9" x14ac:dyDescent="0.25">
      <c r="A1466" s="1" t="s">
        <v>1478</v>
      </c>
      <c r="B1466" t="str">
        <f>HYPERLINK("https://www.suredividend.com/sure-analysis-research-database/","Syndax Pharmaceuticals Inc")</f>
        <v>Syndax Pharmaceuticals Inc</v>
      </c>
      <c r="C1466">
        <v>0.217105263157894</v>
      </c>
      <c r="D1466">
        <v>-0.251012145748987</v>
      </c>
      <c r="E1466">
        <v>-0.26294820717131401</v>
      </c>
      <c r="F1466">
        <v>-0.41846758349705299</v>
      </c>
      <c r="G1466">
        <v>-0.34016941596076611</v>
      </c>
      <c r="H1466">
        <v>-0.125295508274231</v>
      </c>
      <c r="I1466">
        <v>1.890625</v>
      </c>
    </row>
    <row r="1467" spans="1:9" x14ac:dyDescent="0.25">
      <c r="A1467" s="1" t="s">
        <v>1479</v>
      </c>
      <c r="B1467" t="str">
        <f>HYPERLINK("https://www.suredividend.com/sure-analysis-research-database/","StoneX Group Inc")</f>
        <v>StoneX Group Inc</v>
      </c>
      <c r="C1467">
        <v>4.5615541483310013E-2</v>
      </c>
      <c r="D1467">
        <v>-5.3093730855620002E-3</v>
      </c>
      <c r="E1467">
        <v>0.18070536904617601</v>
      </c>
      <c r="F1467">
        <v>2.224554039874E-2</v>
      </c>
      <c r="G1467">
        <v>5.2961521833117003E-2</v>
      </c>
      <c r="H1467">
        <v>0.38695899772209502</v>
      </c>
      <c r="I1467">
        <v>1.063108852181279</v>
      </c>
    </row>
    <row r="1468" spans="1:9" x14ac:dyDescent="0.25">
      <c r="A1468" s="1" t="s">
        <v>1480</v>
      </c>
      <c r="B1468" t="str">
        <f>HYPERLINK("https://www.suredividend.com/sure-analysis-research-database/","Snap One Holdings Corp")</f>
        <v>Snap One Holdings Corp</v>
      </c>
      <c r="C1468">
        <v>-9.9552572706934003E-2</v>
      </c>
      <c r="D1468">
        <v>-0.23624288425047399</v>
      </c>
      <c r="E1468">
        <v>-0.122137404580152</v>
      </c>
      <c r="F1468">
        <v>8.6369770580297003E-2</v>
      </c>
      <c r="G1468">
        <v>-0.21692607003891001</v>
      </c>
      <c r="H1468">
        <v>-0.49687500000000001</v>
      </c>
      <c r="I1468">
        <v>-0.51359516616314105</v>
      </c>
    </row>
    <row r="1469" spans="1:9" x14ac:dyDescent="0.25">
      <c r="A1469" s="1" t="s">
        <v>1481</v>
      </c>
      <c r="B1469" t="str">
        <f>HYPERLINK("https://www.suredividend.com/sure-analysis-research-database/","Solaris Oilfield Infrastructure Inc")</f>
        <v>Solaris Oilfield Infrastructure Inc</v>
      </c>
      <c r="C1469">
        <v>-4.7082906857727001E-2</v>
      </c>
      <c r="D1469">
        <v>-0.14391591801454601</v>
      </c>
      <c r="E1469">
        <v>0.262869467315961</v>
      </c>
      <c r="F1469">
        <v>-4.1342737991040997E-2</v>
      </c>
      <c r="G1469">
        <v>-0.21030086603954401</v>
      </c>
      <c r="H1469">
        <v>0.19655043890652499</v>
      </c>
      <c r="I1469">
        <v>-0.203667747260736</v>
      </c>
    </row>
    <row r="1470" spans="1:9" x14ac:dyDescent="0.25">
      <c r="A1470" s="1" t="s">
        <v>1482</v>
      </c>
      <c r="B1470" t="str">
        <f>HYPERLINK("https://www.suredividend.com/sure-analysis-research-database/","Sonder Holdings Inc")</f>
        <v>Sonder Holdings Inc</v>
      </c>
      <c r="C1470">
        <v>0.13681592039800999</v>
      </c>
      <c r="D1470">
        <v>-0.16575392479006901</v>
      </c>
      <c r="E1470">
        <v>0.19072433559145299</v>
      </c>
      <c r="F1470">
        <v>-0.63145161290322505</v>
      </c>
      <c r="G1470">
        <v>-0.79036697247706411</v>
      </c>
      <c r="H1470">
        <v>-8.5085085085085013E-2</v>
      </c>
      <c r="I1470">
        <v>-6.9246435845213006E-2</v>
      </c>
    </row>
    <row r="1471" spans="1:9" x14ac:dyDescent="0.25">
      <c r="A1471" s="1" t="s">
        <v>1483</v>
      </c>
      <c r="B1471" t="str">
        <f>HYPERLINK("https://www.suredividend.com/sure-analysis-research-database/","Sonos Inc")</f>
        <v>Sonos Inc</v>
      </c>
      <c r="C1471">
        <v>-0.10071371927042</v>
      </c>
      <c r="D1471">
        <v>-0.30258302583025798</v>
      </c>
      <c r="E1471">
        <v>-0.46509433962264102</v>
      </c>
      <c r="F1471">
        <v>-0.32899408284023601</v>
      </c>
      <c r="G1471">
        <v>-0.27073954983922799</v>
      </c>
      <c r="H1471">
        <v>-0.67130434782608706</v>
      </c>
      <c r="I1471">
        <v>-0.14090909090909001</v>
      </c>
    </row>
    <row r="1472" spans="1:9" x14ac:dyDescent="0.25">
      <c r="A1472" s="1" t="s">
        <v>1484</v>
      </c>
      <c r="B1472" t="str">
        <f>HYPERLINK("https://www.suredividend.com/sure-analysis-research-database/","Sovos Brands Inc")</f>
        <v>Sovos Brands Inc</v>
      </c>
      <c r="C1472">
        <v>-3.6971046770601E-2</v>
      </c>
      <c r="D1472">
        <v>0.19977802441731399</v>
      </c>
      <c r="E1472">
        <v>0.21802816901408401</v>
      </c>
      <c r="F1472">
        <v>0.50452331245650606</v>
      </c>
      <c r="G1472">
        <v>0.52683615819209006</v>
      </c>
      <c r="H1472">
        <v>0.45100671140939602</v>
      </c>
      <c r="I1472">
        <v>0.59911242603550308</v>
      </c>
    </row>
    <row r="1473" spans="1:9" x14ac:dyDescent="0.25">
      <c r="A1473" s="1" t="s">
        <v>1485</v>
      </c>
      <c r="B1473" t="str">
        <f>HYPERLINK("https://www.suredividend.com/sure-analysis-research-database/","SP Plus Corp")</f>
        <v>SP Plus Corp</v>
      </c>
      <c r="C1473">
        <v>0.45467382095453202</v>
      </c>
      <c r="D1473">
        <v>0.29748110831234198</v>
      </c>
      <c r="E1473">
        <v>0.50702165008777</v>
      </c>
      <c r="F1473">
        <v>0.48358294930875512</v>
      </c>
      <c r="G1473">
        <v>0.51991737975804009</v>
      </c>
      <c r="H1473">
        <v>0.58492307692307599</v>
      </c>
      <c r="I1473">
        <v>0.64884763124199707</v>
      </c>
    </row>
    <row r="1474" spans="1:9" x14ac:dyDescent="0.25">
      <c r="A1474" s="1" t="s">
        <v>1486</v>
      </c>
      <c r="B1474" t="str">
        <f>HYPERLINK("https://www.suredividend.com/sure-analysis-research-database/","Virgin Galactic Holdings Inc")</f>
        <v>Virgin Galactic Holdings Inc</v>
      </c>
      <c r="C1474">
        <v>0.141975308641975</v>
      </c>
      <c r="D1474">
        <v>-0.50268817204301008</v>
      </c>
      <c r="E1474">
        <v>-0.46531791907514403</v>
      </c>
      <c r="F1474">
        <v>-0.46839080459770099</v>
      </c>
      <c r="G1474">
        <v>-0.62398373983739808</v>
      </c>
      <c r="H1474">
        <v>-0.90570846075433209</v>
      </c>
      <c r="I1474">
        <v>-0.81369587109768304</v>
      </c>
    </row>
    <row r="1475" spans="1:9" x14ac:dyDescent="0.25">
      <c r="A1475" s="1" t="s">
        <v>1487</v>
      </c>
      <c r="B1475" t="str">
        <f>HYPERLINK("https://www.suredividend.com/sure-analysis-research-database/","South Plains Financial Inc")</f>
        <v>South Plains Financial Inc</v>
      </c>
      <c r="C1475">
        <v>3.5566976749529002E-2</v>
      </c>
      <c r="D1475">
        <v>2.2000990252437999E-2</v>
      </c>
      <c r="E1475">
        <v>0.43801485877779311</v>
      </c>
      <c r="F1475">
        <v>1.9396429850521001E-2</v>
      </c>
      <c r="G1475">
        <v>-9.3247308077945013E-2</v>
      </c>
      <c r="H1475">
        <v>8.9378160062848003E-2</v>
      </c>
      <c r="I1475">
        <v>0.65420709400349908</v>
      </c>
    </row>
    <row r="1476" spans="1:9" x14ac:dyDescent="0.25">
      <c r="A1476" s="1" t="s">
        <v>1488</v>
      </c>
      <c r="B1476" t="str">
        <f>HYPERLINK("https://www.suredividend.com/sure-analysis-research-database/","Sphere Entertainment Co")</f>
        <v>Sphere Entertainment Co</v>
      </c>
      <c r="C1476">
        <v>-0.102778460781903</v>
      </c>
      <c r="D1476">
        <v>-3.2352161230442003E-2</v>
      </c>
      <c r="E1476">
        <v>0.18474025974025901</v>
      </c>
      <c r="F1476">
        <v>-0.188570157883033</v>
      </c>
      <c r="G1476">
        <v>-0.19802197802197799</v>
      </c>
      <c r="H1476">
        <v>-0.50306414272095801</v>
      </c>
      <c r="I1476">
        <v>-0.58773019997740306</v>
      </c>
    </row>
    <row r="1477" spans="1:9" x14ac:dyDescent="0.25">
      <c r="A1477" s="1" t="s">
        <v>1489</v>
      </c>
      <c r="B1477" t="str">
        <f>HYPERLINK("https://www.suredividend.com/sure-analysis-research-database/","Spire Global Inc")</f>
        <v>Spire Global Inc</v>
      </c>
      <c r="C1477">
        <v>-6.1224489795918012E-2</v>
      </c>
      <c r="D1477">
        <v>-0.23897058823529399</v>
      </c>
      <c r="E1477">
        <v>-0.14702488874237599</v>
      </c>
      <c r="F1477">
        <v>-0.4609375</v>
      </c>
      <c r="G1477">
        <v>-0.62226277372262706</v>
      </c>
      <c r="H1477">
        <v>-0.91331658291457207</v>
      </c>
      <c r="I1477">
        <v>-0.57319587628865909</v>
      </c>
    </row>
    <row r="1478" spans="1:9" x14ac:dyDescent="0.25">
      <c r="A1478" s="1" t="s">
        <v>1490</v>
      </c>
      <c r="B1478" t="str">
        <f>HYPERLINK("https://www.suredividend.com/sure-analysis-research-database/","Sapiens International Corp NV")</f>
        <v>Sapiens International Corp NV</v>
      </c>
      <c r="C1478">
        <v>-8.4180989126620004E-3</v>
      </c>
      <c r="D1478">
        <v>-4.2626326252085997E-2</v>
      </c>
      <c r="E1478">
        <v>0.29898176738714799</v>
      </c>
      <c r="F1478">
        <v>0.5935558787386831</v>
      </c>
      <c r="G1478">
        <v>0.65815204321635701</v>
      </c>
      <c r="H1478">
        <v>-8.7855605638710005E-2</v>
      </c>
      <c r="I1478">
        <v>1.788710997997494</v>
      </c>
    </row>
    <row r="1479" spans="1:9" x14ac:dyDescent="0.25">
      <c r="A1479" s="1" t="s">
        <v>1491</v>
      </c>
      <c r="B1479" t="str">
        <f>HYPERLINK("https://www.suredividend.com/sure-analysis-research-database/","SiriusPoint Ltd")</f>
        <v>SiriusPoint Ltd</v>
      </c>
      <c r="C1479">
        <v>-1.5252621544326999E-2</v>
      </c>
      <c r="D1479">
        <v>-2.8957528957520001E-3</v>
      </c>
      <c r="E1479">
        <v>0.164599774520856</v>
      </c>
      <c r="F1479">
        <v>0.75084745762711802</v>
      </c>
      <c r="G1479">
        <v>0.76883561643835607</v>
      </c>
      <c r="H1479">
        <v>8.1675392670157013E-2</v>
      </c>
      <c r="I1479">
        <v>-6.4311594202898004E-2</v>
      </c>
    </row>
    <row r="1480" spans="1:9" x14ac:dyDescent="0.25">
      <c r="A1480" s="1" t="s">
        <v>1492</v>
      </c>
      <c r="B1480" t="str">
        <f>HYPERLINK("https://www.suredividend.com/sure-analysis-research-database/","SPS Commerce Inc.")</f>
        <v>SPS Commerce Inc.</v>
      </c>
      <c r="C1480">
        <v>2.4667589194390001E-3</v>
      </c>
      <c r="D1480">
        <v>-2.2157015390140001E-3</v>
      </c>
      <c r="E1480">
        <v>0.118255033557046</v>
      </c>
      <c r="F1480">
        <v>0.29736042980611999</v>
      </c>
      <c r="G1480">
        <v>0.39875755540631203</v>
      </c>
      <c r="H1480">
        <v>0.115485037156055</v>
      </c>
      <c r="I1480">
        <v>2.5485038867000318</v>
      </c>
    </row>
    <row r="1481" spans="1:9" x14ac:dyDescent="0.25">
      <c r="A1481" s="1" t="s">
        <v>1493</v>
      </c>
      <c r="B1481" t="str">
        <f>HYPERLINK("https://www.suredividend.com/sure-analysis-research-database/","Sprout Social Inc")</f>
        <v>Sprout Social Inc</v>
      </c>
      <c r="C1481">
        <v>-2.6633374947981001E-2</v>
      </c>
      <c r="D1481">
        <v>-6.4088869899500006E-4</v>
      </c>
      <c r="E1481">
        <v>0.21396133385234201</v>
      </c>
      <c r="F1481">
        <v>-0.17144881331916301</v>
      </c>
      <c r="G1481">
        <v>-2.3585890210810999E-2</v>
      </c>
      <c r="H1481">
        <v>-0.62719158431622501</v>
      </c>
      <c r="I1481">
        <v>1.8180722891566261</v>
      </c>
    </row>
    <row r="1482" spans="1:9" x14ac:dyDescent="0.25">
      <c r="A1482" s="1" t="s">
        <v>1494</v>
      </c>
      <c r="B1482" t="str">
        <f>HYPERLINK("https://www.suredividend.com/sure-analysis-SPTN/","SpartanNash Co")</f>
        <v>SpartanNash Co</v>
      </c>
      <c r="C1482">
        <v>1.1197243755383E-2</v>
      </c>
      <c r="D1482">
        <v>7.1862246528316007E-2</v>
      </c>
      <c r="E1482">
        <v>3.6882639723026002E-2</v>
      </c>
      <c r="F1482">
        <v>-0.18452401625395001</v>
      </c>
      <c r="G1482">
        <v>-0.30739710510868301</v>
      </c>
      <c r="H1482">
        <v>3.7978152947053E-2</v>
      </c>
      <c r="I1482">
        <v>0.571062474490308</v>
      </c>
    </row>
    <row r="1483" spans="1:9" x14ac:dyDescent="0.25">
      <c r="A1483" s="1" t="s">
        <v>1495</v>
      </c>
      <c r="B1483" t="str">
        <f>HYPERLINK("https://www.suredividend.com/sure-analysis-research-database/","Sportsman`s Warehouse Holdings Inc")</f>
        <v>Sportsman`s Warehouse Holdings Inc</v>
      </c>
      <c r="C1483">
        <v>0.20745920745920701</v>
      </c>
      <c r="D1483">
        <v>-0.14662273476112</v>
      </c>
      <c r="E1483">
        <v>-0.150819672131147</v>
      </c>
      <c r="F1483">
        <v>-0.44952178533475001</v>
      </c>
      <c r="G1483">
        <v>-0.43139407244785899</v>
      </c>
      <c r="H1483">
        <v>-0.70023148148148107</v>
      </c>
      <c r="I1483">
        <v>-4.0740740740740002E-2</v>
      </c>
    </row>
    <row r="1484" spans="1:9" x14ac:dyDescent="0.25">
      <c r="A1484" s="1" t="s">
        <v>1496</v>
      </c>
      <c r="B1484" t="str">
        <f>HYPERLINK("https://www.suredividend.com/sure-analysis-research-database/","Sunpower Corp")</f>
        <v>Sunpower Corp</v>
      </c>
      <c r="C1484">
        <v>-0.16453382084095</v>
      </c>
      <c r="D1484">
        <v>-0.47289504036908803</v>
      </c>
      <c r="E1484">
        <v>-0.58302919708029199</v>
      </c>
      <c r="F1484">
        <v>-0.74653355518580111</v>
      </c>
      <c r="G1484">
        <v>-0.73930405019965706</v>
      </c>
      <c r="H1484">
        <v>-0.86028737389177612</v>
      </c>
      <c r="I1484">
        <v>-9.0601556126002E-2</v>
      </c>
    </row>
    <row r="1485" spans="1:9" x14ac:dyDescent="0.25">
      <c r="A1485" s="1" t="s">
        <v>1497</v>
      </c>
      <c r="B1485" t="str">
        <f>HYPERLINK("https://www.suredividend.com/sure-analysis-research-database/","SPX Technologies Inc")</f>
        <v>SPX Technologies Inc</v>
      </c>
      <c r="C1485">
        <v>1.8767749104827001E-2</v>
      </c>
      <c r="D1485">
        <v>-2.4358519569587001E-2</v>
      </c>
      <c r="E1485">
        <v>0.33771076523994797</v>
      </c>
      <c r="F1485">
        <v>0.25681645087585597</v>
      </c>
      <c r="G1485">
        <v>0.23057419835943299</v>
      </c>
      <c r="H1485">
        <v>0.29002501563477101</v>
      </c>
      <c r="I1485">
        <v>0.29002501563477101</v>
      </c>
    </row>
    <row r="1486" spans="1:9" x14ac:dyDescent="0.25">
      <c r="A1486" s="1" t="s">
        <v>1498</v>
      </c>
      <c r="B1486" t="str">
        <f>HYPERLINK("https://www.suredividend.com/sure-analysis-research-database/","Squarespace Inc")</f>
        <v>Squarespace Inc</v>
      </c>
      <c r="C1486">
        <v>4.4359063918965998E-2</v>
      </c>
      <c r="D1486">
        <v>-6.4162754303599009E-2</v>
      </c>
      <c r="E1486">
        <v>0.140350877192982</v>
      </c>
      <c r="F1486">
        <v>0.34866937302661211</v>
      </c>
      <c r="G1486">
        <v>0.51853732859319401</v>
      </c>
      <c r="H1486">
        <v>-0.29230769230769199</v>
      </c>
      <c r="I1486">
        <v>-0.315005727376861</v>
      </c>
    </row>
    <row r="1487" spans="1:9" x14ac:dyDescent="0.25">
      <c r="A1487" s="1" t="s">
        <v>1499</v>
      </c>
      <c r="B1487" t="str">
        <f>HYPERLINK("https://www.suredividend.com/sure-analysis-SR/","Spire Inc.")</f>
        <v>Spire Inc.</v>
      </c>
      <c r="C1487">
        <v>6.5673784317243009E-2</v>
      </c>
      <c r="D1487">
        <v>-1.0715719442376001E-2</v>
      </c>
      <c r="E1487">
        <v>-0.111436274465799</v>
      </c>
      <c r="F1487">
        <v>-0.10810291281965</v>
      </c>
      <c r="G1487">
        <v>-9.3669881577341005E-2</v>
      </c>
      <c r="H1487">
        <v>2.7743360075310999E-2</v>
      </c>
      <c r="I1487">
        <v>-3.5067702478220001E-3</v>
      </c>
    </row>
    <row r="1488" spans="1:9" x14ac:dyDescent="0.25">
      <c r="A1488" s="1" t="s">
        <v>1500</v>
      </c>
      <c r="B1488" t="str">
        <f>HYPERLINK("https://www.suredividend.com/sure-analysis-SRCE/","1st Source Corp.")</f>
        <v>1st Source Corp.</v>
      </c>
      <c r="C1488">
        <v>0.136563600556349</v>
      </c>
      <c r="D1488">
        <v>-1.5647344961846998E-2</v>
      </c>
      <c r="E1488">
        <v>0.204945515507124</v>
      </c>
      <c r="F1488">
        <v>-6.6345877763586011E-2</v>
      </c>
      <c r="G1488">
        <v>-0.139598540145985</v>
      </c>
      <c r="H1488">
        <v>3.4199882432419997E-2</v>
      </c>
      <c r="I1488">
        <v>0.172812636030097</v>
      </c>
    </row>
    <row r="1489" spans="1:9" x14ac:dyDescent="0.25">
      <c r="A1489" s="1" t="s">
        <v>1501</v>
      </c>
      <c r="B1489" t="str">
        <f>HYPERLINK("https://www.suredividend.com/sure-analysis-research-database/","Surmodics, Inc.")</f>
        <v>Surmodics, Inc.</v>
      </c>
      <c r="C1489">
        <v>6.4453754431200003E-4</v>
      </c>
      <c r="D1489">
        <v>-8.5150265173836004E-2</v>
      </c>
      <c r="E1489">
        <v>0.42561983471074311</v>
      </c>
      <c r="F1489">
        <v>-8.9976553341148013E-2</v>
      </c>
      <c r="G1489">
        <v>-0.105187319884726</v>
      </c>
      <c r="H1489">
        <v>-0.44194823867721011</v>
      </c>
      <c r="I1489">
        <v>-0.52245462934481601</v>
      </c>
    </row>
    <row r="1490" spans="1:9" x14ac:dyDescent="0.25">
      <c r="A1490" s="1" t="s">
        <v>1502</v>
      </c>
      <c r="B1490" t="str">
        <f>HYPERLINK("https://www.suredividend.com/sure-analysis-research-database/","Stoneridge Inc.")</f>
        <v>Stoneridge Inc.</v>
      </c>
      <c r="C1490">
        <v>-8.2109842305600006E-2</v>
      </c>
      <c r="D1490">
        <v>-0.29519832985386202</v>
      </c>
      <c r="E1490">
        <v>3.567181926278E-3</v>
      </c>
      <c r="F1490">
        <v>-0.217068645640074</v>
      </c>
      <c r="G1490">
        <v>-0.296080066722268</v>
      </c>
      <c r="H1490">
        <v>-0.22283609576427199</v>
      </c>
      <c r="I1490">
        <v>-0.33829870638965098</v>
      </c>
    </row>
    <row r="1491" spans="1:9" x14ac:dyDescent="0.25">
      <c r="A1491" s="1" t="s">
        <v>1503</v>
      </c>
      <c r="B1491" t="str">
        <f>HYPERLINK("https://www.suredividend.com/sure-analysis-research-database/","SouthState Corporation")</f>
        <v>SouthState Corporation</v>
      </c>
      <c r="C1491">
        <v>0.11148391032484301</v>
      </c>
      <c r="D1491">
        <v>-5.7101752279619007E-2</v>
      </c>
      <c r="E1491">
        <v>0.183007416521523</v>
      </c>
      <c r="F1491">
        <v>-1.8665287842921E-2</v>
      </c>
      <c r="G1491">
        <v>-0.15898505836791399</v>
      </c>
      <c r="H1491">
        <v>-4.4154099986096998E-2</v>
      </c>
      <c r="I1491">
        <v>0.22512721117138401</v>
      </c>
    </row>
    <row r="1492" spans="1:9" x14ac:dyDescent="0.25">
      <c r="A1492" s="1" t="s">
        <v>1504</v>
      </c>
      <c r="B1492" t="str">
        <f>HYPERLINK("https://www.suredividend.com/sure-analysis-research-database/","Simpson Manufacturing Co., Inc.")</f>
        <v>Simpson Manufacturing Co., Inc.</v>
      </c>
      <c r="C1492">
        <v>-2.1620515618606E-2</v>
      </c>
      <c r="D1492">
        <v>-7.4471345387680007E-2</v>
      </c>
      <c r="E1492">
        <v>0.16836702281023799</v>
      </c>
      <c r="F1492">
        <v>0.63287282032252201</v>
      </c>
      <c r="G1492">
        <v>0.71875243375104902</v>
      </c>
      <c r="H1492">
        <v>0.25437764243460298</v>
      </c>
      <c r="I1492">
        <v>1.606087471522885</v>
      </c>
    </row>
    <row r="1493" spans="1:9" x14ac:dyDescent="0.25">
      <c r="A1493" s="1" t="s">
        <v>1505</v>
      </c>
      <c r="B1493" t="str">
        <f>HYPERLINK("https://www.suredividend.com/sure-analysis-research-database/","E.W. Scripps Co.")</f>
        <v>E.W. Scripps Co.</v>
      </c>
      <c r="C1493">
        <v>0.44</v>
      </c>
      <c r="D1493">
        <v>-0.33456561922365902</v>
      </c>
      <c r="E1493">
        <v>-2.7027027027027001E-2</v>
      </c>
      <c r="F1493">
        <v>-0.45413191811978698</v>
      </c>
      <c r="G1493">
        <v>-0.46268656716417911</v>
      </c>
      <c r="H1493">
        <v>-0.65082444228903902</v>
      </c>
      <c r="I1493">
        <v>-0.56585968826313704</v>
      </c>
    </row>
    <row r="1494" spans="1:9" x14ac:dyDescent="0.25">
      <c r="A1494" s="1" t="s">
        <v>1506</v>
      </c>
      <c r="B1494" t="str">
        <f>HYPERLINK("https://www.suredividend.com/sure-analysis-research-database/","SoundThinking Inc")</f>
        <v>SoundThinking Inc</v>
      </c>
      <c r="C1494">
        <v>-8.9786756453423003E-2</v>
      </c>
      <c r="D1494">
        <v>-0.28198317839752102</v>
      </c>
      <c r="E1494">
        <v>-0.48046124279308111</v>
      </c>
      <c r="F1494">
        <v>-0.52054389595033901</v>
      </c>
      <c r="G1494">
        <v>-0.5301274623406721</v>
      </c>
      <c r="H1494">
        <v>-0.57338243029984204</v>
      </c>
      <c r="I1494">
        <v>-0.60108214461387099</v>
      </c>
    </row>
    <row r="1495" spans="1:9" x14ac:dyDescent="0.25">
      <c r="A1495" s="1" t="s">
        <v>1507</v>
      </c>
      <c r="B1495" t="str">
        <f>HYPERLINK("https://www.suredividend.com/sure-analysis-research-database/","Shutterstock Inc")</f>
        <v>Shutterstock Inc</v>
      </c>
      <c r="C1495">
        <v>0.108129649309245</v>
      </c>
      <c r="D1495">
        <v>-3.7847139723234002E-2</v>
      </c>
      <c r="E1495">
        <v>-0.185567896027617</v>
      </c>
      <c r="F1495">
        <v>-0.19627716972406301</v>
      </c>
      <c r="G1495">
        <v>-7.2888604376161001E-2</v>
      </c>
      <c r="H1495">
        <v>-0.64436539558487804</v>
      </c>
      <c r="I1495">
        <v>0.10414604058683</v>
      </c>
    </row>
    <row r="1496" spans="1:9" x14ac:dyDescent="0.25">
      <c r="A1496" s="1" t="s">
        <v>1508</v>
      </c>
      <c r="B1496" t="str">
        <f>HYPERLINK("https://www.suredividend.com/sure-analysis-research-database/","Staar Surgical Co.")</f>
        <v>Staar Surgical Co.</v>
      </c>
      <c r="C1496">
        <v>-2.4761413464018001E-2</v>
      </c>
      <c r="D1496">
        <v>-0.21799379524301901</v>
      </c>
      <c r="E1496">
        <v>-0.41506806930693002</v>
      </c>
      <c r="F1496">
        <v>-0.22105480016481199</v>
      </c>
      <c r="G1496">
        <v>-0.37863599013968702</v>
      </c>
      <c r="H1496">
        <v>-0.67716871584699401</v>
      </c>
      <c r="I1496">
        <v>-0.13989990900818899</v>
      </c>
    </row>
    <row r="1497" spans="1:9" x14ac:dyDescent="0.25">
      <c r="A1497" s="1" t="s">
        <v>1509</v>
      </c>
      <c r="B1497" t="str">
        <f>HYPERLINK("https://www.suredividend.com/sure-analysis-STAG/","STAG Industrial Inc")</f>
        <v>STAG Industrial Inc</v>
      </c>
      <c r="C1497">
        <v>4.9834478868220997E-2</v>
      </c>
      <c r="D1497">
        <v>-5.2382533154030006E-3</v>
      </c>
      <c r="E1497">
        <v>4.2566553545050012E-2</v>
      </c>
      <c r="F1497">
        <v>0.13396573730221301</v>
      </c>
      <c r="G1497">
        <v>0.165780901765815</v>
      </c>
      <c r="H1497">
        <v>-8.9884227920169008E-2</v>
      </c>
      <c r="I1497">
        <v>0.70742071309923904</v>
      </c>
    </row>
    <row r="1498" spans="1:9" x14ac:dyDescent="0.25">
      <c r="A1498" s="1" t="s">
        <v>1510</v>
      </c>
      <c r="B1498" t="str">
        <f>HYPERLINK("https://www.suredividend.com/sure-analysis-research-database/","S &amp; T Bancorp, Inc.")</f>
        <v>S &amp; T Bancorp, Inc.</v>
      </c>
      <c r="C1498">
        <v>5.0810014727540001E-2</v>
      </c>
      <c r="D1498">
        <v>-9.1901248238053013E-2</v>
      </c>
      <c r="E1498">
        <v>0.14228079935641599</v>
      </c>
      <c r="F1498">
        <v>-0.128019773847314</v>
      </c>
      <c r="G1498">
        <v>-0.209645974566883</v>
      </c>
      <c r="H1498">
        <v>-3.1679281330870002E-3</v>
      </c>
      <c r="I1498">
        <v>-0.13060166385904401</v>
      </c>
    </row>
    <row r="1499" spans="1:9" x14ac:dyDescent="0.25">
      <c r="A1499" s="1" t="s">
        <v>1511</v>
      </c>
      <c r="B1499" t="str">
        <f>HYPERLINK("https://www.suredividend.com/sure-analysis-research-database/","Stewart Information Services Corp.")</f>
        <v>Stewart Information Services Corp.</v>
      </c>
      <c r="C1499">
        <v>0.118333333333333</v>
      </c>
      <c r="D1499">
        <v>-2.3745906061360001E-3</v>
      </c>
      <c r="E1499">
        <v>0.17678007716590599</v>
      </c>
      <c r="F1499">
        <v>0.13595414585776899</v>
      </c>
      <c r="G1499">
        <v>0.33446219497296698</v>
      </c>
      <c r="H1499">
        <v>-0.29901485992982602</v>
      </c>
      <c r="I1499">
        <v>0.31405199136088402</v>
      </c>
    </row>
    <row r="1500" spans="1:9" x14ac:dyDescent="0.25">
      <c r="A1500" s="1" t="s">
        <v>1512</v>
      </c>
      <c r="B1500" t="str">
        <f>HYPERLINK("https://www.suredividend.com/sure-analysis-research-database/","Stellar Bancorp Inc")</f>
        <v>Stellar Bancorp Inc</v>
      </c>
      <c r="C1500">
        <v>9.0531177829099002E-2</v>
      </c>
      <c r="D1500">
        <v>-4.0637786924880001E-2</v>
      </c>
      <c r="E1500">
        <v>0.11500989388279299</v>
      </c>
      <c r="F1500">
        <v>-0.18140212190555399</v>
      </c>
      <c r="G1500">
        <v>-0.32545169879889801</v>
      </c>
      <c r="H1500">
        <v>-0.14223744872861499</v>
      </c>
      <c r="I1500">
        <v>-0.230754193220471</v>
      </c>
    </row>
    <row r="1501" spans="1:9" x14ac:dyDescent="0.25">
      <c r="A1501" s="1" t="s">
        <v>1513</v>
      </c>
      <c r="B1501" t="str">
        <f>HYPERLINK("https://www.suredividend.com/sure-analysis-research-database/","Stem Inc")</f>
        <v>Stem Inc</v>
      </c>
      <c r="C1501">
        <v>-1.6085790884717999E-2</v>
      </c>
      <c r="D1501">
        <v>-0.47118155619596502</v>
      </c>
      <c r="E1501">
        <v>-7.0886075949367008E-2</v>
      </c>
      <c r="F1501">
        <v>-0.58948545861297508</v>
      </c>
      <c r="G1501">
        <v>-0.691337258200168</v>
      </c>
      <c r="H1501">
        <v>-0.85308246597277804</v>
      </c>
      <c r="I1501">
        <v>-0.62164948453608204</v>
      </c>
    </row>
    <row r="1502" spans="1:9" x14ac:dyDescent="0.25">
      <c r="A1502" s="1" t="s">
        <v>1514</v>
      </c>
      <c r="B1502" t="str">
        <f>HYPERLINK("https://www.suredividend.com/sure-analysis-research-database/","StepStone Group Inc")</f>
        <v>StepStone Group Inc</v>
      </c>
      <c r="C1502">
        <v>-3.6864828960477998E-2</v>
      </c>
      <c r="D1502">
        <v>-5.9812507497980002E-3</v>
      </c>
      <c r="E1502">
        <v>0.41623691201750201</v>
      </c>
      <c r="F1502">
        <v>0.19522569158231301</v>
      </c>
      <c r="G1502">
        <v>2.4716877793678E-2</v>
      </c>
      <c r="H1502">
        <v>-0.344900729870945</v>
      </c>
      <c r="I1502">
        <v>0.24745669389563499</v>
      </c>
    </row>
    <row r="1503" spans="1:9" x14ac:dyDescent="0.25">
      <c r="A1503" s="1" t="s">
        <v>1515</v>
      </c>
      <c r="B1503" t="str">
        <f>HYPERLINK("https://www.suredividend.com/sure-analysis-research-database/","Sterling Check Corp")</f>
        <v>Sterling Check Corp</v>
      </c>
      <c r="C1503">
        <v>-0.13155893536121599</v>
      </c>
      <c r="D1503">
        <v>2.0554066130473E-2</v>
      </c>
      <c r="E1503">
        <v>4.3875685557586003E-2</v>
      </c>
      <c r="F1503">
        <v>-0.26179702650290798</v>
      </c>
      <c r="G1503">
        <v>-0.21565934065934</v>
      </c>
      <c r="H1503">
        <v>-0.51895534962089307</v>
      </c>
      <c r="I1503">
        <v>-0.57546468401486905</v>
      </c>
    </row>
    <row r="1504" spans="1:9" x14ac:dyDescent="0.25">
      <c r="A1504" s="1" t="s">
        <v>1516</v>
      </c>
      <c r="B1504" t="str">
        <f>HYPERLINK("https://www.suredividend.com/sure-analysis-research-database/","Stagwell Inc")</f>
        <v>Stagwell Inc</v>
      </c>
      <c r="C1504">
        <v>0.14769975786924899</v>
      </c>
      <c r="D1504">
        <v>-0.25937500000000002</v>
      </c>
      <c r="E1504">
        <v>-0.16987740805604201</v>
      </c>
      <c r="F1504">
        <v>-0.23671497584540999</v>
      </c>
      <c r="G1504">
        <v>-0.28506787330316702</v>
      </c>
      <c r="H1504">
        <v>-0.51731160896130302</v>
      </c>
      <c r="I1504">
        <v>-0.14594594594594501</v>
      </c>
    </row>
    <row r="1505" spans="1:9" x14ac:dyDescent="0.25">
      <c r="A1505" s="1" t="s">
        <v>1517</v>
      </c>
      <c r="B1505" t="str">
        <f>HYPERLINK("https://www.suredividend.com/sure-analysis-research-database/","Star Holdings")</f>
        <v>Star Holdings</v>
      </c>
      <c r="C1505">
        <v>1.9389438943894E-2</v>
      </c>
      <c r="D1505">
        <v>-0.16857335127859999</v>
      </c>
      <c r="E1505">
        <v>-0.229738154613466</v>
      </c>
      <c r="F1505">
        <v>-0.28953421506612997</v>
      </c>
      <c r="G1505">
        <v>-0.28953421506612997</v>
      </c>
      <c r="H1505">
        <v>-0.28953421506612997</v>
      </c>
      <c r="I1505">
        <v>-0.28953421506612997</v>
      </c>
    </row>
    <row r="1506" spans="1:9" x14ac:dyDescent="0.25">
      <c r="A1506" s="1" t="s">
        <v>1518</v>
      </c>
      <c r="B1506" t="str">
        <f>HYPERLINK("https://www.suredividend.com/sure-analysis-research-database/","Sunopta, Inc.")</f>
        <v>Sunopta, Inc.</v>
      </c>
      <c r="C1506">
        <v>0.20121951219512099</v>
      </c>
      <c r="D1506">
        <v>-0.37060702875399298</v>
      </c>
      <c r="E1506">
        <v>-0.50502512562814006</v>
      </c>
      <c r="F1506">
        <v>-0.53317535545023709</v>
      </c>
      <c r="G1506">
        <v>-0.63919413919413903</v>
      </c>
      <c r="H1506">
        <v>-0.47396528704939911</v>
      </c>
      <c r="I1506">
        <v>-0.44972067039106112</v>
      </c>
    </row>
    <row r="1507" spans="1:9" x14ac:dyDescent="0.25">
      <c r="A1507" s="1" t="s">
        <v>1519</v>
      </c>
      <c r="B1507" t="str">
        <f>HYPERLINK("https://www.suredividend.com/sure-analysis-research-database/","ONE Group Hospitality Inc")</f>
        <v>ONE Group Hospitality Inc</v>
      </c>
      <c r="C1507">
        <v>-0.11478599221789799</v>
      </c>
      <c r="D1507">
        <v>-0.31372549019607798</v>
      </c>
      <c r="E1507">
        <v>-0.39089692101740198</v>
      </c>
      <c r="F1507">
        <v>-0.27777777777777701</v>
      </c>
      <c r="G1507">
        <v>-0.20593368237347301</v>
      </c>
      <c r="H1507">
        <v>-0.67242620590352709</v>
      </c>
      <c r="I1507">
        <v>0.53198653198653101</v>
      </c>
    </row>
    <row r="1508" spans="1:9" x14ac:dyDescent="0.25">
      <c r="A1508" s="1" t="s">
        <v>1520</v>
      </c>
      <c r="B1508" t="str">
        <f>HYPERLINK("https://www.suredividend.com/sure-analysis-research-database/","StoneCo Ltd")</f>
        <v>StoneCo Ltd</v>
      </c>
      <c r="C1508">
        <v>4.1904761904761001E-2</v>
      </c>
      <c r="D1508">
        <v>-0.18902891030392799</v>
      </c>
      <c r="E1508">
        <v>-0.137223974763406</v>
      </c>
      <c r="F1508">
        <v>0.15889830508474501</v>
      </c>
      <c r="G1508">
        <v>1.2025901942645001E-2</v>
      </c>
      <c r="H1508">
        <v>-0.64698289770893802</v>
      </c>
      <c r="I1508">
        <v>-0.63690673747095905</v>
      </c>
    </row>
    <row r="1509" spans="1:9" x14ac:dyDescent="0.25">
      <c r="A1509" s="1" t="s">
        <v>1521</v>
      </c>
      <c r="B1509" t="str">
        <f>HYPERLINK("https://www.suredividend.com/sure-analysis-research-database/","Scorpio Tankers Inc")</f>
        <v>Scorpio Tankers Inc</v>
      </c>
      <c r="C1509">
        <v>0.198567041965199</v>
      </c>
      <c r="D1509">
        <v>0.18534984522630901</v>
      </c>
      <c r="E1509">
        <v>0.26948403225421702</v>
      </c>
      <c r="F1509">
        <v>0.104177392557222</v>
      </c>
      <c r="G1509">
        <v>0.158334767650509</v>
      </c>
      <c r="H1509">
        <v>2.589536088478539</v>
      </c>
      <c r="I1509">
        <v>2.2612388808742678</v>
      </c>
    </row>
    <row r="1510" spans="1:9" x14ac:dyDescent="0.25">
      <c r="A1510" s="1" t="s">
        <v>1522</v>
      </c>
      <c r="B1510" t="str">
        <f>HYPERLINK("https://www.suredividend.com/sure-analysis-research-database/","Stoke Therapeutics Inc")</f>
        <v>Stoke Therapeutics Inc</v>
      </c>
      <c r="C1510">
        <v>0.19662921348314599</v>
      </c>
      <c r="D1510">
        <v>-0.30392156862745101</v>
      </c>
      <c r="E1510">
        <v>-0.60261194029850706</v>
      </c>
      <c r="F1510">
        <v>-0.53846153846153799</v>
      </c>
      <c r="G1510">
        <v>-0.6355859709153121</v>
      </c>
      <c r="H1510">
        <v>-0.83621683967704707</v>
      </c>
      <c r="I1510">
        <v>-0.83339851388345709</v>
      </c>
    </row>
    <row r="1511" spans="1:9" x14ac:dyDescent="0.25">
      <c r="A1511" s="1" t="s">
        <v>1523</v>
      </c>
      <c r="B1511" t="str">
        <f>HYPERLINK("https://www.suredividend.com/sure-analysis-research-database/","Sitio Royalties Corp")</f>
        <v>Sitio Royalties Corp</v>
      </c>
      <c r="C1511">
        <v>0.131814119749776</v>
      </c>
      <c r="D1511">
        <v>-5.5999045936658998E-2</v>
      </c>
      <c r="E1511">
        <v>9.1212999780292001E-2</v>
      </c>
      <c r="F1511">
        <v>-6.1511215181806002E-2</v>
      </c>
      <c r="G1511">
        <v>-0.10197685631629699</v>
      </c>
      <c r="H1511">
        <v>-0.10197685631629699</v>
      </c>
      <c r="I1511">
        <v>-0.10197685631629699</v>
      </c>
    </row>
    <row r="1512" spans="1:9" x14ac:dyDescent="0.25">
      <c r="A1512" s="1" t="s">
        <v>1524</v>
      </c>
      <c r="B1512" t="str">
        <f>HYPERLINK("https://www.suredividend.com/sure-analysis-research-database/","Strategic Education Inc")</f>
        <v>Strategic Education Inc</v>
      </c>
      <c r="C1512">
        <v>0.13241415192507799</v>
      </c>
      <c r="D1512">
        <v>0.175360364191605</v>
      </c>
      <c r="E1512">
        <v>9.6233319146685009E-2</v>
      </c>
      <c r="F1512">
        <v>0.15436020917972201</v>
      </c>
      <c r="G1512">
        <v>0.20896181480360199</v>
      </c>
      <c r="H1512">
        <v>0.46513365600156098</v>
      </c>
      <c r="I1512">
        <v>-0.21733830295642201</v>
      </c>
    </row>
    <row r="1513" spans="1:9" x14ac:dyDescent="0.25">
      <c r="A1513" s="1" t="s">
        <v>1525</v>
      </c>
      <c r="B1513" t="str">
        <f>HYPERLINK("https://www.suredividend.com/sure-analysis-research-database/","Sarcos Technology and Robotics Corporation")</f>
        <v>Sarcos Technology and Robotics Corporation</v>
      </c>
      <c r="C1513">
        <v>-0.33939024390243899</v>
      </c>
      <c r="D1513">
        <v>-0.69567415730337001</v>
      </c>
      <c r="E1513">
        <v>-0.7769680500658761</v>
      </c>
      <c r="F1513">
        <v>-0.83915315636320409</v>
      </c>
      <c r="G1513">
        <v>-0.95552545155993407</v>
      </c>
      <c r="H1513">
        <v>-0.98710238095238012</v>
      </c>
      <c r="I1513">
        <v>-0.99007875457875405</v>
      </c>
    </row>
    <row r="1514" spans="1:9" x14ac:dyDescent="0.25">
      <c r="A1514" s="1" t="s">
        <v>1526</v>
      </c>
      <c r="B1514" t="str">
        <f>HYPERLINK("https://www.suredividend.com/sure-analysis-research-database/","Sterling Infrastructure Inc")</f>
        <v>Sterling Infrastructure Inc</v>
      </c>
      <c r="C1514">
        <v>3.742146954384E-2</v>
      </c>
      <c r="D1514">
        <v>0.24524590163934401</v>
      </c>
      <c r="E1514">
        <v>0.86955451636721603</v>
      </c>
      <c r="F1514">
        <v>1.315853658536585</v>
      </c>
      <c r="G1514">
        <v>1.335793357933579</v>
      </c>
      <c r="H1514">
        <v>1.7967599410898369</v>
      </c>
      <c r="I1514">
        <v>5.351170568561872</v>
      </c>
    </row>
    <row r="1515" spans="1:9" x14ac:dyDescent="0.25">
      <c r="A1515" s="1" t="s">
        <v>1527</v>
      </c>
      <c r="B1515" t="str">
        <f>HYPERLINK("https://www.suredividend.com/sure-analysis-research-database/","Sutro Biopharma Inc")</f>
        <v>Sutro Biopharma Inc</v>
      </c>
      <c r="C1515">
        <v>-9.8101265822784015E-2</v>
      </c>
      <c r="D1515">
        <v>-0.35227272727272702</v>
      </c>
      <c r="E1515">
        <v>-0.46124763705103899</v>
      </c>
      <c r="F1515">
        <v>-0.64727722772277207</v>
      </c>
      <c r="G1515">
        <v>-0.61171662125340609</v>
      </c>
      <c r="H1515">
        <v>-0.87887802804929804</v>
      </c>
      <c r="I1515">
        <v>-0.76446280991735505</v>
      </c>
    </row>
    <row r="1516" spans="1:9" x14ac:dyDescent="0.25">
      <c r="A1516" s="1" t="s">
        <v>1528</v>
      </c>
      <c r="B1516" t="str">
        <f>HYPERLINK("https://www.suredividend.com/sure-analysis-research-database/","Stratus Properties Inc.")</f>
        <v>Stratus Properties Inc.</v>
      </c>
      <c r="C1516">
        <v>1.1614837017609E-2</v>
      </c>
      <c r="D1516">
        <v>-2.5270758122743001E-2</v>
      </c>
      <c r="E1516">
        <v>0.17749672917575199</v>
      </c>
      <c r="F1516">
        <v>0.39968895800933102</v>
      </c>
      <c r="G1516">
        <v>-6.1522419186652008E-2</v>
      </c>
      <c r="H1516">
        <v>-0.20588235294117599</v>
      </c>
      <c r="I1516">
        <v>-8.5365853658536009E-2</v>
      </c>
    </row>
    <row r="1517" spans="1:9" x14ac:dyDescent="0.25">
      <c r="A1517" s="1" t="s">
        <v>1529</v>
      </c>
      <c r="B1517" t="str">
        <f>HYPERLINK("https://www.suredividend.com/sure-analysis-research-database/","Summit Materials Inc")</f>
        <v>Summit Materials Inc</v>
      </c>
      <c r="C1517">
        <v>6.5466956251939004E-2</v>
      </c>
      <c r="D1517">
        <v>-0.120163976428388</v>
      </c>
      <c r="E1517">
        <v>0.191120360735345</v>
      </c>
      <c r="F1517">
        <v>0.209580838323353</v>
      </c>
      <c r="G1517">
        <v>0.25896840847182301</v>
      </c>
      <c r="H1517">
        <v>-3.9762876796598998E-2</v>
      </c>
      <c r="I1517">
        <v>1.3006371304341999</v>
      </c>
    </row>
    <row r="1518" spans="1:9" x14ac:dyDescent="0.25">
      <c r="A1518" s="1" t="s">
        <v>1530</v>
      </c>
      <c r="B1518" t="str">
        <f>HYPERLINK("https://www.suredividend.com/sure-analysis-research-database/","Sunlight Financial Holdings Inc")</f>
        <v>Sunlight Financial Holdings Inc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25">
      <c r="A1519" s="1" t="s">
        <v>1531</v>
      </c>
      <c r="B1519" t="str">
        <f>HYPERLINK("https://www.suredividend.com/sure-analysis-research-database/","Supernus Pharmaceuticals Inc")</f>
        <v>Supernus Pharmaceuticals Inc</v>
      </c>
      <c r="C1519">
        <v>-9.0301003344481004E-2</v>
      </c>
      <c r="D1519">
        <v>-0.23927905531385901</v>
      </c>
      <c r="E1519">
        <v>-0.32876336715108301</v>
      </c>
      <c r="F1519">
        <v>-0.313708999158957</v>
      </c>
      <c r="G1519">
        <v>-0.28000000000000003</v>
      </c>
      <c r="H1519">
        <v>-0.224334600760456</v>
      </c>
      <c r="I1519">
        <v>-0.47366157815523502</v>
      </c>
    </row>
    <row r="1520" spans="1:9" x14ac:dyDescent="0.25">
      <c r="A1520" s="1" t="s">
        <v>1532</v>
      </c>
      <c r="B1520" t="str">
        <f>HYPERLINK("https://www.suredividend.com/sure-analysis-research-database/","Service Properties Trust")</f>
        <v>Service Properties Trust</v>
      </c>
      <c r="C1520">
        <v>0.115711985277202</v>
      </c>
      <c r="D1520">
        <v>-1.158450250997E-3</v>
      </c>
      <c r="E1520">
        <v>-3.3744241065869013E-2</v>
      </c>
      <c r="F1520">
        <v>0.23213718640838299</v>
      </c>
      <c r="G1520">
        <v>0.20242965166728599</v>
      </c>
      <c r="H1520">
        <v>-0.15510746249156099</v>
      </c>
      <c r="I1520">
        <v>-0.67881991150991805</v>
      </c>
    </row>
    <row r="1521" spans="1:9" x14ac:dyDescent="0.25">
      <c r="A1521" s="1" t="s">
        <v>1533</v>
      </c>
      <c r="B1521" t="str">
        <f>HYPERLINK("https://www.suredividend.com/sure-analysis-research-database/","ShockWave Medical Inc")</f>
        <v>ShockWave Medical Inc</v>
      </c>
      <c r="C1521">
        <v>0.110030363851577</v>
      </c>
      <c r="D1521">
        <v>-0.142896880588118</v>
      </c>
      <c r="E1521">
        <v>-0.22385750269881199</v>
      </c>
      <c r="F1521">
        <v>4.9024852876804997E-2</v>
      </c>
      <c r="G1521">
        <v>-0.21392907904806999</v>
      </c>
      <c r="H1521">
        <v>-0.108092461646611</v>
      </c>
      <c r="I1521">
        <v>6.0718032786885248</v>
      </c>
    </row>
    <row r="1522" spans="1:9" x14ac:dyDescent="0.25">
      <c r="A1522" s="1" t="s">
        <v>1534</v>
      </c>
      <c r="B1522" t="str">
        <f>HYPERLINK("https://www.suredividend.com/sure-analysis-research-database/","Smith &amp; Wesson Brands Inc")</f>
        <v>Smith &amp; Wesson Brands Inc</v>
      </c>
      <c r="C1522">
        <v>9.613928841786501E-2</v>
      </c>
      <c r="D1522">
        <v>0.15281117144085399</v>
      </c>
      <c r="E1522">
        <v>0.28868043751056799</v>
      </c>
      <c r="F1522">
        <v>0.73209885403957009</v>
      </c>
      <c r="G1522">
        <v>0.35338486414745102</v>
      </c>
      <c r="H1522">
        <v>-0.29822180649726399</v>
      </c>
      <c r="I1522">
        <v>7.100591715976301E-2</v>
      </c>
    </row>
    <row r="1523" spans="1:9" x14ac:dyDescent="0.25">
      <c r="A1523" s="1" t="s">
        <v>1535</v>
      </c>
      <c r="B1523" t="str">
        <f>HYPERLINK("https://www.suredividend.com/sure-analysis-research-database/","SolarWinds Corp")</f>
        <v>SolarWinds Corp</v>
      </c>
      <c r="C1523">
        <v>0.11228813559322</v>
      </c>
      <c r="D1523">
        <v>-0.12207357859531701</v>
      </c>
      <c r="E1523">
        <v>0.21809744779582299</v>
      </c>
      <c r="F1523">
        <v>0.121794871794871</v>
      </c>
      <c r="G1523">
        <v>0.219512195121951</v>
      </c>
      <c r="H1523">
        <v>-0.37906564163216999</v>
      </c>
      <c r="I1523">
        <v>-0.66043483744530507</v>
      </c>
    </row>
    <row r="1524" spans="1:9" x14ac:dyDescent="0.25">
      <c r="A1524" s="1" t="s">
        <v>1536</v>
      </c>
      <c r="B1524" t="str">
        <f>HYPERLINK("https://www.suredividend.com/sure-analysis-research-database/","Latham Group Inc")</f>
        <v>Latham Group Inc</v>
      </c>
      <c r="C1524">
        <v>4.0160642570270001E-3</v>
      </c>
      <c r="D1524">
        <v>-0.34895833333333298</v>
      </c>
      <c r="E1524">
        <v>0.106194690265486</v>
      </c>
      <c r="F1524">
        <v>-0.223602484472049</v>
      </c>
      <c r="G1524">
        <v>-0.42129629629629611</v>
      </c>
      <c r="H1524">
        <v>-0.8403575989782881</v>
      </c>
      <c r="I1524">
        <v>-0.90825688073394506</v>
      </c>
    </row>
    <row r="1525" spans="1:9" x14ac:dyDescent="0.25">
      <c r="A1525" s="1" t="s">
        <v>1537</v>
      </c>
      <c r="B1525" t="str">
        <f>HYPERLINK("https://www.suredividend.com/sure-analysis-research-database/","Swk Holdings Corp")</f>
        <v>Swk Holdings Corp</v>
      </c>
      <c r="C1525">
        <v>2.7777777777776999E-2</v>
      </c>
      <c r="D1525">
        <v>1.8136335209505999E-2</v>
      </c>
      <c r="E1525">
        <v>-4.2352941176470003E-2</v>
      </c>
      <c r="F1525">
        <v>-7.7097505668934002E-2</v>
      </c>
      <c r="G1525">
        <v>-0.13034188034187999</v>
      </c>
      <c r="H1525">
        <v>-0.12707774798927499</v>
      </c>
      <c r="I1525">
        <v>13.15652173913044</v>
      </c>
    </row>
    <row r="1526" spans="1:9" x14ac:dyDescent="0.25">
      <c r="A1526" s="1" t="s">
        <v>1538</v>
      </c>
      <c r="B1526" t="str">
        <f>HYPERLINK("https://www.suredividend.com/sure-analysis-research-database/","SpringWorks Therapeutics Inc")</f>
        <v>SpringWorks Therapeutics Inc</v>
      </c>
      <c r="C1526">
        <v>5.1470588235292998E-2</v>
      </c>
      <c r="D1526">
        <v>-4.2913385826770997E-2</v>
      </c>
      <c r="E1526">
        <v>2.8341793570219001E-2</v>
      </c>
      <c r="F1526">
        <v>-6.535947712418301E-2</v>
      </c>
      <c r="G1526">
        <v>1.7154811715481E-2</v>
      </c>
      <c r="H1526">
        <v>-0.66510538641686101</v>
      </c>
      <c r="I1526">
        <v>7.4237737516570007E-2</v>
      </c>
    </row>
    <row r="1527" spans="1:9" x14ac:dyDescent="0.25">
      <c r="A1527" s="1" t="s">
        <v>1539</v>
      </c>
      <c r="B1527" t="str">
        <f>HYPERLINK("https://www.suredividend.com/sure-analysis-SWX/","Southwest Gas Holdings Inc")</f>
        <v>Southwest Gas Holdings Inc</v>
      </c>
      <c r="C1527">
        <v>4.2535163531603998E-2</v>
      </c>
      <c r="D1527">
        <v>-3.1649265630632001E-2</v>
      </c>
      <c r="E1527">
        <v>0.16251823520963801</v>
      </c>
      <c r="F1527">
        <v>2.4370425133707001E-2</v>
      </c>
      <c r="G1527">
        <v>-9.0605386004901006E-2</v>
      </c>
      <c r="H1527">
        <v>-6.6206448518406999E-2</v>
      </c>
      <c r="I1527">
        <v>-7.2079735983154009E-2</v>
      </c>
    </row>
    <row r="1528" spans="1:9" x14ac:dyDescent="0.25">
      <c r="A1528" s="1" t="s">
        <v>1540</v>
      </c>
      <c r="B1528" t="str">
        <f>HYPERLINK("https://www.suredividend.com/sure-analysis-research-database/","SunCoke Energy Inc")</f>
        <v>SunCoke Energy Inc</v>
      </c>
      <c r="C1528">
        <v>-4.0794979079497001E-2</v>
      </c>
      <c r="D1528">
        <v>6.5861690450050008E-3</v>
      </c>
      <c r="E1528">
        <v>0.26148682110823701</v>
      </c>
      <c r="F1528">
        <v>9.5213070896235014E-2</v>
      </c>
      <c r="G1528">
        <v>0.14165483927193001</v>
      </c>
      <c r="H1528">
        <v>0.45117898401645812</v>
      </c>
      <c r="I1528">
        <v>-3.7906686391153001E-2</v>
      </c>
    </row>
    <row r="1529" spans="1:9" x14ac:dyDescent="0.25">
      <c r="A1529" s="1" t="s">
        <v>1541</v>
      </c>
      <c r="B1529" t="str">
        <f>HYPERLINK("https://www.suredividend.com/sure-analysis-SXI/","Standex International Corp.")</f>
        <v>Standex International Corp.</v>
      </c>
      <c r="C1529">
        <v>-9.2462311557789001E-2</v>
      </c>
      <c r="D1529">
        <v>-0.12616905935276501</v>
      </c>
      <c r="E1529">
        <v>0.135392995182647</v>
      </c>
      <c r="F1529">
        <v>0.33084424357053299</v>
      </c>
      <c r="G1529">
        <v>0.35988787576377501</v>
      </c>
      <c r="H1529">
        <v>0.200987389854072</v>
      </c>
      <c r="I1529">
        <v>0.76891874596785703</v>
      </c>
    </row>
    <row r="1530" spans="1:9" x14ac:dyDescent="0.25">
      <c r="A1530" s="1" t="s">
        <v>1542</v>
      </c>
      <c r="B1530" t="str">
        <f>HYPERLINK("https://www.suredividend.com/sure-analysis-SXT/","Sensient Technologies Corp.")</f>
        <v>Sensient Technologies Corp.</v>
      </c>
      <c r="C1530">
        <v>4.6436978386475002E-2</v>
      </c>
      <c r="D1530">
        <v>-3.9604057623756003E-2</v>
      </c>
      <c r="E1530">
        <v>-0.20257979298058201</v>
      </c>
      <c r="F1530">
        <v>-0.175307573172479</v>
      </c>
      <c r="G1530">
        <v>-0.120295273760872</v>
      </c>
      <c r="H1530">
        <v>-0.364417106148192</v>
      </c>
      <c r="I1530">
        <v>1.452344828645E-3</v>
      </c>
    </row>
    <row r="1531" spans="1:9" x14ac:dyDescent="0.25">
      <c r="A1531" s="1" t="s">
        <v>1543</v>
      </c>
      <c r="B1531" t="str">
        <f>HYPERLINK("https://www.suredividend.com/sure-analysis-SYBT/","Stock Yards Bancorp Inc")</f>
        <v>Stock Yards Bancorp Inc</v>
      </c>
      <c r="C1531">
        <v>9.0237063471833009E-2</v>
      </c>
      <c r="D1531">
        <v>-9.4396991627883009E-2</v>
      </c>
      <c r="E1531">
        <v>-7.3387766848780006E-3</v>
      </c>
      <c r="F1531">
        <v>-0.321178993211789</v>
      </c>
      <c r="G1531">
        <v>-0.40821115667945101</v>
      </c>
      <c r="H1531">
        <v>-0.28994534720792597</v>
      </c>
      <c r="I1531">
        <v>0.53262334088237806</v>
      </c>
    </row>
    <row r="1532" spans="1:9" x14ac:dyDescent="0.25">
      <c r="A1532" s="1" t="s">
        <v>1544</v>
      </c>
      <c r="B1532" t="str">
        <f>HYPERLINK("https://www.suredividend.com/sure-analysis-research-database/","Synaptics Inc")</f>
        <v>Synaptics Inc</v>
      </c>
      <c r="C1532">
        <v>4.3362241494320003E-3</v>
      </c>
      <c r="D1532">
        <v>-4.2989417989410007E-3</v>
      </c>
      <c r="E1532">
        <v>0.214602662363856</v>
      </c>
      <c r="F1532">
        <v>-5.0756620428751002E-2</v>
      </c>
      <c r="G1532">
        <v>2.4265789772083001E-2</v>
      </c>
      <c r="H1532">
        <v>-0.59106342523427902</v>
      </c>
      <c r="I1532">
        <v>1.3690007867820611</v>
      </c>
    </row>
    <row r="1533" spans="1:9" x14ac:dyDescent="0.25">
      <c r="A1533" s="1" t="s">
        <v>1545</v>
      </c>
      <c r="B1533" t="str">
        <f>HYPERLINK("https://www.suredividend.com/sure-analysis-research-database/","Talos Energy Inc")</f>
        <v>Talos Energy Inc</v>
      </c>
      <c r="C1533">
        <v>3.4805890227576013E-2</v>
      </c>
      <c r="D1533">
        <v>-5.1533742331287997E-2</v>
      </c>
      <c r="E1533">
        <v>0.208756841282251</v>
      </c>
      <c r="F1533">
        <v>-0.18114406779660999</v>
      </c>
      <c r="G1533">
        <v>-0.27621722846441898</v>
      </c>
      <c r="H1533">
        <v>0.200310559006211</v>
      </c>
      <c r="I1533">
        <v>-0.38085702843412</v>
      </c>
    </row>
    <row r="1534" spans="1:9" x14ac:dyDescent="0.25">
      <c r="A1534" s="1" t="s">
        <v>1546</v>
      </c>
      <c r="B1534" t="str">
        <f>HYPERLINK("https://www.suredividend.com/sure-analysis-research-database/","Tarsus Pharmaceuticals Inc")</f>
        <v>Tarsus Pharmaceuticals Inc</v>
      </c>
      <c r="C1534">
        <v>-0.10564561207378401</v>
      </c>
      <c r="D1534">
        <v>-6.2683069712946002E-2</v>
      </c>
      <c r="E1534">
        <v>6.0304837640821007E-2</v>
      </c>
      <c r="F1534">
        <v>9.140518417462401E-2</v>
      </c>
      <c r="G1534">
        <v>-0.11012235817575</v>
      </c>
      <c r="H1534">
        <v>-0.41818181818181799</v>
      </c>
      <c r="I1534">
        <v>-0.22254616132167099</v>
      </c>
    </row>
    <row r="1535" spans="1:9" x14ac:dyDescent="0.25">
      <c r="A1535" s="1" t="s">
        <v>1547</v>
      </c>
      <c r="B1535" t="str">
        <f>HYPERLINK("https://www.suredividend.com/sure-analysis-research-database/","Bancorp Inc. (The)")</f>
        <v>Bancorp Inc. (The)</v>
      </c>
      <c r="C1535">
        <v>0.152626944525976</v>
      </c>
      <c r="D1535">
        <v>-1.9475655430711E-2</v>
      </c>
      <c r="E1535">
        <v>0.353671147880041</v>
      </c>
      <c r="F1535">
        <v>0.38372093023255799</v>
      </c>
      <c r="G1535">
        <v>0.28543371522094901</v>
      </c>
      <c r="H1535">
        <v>0.236071765816808</v>
      </c>
      <c r="I1535">
        <v>2.7942028985507248</v>
      </c>
    </row>
    <row r="1536" spans="1:9" x14ac:dyDescent="0.25">
      <c r="A1536" s="1" t="s">
        <v>1548</v>
      </c>
      <c r="B1536" t="str">
        <f>HYPERLINK("https://www.suredividend.com/sure-analysis-research-database/","TrueBlue Inc")</f>
        <v>TrueBlue Inc</v>
      </c>
      <c r="C1536">
        <v>-0.202548625083836</v>
      </c>
      <c r="D1536">
        <v>-0.21724818959841999</v>
      </c>
      <c r="E1536">
        <v>-0.20838881491344799</v>
      </c>
      <c r="F1536">
        <v>-0.392747701736465</v>
      </c>
      <c r="G1536">
        <v>-0.37878787878787801</v>
      </c>
      <c r="H1536">
        <v>-0.57550874687611508</v>
      </c>
      <c r="I1536">
        <v>-0.50969072164948404</v>
      </c>
    </row>
    <row r="1537" spans="1:9" x14ac:dyDescent="0.25">
      <c r="A1537" s="1" t="s">
        <v>1549</v>
      </c>
      <c r="B1537" t="str">
        <f>HYPERLINK("https://www.suredividend.com/sure-analysis-research-database/","Theravance Biopharma Inc")</f>
        <v>Theravance Biopharma Inc</v>
      </c>
      <c r="C1537">
        <v>0.119318181818181</v>
      </c>
      <c r="D1537">
        <v>-1.0050251256281E-2</v>
      </c>
      <c r="E1537">
        <v>-0.123665480427046</v>
      </c>
      <c r="F1537">
        <v>-0.12210338680926899</v>
      </c>
      <c r="G1537">
        <v>-1.1044176706827001E-2</v>
      </c>
      <c r="H1537">
        <v>0.158823529411764</v>
      </c>
      <c r="I1537">
        <v>-0.60959175584621406</v>
      </c>
    </row>
    <row r="1538" spans="1:9" x14ac:dyDescent="0.25">
      <c r="A1538" s="1" t="s">
        <v>1550</v>
      </c>
      <c r="B1538" t="str">
        <f>HYPERLINK("https://www.suredividend.com/sure-analysis-research-database/","Texas Capital Bancshares, Inc.")</f>
        <v>Texas Capital Bancshares, Inc.</v>
      </c>
      <c r="C1538">
        <v>9.6120237679130013E-3</v>
      </c>
      <c r="D1538">
        <v>-8.8369891115669008E-2</v>
      </c>
      <c r="E1538">
        <v>0.27922940655447298</v>
      </c>
      <c r="F1538">
        <v>-4.2115735367269001E-2</v>
      </c>
      <c r="G1538">
        <v>-1.3490437158468999E-2</v>
      </c>
      <c r="H1538">
        <v>-6.9126651627457E-2</v>
      </c>
      <c r="I1538">
        <v>-0.116531579752255</v>
      </c>
    </row>
    <row r="1539" spans="1:9" x14ac:dyDescent="0.25">
      <c r="A1539" s="1" t="s">
        <v>1551</v>
      </c>
      <c r="B1539" t="str">
        <f>HYPERLINK("https://www.suredividend.com/sure-analysis-research-database/","Trico Bancshares")</f>
        <v>Trico Bancshares</v>
      </c>
      <c r="C1539">
        <v>0.13707865168539299</v>
      </c>
      <c r="D1539">
        <v>-5.1017838292582003E-2</v>
      </c>
      <c r="E1539">
        <v>0.25189091371778299</v>
      </c>
      <c r="F1539">
        <v>-0.276694112265568</v>
      </c>
      <c r="G1539">
        <v>-0.35861684327942001</v>
      </c>
      <c r="H1539">
        <v>-0.16739928634224499</v>
      </c>
      <c r="I1539">
        <v>0.112384780867735</v>
      </c>
    </row>
    <row r="1540" spans="1:9" x14ac:dyDescent="0.25">
      <c r="A1540" s="1" t="s">
        <v>1552</v>
      </c>
      <c r="B1540" t="str">
        <f>HYPERLINK("https://www.suredividend.com/sure-analysis-research-database/","Third Coast Bancshares Inc")</f>
        <v>Third Coast Bancshares Inc</v>
      </c>
      <c r="C1540">
        <v>1.8685955394815001E-2</v>
      </c>
      <c r="D1540">
        <v>-0.19943154902889601</v>
      </c>
      <c r="E1540">
        <v>0.30100076982294011</v>
      </c>
      <c r="F1540">
        <v>-8.3016820401519004E-2</v>
      </c>
      <c r="G1540">
        <v>-0.167487684729064</v>
      </c>
      <c r="H1540">
        <v>-0.32427029188324602</v>
      </c>
      <c r="I1540">
        <v>-0.32427029188324602</v>
      </c>
    </row>
    <row r="1541" spans="1:9" x14ac:dyDescent="0.25">
      <c r="A1541" s="1" t="s">
        <v>1553</v>
      </c>
      <c r="B1541" t="str">
        <f>HYPERLINK("https://www.suredividend.com/sure-analysis-research-database/","Transcontinental Realty Investors, Inc.")</f>
        <v>Transcontinental Realty Investors, Inc.</v>
      </c>
      <c r="C1541">
        <v>2.7072192513368998E-2</v>
      </c>
      <c r="D1541">
        <v>-0.10953346855983701</v>
      </c>
      <c r="E1541">
        <v>-0.125995449374288</v>
      </c>
      <c r="F1541">
        <v>-0.30443639655952898</v>
      </c>
      <c r="G1541">
        <v>-0.24440619621342499</v>
      </c>
      <c r="H1541">
        <v>-0.20140332640332601</v>
      </c>
      <c r="I1541">
        <v>-0.13606972167556899</v>
      </c>
    </row>
    <row r="1542" spans="1:9" x14ac:dyDescent="0.25">
      <c r="A1542" s="1" t="s">
        <v>1554</v>
      </c>
      <c r="B1542" t="str">
        <f>HYPERLINK("https://www.suredividend.com/sure-analysis-research-database/","Tactile Systems Technology Inc")</f>
        <v>Tactile Systems Technology Inc</v>
      </c>
      <c r="C1542">
        <v>-4.2347696879643001E-2</v>
      </c>
      <c r="D1542">
        <v>-0.38295835327908001</v>
      </c>
      <c r="E1542">
        <v>-0.29793028322440002</v>
      </c>
      <c r="F1542">
        <v>0.122822299651568</v>
      </c>
      <c r="G1542">
        <v>0.86811594202898512</v>
      </c>
      <c r="H1542">
        <v>-0.64934711643090304</v>
      </c>
      <c r="I1542">
        <v>-0.80569791980705407</v>
      </c>
    </row>
    <row r="1543" spans="1:9" x14ac:dyDescent="0.25">
      <c r="A1543" s="1" t="s">
        <v>1555</v>
      </c>
      <c r="B1543" t="str">
        <f>HYPERLINK("https://www.suredividend.com/sure-analysis-research-database/","Container Store Group Inc")</f>
        <v>Container Store Group Inc</v>
      </c>
      <c r="C1543">
        <v>-0.123853211009174</v>
      </c>
      <c r="D1543">
        <v>-0.26819923371647503</v>
      </c>
      <c r="E1543">
        <v>-0.31785714285714201</v>
      </c>
      <c r="F1543">
        <v>-0.55684454756380508</v>
      </c>
      <c r="G1543">
        <v>-0.56787330316742002</v>
      </c>
      <c r="H1543">
        <v>-0.85976505139500703</v>
      </c>
      <c r="I1543">
        <v>-0.65523465703971107</v>
      </c>
    </row>
    <row r="1544" spans="1:9" x14ac:dyDescent="0.25">
      <c r="A1544" s="1" t="s">
        <v>1556</v>
      </c>
      <c r="B1544" t="str">
        <f>HYPERLINK("https://www.suredividend.com/sure-analysis-research-database/","Tucows, Inc.")</f>
        <v>Tucows, Inc.</v>
      </c>
      <c r="C1544">
        <v>2.1807672096689001E-2</v>
      </c>
      <c r="D1544">
        <v>-0.19281859692818501</v>
      </c>
      <c r="E1544">
        <v>-0.14640035118524999</v>
      </c>
      <c r="F1544">
        <v>-0.42673938679245199</v>
      </c>
      <c r="G1544">
        <v>-0.41694152923538202</v>
      </c>
      <c r="H1544">
        <v>-0.77903409090909004</v>
      </c>
      <c r="I1544">
        <v>-0.6129578025477701</v>
      </c>
    </row>
    <row r="1545" spans="1:9" x14ac:dyDescent="0.25">
      <c r="A1545" s="1" t="s">
        <v>1557</v>
      </c>
      <c r="B1545" t="str">
        <f>HYPERLINK("https://www.suredividend.com/sure-analysis-TDS/","Telephone And Data Systems, Inc.")</f>
        <v>Telephone And Data Systems, Inc.</v>
      </c>
      <c r="C1545">
        <v>0.170276774969915</v>
      </c>
      <c r="D1545">
        <v>0.32460704459396811</v>
      </c>
      <c r="E1545">
        <v>1.107624290234493</v>
      </c>
      <c r="F1545">
        <v>0.95483280902941703</v>
      </c>
      <c r="G1545">
        <v>0.69880865038605311</v>
      </c>
      <c r="H1545">
        <v>9.9814529991857012E-2</v>
      </c>
      <c r="I1545">
        <v>-0.30878605773502099</v>
      </c>
    </row>
    <row r="1546" spans="1:9" x14ac:dyDescent="0.25">
      <c r="A1546" s="1" t="s">
        <v>1558</v>
      </c>
      <c r="B1546" t="str">
        <f>HYPERLINK("https://www.suredividend.com/sure-analysis-research-database/","ThredUp Inc")</f>
        <v>ThredUp Inc</v>
      </c>
      <c r="C1546">
        <v>-1.0695187165775E-2</v>
      </c>
      <c r="D1546">
        <v>0.12121212121212099</v>
      </c>
      <c r="E1546">
        <v>0.49797570850202411</v>
      </c>
      <c r="F1546">
        <v>1.8244274809160299</v>
      </c>
      <c r="G1546">
        <v>2.3035714285714279</v>
      </c>
      <c r="H1546">
        <v>-0.81490745372686302</v>
      </c>
      <c r="I1546">
        <v>-0.81500000000000006</v>
      </c>
    </row>
    <row r="1547" spans="1:9" x14ac:dyDescent="0.25">
      <c r="A1547" s="1" t="s">
        <v>1559</v>
      </c>
      <c r="B1547" t="str">
        <f>HYPERLINK("https://www.suredividend.com/sure-analysis-research-database/","Tidewater Inc.")</f>
        <v>Tidewater Inc.</v>
      </c>
      <c r="C1547">
        <v>0.1081038552321</v>
      </c>
      <c r="D1547">
        <v>9.7910820081072006E-2</v>
      </c>
      <c r="E1547">
        <v>0.70508474576271207</v>
      </c>
      <c r="F1547">
        <v>0.91099050203527809</v>
      </c>
      <c r="G1547">
        <v>1.1058612440191391</v>
      </c>
      <c r="H1547">
        <v>4.8488372093023262</v>
      </c>
      <c r="I1547">
        <v>1.5842201834862379</v>
      </c>
    </row>
    <row r="1548" spans="1:9" x14ac:dyDescent="0.25">
      <c r="A1548" s="1" t="s">
        <v>1560</v>
      </c>
      <c r="B1548" t="str">
        <f>HYPERLINK("https://www.suredividend.com/sure-analysis-research-database/","Tellurian Inc")</f>
        <v>Tellurian Inc</v>
      </c>
      <c r="C1548">
        <v>-0.39429999999999998</v>
      </c>
      <c r="D1548">
        <v>-0.63512048192771009</v>
      </c>
      <c r="E1548">
        <v>-0.530465116279069</v>
      </c>
      <c r="F1548">
        <v>-0.63946428571428504</v>
      </c>
      <c r="G1548">
        <v>-0.79742474916387907</v>
      </c>
      <c r="H1548">
        <v>-0.85881118881118812</v>
      </c>
      <c r="I1548">
        <v>-0.92702409638554206</v>
      </c>
    </row>
    <row r="1549" spans="1:9" x14ac:dyDescent="0.25">
      <c r="A1549" s="1" t="s">
        <v>1561</v>
      </c>
      <c r="B1549" t="str">
        <f>HYPERLINK("https://www.suredividend.com/sure-analysis-research-database/","Tenable Holdings Inc")</f>
        <v>Tenable Holdings Inc</v>
      </c>
      <c r="C1549">
        <v>-0.162717219589257</v>
      </c>
      <c r="D1549">
        <v>-0.20692603676784899</v>
      </c>
      <c r="E1549">
        <v>6.6705002875215011E-2</v>
      </c>
      <c r="F1549">
        <v>-2.7522935779815998E-2</v>
      </c>
      <c r="G1549">
        <v>3.9215686274509012E-2</v>
      </c>
      <c r="H1549">
        <v>-0.32410275095645802</v>
      </c>
      <c r="I1549">
        <v>0.29539106145251298</v>
      </c>
    </row>
    <row r="1550" spans="1:9" x14ac:dyDescent="0.25">
      <c r="A1550" s="1" t="s">
        <v>1562</v>
      </c>
      <c r="B1550" t="str">
        <f>HYPERLINK("https://www.suredividend.com/sure-analysis-research-database/","Terex Corp.")</f>
        <v>Terex Corp.</v>
      </c>
      <c r="C1550">
        <v>-5.7908545727136003E-2</v>
      </c>
      <c r="D1550">
        <v>-0.196640175662048</v>
      </c>
      <c r="E1550">
        <v>0.101154163773408</v>
      </c>
      <c r="F1550">
        <v>0.183060141440052</v>
      </c>
      <c r="G1550">
        <v>0.19564079877462801</v>
      </c>
      <c r="H1550">
        <v>8.7036436371499007E-2</v>
      </c>
      <c r="I1550">
        <v>0.70014880952380909</v>
      </c>
    </row>
    <row r="1551" spans="1:9" x14ac:dyDescent="0.25">
      <c r="A1551" s="1" t="s">
        <v>1563</v>
      </c>
      <c r="B1551" t="str">
        <f>HYPERLINK("https://www.suredividend.com/sure-analysis-research-database/","Triumph Financial Inc")</f>
        <v>Triumph Financial Inc</v>
      </c>
      <c r="C1551">
        <v>0.107025607353906</v>
      </c>
      <c r="D1551">
        <v>-3.0755964357572999E-2</v>
      </c>
      <c r="E1551">
        <v>0.38508934072704798</v>
      </c>
      <c r="F1551">
        <v>0.37998772252915902</v>
      </c>
      <c r="G1551">
        <v>0.36656534954407199</v>
      </c>
      <c r="H1551">
        <v>-0.46454942437475111</v>
      </c>
      <c r="I1551">
        <v>0.83410388903997812</v>
      </c>
    </row>
    <row r="1552" spans="1:9" x14ac:dyDescent="0.25">
      <c r="A1552" s="1" t="s">
        <v>1564</v>
      </c>
      <c r="B1552" t="str">
        <f>HYPERLINK("https://www.suredividend.com/sure-analysis-research-database/","Fresh Market Holdings Inc (The)")</f>
        <v>Fresh Market Holdings Inc (The)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25">
      <c r="A1553" s="1" t="s">
        <v>1565</v>
      </c>
      <c r="B1553" t="str">
        <f>HYPERLINK("https://www.suredividend.com/sure-analysis-research-database/","Tredegar Corp.")</f>
        <v>Tredegar Corp.</v>
      </c>
      <c r="C1553">
        <v>-8.2533589251439013E-2</v>
      </c>
      <c r="D1553">
        <v>-0.27245053272450498</v>
      </c>
      <c r="E1553">
        <v>-0.47197490223803101</v>
      </c>
      <c r="F1553">
        <v>-0.51553726714369608</v>
      </c>
      <c r="G1553">
        <v>-0.54049949051198709</v>
      </c>
      <c r="H1553">
        <v>-0.57948447259611102</v>
      </c>
      <c r="I1553">
        <v>-0.59625991401518608</v>
      </c>
    </row>
    <row r="1554" spans="1:9" x14ac:dyDescent="0.25">
      <c r="A1554" s="1" t="s">
        <v>1566</v>
      </c>
      <c r="B1554" t="str">
        <f>HYPERLINK("https://www.suredividend.com/sure-analysis-research-database/","Transphorm Inc")</f>
        <v>Transphorm Inc</v>
      </c>
      <c r="C1554">
        <v>0.34343434343434298</v>
      </c>
      <c r="D1554">
        <v>-0.110367892976588</v>
      </c>
      <c r="E1554">
        <v>-0.201201201201201</v>
      </c>
      <c r="F1554">
        <v>-0.51102941176470507</v>
      </c>
      <c r="G1554">
        <v>-0.627972027972028</v>
      </c>
      <c r="H1554">
        <v>-0.61560693641618403</v>
      </c>
      <c r="I1554">
        <v>-0.61560693641618403</v>
      </c>
    </row>
    <row r="1555" spans="1:9" x14ac:dyDescent="0.25">
      <c r="A1555" s="1" t="s">
        <v>1567</v>
      </c>
      <c r="B1555" t="str">
        <f>HYPERLINK("https://www.suredividend.com/sure-analysis-research-database/","Textainer Group Holdings Limited")</f>
        <v>Textainer Group Holdings Limited</v>
      </c>
      <c r="C1555">
        <v>0.38396624472573798</v>
      </c>
      <c r="D1555">
        <v>0.16335158754929999</v>
      </c>
      <c r="E1555">
        <v>0.46307519373851402</v>
      </c>
      <c r="F1555">
        <v>0.62690880713194508</v>
      </c>
      <c r="G1555">
        <v>0.66779095664082511</v>
      </c>
      <c r="H1555">
        <v>0.35140331698098698</v>
      </c>
      <c r="I1555">
        <v>3.5019902090863342</v>
      </c>
    </row>
    <row r="1556" spans="1:9" x14ac:dyDescent="0.25">
      <c r="A1556" s="1" t="s">
        <v>1568</v>
      </c>
      <c r="B1556" t="str">
        <f>HYPERLINK("https://www.suredividend.com/sure-analysis-research-database/","Triumph Group Inc.")</f>
        <v>Triumph Group Inc.</v>
      </c>
      <c r="C1556">
        <v>7.8561917443408E-2</v>
      </c>
      <c r="D1556">
        <v>-0.122426868905742</v>
      </c>
      <c r="E1556">
        <v>-0.19642857142857101</v>
      </c>
      <c r="F1556">
        <v>-0.23003802281368799</v>
      </c>
      <c r="G1556">
        <v>-0.12621359223300899</v>
      </c>
      <c r="H1556">
        <v>-0.62844036697247707</v>
      </c>
      <c r="I1556">
        <v>-0.59007682263990502</v>
      </c>
    </row>
    <row r="1557" spans="1:9" x14ac:dyDescent="0.25">
      <c r="A1557" s="1" t="s">
        <v>1569</v>
      </c>
      <c r="B1557" t="str">
        <f>HYPERLINK("https://www.suredividend.com/sure-analysis-research-database/","TEGNA Inc")</f>
        <v>TEGNA Inc</v>
      </c>
      <c r="C1557">
        <v>0.113261648745519</v>
      </c>
      <c r="D1557">
        <v>-8.5749944073563011E-2</v>
      </c>
      <c r="E1557">
        <v>-9.2251157924280007E-3</v>
      </c>
      <c r="F1557">
        <v>-0.25330794676513502</v>
      </c>
      <c r="G1557">
        <v>-0.18091149308284199</v>
      </c>
      <c r="H1557">
        <v>-0.19650664059064199</v>
      </c>
      <c r="I1557">
        <v>0.41302567648717903</v>
      </c>
    </row>
    <row r="1558" spans="1:9" x14ac:dyDescent="0.25">
      <c r="A1558" s="1" t="s">
        <v>1570</v>
      </c>
      <c r="B1558" t="str">
        <f>HYPERLINK("https://www.suredividend.com/sure-analysis-research-database/","TG Therapeutics Inc")</f>
        <v>TG Therapeutics Inc</v>
      </c>
      <c r="C1558">
        <v>0.42709677419354802</v>
      </c>
      <c r="D1558">
        <v>3.2679738562091012E-2</v>
      </c>
      <c r="E1558">
        <v>-0.68399999999999905</v>
      </c>
      <c r="F1558">
        <v>-6.508875739644901E-2</v>
      </c>
      <c r="G1558">
        <v>0.89383561643835607</v>
      </c>
      <c r="H1558">
        <v>-0.68263988522238106</v>
      </c>
      <c r="I1558">
        <v>1.1814595660749501</v>
      </c>
    </row>
    <row r="1559" spans="1:9" x14ac:dyDescent="0.25">
      <c r="A1559" s="1" t="s">
        <v>1571</v>
      </c>
      <c r="B1559" t="str">
        <f>HYPERLINK("https://www.suredividend.com/sure-analysis-research-database/","Target Hospitality Corp")</f>
        <v>Target Hospitality Corp</v>
      </c>
      <c r="C1559">
        <v>-0.116504854368932</v>
      </c>
      <c r="D1559">
        <v>5.8139534883721013E-2</v>
      </c>
      <c r="E1559">
        <v>9.5505617977528004E-2</v>
      </c>
      <c r="F1559">
        <v>-9.8414795244385012E-2</v>
      </c>
      <c r="G1559">
        <v>0.17571059431524499</v>
      </c>
      <c r="H1559">
        <v>2.2971014492753619</v>
      </c>
      <c r="I1559">
        <v>0.38157894736842102</v>
      </c>
    </row>
    <row r="1560" spans="1:9" x14ac:dyDescent="0.25">
      <c r="A1560" s="1" t="s">
        <v>1572</v>
      </c>
      <c r="B1560" t="str">
        <f>HYPERLINK("https://www.suredividend.com/sure-analysis-THFF/","First Financial Corp. - Indiana")</f>
        <v>First Financial Corp. - Indiana</v>
      </c>
      <c r="C1560">
        <v>6.6925605019420006E-2</v>
      </c>
      <c r="D1560">
        <v>-6.4693556836039001E-2</v>
      </c>
      <c r="E1560">
        <v>0.162567349795712</v>
      </c>
      <c r="F1560">
        <v>-0.19120311650661301</v>
      </c>
      <c r="G1560">
        <v>-0.22901711016354501</v>
      </c>
      <c r="H1560">
        <v>-0.138089169514761</v>
      </c>
      <c r="I1560">
        <v>-0.112058204820894</v>
      </c>
    </row>
    <row r="1561" spans="1:9" x14ac:dyDescent="0.25">
      <c r="A1561" s="1" t="s">
        <v>1573</v>
      </c>
      <c r="B1561" t="str">
        <f>HYPERLINK("https://www.suredividend.com/sure-analysis-research-database/","Thermon Group Holdings Inc")</f>
        <v>Thermon Group Holdings Inc</v>
      </c>
      <c r="C1561">
        <v>0.120548961424332</v>
      </c>
      <c r="D1561">
        <v>0.16821345707656599</v>
      </c>
      <c r="E1561">
        <v>0.46153846153846101</v>
      </c>
      <c r="F1561">
        <v>0.50448207171314707</v>
      </c>
      <c r="G1561">
        <v>0.68959731543624103</v>
      </c>
      <c r="H1561">
        <v>0.67275747508305606</v>
      </c>
      <c r="I1561">
        <v>0.36388261851015802</v>
      </c>
    </row>
    <row r="1562" spans="1:9" x14ac:dyDescent="0.25">
      <c r="A1562" s="1" t="s">
        <v>1574</v>
      </c>
      <c r="B1562" t="str">
        <f>HYPERLINK("https://www.suredividend.com/sure-analysis-research-database/","Third Harmonic Bio Inc")</f>
        <v>Third Harmonic Bio Inc</v>
      </c>
      <c r="C1562">
        <v>-8.3098591549295012E-2</v>
      </c>
      <c r="D1562">
        <v>2.0376175548589E-2</v>
      </c>
      <c r="E1562">
        <v>0.36764705882352899</v>
      </c>
      <c r="F1562">
        <v>0.51395348837209309</v>
      </c>
      <c r="G1562">
        <v>-0.6870192307692301</v>
      </c>
      <c r="H1562">
        <v>-0.66920731707317005</v>
      </c>
      <c r="I1562">
        <v>-0.66920731707317005</v>
      </c>
    </row>
    <row r="1563" spans="1:9" x14ac:dyDescent="0.25">
      <c r="A1563" s="1" t="s">
        <v>1575</v>
      </c>
      <c r="B1563" t="str">
        <f>HYPERLINK("https://www.suredividend.com/sure-analysis-research-database/","Gentherm Inc")</f>
        <v>Gentherm Inc</v>
      </c>
      <c r="C1563">
        <v>-0.19713196587402401</v>
      </c>
      <c r="D1563">
        <v>-0.31648895070313698</v>
      </c>
      <c r="E1563">
        <v>-0.25888069705093802</v>
      </c>
      <c r="F1563">
        <v>-0.32256088221779711</v>
      </c>
      <c r="G1563">
        <v>-0.32689088418809897</v>
      </c>
      <c r="H1563">
        <v>-0.45542969711893599</v>
      </c>
      <c r="I1563">
        <v>6.787330316730001E-4</v>
      </c>
    </row>
    <row r="1564" spans="1:9" x14ac:dyDescent="0.25">
      <c r="A1564" s="1" t="s">
        <v>1576</v>
      </c>
      <c r="B1564" t="str">
        <f>HYPERLINK("https://www.suredividend.com/sure-analysis-research-database/","Thorne Healthtech Inc")</f>
        <v>Thorne Healthtech Inc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 s="1" t="s">
        <v>1577</v>
      </c>
      <c r="B1565" t="str">
        <f>HYPERLINK("https://www.suredividend.com/sure-analysis-research-database/","Theseus Pharmaceuticals Inc")</f>
        <v>Theseus Pharmaceuticals Inc</v>
      </c>
      <c r="C1565">
        <v>-1.2145748987854E-2</v>
      </c>
      <c r="D1565">
        <v>-0.265060240963855</v>
      </c>
      <c r="E1565">
        <v>-0.79357021996615906</v>
      </c>
      <c r="F1565">
        <v>-0.51004016064257007</v>
      </c>
      <c r="G1565">
        <v>-0.50406504065040603</v>
      </c>
      <c r="H1565">
        <v>-0.87601626016260103</v>
      </c>
      <c r="I1565">
        <v>-0.8686759956942941</v>
      </c>
    </row>
    <row r="1566" spans="1:9" x14ac:dyDescent="0.25">
      <c r="A1566" s="1" t="s">
        <v>1578</v>
      </c>
      <c r="B1566" t="str">
        <f>HYPERLINK("https://www.suredividend.com/sure-analysis-research-database/","Thryv Holdings Inc")</f>
        <v>Thryv Holdings Inc</v>
      </c>
      <c r="C1566">
        <v>-2.2163588390501001E-2</v>
      </c>
      <c r="D1566">
        <v>-0.21880269814502501</v>
      </c>
      <c r="E1566">
        <v>-7.2108162243363999E-2</v>
      </c>
      <c r="F1566">
        <v>-2.4736842105263002E-2</v>
      </c>
      <c r="G1566">
        <v>4.1596402473299002E-2</v>
      </c>
      <c r="H1566">
        <v>-0.41305036426987601</v>
      </c>
      <c r="I1566">
        <v>0.67313769751693009</v>
      </c>
    </row>
    <row r="1567" spans="1:9" x14ac:dyDescent="0.25">
      <c r="A1567" s="1" t="s">
        <v>1579</v>
      </c>
      <c r="B1567" t="str">
        <f>HYPERLINK("https://www.suredividend.com/sure-analysis-research-database/","Treehouse Foods Inc")</f>
        <v>Treehouse Foods Inc</v>
      </c>
      <c r="C1567">
        <v>-2.3661842407535001E-2</v>
      </c>
      <c r="D1567">
        <v>-0.183163559484912</v>
      </c>
      <c r="E1567">
        <v>-0.20900800297785199</v>
      </c>
      <c r="F1567">
        <v>-0.13932766302146599</v>
      </c>
      <c r="G1567">
        <v>-0.124974263948939</v>
      </c>
      <c r="H1567">
        <v>0.17500691180536301</v>
      </c>
      <c r="I1567">
        <v>-4.8791405550581E-2</v>
      </c>
    </row>
    <row r="1568" spans="1:9" x14ac:dyDescent="0.25">
      <c r="A1568" s="1" t="s">
        <v>1580</v>
      </c>
      <c r="B1568" t="str">
        <f>HYPERLINK("https://www.suredividend.com/sure-analysis-research-database/","Instil Bio Inc")</f>
        <v>Instil Bio Inc</v>
      </c>
      <c r="C1568">
        <v>-6.25E-2</v>
      </c>
      <c r="D1568">
        <v>-0.29669917479369801</v>
      </c>
      <c r="E1568">
        <v>-0.42396313364055299</v>
      </c>
      <c r="F1568">
        <v>-0.40476190476190399</v>
      </c>
      <c r="G1568">
        <v>-0.85177865612648207</v>
      </c>
      <c r="H1568">
        <v>-0.98263084761463604</v>
      </c>
      <c r="I1568">
        <v>-0.98581694402420506</v>
      </c>
    </row>
    <row r="1569" spans="1:9" x14ac:dyDescent="0.25">
      <c r="A1569" s="1" t="s">
        <v>1581</v>
      </c>
      <c r="B1569" t="str">
        <f>HYPERLINK("https://www.suredividend.com/sure-analysis-research-database/","Interface Inc.")</f>
        <v>Interface Inc.</v>
      </c>
      <c r="C1569">
        <v>-2.5432349949135E-2</v>
      </c>
      <c r="D1569">
        <v>-1.7526587289378E-2</v>
      </c>
      <c r="E1569">
        <v>0.24695744985486801</v>
      </c>
      <c r="F1569">
        <v>-2.3435509026595001E-2</v>
      </c>
      <c r="G1569">
        <v>-5.6008828977967003E-2</v>
      </c>
      <c r="H1569">
        <v>-0.35913302338027198</v>
      </c>
      <c r="I1569">
        <v>-0.41354359244340511</v>
      </c>
    </row>
    <row r="1570" spans="1:9" x14ac:dyDescent="0.25">
      <c r="A1570" s="1" t="s">
        <v>1582</v>
      </c>
      <c r="B1570" t="str">
        <f>HYPERLINK("https://www.suredividend.com/sure-analysis-research-database/","Tiptree Inc")</f>
        <v>Tiptree Inc</v>
      </c>
      <c r="C1570">
        <v>0.12628865979381401</v>
      </c>
      <c r="D1570">
        <v>0.108412649093549</v>
      </c>
      <c r="E1570">
        <v>0.32936854993877901</v>
      </c>
      <c r="F1570">
        <v>0.28068928631611301</v>
      </c>
      <c r="G1570">
        <v>0.41778394205578601</v>
      </c>
      <c r="H1570">
        <v>9.4579701432722013E-2</v>
      </c>
      <c r="I1570">
        <v>2.2477425588049491</v>
      </c>
    </row>
    <row r="1571" spans="1:9" x14ac:dyDescent="0.25">
      <c r="A1571" s="1" t="s">
        <v>1583</v>
      </c>
      <c r="B1571" t="str">
        <f>HYPERLINK("https://www.suredividend.com/sure-analysis-research-database/","Titan Machinery Inc")</f>
        <v>Titan Machinery Inc</v>
      </c>
      <c r="C1571">
        <v>4.4871794871793998E-2</v>
      </c>
      <c r="D1571">
        <v>-0.180132033951587</v>
      </c>
      <c r="E1571">
        <v>-0.144918032786885</v>
      </c>
      <c r="F1571">
        <v>-0.34356909136672498</v>
      </c>
      <c r="G1571">
        <v>-0.24361948955916399</v>
      </c>
      <c r="H1571">
        <v>-0.12629815745393599</v>
      </c>
      <c r="I1571">
        <v>0.75622895622895603</v>
      </c>
    </row>
    <row r="1572" spans="1:9" x14ac:dyDescent="0.25">
      <c r="A1572" s="1" t="s">
        <v>1584</v>
      </c>
      <c r="B1572" t="str">
        <f>HYPERLINK("https://www.suredividend.com/sure-analysis-research-database/","Teekay Corp")</f>
        <v>Teekay Corp</v>
      </c>
      <c r="C1572">
        <v>0.29289428076256502</v>
      </c>
      <c r="D1572">
        <v>0.14417177914110399</v>
      </c>
      <c r="E1572">
        <v>0.44854368932038802</v>
      </c>
      <c r="F1572">
        <v>0.6431718061674</v>
      </c>
      <c r="G1572">
        <v>0.71889400921658908</v>
      </c>
      <c r="H1572">
        <v>1.072222222222222</v>
      </c>
      <c r="I1572">
        <v>8.5533017083321006E-2</v>
      </c>
    </row>
    <row r="1573" spans="1:9" x14ac:dyDescent="0.25">
      <c r="A1573" s="1" t="s">
        <v>1585</v>
      </c>
      <c r="B1573" t="str">
        <f>HYPERLINK("https://www.suredividend.com/sure-analysis-research-database/","Alpha Teknova Inc")</f>
        <v>Alpha Teknova Inc</v>
      </c>
      <c r="C1573">
        <v>-0.10609480812641001</v>
      </c>
      <c r="D1573">
        <v>-0.37341772151898711</v>
      </c>
      <c r="E1573">
        <v>8.7912087912087003E-2</v>
      </c>
      <c r="F1573">
        <v>-0.64893617021276606</v>
      </c>
      <c r="G1573">
        <v>-0.56862745098039202</v>
      </c>
      <c r="H1573">
        <v>-0.91417425227568205</v>
      </c>
      <c r="I1573">
        <v>-0.92080000000000006</v>
      </c>
    </row>
    <row r="1574" spans="1:9" x14ac:dyDescent="0.25">
      <c r="A1574" s="1" t="s">
        <v>1586</v>
      </c>
      <c r="B1574" t="str">
        <f>HYPERLINK("https://www.suredividend.com/sure-analysis-research-database/","Telos Corp")</f>
        <v>Telos Corp</v>
      </c>
      <c r="C1574">
        <v>8.5714285714285007E-2</v>
      </c>
      <c r="D1574">
        <v>0.15652173913043499</v>
      </c>
      <c r="E1574">
        <v>0.67295597484276704</v>
      </c>
      <c r="F1574">
        <v>-0.47740667976424311</v>
      </c>
      <c r="G1574">
        <v>-0.74299516908212504</v>
      </c>
      <c r="H1574">
        <v>-0.89773164167627806</v>
      </c>
      <c r="I1574">
        <v>-0.86890093642188204</v>
      </c>
    </row>
    <row r="1575" spans="1:9" x14ac:dyDescent="0.25">
      <c r="A1575" s="1" t="s">
        <v>1587</v>
      </c>
      <c r="B1575" t="str">
        <f>HYPERLINK("https://www.suredividend.com/sure-analysis-research-database/","Tillys Inc")</f>
        <v>Tillys Inc</v>
      </c>
      <c r="C1575">
        <v>4.5056320400500012E-2</v>
      </c>
      <c r="D1575">
        <v>-7.1190211345939003E-2</v>
      </c>
      <c r="E1575">
        <v>0.108897742363877</v>
      </c>
      <c r="F1575">
        <v>-7.7348066298342011E-2</v>
      </c>
      <c r="G1575">
        <v>-8.9422028353326008E-2</v>
      </c>
      <c r="H1575">
        <v>-0.42651886649908599</v>
      </c>
      <c r="I1575">
        <v>-0.30579226976829199</v>
      </c>
    </row>
    <row r="1576" spans="1:9" x14ac:dyDescent="0.25">
      <c r="A1576" s="1" t="s">
        <v>1588</v>
      </c>
      <c r="B1576" t="str">
        <f>HYPERLINK("https://www.suredividend.com/sure-analysis-research-database/","Treace Medical Concepts Inc")</f>
        <v>Treace Medical Concepts Inc</v>
      </c>
      <c r="C1576">
        <v>-7.9232693911593002E-2</v>
      </c>
      <c r="D1576">
        <v>-0.46795180722891511</v>
      </c>
      <c r="E1576">
        <v>-0.58102466793168805</v>
      </c>
      <c r="F1576">
        <v>-0.51979121357111702</v>
      </c>
      <c r="G1576">
        <v>-0.49909255898366611</v>
      </c>
      <c r="H1576">
        <v>-0.54436648782501007</v>
      </c>
      <c r="I1576">
        <v>-0.5675675675675671</v>
      </c>
    </row>
    <row r="1577" spans="1:9" x14ac:dyDescent="0.25">
      <c r="A1577" s="1" t="s">
        <v>1589</v>
      </c>
      <c r="B1577" t="str">
        <f>HYPERLINK("https://www.suredividend.com/sure-analysis-research-database/","Transmedics Group Inc")</f>
        <v>Transmedics Group Inc</v>
      </c>
      <c r="C1577">
        <v>-0.18849961919268801</v>
      </c>
      <c r="D1577">
        <v>-0.46897582855718911</v>
      </c>
      <c r="E1577">
        <v>-0.41926693009946803</v>
      </c>
      <c r="F1577">
        <v>-0.30946208684380999</v>
      </c>
      <c r="G1577">
        <v>-0.23838456040028599</v>
      </c>
      <c r="H1577">
        <v>0.37041800643086797</v>
      </c>
      <c r="I1577">
        <v>0.90608228980322003</v>
      </c>
    </row>
    <row r="1578" spans="1:9" x14ac:dyDescent="0.25">
      <c r="A1578" s="1" t="s">
        <v>1590</v>
      </c>
      <c r="B1578" t="str">
        <f>HYPERLINK("https://www.suredividend.com/sure-analysis-research-database/","Taylor Morrison Home Corp.")</f>
        <v>Taylor Morrison Home Corp.</v>
      </c>
      <c r="C1578">
        <v>5.9864275327193003E-2</v>
      </c>
      <c r="D1578">
        <v>-9.1419073343029011E-2</v>
      </c>
      <c r="E1578">
        <v>5.1454676604952003E-2</v>
      </c>
      <c r="F1578">
        <v>0.44085667215815411</v>
      </c>
      <c r="G1578">
        <v>0.694961240310077</v>
      </c>
      <c r="H1578">
        <v>0.41521035598705502</v>
      </c>
      <c r="I1578">
        <v>1.6778934476423759</v>
      </c>
    </row>
    <row r="1579" spans="1:9" x14ac:dyDescent="0.25">
      <c r="A1579" s="1" t="s">
        <v>1591</v>
      </c>
      <c r="B1579" t="str">
        <f>HYPERLINK("https://www.suredividend.com/sure-analysis-TMP/","Tompkins Financial Corp")</f>
        <v>Tompkins Financial Corp</v>
      </c>
      <c r="C1579">
        <v>8.3483123626922007E-2</v>
      </c>
      <c r="D1579">
        <v>-8.2840236686390012E-2</v>
      </c>
      <c r="E1579">
        <v>8.3281914882995009E-2</v>
      </c>
      <c r="F1579">
        <v>-0.26535310447559002</v>
      </c>
      <c r="G1579">
        <v>-0.31489463268880802</v>
      </c>
      <c r="H1579">
        <v>-0.292266066212586</v>
      </c>
      <c r="I1579">
        <v>-0.15336368218911201</v>
      </c>
    </row>
    <row r="1580" spans="1:9" x14ac:dyDescent="0.25">
      <c r="A1580" s="1" t="s">
        <v>1592</v>
      </c>
      <c r="B1580" t="str">
        <f>HYPERLINK("https://www.suredividend.com/sure-analysis-research-database/","TimkenSteel Corp")</f>
        <v>TimkenSteel Corp</v>
      </c>
      <c r="C1580">
        <v>-6.1291843470061003E-2</v>
      </c>
      <c r="D1580">
        <v>-4.0481927710843003E-2</v>
      </c>
      <c r="E1580">
        <v>0.25141420490257599</v>
      </c>
      <c r="F1580">
        <v>9.5762245459548007E-2</v>
      </c>
      <c r="G1580">
        <v>7.3315363881401002E-2</v>
      </c>
      <c r="H1580">
        <v>0.39523475823405702</v>
      </c>
      <c r="I1580">
        <v>0.58645418326693199</v>
      </c>
    </row>
    <row r="1581" spans="1:9" x14ac:dyDescent="0.25">
      <c r="A1581" s="1" t="s">
        <v>1593</v>
      </c>
      <c r="B1581" t="str">
        <f>HYPERLINK("https://www.suredividend.com/sure-analysis-TNC/","Tennant Co.")</f>
        <v>Tennant Co.</v>
      </c>
      <c r="C1581">
        <v>8.7869978858350004E-2</v>
      </c>
      <c r="D1581">
        <v>-1.3310067281394999E-2</v>
      </c>
      <c r="E1581">
        <v>7.4370782543333999E-2</v>
      </c>
      <c r="F1581">
        <v>0.35124267386191499</v>
      </c>
      <c r="G1581">
        <v>0.366990329950587</v>
      </c>
      <c r="H1581">
        <v>3.6461854351490013E-2</v>
      </c>
      <c r="I1581">
        <v>0.40869651513155297</v>
      </c>
    </row>
    <row r="1582" spans="1:9" x14ac:dyDescent="0.25">
      <c r="A1582" s="1" t="s">
        <v>1594</v>
      </c>
      <c r="B1582" t="str">
        <f>HYPERLINK("https://www.suredividend.com/sure-analysis-research-database/","TriNet Group Inc")</f>
        <v>TriNet Group Inc</v>
      </c>
      <c r="C1582">
        <v>-9.9835909836773012E-2</v>
      </c>
      <c r="D1582">
        <v>-5.7531882251400006E-4</v>
      </c>
      <c r="E1582">
        <v>0.15965732087227399</v>
      </c>
      <c r="F1582">
        <v>0.5373156342182891</v>
      </c>
      <c r="G1582">
        <v>0.68793522267206408</v>
      </c>
      <c r="H1582">
        <v>1.2925170068027E-2</v>
      </c>
      <c r="I1582">
        <v>1.2026627218934911</v>
      </c>
    </row>
    <row r="1583" spans="1:9" x14ac:dyDescent="0.25">
      <c r="A1583" s="1" t="s">
        <v>1595</v>
      </c>
      <c r="B1583" t="str">
        <f>HYPERLINK("https://www.suredividend.com/sure-analysis-research-database/","Tango Therapeutics Inc")</f>
        <v>Tango Therapeutics Inc</v>
      </c>
      <c r="C1583">
        <v>-0.205298013245033</v>
      </c>
      <c r="D1583">
        <v>1.4705882352941171</v>
      </c>
      <c r="E1583">
        <v>1.576687116564417</v>
      </c>
      <c r="F1583">
        <v>0.15862068965517201</v>
      </c>
      <c r="G1583">
        <v>0.10091743119266</v>
      </c>
      <c r="H1583">
        <v>-0.34375000000000011</v>
      </c>
      <c r="I1583">
        <v>-0.17888563049853301</v>
      </c>
    </row>
    <row r="1584" spans="1:9" x14ac:dyDescent="0.25">
      <c r="A1584" s="1" t="s">
        <v>1596</v>
      </c>
      <c r="B1584" t="str">
        <f>HYPERLINK("https://www.suredividend.com/sure-analysis-research-database/","Teekay Tankers Ltd")</f>
        <v>Teekay Tankers Ltd</v>
      </c>
      <c r="C1584">
        <v>0.40408055113937402</v>
      </c>
      <c r="D1584">
        <v>0.21444221372716099</v>
      </c>
      <c r="E1584">
        <v>0.45600123096537298</v>
      </c>
      <c r="F1584">
        <v>0.74049281664882005</v>
      </c>
      <c r="G1584">
        <v>0.55794747256171906</v>
      </c>
      <c r="H1584">
        <v>2.811270543388356</v>
      </c>
      <c r="I1584">
        <v>4.632799710865914</v>
      </c>
    </row>
    <row r="1585" spans="1:9" x14ac:dyDescent="0.25">
      <c r="A1585" s="1" t="s">
        <v>1597</v>
      </c>
      <c r="B1585" t="str">
        <f>HYPERLINK("https://www.suredividend.com/sure-analysis-research-database/","Tenaya Therapeutics Inc")</f>
        <v>Tenaya Therapeutics Inc</v>
      </c>
      <c r="C1585">
        <v>4.6511627906976001E-2</v>
      </c>
      <c r="D1585">
        <v>-0.51193058568329708</v>
      </c>
      <c r="E1585">
        <v>-0.614065180102916</v>
      </c>
      <c r="F1585">
        <v>0.119402985074627</v>
      </c>
      <c r="G1585">
        <v>0.16580310880829</v>
      </c>
      <c r="H1585">
        <v>-0.91467576791808802</v>
      </c>
      <c r="I1585">
        <v>-0.85342019543973902</v>
      </c>
    </row>
    <row r="1586" spans="1:9" x14ac:dyDescent="0.25">
      <c r="A1586" s="1" t="s">
        <v>1598</v>
      </c>
      <c r="B1586" t="str">
        <f>HYPERLINK("https://www.suredividend.com/sure-analysis-research-database/","Oncology Institute Inc (The)")</f>
        <v>Oncology Institute Inc (The)</v>
      </c>
      <c r="C1586">
        <v>0.47445255474452502</v>
      </c>
      <c r="D1586">
        <v>1.0244537983563839</v>
      </c>
      <c r="E1586">
        <v>3.04</v>
      </c>
      <c r="F1586">
        <v>0.22424242424242399</v>
      </c>
      <c r="G1586">
        <v>-0.40762463343108502</v>
      </c>
      <c r="H1586">
        <v>-0.79324462640736904</v>
      </c>
      <c r="I1586">
        <v>-0.79324462640736904</v>
      </c>
    </row>
    <row r="1587" spans="1:9" x14ac:dyDescent="0.25">
      <c r="A1587" s="1" t="s">
        <v>1599</v>
      </c>
      <c r="B1587" t="str">
        <f>HYPERLINK("https://www.suredividend.com/sure-analysis-research-database/","Townebank Portsmouth VA")</f>
        <v>Townebank Portsmouth VA</v>
      </c>
      <c r="C1587">
        <v>0.16547406082289701</v>
      </c>
      <c r="D1587">
        <v>7.3722636759549001E-2</v>
      </c>
      <c r="E1587">
        <v>0.227103639873805</v>
      </c>
      <c r="F1587">
        <v>-0.110006113158317</v>
      </c>
      <c r="G1587">
        <v>-0.16075178090662001</v>
      </c>
      <c r="H1587">
        <v>-0.118740129788003</v>
      </c>
      <c r="I1587">
        <v>0.11569681816624899</v>
      </c>
    </row>
    <row r="1588" spans="1:9" x14ac:dyDescent="0.25">
      <c r="A1588" s="1" t="s">
        <v>1600</v>
      </c>
      <c r="B1588" t="str">
        <f>HYPERLINK("https://www.suredividend.com/sure-analysis-research-database/","Turning Point Brands Inc")</f>
        <v>Turning Point Brands Inc</v>
      </c>
      <c r="C1588">
        <v>-7.7057793345008008E-2</v>
      </c>
      <c r="D1588">
        <v>-0.163259635613067</v>
      </c>
      <c r="E1588">
        <v>-5.1612438813705003E-2</v>
      </c>
      <c r="F1588">
        <v>-1.6942354954694001E-2</v>
      </c>
      <c r="G1588">
        <v>-5.1766018316929001E-2</v>
      </c>
      <c r="H1588">
        <v>-0.46519587074382901</v>
      </c>
      <c r="I1588">
        <v>-0.46790250600755201</v>
      </c>
    </row>
    <row r="1589" spans="1:9" x14ac:dyDescent="0.25">
      <c r="A1589" s="1" t="s">
        <v>1601</v>
      </c>
      <c r="B1589" t="str">
        <f>HYPERLINK("https://www.suredividend.com/sure-analysis-research-database/","Tutor Perini Corp")</f>
        <v>Tutor Perini Corp</v>
      </c>
      <c r="C1589">
        <v>-4.8177083333333003E-2</v>
      </c>
      <c r="D1589">
        <v>-9.0796019900497002E-2</v>
      </c>
      <c r="E1589">
        <v>0.24744027303754201</v>
      </c>
      <c r="F1589">
        <v>-3.1788079470198002E-2</v>
      </c>
      <c r="G1589">
        <v>-9.4850948509480008E-3</v>
      </c>
      <c r="H1589">
        <v>-0.44410646387832697</v>
      </c>
      <c r="I1589">
        <v>-0.56847697756788607</v>
      </c>
    </row>
    <row r="1590" spans="1:9" x14ac:dyDescent="0.25">
      <c r="A1590" s="1" t="s">
        <v>1602</v>
      </c>
      <c r="B1590" t="str">
        <f>HYPERLINK("https://www.suredividend.com/sure-analysis-research-database/","Tri Pointe Homes Inc.")</f>
        <v>Tri Pointe Homes Inc.</v>
      </c>
      <c r="C1590">
        <v>6.9864048338368012E-2</v>
      </c>
      <c r="D1590">
        <v>-0.10461441213653599</v>
      </c>
      <c r="E1590">
        <v>-4.2179261862910003E-3</v>
      </c>
      <c r="F1590">
        <v>0.52393760086067709</v>
      </c>
      <c r="G1590">
        <v>0.69033412887828105</v>
      </c>
      <c r="H1590">
        <v>0.18535564853556399</v>
      </c>
      <c r="I1590">
        <v>1.251987281399046</v>
      </c>
    </row>
    <row r="1591" spans="1:9" x14ac:dyDescent="0.25">
      <c r="A1591" s="1" t="s">
        <v>1603</v>
      </c>
      <c r="B1591" t="str">
        <f>HYPERLINK("https://www.suredividend.com/sure-analysis-research-database/","TPI Composites Inc")</f>
        <v>TPI Composites Inc</v>
      </c>
      <c r="C1591">
        <v>-0.176829268292682</v>
      </c>
      <c r="D1591">
        <v>-0.69457013574660609</v>
      </c>
      <c r="E1591">
        <v>-0.77965179542981511</v>
      </c>
      <c r="F1591">
        <v>-0.80029585798816505</v>
      </c>
      <c r="G1591">
        <v>-0.80714285714285705</v>
      </c>
      <c r="H1591">
        <v>-0.93820567592310011</v>
      </c>
      <c r="I1591">
        <v>-0.92226487523992307</v>
      </c>
    </row>
    <row r="1592" spans="1:9" x14ac:dyDescent="0.25">
      <c r="A1592" s="1" t="s">
        <v>1604</v>
      </c>
      <c r="B1592" t="str">
        <f>HYPERLINK("https://www.suredividend.com/sure-analysis-TR/","Tootsie Roll Industries, Inc.")</f>
        <v>Tootsie Roll Industries, Inc.</v>
      </c>
      <c r="C1592">
        <v>-1.8839685184414999E-2</v>
      </c>
      <c r="D1592">
        <v>-0.100317000431073</v>
      </c>
      <c r="E1592">
        <v>-0.18255332187629</v>
      </c>
      <c r="F1592">
        <v>-0.25221799746514501</v>
      </c>
      <c r="G1592">
        <v>-0.20251825396206499</v>
      </c>
      <c r="H1592">
        <v>-1.139508383525E-3</v>
      </c>
      <c r="I1592">
        <v>0.12752250083608599</v>
      </c>
    </row>
    <row r="1593" spans="1:9" x14ac:dyDescent="0.25">
      <c r="A1593" s="1" t="s">
        <v>1605</v>
      </c>
      <c r="B1593" t="str">
        <f>HYPERLINK("https://www.suredividend.com/sure-analysis-research-database/","Tejon Ranch Co.")</f>
        <v>Tejon Ranch Co.</v>
      </c>
      <c r="C1593">
        <v>2.2542266750156002E-2</v>
      </c>
      <c r="D1593">
        <v>-8.4127874369040012E-2</v>
      </c>
      <c r="E1593">
        <v>-2.2155688622754001E-2</v>
      </c>
      <c r="F1593">
        <v>-0.13322717622080599</v>
      </c>
      <c r="G1593">
        <v>-1.3293051359516E-2</v>
      </c>
      <c r="H1593">
        <v>-0.20612542537676201</v>
      </c>
      <c r="I1593">
        <v>-0.148148148148148</v>
      </c>
    </row>
    <row r="1594" spans="1:9" x14ac:dyDescent="0.25">
      <c r="A1594" s="1" t="s">
        <v>1606</v>
      </c>
      <c r="B1594" t="str">
        <f>HYPERLINK("https://www.suredividend.com/sure-analysis-research-database/","LendingTree Inc.")</f>
        <v>LendingTree Inc.</v>
      </c>
      <c r="C1594">
        <v>0.18148420279206401</v>
      </c>
      <c r="D1594">
        <v>-0.26608854404381499</v>
      </c>
      <c r="E1594">
        <v>-7.9037800687285012E-2</v>
      </c>
      <c r="F1594">
        <v>-0.24613220815752401</v>
      </c>
      <c r="G1594">
        <v>-0.35961768219832702</v>
      </c>
      <c r="H1594">
        <v>-0.89486072969792008</v>
      </c>
      <c r="I1594">
        <v>-0.93868679935941413</v>
      </c>
    </row>
    <row r="1595" spans="1:9" x14ac:dyDescent="0.25">
      <c r="A1595" s="1" t="s">
        <v>1607</v>
      </c>
      <c r="B1595" t="str">
        <f>HYPERLINK("https://www.suredividend.com/sure-analysis-research-database/","Trustmark Corp.")</f>
        <v>Trustmark Corp.</v>
      </c>
      <c r="C1595">
        <v>3.2258064516128997E-2</v>
      </c>
      <c r="D1595">
        <v>-0.12875006412052301</v>
      </c>
      <c r="E1595">
        <v>6.2125694494552013E-2</v>
      </c>
      <c r="F1595">
        <v>-0.335877931476318</v>
      </c>
      <c r="G1595">
        <v>-0.37244380274044198</v>
      </c>
      <c r="H1595">
        <v>-0.27869302311906402</v>
      </c>
      <c r="I1595">
        <v>-0.161036849024629</v>
      </c>
    </row>
    <row r="1596" spans="1:9" x14ac:dyDescent="0.25">
      <c r="A1596" s="1" t="s">
        <v>1608</v>
      </c>
      <c r="B1596" t="str">
        <f>HYPERLINK("https://www.suredividend.com/sure-analysis-TRN/","Trinity Industries, Inc.")</f>
        <v>Trinity Industries, Inc.</v>
      </c>
      <c r="C1596">
        <v>0.143107537841622</v>
      </c>
      <c r="D1596">
        <v>-5.5638624380262007E-2</v>
      </c>
      <c r="E1596">
        <v>0.18490431897624199</v>
      </c>
      <c r="F1596">
        <v>-0.15371378600242599</v>
      </c>
      <c r="G1596">
        <v>-0.158266871488394</v>
      </c>
      <c r="H1596">
        <v>-0.10197453349447901</v>
      </c>
      <c r="I1596">
        <v>0.28860444138997399</v>
      </c>
    </row>
    <row r="1597" spans="1:9" x14ac:dyDescent="0.25">
      <c r="A1597" s="1" t="s">
        <v>1609</v>
      </c>
      <c r="B1597" t="str">
        <f>HYPERLINK("https://www.suredividend.com/sure-analysis-research-database/","Terreno Realty Corp")</f>
        <v>Terreno Realty Corp</v>
      </c>
      <c r="C1597">
        <v>-5.3323853537140002E-3</v>
      </c>
      <c r="D1597">
        <v>-5.0914148095383013E-2</v>
      </c>
      <c r="E1597">
        <v>-8.0437104592884001E-2</v>
      </c>
      <c r="F1597">
        <v>5.0106858713020001E-3</v>
      </c>
      <c r="G1597">
        <v>4.0980709488996001E-2</v>
      </c>
      <c r="H1597">
        <v>-0.24179605994092601</v>
      </c>
      <c r="I1597">
        <v>0.67452159731885009</v>
      </c>
    </row>
    <row r="1598" spans="1:9" x14ac:dyDescent="0.25">
      <c r="A1598" s="1" t="s">
        <v>1610</v>
      </c>
      <c r="B1598" t="str">
        <f>HYPERLINK("https://www.suredividend.com/sure-analysis-research-database/","Transcat Inc")</f>
        <v>Transcat Inc</v>
      </c>
      <c r="C1598">
        <v>-8.9944310181779008E-2</v>
      </c>
      <c r="D1598">
        <v>-3.6489042162643003E-2</v>
      </c>
      <c r="E1598">
        <v>7.1640682999257008E-2</v>
      </c>
      <c r="F1598">
        <v>0.222096796952165</v>
      </c>
      <c r="G1598">
        <v>0.168195306177502</v>
      </c>
      <c r="H1598">
        <v>1.1799065420559999E-2</v>
      </c>
      <c r="I1598">
        <v>2.767290126141801</v>
      </c>
    </row>
    <row r="1599" spans="1:9" x14ac:dyDescent="0.25">
      <c r="A1599" s="1" t="s">
        <v>1611</v>
      </c>
      <c r="B1599" t="str">
        <f>HYPERLINK("https://www.suredividend.com/sure-analysis-research-database/","Tronox Holdings plc")</f>
        <v>Tronox Holdings plc</v>
      </c>
      <c r="C1599">
        <v>-2.5062656641604002E-2</v>
      </c>
      <c r="D1599">
        <v>-9.5236618495317005E-2</v>
      </c>
      <c r="E1599">
        <v>-6.1406683556520007E-2</v>
      </c>
      <c r="F1599">
        <v>-0.124609937590014</v>
      </c>
      <c r="G1599">
        <v>1.1712281857666E-2</v>
      </c>
      <c r="H1599">
        <v>-0.48954150591816897</v>
      </c>
      <c r="I1599">
        <v>0.11046616741680999</v>
      </c>
    </row>
    <row r="1600" spans="1:9" x14ac:dyDescent="0.25">
      <c r="A1600" s="1" t="s">
        <v>1612</v>
      </c>
      <c r="B1600" t="str">
        <f>HYPERLINK("https://www.suredividend.com/sure-analysis-research-database/","Trimas Corporation")</f>
        <v>Trimas Corporation</v>
      </c>
      <c r="C1600">
        <v>2.4545802734341999E-2</v>
      </c>
      <c r="D1600">
        <v>-3.8863351441705003E-2</v>
      </c>
      <c r="E1600">
        <v>-1.1237580203859E-2</v>
      </c>
      <c r="F1600">
        <v>-0.103137379236956</v>
      </c>
      <c r="G1600">
        <v>1.1675541977029999E-3</v>
      </c>
      <c r="H1600">
        <v>-0.29857463297012699</v>
      </c>
      <c r="I1600">
        <v>-0.149417103594153</v>
      </c>
    </row>
    <row r="1601" spans="1:9" x14ac:dyDescent="0.25">
      <c r="A1601" s="1" t="s">
        <v>1613</v>
      </c>
      <c r="B1601" t="str">
        <f>HYPERLINK("https://www.suredividend.com/sure-analysis-TRST/","Trustco Bank Corp.")</f>
        <v>Trustco Bank Corp.</v>
      </c>
      <c r="C1601">
        <v>2.8550241008526999E-2</v>
      </c>
      <c r="D1601">
        <v>-5.7232191408374003E-2</v>
      </c>
      <c r="E1601">
        <v>2.9176065534844E-2</v>
      </c>
      <c r="F1601">
        <v>-0.21567075136140701</v>
      </c>
      <c r="G1601">
        <v>-0.20046116155065499</v>
      </c>
      <c r="H1601">
        <v>-9.0885256216981E-2</v>
      </c>
      <c r="I1601">
        <v>-8.6860201391106007E-2</v>
      </c>
    </row>
    <row r="1602" spans="1:9" x14ac:dyDescent="0.25">
      <c r="A1602" s="1" t="s">
        <v>1614</v>
      </c>
      <c r="B1602" t="str">
        <f>HYPERLINK("https://www.suredividend.com/sure-analysis-research-database/","Triton International Ltd")</f>
        <v>Triton International Ltd</v>
      </c>
      <c r="C1602">
        <v>-3.6993725629767001E-2</v>
      </c>
      <c r="D1602">
        <v>-3.5835877571154001E-2</v>
      </c>
      <c r="E1602">
        <v>0.30135271975356898</v>
      </c>
      <c r="F1602">
        <v>0.188642228401601</v>
      </c>
      <c r="G1602">
        <v>0.50569058295115299</v>
      </c>
      <c r="H1602">
        <v>0.62478247726734204</v>
      </c>
      <c r="I1602">
        <v>1.737486880366145</v>
      </c>
    </row>
    <row r="1603" spans="1:9" x14ac:dyDescent="0.25">
      <c r="A1603" s="1" t="s">
        <v>1615</v>
      </c>
      <c r="B1603" t="str">
        <f>HYPERLINK("https://www.suredividend.com/sure-analysis-research-database/","TPG RE Finance Trust Inc")</f>
        <v>TPG RE Finance Trust Inc</v>
      </c>
      <c r="C1603">
        <v>-7.7571669477234012E-2</v>
      </c>
      <c r="D1603">
        <v>-0.20858833572058899</v>
      </c>
      <c r="E1603">
        <v>7.564942087979E-2</v>
      </c>
      <c r="F1603">
        <v>-0.10832178661667601</v>
      </c>
      <c r="G1603">
        <v>-7.1921817472301003E-2</v>
      </c>
      <c r="H1603">
        <v>-0.47430636310341812</v>
      </c>
      <c r="I1603">
        <v>-0.47590805875195202</v>
      </c>
    </row>
    <row r="1604" spans="1:9" x14ac:dyDescent="0.25">
      <c r="A1604" s="1" t="s">
        <v>1616</v>
      </c>
      <c r="B1604" t="str">
        <f>HYPERLINK("https://www.suredividend.com/sure-analysis-research-database/","Truecar Inc")</f>
        <v>Truecar Inc</v>
      </c>
      <c r="C1604">
        <v>3.3980582524270997E-2</v>
      </c>
      <c r="D1604">
        <v>-8.1896551724137012E-2</v>
      </c>
      <c r="E1604">
        <v>-0.16796875</v>
      </c>
      <c r="F1604">
        <v>-0.151394422310756</v>
      </c>
      <c r="G1604">
        <v>-2.2935779816512999E-2</v>
      </c>
      <c r="H1604">
        <v>-0.48048780487804799</v>
      </c>
      <c r="I1604">
        <v>-0.81606217616580301</v>
      </c>
    </row>
    <row r="1605" spans="1:9" x14ac:dyDescent="0.25">
      <c r="A1605" s="1" t="s">
        <v>1617</v>
      </c>
      <c r="B1605" t="str">
        <f>HYPERLINK("https://www.suredividend.com/sure-analysis-research-database/","Trupanion Inc")</f>
        <v>Trupanion Inc</v>
      </c>
      <c r="C1605">
        <v>-1.337153772683E-3</v>
      </c>
      <c r="D1605">
        <v>-0.15677419354838701</v>
      </c>
      <c r="E1605">
        <v>-0.27287899860917902</v>
      </c>
      <c r="F1605">
        <v>-0.45003155901535802</v>
      </c>
      <c r="G1605">
        <v>-0.42486248624862399</v>
      </c>
      <c r="H1605">
        <v>-0.78143812709030103</v>
      </c>
      <c r="I1605">
        <v>3.6068172810146001E-2</v>
      </c>
    </row>
    <row r="1606" spans="1:9" x14ac:dyDescent="0.25">
      <c r="A1606" s="1" t="s">
        <v>1618</v>
      </c>
      <c r="B1606" t="str">
        <f>HYPERLINK("https://www.suredividend.com/sure-analysis-research-database/","Trinseo PLC")</f>
        <v>Trinseo PLC</v>
      </c>
      <c r="C1606">
        <v>7.5987841945280004E-3</v>
      </c>
      <c r="D1606">
        <v>-0.56642862748175404</v>
      </c>
      <c r="E1606">
        <v>-0.63012139605462802</v>
      </c>
      <c r="F1606">
        <v>-0.70145758941637804</v>
      </c>
      <c r="G1606">
        <v>-0.7150103163686381</v>
      </c>
      <c r="H1606">
        <v>-0.87713758366874905</v>
      </c>
      <c r="I1606">
        <v>-0.87285283338735009</v>
      </c>
    </row>
    <row r="1607" spans="1:9" x14ac:dyDescent="0.25">
      <c r="A1607" s="1" t="s">
        <v>1619</v>
      </c>
      <c r="B1607" t="str">
        <f>HYPERLINK("https://www.suredividend.com/sure-analysis-research-database/","TuSimple Holdings Inc")</f>
        <v>TuSimple Holdings Inc</v>
      </c>
      <c r="C1607">
        <v>-8.8122605363984002E-2</v>
      </c>
      <c r="D1607">
        <v>-0.39898989898989901</v>
      </c>
      <c r="E1607">
        <v>5.3097345132743001E-2</v>
      </c>
      <c r="F1607">
        <v>-0.27439024390243899</v>
      </c>
      <c r="G1607">
        <v>-0.53875968992248002</v>
      </c>
      <c r="H1607">
        <v>-0.9699038947900861</v>
      </c>
      <c r="I1607">
        <v>-0.97025000000000006</v>
      </c>
    </row>
    <row r="1608" spans="1:9" x14ac:dyDescent="0.25">
      <c r="A1608" s="1" t="s">
        <v>1620</v>
      </c>
      <c r="B1608" t="str">
        <f>HYPERLINK("https://www.suredividend.com/sure-analysis-research-database/","2seventy bio Inc")</f>
        <v>2seventy bio Inc</v>
      </c>
      <c r="C1608">
        <v>-0.38423645320196997</v>
      </c>
      <c r="D1608">
        <v>-0.58881578947368407</v>
      </c>
      <c r="E1608">
        <v>-0.78279756733275407</v>
      </c>
      <c r="F1608">
        <v>-0.73319103521878304</v>
      </c>
      <c r="G1608">
        <v>-0.83881366860090212</v>
      </c>
      <c r="H1608">
        <v>-0.92563950029744202</v>
      </c>
      <c r="I1608">
        <v>-0.92563950029744202</v>
      </c>
    </row>
    <row r="1609" spans="1:9" x14ac:dyDescent="0.25">
      <c r="A1609" s="1" t="s">
        <v>1621</v>
      </c>
      <c r="B1609" t="str">
        <f>HYPERLINK("https://www.suredividend.com/sure-analysis-research-database/","Tattooed Chef Inc")</f>
        <v>Tattooed Chef Inc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25">
      <c r="A1610" s="1" t="s">
        <v>1622</v>
      </c>
      <c r="B1610" t="str">
        <f>HYPERLINK("https://www.suredividend.com/sure-analysis-research-database/","TTEC Holdings Inc")</f>
        <v>TTEC Holdings Inc</v>
      </c>
      <c r="C1610">
        <v>-0.11955741236373101</v>
      </c>
      <c r="D1610">
        <v>-0.29854671100319502</v>
      </c>
      <c r="E1610">
        <v>-0.343638033712307</v>
      </c>
      <c r="F1610">
        <v>-0.48130610871420099</v>
      </c>
      <c r="G1610">
        <v>-0.44129883780837897</v>
      </c>
      <c r="H1610">
        <v>-0.76677960240137011</v>
      </c>
      <c r="I1610">
        <v>-1.9799326850139999E-2</v>
      </c>
    </row>
    <row r="1611" spans="1:9" x14ac:dyDescent="0.25">
      <c r="A1611" s="1" t="s">
        <v>1623</v>
      </c>
      <c r="B1611" t="str">
        <f>HYPERLINK("https://www.suredividend.com/sure-analysis-research-database/","Techtarget Inc.")</f>
        <v>Techtarget Inc.</v>
      </c>
      <c r="C1611">
        <v>-0.13610266801756099</v>
      </c>
      <c r="D1611">
        <v>-0.14247401944351301</v>
      </c>
      <c r="E1611">
        <v>-0.21940799511748499</v>
      </c>
      <c r="F1611">
        <v>-0.41942805265546901</v>
      </c>
      <c r="G1611">
        <v>-0.54058908045977005</v>
      </c>
      <c r="H1611">
        <v>-0.74101447808038801</v>
      </c>
      <c r="I1611">
        <v>0.20831365139348099</v>
      </c>
    </row>
    <row r="1612" spans="1:9" x14ac:dyDescent="0.25">
      <c r="A1612" s="1" t="s">
        <v>1624</v>
      </c>
      <c r="B1612" t="str">
        <f>HYPERLINK("https://www.suredividend.com/sure-analysis-research-database/","Tetra Technologies, Inc.")</f>
        <v>Tetra Technologies, Inc.</v>
      </c>
      <c r="C1612">
        <v>-0.17391304347826</v>
      </c>
      <c r="D1612">
        <v>-0.13636363636363599</v>
      </c>
      <c r="E1612">
        <v>0.63440860215053707</v>
      </c>
      <c r="F1612">
        <v>0.31791907514450801</v>
      </c>
      <c r="G1612">
        <v>7.8014184397162012E-2</v>
      </c>
      <c r="H1612">
        <v>0.27374301675977603</v>
      </c>
      <c r="I1612">
        <v>0.41614906832298099</v>
      </c>
    </row>
    <row r="1613" spans="1:9" x14ac:dyDescent="0.25">
      <c r="A1613" s="1" t="s">
        <v>1625</v>
      </c>
      <c r="B1613" t="str">
        <f>HYPERLINK("https://www.suredividend.com/sure-analysis-research-database/","TTM Technologies Inc")</f>
        <v>TTM Technologies Inc</v>
      </c>
      <c r="C1613">
        <v>0.13488372093023199</v>
      </c>
      <c r="D1613">
        <v>-2.7242524916943001E-2</v>
      </c>
      <c r="E1613">
        <v>0.273043478260869</v>
      </c>
      <c r="F1613">
        <v>-2.9177718832891001E-2</v>
      </c>
      <c r="G1613">
        <v>5.0969131371141001E-2</v>
      </c>
      <c r="H1613">
        <v>3.5360678925035E-2</v>
      </c>
      <c r="I1613">
        <v>0.13312693498452</v>
      </c>
    </row>
    <row r="1614" spans="1:9" x14ac:dyDescent="0.25">
      <c r="A1614" s="1" t="s">
        <v>1626</v>
      </c>
      <c r="B1614" t="str">
        <f>HYPERLINK("https://www.suredividend.com/sure-analysis-research-database/","Tile Shop Hldgs Inc")</f>
        <v>Tile Shop Hldgs Inc</v>
      </c>
      <c r="C1614">
        <v>1.872659176029E-3</v>
      </c>
      <c r="D1614">
        <v>-0.10084033613445301</v>
      </c>
      <c r="E1614">
        <v>0.210407239819004</v>
      </c>
      <c r="F1614">
        <v>0.221461187214611</v>
      </c>
      <c r="G1614">
        <v>0.188888888888888</v>
      </c>
      <c r="H1614">
        <v>-0.31476144732628802</v>
      </c>
      <c r="I1614">
        <v>-0.16144200626959199</v>
      </c>
    </row>
    <row r="1615" spans="1:9" x14ac:dyDescent="0.25">
      <c r="A1615" s="1" t="s">
        <v>1627</v>
      </c>
      <c r="B1615" t="str">
        <f>HYPERLINK("https://www.suredividend.com/sure-analysis-research-database/","Tupperware Brands Corporation")</f>
        <v>Tupperware Brands Corporation</v>
      </c>
      <c r="C1615">
        <v>0.48031496062992102</v>
      </c>
      <c r="D1615">
        <v>-0.60587002096436005</v>
      </c>
      <c r="E1615">
        <v>0.80769230769230704</v>
      </c>
      <c r="F1615">
        <v>-0.54589371980676304</v>
      </c>
      <c r="G1615">
        <v>-0.53233830845771102</v>
      </c>
      <c r="H1615">
        <v>-0.89664650907091803</v>
      </c>
      <c r="I1615">
        <v>-0.94800856199425809</v>
      </c>
    </row>
    <row r="1616" spans="1:9" x14ac:dyDescent="0.25">
      <c r="A1616" s="1" t="s">
        <v>1628</v>
      </c>
      <c r="B1616" t="str">
        <f>HYPERLINK("https://www.suredividend.com/sure-analysis-research-database/","Travere Therapeutics Inc")</f>
        <v>Travere Therapeutics Inc</v>
      </c>
      <c r="C1616">
        <v>-0.113231552162849</v>
      </c>
      <c r="D1616">
        <v>-0.55090206185567003</v>
      </c>
      <c r="E1616">
        <v>-0.56355666875391308</v>
      </c>
      <c r="F1616">
        <v>-0.66856871136471707</v>
      </c>
      <c r="G1616">
        <v>-0.66425818882466203</v>
      </c>
      <c r="H1616">
        <v>-0.77436063450955006</v>
      </c>
      <c r="I1616">
        <v>-0.72989730672350306</v>
      </c>
    </row>
    <row r="1617" spans="1:9" x14ac:dyDescent="0.25">
      <c r="A1617" s="1" t="s">
        <v>1629</v>
      </c>
      <c r="B1617" t="str">
        <f>HYPERLINK("https://www.suredividend.com/sure-analysis-research-database/","Titan International, Inc.")</f>
        <v>Titan International, Inc.</v>
      </c>
      <c r="C1617">
        <v>-4.4059795436664002E-2</v>
      </c>
      <c r="D1617">
        <v>4.0239726027396998E-2</v>
      </c>
      <c r="E1617">
        <v>0.246153846153846</v>
      </c>
      <c r="F1617">
        <v>-0.20691906005221899</v>
      </c>
      <c r="G1617">
        <v>-0.19161676646706499</v>
      </c>
      <c r="H1617">
        <v>0.47451456310679602</v>
      </c>
      <c r="I1617">
        <v>0.68644597126795703</v>
      </c>
    </row>
    <row r="1618" spans="1:9" x14ac:dyDescent="0.25">
      <c r="A1618" s="1" t="s">
        <v>1630</v>
      </c>
      <c r="B1618" t="str">
        <f>HYPERLINK("https://www.suredividend.com/sure-analysis-research-database/","Hostess Brands Inc")</f>
        <v>Hostess Brands Inc</v>
      </c>
      <c r="C1618">
        <v>2.4045686804920001E-3</v>
      </c>
      <c r="D1618">
        <v>0.41673746813933699</v>
      </c>
      <c r="E1618">
        <v>0.264694728858551</v>
      </c>
      <c r="F1618">
        <v>0.48618538324420602</v>
      </c>
      <c r="G1618">
        <v>0.19877785765636199</v>
      </c>
      <c r="H1618">
        <v>0.75249605885444004</v>
      </c>
      <c r="I1618">
        <v>2.0652573529411762</v>
      </c>
    </row>
    <row r="1619" spans="1:9" x14ac:dyDescent="0.25">
      <c r="A1619" s="1" t="s">
        <v>1631</v>
      </c>
      <c r="B1619" t="str">
        <f>HYPERLINK("https://www.suredividend.com/sure-analysis-TWO/","Two Harbors Investment Corp")</f>
        <v>Two Harbors Investment Corp</v>
      </c>
      <c r="C1619">
        <v>0.108221476510067</v>
      </c>
      <c r="D1619">
        <v>7.7200048822160007E-3</v>
      </c>
      <c r="E1619">
        <v>0.20383111734847301</v>
      </c>
      <c r="F1619">
        <v>-2.9760855514423999E-2</v>
      </c>
      <c r="G1619">
        <v>7.2222853525105005E-2</v>
      </c>
      <c r="H1619">
        <v>-0.30615010478656601</v>
      </c>
      <c r="I1619">
        <v>-0.58580382590591706</v>
      </c>
    </row>
    <row r="1620" spans="1:9" x14ac:dyDescent="0.25">
      <c r="A1620" s="1" t="s">
        <v>1632</v>
      </c>
      <c r="B1620" t="str">
        <f>HYPERLINK("https://www.suredividend.com/sure-analysis-research-database/","2U Inc")</f>
        <v>2U Inc</v>
      </c>
      <c r="C1620">
        <v>6.6666666666666E-2</v>
      </c>
      <c r="D1620">
        <v>-0.43793911007025699</v>
      </c>
      <c r="E1620">
        <v>-0.325842696629213</v>
      </c>
      <c r="F1620">
        <v>-0.61722488038277501</v>
      </c>
      <c r="G1620">
        <v>-0.59663865546218509</v>
      </c>
      <c r="H1620">
        <v>-0.91407089151450005</v>
      </c>
      <c r="I1620">
        <v>-0.96238244514106608</v>
      </c>
    </row>
    <row r="1621" spans="1:9" x14ac:dyDescent="0.25">
      <c r="A1621" s="1" t="s">
        <v>1633</v>
      </c>
      <c r="B1621" t="str">
        <f>HYPERLINK("https://www.suredividend.com/sure-analysis-research-database/","Twist Bioscience Corp")</f>
        <v>Twist Bioscience Corp</v>
      </c>
      <c r="C1621">
        <v>-1.6051364365969999E-3</v>
      </c>
      <c r="D1621">
        <v>-0.18798955613577001</v>
      </c>
      <c r="E1621">
        <v>0.44204018547140611</v>
      </c>
      <c r="F1621">
        <v>-0.21629567408651801</v>
      </c>
      <c r="G1621">
        <v>-0.42584615384615299</v>
      </c>
      <c r="H1621">
        <v>-0.86224715783257011</v>
      </c>
      <c r="I1621">
        <v>0.33285714285714202</v>
      </c>
    </row>
    <row r="1622" spans="1:9" x14ac:dyDescent="0.25">
      <c r="A1622" s="1" t="s">
        <v>1634</v>
      </c>
      <c r="B1622" t="str">
        <f>HYPERLINK("https://www.suredividend.com/sure-analysis-research-database/","Texas Roadhouse Inc")</f>
        <v>Texas Roadhouse Inc</v>
      </c>
      <c r="C1622">
        <v>7.3060300473348008E-2</v>
      </c>
      <c r="D1622">
        <v>-3.4239667485050002E-2</v>
      </c>
      <c r="E1622">
        <v>-5.4644417388813003E-2</v>
      </c>
      <c r="F1622">
        <v>0.170605542527623</v>
      </c>
      <c r="G1622">
        <v>8.1548643241410007E-2</v>
      </c>
      <c r="H1622">
        <v>0.205065713523014</v>
      </c>
      <c r="I1622">
        <v>0.83540170973266203</v>
      </c>
    </row>
    <row r="1623" spans="1:9" x14ac:dyDescent="0.25">
      <c r="A1623" s="1" t="s">
        <v>1635</v>
      </c>
      <c r="B1623" t="str">
        <f>HYPERLINK("https://www.suredividend.com/sure-analysis-research-database/","Tyra Biosciences Inc")</f>
        <v>Tyra Biosciences Inc</v>
      </c>
      <c r="C1623">
        <v>-2.2318214542836001E-2</v>
      </c>
      <c r="D1623">
        <v>-5.1013277428371001E-2</v>
      </c>
      <c r="E1623">
        <v>6.2597809076681998E-2</v>
      </c>
      <c r="F1623">
        <v>0.78684210526315801</v>
      </c>
      <c r="G1623">
        <v>1.089230769230769</v>
      </c>
      <c r="H1623">
        <v>-0.56682615629984001</v>
      </c>
      <c r="I1623">
        <v>-0.47769230769230703</v>
      </c>
    </row>
    <row r="1624" spans="1:9" x14ac:dyDescent="0.25">
      <c r="A1624" s="1" t="s">
        <v>1636</v>
      </c>
      <c r="B1624" t="str">
        <f>HYPERLINK("https://www.suredividend.com/sure-analysis-research-database/","Urstadt Biddle Properties, Inc.")</f>
        <v>Urstadt Biddle Properties, Inc.</v>
      </c>
      <c r="C1624">
        <v>-4.1704442429736997E-2</v>
      </c>
      <c r="D1624">
        <v>0.25974304578933499</v>
      </c>
      <c r="E1624">
        <v>0.19284742950971301</v>
      </c>
      <c r="F1624">
        <v>0.15823558095321499</v>
      </c>
      <c r="G1624">
        <v>0.21746141442063999</v>
      </c>
      <c r="H1624">
        <v>0.235253215222713</v>
      </c>
      <c r="I1624">
        <v>0.19924210621858601</v>
      </c>
    </row>
    <row r="1625" spans="1:9" x14ac:dyDescent="0.25">
      <c r="A1625" s="1" t="s">
        <v>1637</v>
      </c>
      <c r="B1625" t="str">
        <f>HYPERLINK("https://www.suredividend.com/sure-analysis-UBSI/","United Bankshares, Inc.")</f>
        <v>United Bankshares, Inc.</v>
      </c>
      <c r="C1625">
        <v>0.13215859030836999</v>
      </c>
      <c r="D1625">
        <v>-5.3314014881756001E-2</v>
      </c>
      <c r="E1625">
        <v>9.0091618595181014E-2</v>
      </c>
      <c r="F1625">
        <v>-0.19481380722004499</v>
      </c>
      <c r="G1625">
        <v>-0.23368029758251399</v>
      </c>
      <c r="H1625">
        <v>-8.9846655097921002E-2</v>
      </c>
      <c r="I1625">
        <v>0.12738252776417</v>
      </c>
    </row>
    <row r="1626" spans="1:9" x14ac:dyDescent="0.25">
      <c r="A1626" s="1" t="s">
        <v>1638</v>
      </c>
      <c r="B1626" t="str">
        <f>HYPERLINK("https://www.suredividend.com/sure-analysis-research-database/","United Community Banks Inc")</f>
        <v>United Community Banks Inc</v>
      </c>
      <c r="C1626">
        <v>-3.0694668820677999E-2</v>
      </c>
      <c r="D1626">
        <v>-0.175490068090778</v>
      </c>
      <c r="E1626">
        <v>0.14330902213732</v>
      </c>
      <c r="F1626">
        <v>-0.26453914183975502</v>
      </c>
      <c r="G1626">
        <v>-0.35385907666462002</v>
      </c>
      <c r="H1626">
        <v>-0.293945286643504</v>
      </c>
      <c r="I1626">
        <v>0.106072337130848</v>
      </c>
    </row>
    <row r="1627" spans="1:9" x14ac:dyDescent="0.25">
      <c r="A1627" s="1" t="s">
        <v>1639</v>
      </c>
      <c r="B1627" t="str">
        <f>HYPERLINK("https://www.suredividend.com/sure-analysis-research-database/","Ultra Clean Hldgs Inc")</f>
        <v>Ultra Clean Hldgs Inc</v>
      </c>
      <c r="C1627">
        <v>-0.12538122670281199</v>
      </c>
      <c r="D1627">
        <v>-0.29073921406979902</v>
      </c>
      <c r="E1627">
        <v>-4.6193643754619013E-2</v>
      </c>
      <c r="F1627">
        <v>-0.221417797888386</v>
      </c>
      <c r="G1627">
        <v>-0.182192648922686</v>
      </c>
      <c r="H1627">
        <v>-0.54050204735624008</v>
      </c>
      <c r="I1627">
        <v>1.240451388888888</v>
      </c>
    </row>
    <row r="1628" spans="1:9" x14ac:dyDescent="0.25">
      <c r="A1628" s="1" t="s">
        <v>1640</v>
      </c>
      <c r="B1628" t="str">
        <f>HYPERLINK("https://www.suredividend.com/sure-analysis-research-database/","Udemy Inc")</f>
        <v>Udemy Inc</v>
      </c>
      <c r="C1628">
        <v>0.30366492146596802</v>
      </c>
      <c r="D1628">
        <v>0.151711378353376</v>
      </c>
      <c r="E1628">
        <v>0.369636963696369</v>
      </c>
      <c r="F1628">
        <v>0.18009478672985699</v>
      </c>
      <c r="G1628">
        <v>-0.14197105444520999</v>
      </c>
      <c r="H1628">
        <v>-0.54528853177501801</v>
      </c>
      <c r="I1628">
        <v>-0.54727272727272702</v>
      </c>
    </row>
    <row r="1629" spans="1:9" x14ac:dyDescent="0.25">
      <c r="A1629" s="1" t="s">
        <v>1641</v>
      </c>
      <c r="B1629" t="str">
        <f>HYPERLINK("https://www.suredividend.com/sure-analysis-UE/","Urban Edge Properties")</f>
        <v>Urban Edge Properties</v>
      </c>
      <c r="C1629">
        <v>0.14642375168690899</v>
      </c>
      <c r="D1629">
        <v>-6.4792290419160006E-3</v>
      </c>
      <c r="E1629">
        <v>0.206136458828791</v>
      </c>
      <c r="F1629">
        <v>0.245144741663613</v>
      </c>
      <c r="G1629">
        <v>0.230365923426196</v>
      </c>
      <c r="H1629">
        <v>-1.2714425177815999E-2</v>
      </c>
      <c r="I1629">
        <v>3.3008858704574012E-2</v>
      </c>
    </row>
    <row r="1630" spans="1:9" x14ac:dyDescent="0.25">
      <c r="A1630" s="1" t="s">
        <v>1642</v>
      </c>
      <c r="B1630" t="str">
        <f>HYPERLINK("https://www.suredividend.com/sure-analysis-research-database/","Uranium Energy Corp")</f>
        <v>Uranium Energy Corp</v>
      </c>
      <c r="C1630">
        <v>0.17241379310344801</v>
      </c>
      <c r="D1630">
        <v>0.58356164383561604</v>
      </c>
      <c r="E1630">
        <v>1.3027888446215139</v>
      </c>
      <c r="F1630">
        <v>0.48969072164948402</v>
      </c>
      <c r="G1630">
        <v>0.50129870129870102</v>
      </c>
      <c r="H1630">
        <v>0.26477024070021798</v>
      </c>
      <c r="I1630">
        <v>3.3458646616541361</v>
      </c>
    </row>
    <row r="1631" spans="1:9" x14ac:dyDescent="0.25">
      <c r="A1631" s="1" t="s">
        <v>1643</v>
      </c>
      <c r="B1631" t="str">
        <f>HYPERLINK("https://www.suredividend.com/sure-analysis-research-database/","Universal Electronics Inc.")</f>
        <v>Universal Electronics Inc.</v>
      </c>
      <c r="C1631">
        <v>-3.2329988851727998E-2</v>
      </c>
      <c r="D1631">
        <v>-0.207305936073059</v>
      </c>
      <c r="E1631">
        <v>-0.16135265700483001</v>
      </c>
      <c r="F1631">
        <v>-0.58289283998077801</v>
      </c>
      <c r="G1631">
        <v>-0.6107623318385651</v>
      </c>
      <c r="H1631">
        <v>-0.79710144927536208</v>
      </c>
      <c r="I1631">
        <v>-0.73479987778796207</v>
      </c>
    </row>
    <row r="1632" spans="1:9" x14ac:dyDescent="0.25">
      <c r="A1632" s="1" t="s">
        <v>1644</v>
      </c>
      <c r="B1632" t="str">
        <f>HYPERLINK("https://www.suredividend.com/sure-analysis-research-database/","United Fire Group Inc")</f>
        <v>United Fire Group Inc</v>
      </c>
      <c r="C1632">
        <v>2.0253164556960001E-3</v>
      </c>
      <c r="D1632">
        <v>-3.2751550578930998E-2</v>
      </c>
      <c r="E1632">
        <v>-0.24415162799579801</v>
      </c>
      <c r="F1632">
        <v>-0.24975073830744601</v>
      </c>
      <c r="G1632">
        <v>-0.23574504238351701</v>
      </c>
      <c r="H1632">
        <v>-3.2198118190175998E-2</v>
      </c>
      <c r="I1632">
        <v>-0.57598157373185499</v>
      </c>
    </row>
    <row r="1633" spans="1:9" x14ac:dyDescent="0.25">
      <c r="A1633" s="1" t="s">
        <v>1645</v>
      </c>
      <c r="B1633" t="str">
        <f>HYPERLINK("https://www.suredividend.com/sure-analysis-research-database/","UNIFI, Inc.")</f>
        <v>UNIFI, Inc.</v>
      </c>
      <c r="C1633">
        <v>-3.6443148688045997E-2</v>
      </c>
      <c r="D1633">
        <v>-0.11748998664886499</v>
      </c>
      <c r="E1633">
        <v>-0.19586374695863701</v>
      </c>
      <c r="F1633">
        <v>-0.23228803716608501</v>
      </c>
      <c r="G1633">
        <v>-7.2931276297335007E-2</v>
      </c>
      <c r="H1633">
        <v>-0.73031415748674011</v>
      </c>
      <c r="I1633">
        <v>-0.74952633573323202</v>
      </c>
    </row>
    <row r="1634" spans="1:9" x14ac:dyDescent="0.25">
      <c r="A1634" s="1" t="s">
        <v>1646</v>
      </c>
      <c r="B1634" t="str">
        <f>HYPERLINK("https://www.suredividend.com/sure-analysis-research-database/","UFP Industries Inc")</f>
        <v>UFP Industries Inc</v>
      </c>
      <c r="C1634">
        <v>2.8188585607939999E-2</v>
      </c>
      <c r="D1634">
        <v>1.4006583848134E-2</v>
      </c>
      <c r="E1634">
        <v>0.31510125733785599</v>
      </c>
      <c r="F1634">
        <v>0.32259155936596301</v>
      </c>
      <c r="G1634">
        <v>0.52466037708078805</v>
      </c>
      <c r="H1634">
        <v>0.25129399429615701</v>
      </c>
      <c r="I1634">
        <v>2.7803671981344489</v>
      </c>
    </row>
    <row r="1635" spans="1:9" x14ac:dyDescent="0.25">
      <c r="A1635" s="1" t="s">
        <v>1647</v>
      </c>
      <c r="B1635" t="str">
        <f>HYPERLINK("https://www.suredividend.com/sure-analysis-research-database/","UFP Technologies Inc.")</f>
        <v>UFP Technologies Inc.</v>
      </c>
      <c r="C1635">
        <v>-0.13810125820239599</v>
      </c>
      <c r="D1635">
        <v>-0.21507675438596399</v>
      </c>
      <c r="E1635">
        <v>1.1730619744187E-2</v>
      </c>
      <c r="F1635">
        <v>0.21443718720841401</v>
      </c>
      <c r="G1635">
        <v>0.29542164314151198</v>
      </c>
      <c r="H1635">
        <v>1.203971674876847</v>
      </c>
      <c r="I1635">
        <v>3.1825883727724218</v>
      </c>
    </row>
    <row r="1636" spans="1:9" x14ac:dyDescent="0.25">
      <c r="A1636" s="1" t="s">
        <v>1648</v>
      </c>
      <c r="B1636" t="str">
        <f>HYPERLINK("https://www.suredividend.com/sure-analysis-UHT/","Universal Health Realty Income Trust")</f>
        <v>Universal Health Realty Income Trust</v>
      </c>
      <c r="C1636">
        <v>5.6832221398560008E-3</v>
      </c>
      <c r="D1636">
        <v>-0.12922177672989599</v>
      </c>
      <c r="E1636">
        <v>-4.5378529695295003E-2</v>
      </c>
      <c r="F1636">
        <v>-0.107722258273848</v>
      </c>
      <c r="G1636">
        <v>-0.11136535329231401</v>
      </c>
      <c r="H1636">
        <v>-0.212860353303859</v>
      </c>
      <c r="I1636">
        <v>-0.22410571988500699</v>
      </c>
    </row>
    <row r="1637" spans="1:9" x14ac:dyDescent="0.25">
      <c r="A1637" s="1" t="s">
        <v>1649</v>
      </c>
      <c r="B1637" t="str">
        <f>HYPERLINK("https://www.suredividend.com/sure-analysis-research-database/","Unisys Corp.")</f>
        <v>Unisys Corp.</v>
      </c>
      <c r="C1637">
        <v>-0.14705882352941099</v>
      </c>
      <c r="D1637">
        <v>-0.33333333333333298</v>
      </c>
      <c r="E1637">
        <v>-0.246753246753246</v>
      </c>
      <c r="F1637">
        <v>-0.43248532289628111</v>
      </c>
      <c r="G1637">
        <v>-0.66743119266055007</v>
      </c>
      <c r="H1637">
        <v>-0.86190476190476206</v>
      </c>
      <c r="I1637">
        <v>-0.84057174271577806</v>
      </c>
    </row>
    <row r="1638" spans="1:9" x14ac:dyDescent="0.25">
      <c r="A1638" s="1" t="s">
        <v>1650</v>
      </c>
      <c r="B1638" t="str">
        <f>HYPERLINK("https://www.suredividend.com/sure-analysis-research-database/","Frontier Group Holdings Inc")</f>
        <v>Frontier Group Holdings Inc</v>
      </c>
      <c r="C1638">
        <v>-0.16595744680850999</v>
      </c>
      <c r="D1638">
        <v>-0.51545117428924603</v>
      </c>
      <c r="E1638">
        <v>-0.48758169934640511</v>
      </c>
      <c r="F1638">
        <v>-0.61830574488802303</v>
      </c>
      <c r="G1638">
        <v>-0.69085173501577202</v>
      </c>
      <c r="H1638">
        <v>-0.75637041640770608</v>
      </c>
      <c r="I1638">
        <v>-0.79204244031830207</v>
      </c>
    </row>
    <row r="1639" spans="1:9" x14ac:dyDescent="0.25">
      <c r="A1639" s="1" t="s">
        <v>1651</v>
      </c>
      <c r="B1639" t="str">
        <f>HYPERLINK("https://www.suredividend.com/sure-analysis-research-database/","Universal Logistics Holdings Inc")</f>
        <v>Universal Logistics Holdings Inc</v>
      </c>
      <c r="C1639">
        <v>-1.3196480938415999E-2</v>
      </c>
      <c r="D1639">
        <v>-0.26399825021872197</v>
      </c>
      <c r="E1639">
        <v>-4.2031844154787001E-2</v>
      </c>
      <c r="F1639">
        <v>-0.28219896085691198</v>
      </c>
      <c r="G1639">
        <v>-0.284755623572851</v>
      </c>
      <c r="H1639">
        <v>0.177414436885487</v>
      </c>
      <c r="I1639">
        <v>-5.6679335050039012E-2</v>
      </c>
    </row>
    <row r="1640" spans="1:9" x14ac:dyDescent="0.25">
      <c r="A1640" s="1" t="s">
        <v>1652</v>
      </c>
      <c r="B1640" t="str">
        <f>HYPERLINK("https://www.suredividend.com/sure-analysis-UMBF/","UMB Financial Corp.")</f>
        <v>UMB Financial Corp.</v>
      </c>
      <c r="C1640">
        <v>0.17114377428619601</v>
      </c>
      <c r="D1640">
        <v>-2.1318650289424999E-2</v>
      </c>
      <c r="E1640">
        <v>0.30822566704033699</v>
      </c>
      <c r="F1640">
        <v>-0.14616977327678901</v>
      </c>
      <c r="G1640">
        <v>-0.13240683260908701</v>
      </c>
      <c r="H1640">
        <v>-0.28918019876703699</v>
      </c>
      <c r="I1640">
        <v>0.19011442747632801</v>
      </c>
    </row>
    <row r="1641" spans="1:9" x14ac:dyDescent="0.25">
      <c r="A1641" s="1" t="s">
        <v>1653</v>
      </c>
      <c r="B1641" t="str">
        <f>HYPERLINK("https://www.suredividend.com/sure-analysis-UMH/","UMH Properties Inc")</f>
        <v>UMH Properties Inc</v>
      </c>
      <c r="C1641">
        <v>0.104367135455218</v>
      </c>
      <c r="D1641">
        <v>-6.8739740220831E-2</v>
      </c>
      <c r="E1641">
        <v>2.6810370251000001E-5</v>
      </c>
      <c r="F1641">
        <v>-3.8263201320132001E-2</v>
      </c>
      <c r="G1641">
        <v>-8.8621203606421006E-2</v>
      </c>
      <c r="H1641">
        <v>-0.32571676488665502</v>
      </c>
      <c r="I1641">
        <v>0.41884438358248699</v>
      </c>
    </row>
    <row r="1642" spans="1:9" x14ac:dyDescent="0.25">
      <c r="A1642" s="1" t="s">
        <v>1654</v>
      </c>
      <c r="B1642" t="str">
        <f>HYPERLINK("https://www.suredividend.com/sure-analysis-UNF/","Unifirst Corp.")</f>
        <v>Unifirst Corp.</v>
      </c>
      <c r="C1642">
        <v>6.973659276103801E-2</v>
      </c>
      <c r="D1642">
        <v>2.625168163473E-2</v>
      </c>
      <c r="E1642">
        <v>5.4393899395817007E-2</v>
      </c>
      <c r="F1642">
        <v>-0.117985287775854</v>
      </c>
      <c r="G1642">
        <v>-5.0482804403382001E-2</v>
      </c>
      <c r="H1642">
        <v>-0.15193677409468501</v>
      </c>
      <c r="I1642">
        <v>0.161028917744169</v>
      </c>
    </row>
    <row r="1643" spans="1:9" x14ac:dyDescent="0.25">
      <c r="A1643" s="1" t="s">
        <v>1655</v>
      </c>
      <c r="B1643" t="str">
        <f>HYPERLINK("https://www.suredividend.com/sure-analysis-research-database/","United Natural Foods Inc.")</f>
        <v>United Natural Foods Inc.</v>
      </c>
      <c r="C1643">
        <v>0.20015278838808201</v>
      </c>
      <c r="D1643">
        <v>-0.247605363984674</v>
      </c>
      <c r="E1643">
        <v>-0.40582450832072597</v>
      </c>
      <c r="F1643">
        <v>-0.59416171531903905</v>
      </c>
      <c r="G1643">
        <v>-0.63362873134328301</v>
      </c>
      <c r="H1643">
        <v>-0.67359235404113804</v>
      </c>
      <c r="I1643">
        <v>-0.28881846989588</v>
      </c>
    </row>
    <row r="1644" spans="1:9" x14ac:dyDescent="0.25">
      <c r="A1644" s="1" t="s">
        <v>1656</v>
      </c>
      <c r="B1644" t="str">
        <f>HYPERLINK("https://www.suredividend.com/sure-analysis-UNIT/","Uniti Group Inc")</f>
        <v>Uniti Group Inc</v>
      </c>
      <c r="C1644">
        <v>0.171171171171171</v>
      </c>
      <c r="D1644">
        <v>1.6260162601626001E-2</v>
      </c>
      <c r="E1644">
        <v>0.57189927753090908</v>
      </c>
      <c r="F1644">
        <v>7.989118019645701E-2</v>
      </c>
      <c r="G1644">
        <v>-9.4092437413982002E-2</v>
      </c>
      <c r="H1644">
        <v>-0.53501265302107603</v>
      </c>
      <c r="I1644">
        <v>-0.60765080922020609</v>
      </c>
    </row>
    <row r="1645" spans="1:9" x14ac:dyDescent="0.25">
      <c r="A1645" s="1" t="s">
        <v>1657</v>
      </c>
      <c r="B1645" t="str">
        <f>HYPERLINK("https://www.suredividend.com/sure-analysis-research-database/","Unity Bancorp, Inc.")</f>
        <v>Unity Bancorp, Inc.</v>
      </c>
      <c r="C1645">
        <v>7.950680272108801E-2</v>
      </c>
      <c r="D1645">
        <v>-2.6774249190255998E-2</v>
      </c>
      <c r="E1645">
        <v>0.25533976742346298</v>
      </c>
      <c r="F1645">
        <v>-4.7551167396914007E-2</v>
      </c>
      <c r="G1645">
        <v>-8.8964957982590007E-2</v>
      </c>
      <c r="H1645">
        <v>-3.4450237489494002E-2</v>
      </c>
      <c r="I1645">
        <v>0.32690177059598202</v>
      </c>
    </row>
    <row r="1646" spans="1:9" x14ac:dyDescent="0.25">
      <c r="A1646" s="1" t="s">
        <v>1658</v>
      </c>
      <c r="B1646" t="str">
        <f>HYPERLINK("https://www.suredividend.com/sure-analysis-research-database/","Urban One Inc")</f>
        <v>Urban One Inc</v>
      </c>
      <c r="C1646">
        <v>0.17063492063492</v>
      </c>
      <c r="D1646">
        <v>2.6086956521739001E-2</v>
      </c>
      <c r="E1646">
        <v>-0.21438082556591201</v>
      </c>
      <c r="F1646">
        <v>0.29670329670329598</v>
      </c>
      <c r="G1646">
        <v>-1.692047377326E-3</v>
      </c>
      <c r="H1646">
        <v>-0.157142857142857</v>
      </c>
      <c r="I1646">
        <v>1.2097378277153561</v>
      </c>
    </row>
    <row r="1647" spans="1:9" x14ac:dyDescent="0.25">
      <c r="A1647" s="1" t="s">
        <v>1659</v>
      </c>
      <c r="B1647" t="str">
        <f>HYPERLINK("https://www.suredividend.com/sure-analysis-research-database/","Urban One Inc")</f>
        <v>Urban One Inc</v>
      </c>
      <c r="C1647">
        <v>0.17959183673469301</v>
      </c>
      <c r="D1647">
        <v>6.9686411149820007E-3</v>
      </c>
      <c r="E1647">
        <v>5.2823315118397003E-2</v>
      </c>
      <c r="F1647">
        <v>0.53723404255319107</v>
      </c>
      <c r="G1647">
        <v>0.22198731501057001</v>
      </c>
      <c r="H1647">
        <v>0.29887640449438202</v>
      </c>
      <c r="I1647">
        <v>1.688372093023256</v>
      </c>
    </row>
    <row r="1648" spans="1:9" x14ac:dyDescent="0.25">
      <c r="A1648" s="1" t="s">
        <v>1660</v>
      </c>
      <c r="B1648" t="str">
        <f>HYPERLINK("https://www.suredividend.com/sure-analysis-research-database/","Wheels Up Experience Inc")</f>
        <v>Wheels Up Experience Inc</v>
      </c>
      <c r="C1648">
        <v>-0.29064039408866998</v>
      </c>
      <c r="D1648">
        <v>-0.34841628959276011</v>
      </c>
      <c r="E1648">
        <v>-0.67999999999999905</v>
      </c>
      <c r="F1648">
        <v>-0.8601941747572811</v>
      </c>
      <c r="G1648">
        <v>-0.90886075949367007</v>
      </c>
      <c r="H1648">
        <v>-0.98105263157894707</v>
      </c>
      <c r="I1648">
        <v>-0.85077720207253804</v>
      </c>
    </row>
    <row r="1649" spans="1:9" x14ac:dyDescent="0.25">
      <c r="A1649" s="1" t="s">
        <v>1661</v>
      </c>
      <c r="B1649" t="str">
        <f>HYPERLINK("https://www.suredividend.com/sure-analysis-research-database/","Upbound Group Inc")</f>
        <v>Upbound Group Inc</v>
      </c>
      <c r="C1649">
        <v>-5.9151009046620002E-3</v>
      </c>
      <c r="D1649">
        <v>-0.128950136435006</v>
      </c>
      <c r="E1649">
        <v>8.9915734900440011E-3</v>
      </c>
      <c r="F1649">
        <v>0.26696230598669601</v>
      </c>
      <c r="G1649">
        <v>0.36650181275529198</v>
      </c>
      <c r="H1649">
        <v>-0.31942485802492598</v>
      </c>
      <c r="I1649">
        <v>1.3405562610084789</v>
      </c>
    </row>
    <row r="1650" spans="1:9" x14ac:dyDescent="0.25">
      <c r="A1650" s="1" t="s">
        <v>1662</v>
      </c>
      <c r="B1650" t="str">
        <f>HYPERLINK("https://www.suredividend.com/sure-analysis-research-database/","Upland Software Inc")</f>
        <v>Upland Software Inc</v>
      </c>
      <c r="C1650">
        <v>-3.3860045146725998E-2</v>
      </c>
      <c r="D1650">
        <v>0.273809523809523</v>
      </c>
      <c r="E1650">
        <v>0.21937321937321899</v>
      </c>
      <c r="F1650">
        <v>-0.39971949509116411</v>
      </c>
      <c r="G1650">
        <v>-0.43979057591623011</v>
      </c>
      <c r="H1650">
        <v>-0.83544790465205609</v>
      </c>
      <c r="I1650">
        <v>-0.86850998463901607</v>
      </c>
    </row>
    <row r="1651" spans="1:9" x14ac:dyDescent="0.25">
      <c r="A1651" s="1" t="s">
        <v>1663</v>
      </c>
      <c r="B1651" t="str">
        <f>HYPERLINK("https://www.suredividend.com/sure-analysis-research-database/","Upwork Inc")</f>
        <v>Upwork Inc</v>
      </c>
      <c r="C1651">
        <v>3.2997250229147013E-2</v>
      </c>
      <c r="D1651">
        <v>-0.23851351351351299</v>
      </c>
      <c r="E1651">
        <v>0.41051314142678302</v>
      </c>
      <c r="F1651">
        <v>7.9501915708812002E-2</v>
      </c>
      <c r="G1651">
        <v>-7.9248366013071003E-2</v>
      </c>
      <c r="H1651">
        <v>-0.77585521081941111</v>
      </c>
      <c r="I1651">
        <v>-0.44373149062191503</v>
      </c>
    </row>
    <row r="1652" spans="1:9" x14ac:dyDescent="0.25">
      <c r="A1652" s="1" t="s">
        <v>1664</v>
      </c>
      <c r="B1652" t="str">
        <f>HYPERLINK("https://www.suredividend.com/sure-analysis-research-database/","Urban Outfitters, Inc.")</f>
        <v>Urban Outfitters, Inc.</v>
      </c>
      <c r="C1652">
        <v>0.140809174896463</v>
      </c>
      <c r="D1652">
        <v>-2.9539295392953E-2</v>
      </c>
      <c r="E1652">
        <v>0.33519761372110302</v>
      </c>
      <c r="F1652">
        <v>0.50146750524109007</v>
      </c>
      <c r="G1652">
        <v>0.54887543252595106</v>
      </c>
      <c r="H1652">
        <v>1.7329545454545001E-2</v>
      </c>
      <c r="I1652">
        <v>-0.103180565990483</v>
      </c>
    </row>
    <row r="1653" spans="1:9" x14ac:dyDescent="0.25">
      <c r="A1653" s="1" t="s">
        <v>1665</v>
      </c>
      <c r="B1653" t="str">
        <f>HYPERLINK("https://www.suredividend.com/sure-analysis-research-database/","Ur-Energy Inc.")</f>
        <v>Ur-Energy Inc.</v>
      </c>
      <c r="C1653">
        <v>0.13669064748201401</v>
      </c>
      <c r="D1653">
        <v>0.50476190476190408</v>
      </c>
      <c r="E1653">
        <v>0.81130345064771303</v>
      </c>
      <c r="F1653">
        <v>0.37391304347825999</v>
      </c>
      <c r="G1653">
        <v>0.27419354838709598</v>
      </c>
      <c r="H1653">
        <v>-0.159574468085106</v>
      </c>
      <c r="I1653">
        <v>1.2724004027038689</v>
      </c>
    </row>
    <row r="1654" spans="1:9" x14ac:dyDescent="0.25">
      <c r="A1654" s="1" t="s">
        <v>1666</v>
      </c>
      <c r="B1654" t="str">
        <f>HYPERLINK("https://www.suredividend.com/sure-analysis-research-database/","USCB Financial Holdings Inc")</f>
        <v>USCB Financial Holdings Inc</v>
      </c>
      <c r="C1654">
        <v>5.1643192488261998E-2</v>
      </c>
      <c r="D1654">
        <v>9.0090090090080011E-3</v>
      </c>
      <c r="E1654">
        <v>0.25701459034792301</v>
      </c>
      <c r="F1654">
        <v>-8.1967213114754009E-2</v>
      </c>
      <c r="G1654">
        <v>-0.17220990391722099</v>
      </c>
      <c r="H1654">
        <v>-0.195402298850574</v>
      </c>
      <c r="I1654">
        <v>-0.195402298850574</v>
      </c>
    </row>
    <row r="1655" spans="1:9" x14ac:dyDescent="0.25">
      <c r="A1655" s="1" t="s">
        <v>1667</v>
      </c>
      <c r="B1655" t="str">
        <f>HYPERLINK("https://www.suredividend.com/sure-analysis-research-database/","United States Lime &amp; Minerals Inc.")</f>
        <v>United States Lime &amp; Minerals Inc.</v>
      </c>
      <c r="C1655">
        <v>-1.2950613704454999E-2</v>
      </c>
      <c r="D1655">
        <v>-3.6530793892776997E-2</v>
      </c>
      <c r="E1655">
        <v>0.27916414081952601</v>
      </c>
      <c r="F1655">
        <v>0.45901250582147801</v>
      </c>
      <c r="G1655">
        <v>0.55941400968507105</v>
      </c>
      <c r="H1655">
        <v>0.59729493652969501</v>
      </c>
      <c r="I1655">
        <v>2.0002364819708198</v>
      </c>
    </row>
    <row r="1656" spans="1:9" x14ac:dyDescent="0.25">
      <c r="A1656" s="1" t="s">
        <v>1668</v>
      </c>
      <c r="B1656" t="str">
        <f>HYPERLINK("https://www.suredividend.com/sure-analysis-research-database/","United States Cellular Corporation")</f>
        <v>United States Cellular Corporation</v>
      </c>
      <c r="C1656">
        <v>0.14318354912414299</v>
      </c>
      <c r="D1656">
        <v>0.33382701421800898</v>
      </c>
      <c r="E1656">
        <v>1.248127808287568</v>
      </c>
      <c r="F1656">
        <v>1.1597122302158269</v>
      </c>
      <c r="G1656">
        <v>0.86924034869240308</v>
      </c>
      <c r="H1656">
        <v>0.37832874196510502</v>
      </c>
      <c r="I1656">
        <v>-0.19589285714285701</v>
      </c>
    </row>
    <row r="1657" spans="1:9" x14ac:dyDescent="0.25">
      <c r="A1657" s="1" t="s">
        <v>1669</v>
      </c>
      <c r="B1657" t="str">
        <f>HYPERLINK("https://www.suredividend.com/sure-analysis-research-database/","Usana Health Sciences Inc")</f>
        <v>Usana Health Sciences Inc</v>
      </c>
      <c r="C1657">
        <v>-0.205282112845138</v>
      </c>
      <c r="D1657">
        <v>-0.30095036958817301</v>
      </c>
      <c r="E1657">
        <v>-0.30918306499701798</v>
      </c>
      <c r="F1657">
        <v>-0.12894736842105201</v>
      </c>
      <c r="G1657">
        <v>-7.6892430278884011E-2</v>
      </c>
      <c r="H1657">
        <v>-0.54785832764172104</v>
      </c>
      <c r="I1657">
        <v>-0.58841815436539602</v>
      </c>
    </row>
    <row r="1658" spans="1:9" x14ac:dyDescent="0.25">
      <c r="A1658" s="1" t="s">
        <v>1670</v>
      </c>
      <c r="B1658" t="str">
        <f>HYPERLINK("https://www.suredividend.com/sure-analysis-research-database/","U.S. Physical Therapy, Inc.")</f>
        <v>U.S. Physical Therapy, Inc.</v>
      </c>
      <c r="C1658">
        <v>-6.9990095741168004E-2</v>
      </c>
      <c r="D1658">
        <v>-0.28829668705518502</v>
      </c>
      <c r="E1658">
        <v>-0.21467136259304301</v>
      </c>
      <c r="F1658">
        <v>5.6198086820457002E-2</v>
      </c>
      <c r="G1658">
        <v>1.5695140023147001E-2</v>
      </c>
      <c r="H1658">
        <v>-0.19747019358147</v>
      </c>
      <c r="I1658">
        <v>-0.20681551116333699</v>
      </c>
    </row>
    <row r="1659" spans="1:9" x14ac:dyDescent="0.25">
      <c r="A1659" s="1" t="s">
        <v>1671</v>
      </c>
      <c r="B1659" t="str">
        <f>HYPERLINK("https://www.suredividend.com/sure-analysis-research-database/","Universal Technical Institute Inc")</f>
        <v>Universal Technical Institute Inc</v>
      </c>
      <c r="C1659">
        <v>6.6980023501762007E-2</v>
      </c>
      <c r="D1659">
        <v>0.23035230352303501</v>
      </c>
      <c r="E1659">
        <v>0.46925566343042002</v>
      </c>
      <c r="F1659">
        <v>0.35119047619047611</v>
      </c>
      <c r="G1659">
        <v>0.32361516034985399</v>
      </c>
      <c r="H1659">
        <v>0.29899856938483499</v>
      </c>
      <c r="I1659">
        <v>2.4789272030651341</v>
      </c>
    </row>
    <row r="1660" spans="1:9" x14ac:dyDescent="0.25">
      <c r="A1660" s="1" t="s">
        <v>1672</v>
      </c>
      <c r="B1660" t="str">
        <f>HYPERLINK("https://www.suredividend.com/sure-analysis-research-database/","Unitil Corp.")</f>
        <v>Unitil Corp.</v>
      </c>
      <c r="C1660">
        <v>8.6060883497367013E-2</v>
      </c>
      <c r="D1660">
        <v>-4.2868208297696997E-2</v>
      </c>
      <c r="E1660">
        <v>-0.13894317750835999</v>
      </c>
      <c r="F1660">
        <v>-5.4588780987371001E-2</v>
      </c>
      <c r="G1660">
        <v>-5.9421935985188003E-2</v>
      </c>
      <c r="H1660">
        <v>0.187764399609502</v>
      </c>
      <c r="I1660">
        <v>0.19218409633952999</v>
      </c>
    </row>
    <row r="1661" spans="1:9" x14ac:dyDescent="0.25">
      <c r="A1661" s="1" t="s">
        <v>1673</v>
      </c>
      <c r="B1661" t="str">
        <f>HYPERLINK("https://www.suredividend.com/sure-analysis-research-database/","Utah Medical Products, Inc.")</f>
        <v>Utah Medical Products, Inc.</v>
      </c>
      <c r="C1661">
        <v>-6.6512968299711012E-2</v>
      </c>
      <c r="D1661">
        <v>-0.16824414057886</v>
      </c>
      <c r="E1661">
        <v>-0.10345377328828</v>
      </c>
      <c r="F1661">
        <v>-0.18135784609567901</v>
      </c>
      <c r="G1661">
        <v>-8.2651949223006005E-2</v>
      </c>
      <c r="H1661">
        <v>-0.16332170993155101</v>
      </c>
      <c r="I1661">
        <v>8.9369034433179999E-3</v>
      </c>
    </row>
    <row r="1662" spans="1:9" x14ac:dyDescent="0.25">
      <c r="A1662" s="1" t="s">
        <v>1674</v>
      </c>
      <c r="B1662" t="str">
        <f>HYPERLINK("https://www.suredividend.com/sure-analysis-research-database/","Utz Brands Inc")</f>
        <v>Utz Brands Inc</v>
      </c>
      <c r="C1662">
        <v>-4.6959199384140997E-2</v>
      </c>
      <c r="D1662">
        <v>-0.21784179934293599</v>
      </c>
      <c r="E1662">
        <v>-0.31017958733360401</v>
      </c>
      <c r="F1662">
        <v>-0.211067989625352</v>
      </c>
      <c r="G1662">
        <v>-0.22213704965002401</v>
      </c>
      <c r="H1662">
        <v>-0.17918117023039901</v>
      </c>
      <c r="I1662">
        <v>0.28556593977154698</v>
      </c>
    </row>
    <row r="1663" spans="1:9" x14ac:dyDescent="0.25">
      <c r="A1663" s="1" t="s">
        <v>1675</v>
      </c>
      <c r="B1663" t="str">
        <f>HYPERLINK("https://www.suredividend.com/sure-analysis-research-database/","Energy Fuels Inc")</f>
        <v>Energy Fuels Inc</v>
      </c>
      <c r="C1663">
        <v>7.7340569877883E-2</v>
      </c>
      <c r="D1663">
        <v>0.30807248764415102</v>
      </c>
      <c r="E1663">
        <v>0.39788732394366211</v>
      </c>
      <c r="F1663">
        <v>0.27858293075684298</v>
      </c>
      <c r="G1663">
        <v>0.14905933429811799</v>
      </c>
      <c r="H1663">
        <v>-0.21850393700787399</v>
      </c>
      <c r="I1663">
        <v>1.288184438040346</v>
      </c>
    </row>
    <row r="1664" spans="1:9" x14ac:dyDescent="0.25">
      <c r="A1664" s="1" t="s">
        <v>1676</v>
      </c>
      <c r="B1664" t="str">
        <f>HYPERLINK("https://www.suredividend.com/sure-analysis-research-database/","Universal Insurance Holdings Inc")</f>
        <v>Universal Insurance Holdings Inc</v>
      </c>
      <c r="C1664">
        <v>0.17969320672023301</v>
      </c>
      <c r="D1664">
        <v>0.12622036262203601</v>
      </c>
      <c r="E1664">
        <v>5.7020184831269007E-2</v>
      </c>
      <c r="F1664">
        <v>0.57023266667314809</v>
      </c>
      <c r="G1664">
        <v>0.63941082721726406</v>
      </c>
      <c r="H1664">
        <v>0.18961681816172801</v>
      </c>
      <c r="I1664">
        <v>-0.54922391150832706</v>
      </c>
    </row>
    <row r="1665" spans="1:9" x14ac:dyDescent="0.25">
      <c r="A1665" s="1" t="s">
        <v>1677</v>
      </c>
      <c r="B1665" t="str">
        <f>HYPERLINK("https://www.suredividend.com/sure-analysis-research-database/","Univest Financial Corp")</f>
        <v>Univest Financial Corp</v>
      </c>
      <c r="C1665">
        <v>7.0718877849210007E-2</v>
      </c>
      <c r="D1665">
        <v>-5.9369592787130013E-2</v>
      </c>
      <c r="E1665">
        <v>0.12083891611450601</v>
      </c>
      <c r="F1665">
        <v>-0.26104897163993002</v>
      </c>
      <c r="G1665">
        <v>-0.3305659494855</v>
      </c>
      <c r="H1665">
        <v>-0.326309596043172</v>
      </c>
      <c r="I1665">
        <v>-0.13649261399522999</v>
      </c>
    </row>
    <row r="1666" spans="1:9" x14ac:dyDescent="0.25">
      <c r="A1666" s="1" t="s">
        <v>1678</v>
      </c>
      <c r="B1666" t="str">
        <f>HYPERLINK("https://www.suredividend.com/sure-analysis-UVV/","Universal Corp.")</f>
        <v>Universal Corp.</v>
      </c>
      <c r="C1666">
        <v>9.5217485392772014E-2</v>
      </c>
      <c r="D1666">
        <v>4.8811926738590007E-2</v>
      </c>
      <c r="E1666">
        <v>-1.5164635439673E-2</v>
      </c>
      <c r="F1666">
        <v>2.0815684376134E-2</v>
      </c>
      <c r="G1666">
        <v>-3.8931030274869998E-3</v>
      </c>
      <c r="H1666">
        <v>0.15950861211790701</v>
      </c>
      <c r="I1666">
        <v>5.6631892697460006E-3</v>
      </c>
    </row>
    <row r="1667" spans="1:9" x14ac:dyDescent="0.25">
      <c r="A1667" s="1" t="s">
        <v>1679</v>
      </c>
      <c r="B1667" t="str">
        <f>HYPERLINK("https://www.suredividend.com/sure-analysis-research-database/","Valaris Ltd")</f>
        <v>Valaris Ltd</v>
      </c>
      <c r="C1667">
        <v>-1.1298627002288E-2</v>
      </c>
      <c r="D1667">
        <v>-9.3139184048275009E-2</v>
      </c>
      <c r="E1667">
        <v>0.25690909090908998</v>
      </c>
      <c r="F1667">
        <v>2.2330671398994001E-2</v>
      </c>
      <c r="G1667">
        <v>0.104666027484819</v>
      </c>
      <c r="H1667">
        <v>0.98535324526134305</v>
      </c>
      <c r="I1667">
        <v>1.9168776371308009</v>
      </c>
    </row>
    <row r="1668" spans="1:9" x14ac:dyDescent="0.25">
      <c r="A1668" s="1" t="s">
        <v>1680</v>
      </c>
      <c r="B1668" t="str">
        <f>HYPERLINK("https://www.suredividend.com/sure-analysis-research-database/","Value Line, Inc.")</f>
        <v>Value Line, Inc.</v>
      </c>
      <c r="C1668">
        <v>-3.2159035252375998E-2</v>
      </c>
      <c r="D1668">
        <v>-0.223038690039468</v>
      </c>
      <c r="E1668">
        <v>-9.7307221542227013E-2</v>
      </c>
      <c r="F1668">
        <v>-0.15296820041633699</v>
      </c>
      <c r="G1668">
        <v>-0.272624802965859</v>
      </c>
      <c r="H1668">
        <v>0.28298323112958401</v>
      </c>
      <c r="I1668">
        <v>0.93062827225130806</v>
      </c>
    </row>
    <row r="1669" spans="1:9" x14ac:dyDescent="0.25">
      <c r="A1669" s="1" t="s">
        <v>1681</v>
      </c>
      <c r="B1669" t="str">
        <f>HYPERLINK("https://www.suredividend.com/sure-analysis-research-database/","VBI Vaccines Inc.")</f>
        <v>VBI Vaccines Inc.</v>
      </c>
      <c r="C1669">
        <v>1.1900880339092999E-2</v>
      </c>
      <c r="D1669">
        <v>-0.51883720930232502</v>
      </c>
      <c r="E1669">
        <v>-0.76839552238805908</v>
      </c>
      <c r="F1669">
        <v>-0.94709792891843503</v>
      </c>
      <c r="G1669">
        <v>-0.96762128325508612</v>
      </c>
      <c r="H1669">
        <v>-0.9933685897435891</v>
      </c>
      <c r="I1669">
        <v>-0.98990731707317003</v>
      </c>
    </row>
    <row r="1670" spans="1:9" x14ac:dyDescent="0.25">
      <c r="A1670" s="1" t="s">
        <v>1682</v>
      </c>
      <c r="B1670" t="str">
        <f>HYPERLINK("https://www.suredividend.com/sure-analysis-research-database/","Veritex Holdings Inc")</f>
        <v>Veritex Holdings Inc</v>
      </c>
      <c r="C1670">
        <v>0.117214043035107</v>
      </c>
      <c r="D1670">
        <v>-7.0335065755064E-2</v>
      </c>
      <c r="E1670">
        <v>0.30168301742394699</v>
      </c>
      <c r="F1670">
        <v>-0.26768885870069498</v>
      </c>
      <c r="G1670">
        <v>-0.329638929189077</v>
      </c>
      <c r="H1670">
        <v>-0.49156953746485699</v>
      </c>
      <c r="I1670">
        <v>-1.8744808995916001E-2</v>
      </c>
    </row>
    <row r="1671" spans="1:9" x14ac:dyDescent="0.25">
      <c r="A1671" s="1" t="s">
        <v>1683</v>
      </c>
      <c r="B1671" t="str">
        <f>HYPERLINK("https://www.suredividend.com/sure-analysis-research-database/","Visteon Corp.")</f>
        <v>Visteon Corp.</v>
      </c>
      <c r="C1671">
        <v>-0.13288186606471</v>
      </c>
      <c r="D1671">
        <v>-0.22013940583338901</v>
      </c>
      <c r="E1671">
        <v>-0.107566018740803</v>
      </c>
      <c r="F1671">
        <v>-0.11916227165023301</v>
      </c>
      <c r="G1671">
        <v>-0.158156183797209</v>
      </c>
      <c r="H1671">
        <v>-3.7661795407098013E-2</v>
      </c>
      <c r="I1671">
        <v>0.38343337334933902</v>
      </c>
    </row>
    <row r="1672" spans="1:9" x14ac:dyDescent="0.25">
      <c r="A1672" s="1" t="s">
        <v>1684</v>
      </c>
      <c r="B1672" t="str">
        <f>HYPERLINK("https://www.suredividend.com/sure-analysis-research-database/","Vericel Corp")</f>
        <v>Vericel Corp</v>
      </c>
      <c r="C1672">
        <v>8.6034177961107003E-2</v>
      </c>
      <c r="D1672">
        <v>0.15187499999999901</v>
      </c>
      <c r="E1672">
        <v>0.12859767299448799</v>
      </c>
      <c r="F1672">
        <v>0.39939255884586111</v>
      </c>
      <c r="G1672">
        <v>0.47676282051281998</v>
      </c>
      <c r="H1672">
        <v>-0.24249897246198099</v>
      </c>
      <c r="I1672">
        <v>2.0665557404326118</v>
      </c>
    </row>
    <row r="1673" spans="1:9" x14ac:dyDescent="0.25">
      <c r="A1673" s="1" t="s">
        <v>1685</v>
      </c>
      <c r="B1673" t="str">
        <f>HYPERLINK("https://www.suredividend.com/sure-analysis-research-database/","Vacasa Inc")</f>
        <v>Vacasa Inc</v>
      </c>
      <c r="C1673">
        <v>-6.25E-2</v>
      </c>
      <c r="D1673">
        <v>-0.36947383678793999</v>
      </c>
      <c r="E1673">
        <v>-0.41240037822504411</v>
      </c>
      <c r="F1673">
        <v>-0.6547619047619041</v>
      </c>
      <c r="G1673">
        <v>-0.88492063492063411</v>
      </c>
      <c r="H1673">
        <v>-0.14285714285714199</v>
      </c>
      <c r="I1673">
        <v>-0.13946587537091901</v>
      </c>
    </row>
    <row r="1674" spans="1:9" x14ac:dyDescent="0.25">
      <c r="A1674" s="1" t="s">
        <v>1686</v>
      </c>
      <c r="B1674" t="str">
        <f>HYPERLINK("https://www.suredividend.com/sure-analysis-research-database/","Victory Capital Holdings Inc")</f>
        <v>Victory Capital Holdings Inc</v>
      </c>
      <c r="C1674">
        <v>1.7054263565891001E-2</v>
      </c>
      <c r="D1674">
        <v>5.6999886552130006E-3</v>
      </c>
      <c r="E1674">
        <v>0.190281784696895</v>
      </c>
      <c r="F1674">
        <v>0.28318480208439201</v>
      </c>
      <c r="G1674">
        <v>0.212667943418688</v>
      </c>
      <c r="H1674">
        <v>-5.4994698750749013E-2</v>
      </c>
      <c r="I1674">
        <v>3.6631314064743599</v>
      </c>
    </row>
    <row r="1675" spans="1:9" x14ac:dyDescent="0.25">
      <c r="A1675" s="1" t="s">
        <v>1687</v>
      </c>
      <c r="B1675" t="str">
        <f>HYPERLINK("https://www.suredividend.com/sure-analysis-research-database/","Veracyte Inc")</f>
        <v>Veracyte Inc</v>
      </c>
      <c r="C1675">
        <v>0.13873370577281099</v>
      </c>
      <c r="D1675">
        <v>-4.2661448140899998E-2</v>
      </c>
      <c r="E1675">
        <v>9.8831985624438012E-2</v>
      </c>
      <c r="F1675">
        <v>3.0762747576905999E-2</v>
      </c>
      <c r="G1675">
        <v>3.2813781788349999E-3</v>
      </c>
      <c r="H1675">
        <v>-0.53409523809523807</v>
      </c>
      <c r="I1675">
        <v>0.722535211267605</v>
      </c>
    </row>
    <row r="1676" spans="1:9" x14ac:dyDescent="0.25">
      <c r="A1676" s="1" t="s">
        <v>1688</v>
      </c>
      <c r="B1676" t="str">
        <f>HYPERLINK("https://www.suredividend.com/sure-analysis-research-database/","Veeco Instruments Inc")</f>
        <v>Veeco Instruments Inc</v>
      </c>
      <c r="C1676">
        <v>-6.4301552106430002E-2</v>
      </c>
      <c r="D1676">
        <v>-0.102763997165131</v>
      </c>
      <c r="E1676">
        <v>0.42167321729365498</v>
      </c>
      <c r="F1676">
        <v>0.36275565123789011</v>
      </c>
      <c r="G1676">
        <v>0.40666666666666601</v>
      </c>
      <c r="H1676">
        <v>-6.8775285031260999E-2</v>
      </c>
      <c r="I1676">
        <v>1.877272727272727</v>
      </c>
    </row>
    <row r="1677" spans="1:9" x14ac:dyDescent="0.25">
      <c r="A1677" s="1" t="s">
        <v>1689</v>
      </c>
      <c r="B1677" t="str">
        <f>HYPERLINK("https://www.suredividend.com/sure-analysis-research-database/","Velocity Financial Inc")</f>
        <v>Velocity Financial Inc</v>
      </c>
      <c r="C1677">
        <v>0.12609457092819601</v>
      </c>
      <c r="D1677">
        <v>-1.076923076923E-2</v>
      </c>
      <c r="E1677">
        <v>0.50409356725146104</v>
      </c>
      <c r="F1677">
        <v>0.33264248704663202</v>
      </c>
      <c r="G1677">
        <v>0.41008771929824511</v>
      </c>
      <c r="H1677">
        <v>-2.5757575757575001E-2</v>
      </c>
      <c r="I1677">
        <v>-4.8112509252404997E-2</v>
      </c>
    </row>
    <row r="1678" spans="1:9" x14ac:dyDescent="0.25">
      <c r="A1678" s="1" t="s">
        <v>1690</v>
      </c>
      <c r="B1678" t="str">
        <f>HYPERLINK("https://www.suredividend.com/sure-analysis-research-database/","Vera Therapeutics Inc")</f>
        <v>Vera Therapeutics Inc</v>
      </c>
      <c r="C1678">
        <v>-0.18889745566692301</v>
      </c>
      <c r="D1678">
        <v>-0.41846323935876101</v>
      </c>
      <c r="E1678">
        <v>0.44704264099037111</v>
      </c>
      <c r="F1678">
        <v>-0.45633074935400503</v>
      </c>
      <c r="G1678">
        <v>-0.37935103244837698</v>
      </c>
      <c r="H1678">
        <v>-0.40898876404494311</v>
      </c>
      <c r="I1678">
        <v>-8.5217391304347009E-2</v>
      </c>
    </row>
    <row r="1679" spans="1:9" x14ac:dyDescent="0.25">
      <c r="A1679" s="1" t="s">
        <v>1691</v>
      </c>
      <c r="B1679" t="str">
        <f>HYPERLINK("https://www.suredividend.com/sure-analysis-research-database/","Veritone Inc")</f>
        <v>Veritone Inc</v>
      </c>
      <c r="C1679">
        <v>0.13537117903930099</v>
      </c>
      <c r="D1679">
        <v>-0.35483870967741898</v>
      </c>
      <c r="E1679">
        <v>-0.29729729729729698</v>
      </c>
      <c r="F1679">
        <v>-0.50943396226415005</v>
      </c>
      <c r="G1679">
        <v>-0.58064516129032206</v>
      </c>
      <c r="H1679">
        <v>-0.91821327461465807</v>
      </c>
      <c r="I1679">
        <v>-0.67980295566502402</v>
      </c>
    </row>
    <row r="1680" spans="1:9" x14ac:dyDescent="0.25">
      <c r="A1680" s="1" t="s">
        <v>1692</v>
      </c>
      <c r="B1680" t="str">
        <f>HYPERLINK("https://www.suredividend.com/sure-analysis-research-database/","Veru Inc")</f>
        <v>Veru Inc</v>
      </c>
      <c r="C1680">
        <v>0.35391280801516301</v>
      </c>
      <c r="D1680">
        <v>-0.13043478260869501</v>
      </c>
      <c r="E1680">
        <v>-0.21259842519684999</v>
      </c>
      <c r="F1680">
        <v>-0.81060606060606011</v>
      </c>
      <c r="G1680">
        <v>-0.90338164251207709</v>
      </c>
      <c r="H1680">
        <v>-0.8847926267281101</v>
      </c>
      <c r="I1680">
        <v>-0.28571428571428498</v>
      </c>
    </row>
    <row r="1681" spans="1:9" x14ac:dyDescent="0.25">
      <c r="A1681" s="1" t="s">
        <v>1693</v>
      </c>
      <c r="B1681" t="str">
        <f>HYPERLINK("https://www.suredividend.com/sure-analysis-research-database/","Verve Therapeutics Inc")</f>
        <v>Verve Therapeutics Inc</v>
      </c>
      <c r="C1681">
        <v>0.299416180150125</v>
      </c>
      <c r="D1681">
        <v>-0.17783641160949801</v>
      </c>
      <c r="E1681">
        <v>-4.4757817290005997E-2</v>
      </c>
      <c r="F1681">
        <v>-0.19483204134366899</v>
      </c>
      <c r="G1681">
        <v>-0.50207734100351509</v>
      </c>
      <c r="H1681">
        <v>-0.714075977243531</v>
      </c>
      <c r="I1681">
        <v>-0.51190476190476109</v>
      </c>
    </row>
    <row r="1682" spans="1:9" x14ac:dyDescent="0.25">
      <c r="A1682" s="1" t="s">
        <v>1694</v>
      </c>
      <c r="B1682" t="str">
        <f>HYPERLINK("https://www.suredividend.com/sure-analysis-VGR/","Vector Group Ltd")</f>
        <v>Vector Group Ltd</v>
      </c>
      <c r="C1682">
        <v>1.5399422521655E-2</v>
      </c>
      <c r="D1682">
        <v>-7.3016430893594012E-2</v>
      </c>
      <c r="E1682">
        <v>-0.11205750164122</v>
      </c>
      <c r="F1682">
        <v>-6.4251756191016002E-2</v>
      </c>
      <c r="G1682">
        <v>7.6541597363238012E-2</v>
      </c>
      <c r="H1682">
        <v>-0.122434889659704</v>
      </c>
      <c r="I1682">
        <v>0.25380300437345399</v>
      </c>
    </row>
    <row r="1683" spans="1:9" x14ac:dyDescent="0.25">
      <c r="A1683" s="1" t="s">
        <v>1695</v>
      </c>
      <c r="B1683" t="str">
        <f>HYPERLINK("https://www.suredividend.com/sure-analysis-research-database/","Valhi, Inc.")</f>
        <v>Valhi, Inc.</v>
      </c>
      <c r="C1683">
        <v>-7.2057646116893012E-2</v>
      </c>
      <c r="D1683">
        <v>-0.161093256897999</v>
      </c>
      <c r="E1683">
        <v>-0.211929175619441</v>
      </c>
      <c r="F1683">
        <v>-0.46465029053922902</v>
      </c>
      <c r="G1683">
        <v>-0.54079186658795209</v>
      </c>
      <c r="H1683">
        <v>-0.48712956284322212</v>
      </c>
      <c r="I1683">
        <v>-0.53959155136593107</v>
      </c>
    </row>
    <row r="1684" spans="1:9" x14ac:dyDescent="0.25">
      <c r="A1684" s="1" t="s">
        <v>1696</v>
      </c>
      <c r="B1684" t="str">
        <f>HYPERLINK("https://www.suredividend.com/sure-analysis-research-database/","Via Renewables Inc")</f>
        <v>Via Renewables Inc</v>
      </c>
      <c r="C1684">
        <v>4.1436464088389999E-3</v>
      </c>
      <c r="D1684">
        <v>-0.249742002063983</v>
      </c>
      <c r="E1684">
        <v>-0.27661691542288502</v>
      </c>
      <c r="F1684">
        <v>-0.70785144225746011</v>
      </c>
      <c r="G1684">
        <v>-0.79762381970425811</v>
      </c>
      <c r="H1684">
        <v>-0.85708641062789503</v>
      </c>
      <c r="I1684">
        <v>1.9828438764702E-2</v>
      </c>
    </row>
    <row r="1685" spans="1:9" x14ac:dyDescent="0.25">
      <c r="A1685" s="1" t="s">
        <v>1697</v>
      </c>
      <c r="B1685" t="str">
        <f>HYPERLINK("https://www.suredividend.com/sure-analysis-research-database/","Viavi Solutions Inc")</f>
        <v>Viavi Solutions Inc</v>
      </c>
      <c r="C1685">
        <v>-3.3720930232557997E-2</v>
      </c>
      <c r="D1685">
        <v>-0.237614678899082</v>
      </c>
      <c r="E1685">
        <v>-8.6813186813186005E-2</v>
      </c>
      <c r="F1685">
        <v>-0.209324452901998</v>
      </c>
      <c r="G1685">
        <v>-0.24385805277524999</v>
      </c>
      <c r="H1685">
        <v>-0.49727767695099812</v>
      </c>
      <c r="I1685">
        <v>-0.23374827109266899</v>
      </c>
    </row>
    <row r="1686" spans="1:9" x14ac:dyDescent="0.25">
      <c r="A1686" s="1" t="s">
        <v>1698</v>
      </c>
      <c r="B1686" t="str">
        <f>HYPERLINK("https://www.suredividend.com/sure-analysis-research-database/","Vicor Corp.")</f>
        <v>Vicor Corp.</v>
      </c>
      <c r="C1686">
        <v>-0.31244514656836903</v>
      </c>
      <c r="D1686">
        <v>-0.49568688039139902</v>
      </c>
      <c r="E1686">
        <v>-5.1114341085271013E-2</v>
      </c>
      <c r="F1686">
        <v>-0.27125581395348802</v>
      </c>
      <c r="G1686">
        <v>-0.19153766769865799</v>
      </c>
      <c r="H1686">
        <v>-0.74847492454889808</v>
      </c>
      <c r="I1686">
        <v>-2.465139442231E-2</v>
      </c>
    </row>
    <row r="1687" spans="1:9" x14ac:dyDescent="0.25">
      <c r="A1687" s="1" t="s">
        <v>1699</v>
      </c>
      <c r="B1687" t="str">
        <f>HYPERLINK("https://www.suredividend.com/sure-analysis-research-database/","View Inc.")</f>
        <v>View Inc.</v>
      </c>
      <c r="C1687">
        <v>-0.55882352941176405</v>
      </c>
      <c r="D1687">
        <v>-0.72702456778889901</v>
      </c>
      <c r="E1687">
        <v>-0.80338183248132111</v>
      </c>
      <c r="F1687">
        <v>-0.94818115866929209</v>
      </c>
      <c r="G1687">
        <v>-0.95833333333333304</v>
      </c>
      <c r="H1687">
        <v>-0.99219968798751912</v>
      </c>
      <c r="I1687">
        <v>-0.69072164948453607</v>
      </c>
    </row>
    <row r="1688" spans="1:9" x14ac:dyDescent="0.25">
      <c r="A1688" s="1" t="s">
        <v>1700</v>
      </c>
      <c r="B1688" t="str">
        <f>HYPERLINK("https://www.suredividend.com/sure-analysis-research-database/","Vir Biotechnology Inc")</f>
        <v>Vir Biotechnology Inc</v>
      </c>
      <c r="C1688">
        <v>-1.9036954087346E-2</v>
      </c>
      <c r="D1688">
        <v>-0.35682819383259901</v>
      </c>
      <c r="E1688">
        <v>-0.65647058823529403</v>
      </c>
      <c r="F1688">
        <v>-0.65389174239431003</v>
      </c>
      <c r="G1688">
        <v>-0.65861262665627407</v>
      </c>
      <c r="H1688">
        <v>-0.76117775354416506</v>
      </c>
      <c r="I1688">
        <v>-0.37517831669044199</v>
      </c>
    </row>
    <row r="1689" spans="1:9" x14ac:dyDescent="0.25">
      <c r="A1689" s="1" t="s">
        <v>1701</v>
      </c>
      <c r="B1689" t="str">
        <f>HYPERLINK("https://www.suredividend.com/sure-analysis-research-database/","Vital Farms Inc")</f>
        <v>Vital Farms Inc</v>
      </c>
      <c r="C1689">
        <v>4.9549549549549002E-2</v>
      </c>
      <c r="D1689">
        <v>-6.0483870967741007E-2</v>
      </c>
      <c r="E1689">
        <v>-0.21969189551239099</v>
      </c>
      <c r="F1689">
        <v>-0.219168900804289</v>
      </c>
      <c r="G1689">
        <v>-0.13703703703703601</v>
      </c>
      <c r="H1689">
        <v>-0.31551116333724999</v>
      </c>
      <c r="I1689">
        <v>-0.66959727736812202</v>
      </c>
    </row>
    <row r="1690" spans="1:9" x14ac:dyDescent="0.25">
      <c r="A1690" s="1" t="s">
        <v>1702</v>
      </c>
      <c r="B1690" t="str">
        <f>HYPERLINK("https://www.suredividend.com/sure-analysis-research-database/","Velo3D Inc")</f>
        <v>Velo3D Inc</v>
      </c>
      <c r="C1690">
        <v>-0.134615384615384</v>
      </c>
      <c r="D1690">
        <v>-0.31818181818181801</v>
      </c>
      <c r="E1690">
        <v>-0.32835820895522311</v>
      </c>
      <c r="F1690">
        <v>-0.245810055865921</v>
      </c>
      <c r="G1690">
        <v>-0.64751958224543005</v>
      </c>
      <c r="H1690">
        <v>-0.89234449760765511</v>
      </c>
      <c r="I1690">
        <v>-0.82911392405063211</v>
      </c>
    </row>
    <row r="1691" spans="1:9" x14ac:dyDescent="0.25">
      <c r="A1691" s="1" t="s">
        <v>1703</v>
      </c>
      <c r="B1691" t="str">
        <f>HYPERLINK("https://www.suredividend.com/sure-analysis-research-database/","Village Super Market, Inc.")</f>
        <v>Village Super Market, Inc.</v>
      </c>
      <c r="C1691">
        <v>9.4845360824740016E-3</v>
      </c>
      <c r="D1691">
        <v>4.2172213849651002E-2</v>
      </c>
      <c r="E1691">
        <v>0.196381532326248</v>
      </c>
      <c r="F1691">
        <v>0.122961535815041</v>
      </c>
      <c r="G1691">
        <v>0.175453759723422</v>
      </c>
      <c r="H1691">
        <v>0.20515143160962501</v>
      </c>
      <c r="I1691">
        <v>0.20801196168707101</v>
      </c>
    </row>
    <row r="1692" spans="1:9" x14ac:dyDescent="0.25">
      <c r="A1692" s="1" t="s">
        <v>1704</v>
      </c>
      <c r="B1692" t="str">
        <f>HYPERLINK("https://www.suredividend.com/sure-analysis-research-database/","Valley National Bancorp")</f>
        <v>Valley National Bancorp</v>
      </c>
      <c r="C1692">
        <v>9.1719745222929014E-2</v>
      </c>
      <c r="D1692">
        <v>-0.128923402179216</v>
      </c>
      <c r="E1692">
        <v>0.26192719990576002</v>
      </c>
      <c r="F1692">
        <v>-0.19459428979568799</v>
      </c>
      <c r="G1692">
        <v>-0.24062522152123</v>
      </c>
      <c r="H1692">
        <v>-0.32046148356658599</v>
      </c>
      <c r="I1692">
        <v>8.7080611403564004E-2</v>
      </c>
    </row>
    <row r="1693" spans="1:9" x14ac:dyDescent="0.25">
      <c r="A1693" s="1" t="s">
        <v>1705</v>
      </c>
      <c r="B1693" t="str">
        <f>HYPERLINK("https://www.suredividend.com/sure-analysis-research-database/","Vimeo Inc")</f>
        <v>Vimeo Inc</v>
      </c>
      <c r="C1693">
        <v>-5.7471264367816008E-2</v>
      </c>
      <c r="D1693">
        <v>-0.22823529411764701</v>
      </c>
      <c r="E1693">
        <v>-8.8888888888889003E-2</v>
      </c>
      <c r="F1693">
        <v>-4.3731778425656002E-2</v>
      </c>
      <c r="G1693">
        <v>-0.15463917525773099</v>
      </c>
      <c r="H1693">
        <v>-0.86606778276847707</v>
      </c>
      <c r="I1693">
        <v>-0.92773738708966702</v>
      </c>
    </row>
    <row r="1694" spans="1:9" x14ac:dyDescent="0.25">
      <c r="A1694" s="1" t="s">
        <v>1706</v>
      </c>
      <c r="B1694" t="str">
        <f>HYPERLINK("https://www.suredividend.com/sure-analysis-research-database/","Vanda Pharmaceuticals Inc")</f>
        <v>Vanda Pharmaceuticals Inc</v>
      </c>
      <c r="C1694">
        <v>5.1162790697674002E-2</v>
      </c>
      <c r="D1694">
        <v>-0.22866894197952201</v>
      </c>
      <c r="E1694">
        <v>-0.34206695778748097</v>
      </c>
      <c r="F1694">
        <v>-0.38836265223274702</v>
      </c>
      <c r="G1694">
        <v>-0.570750237416904</v>
      </c>
      <c r="H1694">
        <v>-0.75123830489818311</v>
      </c>
      <c r="I1694">
        <v>-0.77908113391984302</v>
      </c>
    </row>
    <row r="1695" spans="1:9" x14ac:dyDescent="0.25">
      <c r="A1695" s="1" t="s">
        <v>1707</v>
      </c>
      <c r="B1695" t="str">
        <f>HYPERLINK("https://www.suredividend.com/sure-analysis-research-database/","Vishay Precision Group Inc")</f>
        <v>Vishay Precision Group Inc</v>
      </c>
      <c r="C1695">
        <v>-4.7862733293196007E-2</v>
      </c>
      <c r="D1695">
        <v>-0.14835756596661201</v>
      </c>
      <c r="E1695">
        <v>-0.16763157894736799</v>
      </c>
      <c r="F1695">
        <v>-0.18163001293660999</v>
      </c>
      <c r="G1695">
        <v>-3.5376639219274003E-2</v>
      </c>
      <c r="H1695">
        <v>-0.126725565985643</v>
      </c>
      <c r="I1695">
        <v>-7.8648412467229006E-2</v>
      </c>
    </row>
    <row r="1696" spans="1:9" x14ac:dyDescent="0.25">
      <c r="A1696" s="1" t="s">
        <v>1708</v>
      </c>
      <c r="B1696" t="str">
        <f>HYPERLINK("https://www.suredividend.com/sure-analysis-research-database/","ViewRay Inc.")</f>
        <v>ViewRay Inc.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25">
      <c r="A1697" s="1" t="s">
        <v>1709</v>
      </c>
      <c r="B1697" t="str">
        <f>HYPERLINK("https://www.suredividend.com/sure-analysis-research-database/","Viridian Therapeutics Inc")</f>
        <v>Viridian Therapeutics Inc</v>
      </c>
      <c r="C1697">
        <v>7.2740112994350001E-2</v>
      </c>
      <c r="D1697">
        <v>-0.18201400107700499</v>
      </c>
      <c r="E1697">
        <v>-0.44663023679417102</v>
      </c>
      <c r="F1697">
        <v>-0.47997261211913711</v>
      </c>
      <c r="G1697">
        <v>-0.22775800711743699</v>
      </c>
      <c r="H1697">
        <v>-0.160309563294637</v>
      </c>
      <c r="I1697">
        <v>-0.78545197740112904</v>
      </c>
    </row>
    <row r="1698" spans="1:9" x14ac:dyDescent="0.25">
      <c r="A1698" s="1" t="s">
        <v>1710</v>
      </c>
      <c r="B1698" t="str">
        <f>HYPERLINK("https://www.suredividend.com/sure-analysis-research-database/","Veris Residential Inc")</f>
        <v>Veris Residential Inc</v>
      </c>
      <c r="C1698">
        <v>-7.1564281190626008E-2</v>
      </c>
      <c r="D1698">
        <v>-0.209869623098108</v>
      </c>
      <c r="E1698">
        <v>-9.0079633549123003E-2</v>
      </c>
      <c r="F1698">
        <v>-7.694245057297501E-2</v>
      </c>
      <c r="G1698">
        <v>-3.1972636388848001E-2</v>
      </c>
      <c r="H1698">
        <v>-0.23246073298429301</v>
      </c>
      <c r="I1698">
        <v>-0.21394944826328899</v>
      </c>
    </row>
    <row r="1699" spans="1:9" x14ac:dyDescent="0.25">
      <c r="A1699" s="1" t="s">
        <v>1711</v>
      </c>
      <c r="B1699" t="str">
        <f>HYPERLINK("https://www.suredividend.com/sure-analysis-research-database/","Varex Imaging Corp")</f>
        <v>Varex Imaging Corp</v>
      </c>
      <c r="C1699">
        <v>-5.8201058201050003E-3</v>
      </c>
      <c r="D1699">
        <v>-0.171881886293521</v>
      </c>
      <c r="E1699">
        <v>-0.114931700423928</v>
      </c>
      <c r="F1699">
        <v>-7.438423645320201E-2</v>
      </c>
      <c r="G1699">
        <v>-0.130495141138361</v>
      </c>
      <c r="H1699">
        <v>-0.30969875091844201</v>
      </c>
      <c r="I1699">
        <v>-0.30304154302670611</v>
      </c>
    </row>
    <row r="1700" spans="1:9" x14ac:dyDescent="0.25">
      <c r="A1700" s="1" t="s">
        <v>1712</v>
      </c>
      <c r="B1700" t="str">
        <f>HYPERLINK("https://www.suredividend.com/sure-analysis-research-database/","Varonis Systems Inc")</f>
        <v>Varonis Systems Inc</v>
      </c>
      <c r="C1700">
        <v>0.14633333333333301</v>
      </c>
      <c r="D1700">
        <v>0.15441423296408099</v>
      </c>
      <c r="E1700">
        <v>0.53253119429590001</v>
      </c>
      <c r="F1700">
        <v>0.43650793650793601</v>
      </c>
      <c r="G1700">
        <v>1.1480324797001871</v>
      </c>
      <c r="H1700">
        <v>-0.45885129819040099</v>
      </c>
      <c r="I1700">
        <v>0.69103148495085209</v>
      </c>
    </row>
    <row r="1701" spans="1:9" x14ac:dyDescent="0.25">
      <c r="A1701" s="1" t="s">
        <v>1713</v>
      </c>
      <c r="B1701" t="str">
        <f>HYPERLINK("https://www.suredividend.com/sure-analysis-research-database/","Verint Systems, Inc.")</f>
        <v>Verint Systems, Inc.</v>
      </c>
      <c r="C1701">
        <v>-3.2583754015602998E-2</v>
      </c>
      <c r="D1701">
        <v>-0.42404371584699402</v>
      </c>
      <c r="E1701">
        <v>-0.37299226650803002</v>
      </c>
      <c r="F1701">
        <v>-0.41896361631752999</v>
      </c>
      <c r="G1701">
        <v>-0.37055837563451699</v>
      </c>
      <c r="H1701">
        <v>-0.55376799322607906</v>
      </c>
      <c r="I1701">
        <v>-0.19239904988123499</v>
      </c>
    </row>
    <row r="1702" spans="1:9" x14ac:dyDescent="0.25">
      <c r="A1702" s="1" t="s">
        <v>1714</v>
      </c>
      <c r="B1702" t="str">
        <f>HYPERLINK("https://www.suredividend.com/sure-analysis-research-database/","Verra Mobility Corp")</f>
        <v>Verra Mobility Corp</v>
      </c>
      <c r="C1702">
        <v>5.5496828752642002E-2</v>
      </c>
      <c r="D1702">
        <v>-2.1558059774620001E-2</v>
      </c>
      <c r="E1702">
        <v>0.20810647307924901</v>
      </c>
      <c r="F1702">
        <v>0.44396240057845199</v>
      </c>
      <c r="G1702">
        <v>0.51863117870722408</v>
      </c>
      <c r="H1702">
        <v>0.23960273122284301</v>
      </c>
      <c r="I1702">
        <v>1.0010020040080161</v>
      </c>
    </row>
    <row r="1703" spans="1:9" x14ac:dyDescent="0.25">
      <c r="A1703" s="1" t="s">
        <v>1715</v>
      </c>
      <c r="B1703" t="str">
        <f>HYPERLINK("https://www.suredividend.com/sure-analysis-research-database/","Virtus Investment Partners Inc")</f>
        <v>Virtus Investment Partners Inc</v>
      </c>
      <c r="C1703">
        <v>7.1412011560995012E-2</v>
      </c>
      <c r="D1703">
        <v>-2.1482874257669998E-3</v>
      </c>
      <c r="E1703">
        <v>0.247628463281443</v>
      </c>
      <c r="F1703">
        <v>0.108918733903081</v>
      </c>
      <c r="G1703">
        <v>0.26363866081833798</v>
      </c>
      <c r="H1703">
        <v>-0.32886578217032397</v>
      </c>
      <c r="I1703">
        <v>1.316085869030488</v>
      </c>
    </row>
    <row r="1704" spans="1:9" x14ac:dyDescent="0.25">
      <c r="A1704" s="1" t="s">
        <v>1716</v>
      </c>
      <c r="B1704" t="str">
        <f>HYPERLINK("https://www.suredividend.com/sure-analysis-research-database/","Veritiv Corp")</f>
        <v>Veritiv Corp</v>
      </c>
      <c r="C1704">
        <v>5.1534178414880004E-3</v>
      </c>
      <c r="D1704">
        <v>0.20619553318832501</v>
      </c>
      <c r="E1704">
        <v>0.61904961816037607</v>
      </c>
      <c r="F1704">
        <v>0.41477657385452199</v>
      </c>
      <c r="G1704">
        <v>0.55890710221870199</v>
      </c>
      <c r="H1704">
        <v>0.18438556988565799</v>
      </c>
      <c r="I1704">
        <v>3.8213687015916848</v>
      </c>
    </row>
    <row r="1705" spans="1:9" x14ac:dyDescent="0.25">
      <c r="A1705" s="1" t="s">
        <v>1717</v>
      </c>
      <c r="B1705" t="str">
        <f>HYPERLINK("https://www.suredividend.com/sure-analysis-research-database/","VSE Corp.")</f>
        <v>VSE Corp.</v>
      </c>
      <c r="C1705">
        <v>0.103900650833934</v>
      </c>
      <c r="D1705">
        <v>9.4205195833278008E-2</v>
      </c>
      <c r="E1705">
        <v>0.25749419543438801</v>
      </c>
      <c r="F1705">
        <v>0.25910927678386397</v>
      </c>
      <c r="G1705">
        <v>0.24713765551804401</v>
      </c>
      <c r="H1705">
        <v>3.8334534903384003E-2</v>
      </c>
      <c r="I1705">
        <v>1.0169851380042461</v>
      </c>
    </row>
    <row r="1706" spans="1:9" x14ac:dyDescent="0.25">
      <c r="A1706" s="1" t="s">
        <v>1718</v>
      </c>
      <c r="B1706" t="str">
        <f>HYPERLINK("https://www.suredividend.com/sure-analysis-research-database/","Vishay Intertechnology, Inc.")</f>
        <v>Vishay Intertechnology, Inc.</v>
      </c>
      <c r="C1706">
        <v>-3.2760032760031997E-2</v>
      </c>
      <c r="D1706">
        <v>-0.124770261457283</v>
      </c>
      <c r="E1706">
        <v>0.131502426358928</v>
      </c>
      <c r="F1706">
        <v>0.108389409766215</v>
      </c>
      <c r="G1706">
        <v>0.14041821772235</v>
      </c>
      <c r="H1706">
        <v>0.222421761384514</v>
      </c>
      <c r="I1706">
        <v>0.34376333380742402</v>
      </c>
    </row>
    <row r="1707" spans="1:9" x14ac:dyDescent="0.25">
      <c r="A1707" s="1" t="s">
        <v>1719</v>
      </c>
      <c r="B1707" t="str">
        <f>HYPERLINK("https://www.suredividend.com/sure-analysis-research-database/","Vista Outdoor Inc")</f>
        <v>Vista Outdoor Inc</v>
      </c>
      <c r="C1707">
        <v>-0.13890675241157499</v>
      </c>
      <c r="D1707">
        <v>-0.117627677100494</v>
      </c>
      <c r="E1707">
        <v>-4.1517537580529E-2</v>
      </c>
      <c r="F1707">
        <v>9.8892080426754014E-2</v>
      </c>
      <c r="G1707">
        <v>-7.4626865671600007E-4</v>
      </c>
      <c r="H1707">
        <v>-0.43081827842720499</v>
      </c>
      <c r="I1707">
        <v>0.86101459346768505</v>
      </c>
    </row>
    <row r="1708" spans="1:9" x14ac:dyDescent="0.25">
      <c r="A1708" s="1" t="s">
        <v>1720</v>
      </c>
      <c r="B1708" t="str">
        <f>HYPERLINK("https://www.suredividend.com/sure-analysis-research-database/","VistaGen Therapeutics Inc")</f>
        <v>VistaGen Therapeutics Inc</v>
      </c>
      <c r="C1708">
        <v>-2.3323615160349E-2</v>
      </c>
      <c r="D1708">
        <v>0.99404761904761907</v>
      </c>
      <c r="E1708">
        <v>-0.11093418259023299</v>
      </c>
      <c r="F1708">
        <v>8.4142394822006E-2</v>
      </c>
      <c r="G1708">
        <v>-9.9462365591397012E-2</v>
      </c>
      <c r="H1708">
        <v>-0.95404663923182409</v>
      </c>
      <c r="I1708">
        <v>-0.94682539682539613</v>
      </c>
    </row>
    <row r="1709" spans="1:9" x14ac:dyDescent="0.25">
      <c r="A1709" s="1" t="s">
        <v>1721</v>
      </c>
      <c r="B1709" t="str">
        <f>HYPERLINK("https://www.suredividend.com/sure-analysis-research-database/","Vital Energy Inc.")</f>
        <v>Vital Energy Inc.</v>
      </c>
      <c r="C1709">
        <v>0.11431008743868599</v>
      </c>
      <c r="D1709">
        <v>-2.1168977144998002E-2</v>
      </c>
      <c r="E1709">
        <v>0.241387502969826</v>
      </c>
      <c r="F1709">
        <v>1.6141579152080001E-2</v>
      </c>
      <c r="G1709">
        <v>-0.21933363215299501</v>
      </c>
      <c r="H1709">
        <v>-0.25303788420300199</v>
      </c>
      <c r="I1709">
        <v>-0.50614366729678606</v>
      </c>
    </row>
    <row r="1710" spans="1:9" x14ac:dyDescent="0.25">
      <c r="A1710" s="1" t="s">
        <v>1722</v>
      </c>
      <c r="B1710" t="str">
        <f>HYPERLINK("https://www.suredividend.com/sure-analysis-research-database/","Vertex Energy Inc")</f>
        <v>Vertex Energy Inc</v>
      </c>
      <c r="C1710">
        <v>0.138190954773869</v>
      </c>
      <c r="D1710">
        <v>-9.9403578528827002E-2</v>
      </c>
      <c r="E1710">
        <v>-0.36376404494381998</v>
      </c>
      <c r="F1710">
        <v>-0.26935483870967702</v>
      </c>
      <c r="G1710">
        <v>-0.49101123595505602</v>
      </c>
      <c r="H1710">
        <v>-5.2301255230125007E-2</v>
      </c>
      <c r="I1710">
        <v>1.76219512195122</v>
      </c>
    </row>
    <row r="1711" spans="1:9" x14ac:dyDescent="0.25">
      <c r="A1711" s="1" t="s">
        <v>1723</v>
      </c>
      <c r="B1711" t="str">
        <f>HYPERLINK("https://www.suredividend.com/sure-analysis-research-database/","Bristow Group Inc.")</f>
        <v>Bristow Group Inc.</v>
      </c>
      <c r="C1711">
        <v>0.107397671798723</v>
      </c>
      <c r="D1711">
        <v>-5.1768488745980001E-2</v>
      </c>
      <c r="E1711">
        <v>0.39038189533238998</v>
      </c>
      <c r="F1711">
        <v>8.6988573534832012E-2</v>
      </c>
      <c r="G1711">
        <v>9.9962700484893002E-2</v>
      </c>
      <c r="H1711">
        <v>-0.22618735240094401</v>
      </c>
      <c r="I1711">
        <v>1.5532467532467531</v>
      </c>
    </row>
    <row r="1712" spans="1:9" x14ac:dyDescent="0.25">
      <c r="A1712" s="1" t="s">
        <v>1724</v>
      </c>
      <c r="B1712" t="str">
        <f>HYPERLINK("https://www.suredividend.com/sure-analysis-research-database/","Ventyx Biosciences Inc")</f>
        <v>Ventyx Biosciences Inc</v>
      </c>
      <c r="C1712">
        <v>-0.45140845070422497</v>
      </c>
      <c r="D1712">
        <v>-0.55988700564971705</v>
      </c>
      <c r="E1712">
        <v>-0.59897039897039805</v>
      </c>
      <c r="F1712">
        <v>-0.524855138761817</v>
      </c>
      <c r="G1712">
        <v>-0.46698597331508701</v>
      </c>
      <c r="H1712">
        <v>-0.237022526934378</v>
      </c>
      <c r="I1712">
        <v>-0.258801141769743</v>
      </c>
    </row>
    <row r="1713" spans="1:9" x14ac:dyDescent="0.25">
      <c r="A1713" s="1" t="s">
        <v>1725</v>
      </c>
      <c r="B1713" t="str">
        <f>HYPERLINK("https://www.suredividend.com/sure-analysis-research-database/","Vuzix Corporation")</f>
        <v>Vuzix Corporation</v>
      </c>
      <c r="C1713">
        <v>5.6980056980050001E-3</v>
      </c>
      <c r="D1713">
        <v>-0.264583333333333</v>
      </c>
      <c r="E1713">
        <v>-7.3490813648294004E-2</v>
      </c>
      <c r="F1713">
        <v>-3.0219780219780001E-2</v>
      </c>
      <c r="G1713">
        <v>-0.29258517034068099</v>
      </c>
      <c r="H1713">
        <v>-0.72464898595943805</v>
      </c>
      <c r="I1713">
        <v>-0.42036124794745411</v>
      </c>
    </row>
    <row r="1714" spans="1:9" x14ac:dyDescent="0.25">
      <c r="A1714" s="1" t="s">
        <v>1726</v>
      </c>
      <c r="B1714" t="str">
        <f>HYPERLINK("https://www.suredividend.com/sure-analysis-research-database/","Viad Corp.")</f>
        <v>Viad Corp.</v>
      </c>
      <c r="C1714">
        <v>5.3584905660377012E-2</v>
      </c>
      <c r="D1714">
        <v>-3.9229181004817003E-2</v>
      </c>
      <c r="E1714">
        <v>0.45796344647519599</v>
      </c>
      <c r="F1714">
        <v>0.14473144731447299</v>
      </c>
      <c r="G1714">
        <v>-0.108841366102776</v>
      </c>
      <c r="H1714">
        <v>-0.41638795986622001</v>
      </c>
      <c r="I1714">
        <v>-0.42147664356993603</v>
      </c>
    </row>
    <row r="1715" spans="1:9" x14ac:dyDescent="0.25">
      <c r="A1715" s="1" t="s">
        <v>1727</v>
      </c>
      <c r="B1715" t="str">
        <f>HYPERLINK("https://www.suredividend.com/sure-analysis-research-database/","V2X Inc")</f>
        <v>V2X Inc</v>
      </c>
      <c r="C1715">
        <v>-4.0658276863500004E-3</v>
      </c>
      <c r="D1715">
        <v>-2.8700906344409999E-2</v>
      </c>
      <c r="E1715">
        <v>0.20243104254324401</v>
      </c>
      <c r="F1715">
        <v>0.24582223298619499</v>
      </c>
      <c r="G1715">
        <v>0.24854368932038801</v>
      </c>
      <c r="H1715">
        <v>3.1068350370814998E-2</v>
      </c>
      <c r="I1715">
        <v>0.88563049853372411</v>
      </c>
    </row>
    <row r="1716" spans="1:9" x14ac:dyDescent="0.25">
      <c r="A1716" s="1" t="s">
        <v>1728</v>
      </c>
      <c r="B1716" t="str">
        <f>HYPERLINK("https://www.suredividend.com/sure-analysis-research-database/","Vintage Wine Estates Inc")</f>
        <v>Vintage Wine Estates Inc</v>
      </c>
      <c r="C1716">
        <v>0.177024482109227</v>
      </c>
      <c r="D1716">
        <v>-0.36868686868686801</v>
      </c>
      <c r="E1716">
        <v>-0.51923076923076905</v>
      </c>
      <c r="F1716">
        <v>-0.80828220858895705</v>
      </c>
      <c r="G1716">
        <v>-0.75393700787401507</v>
      </c>
      <c r="H1716">
        <v>-0.94064577397910709</v>
      </c>
      <c r="I1716">
        <v>-0.95039682539682513</v>
      </c>
    </row>
    <row r="1717" spans="1:9" x14ac:dyDescent="0.25">
      <c r="A1717" s="1" t="s">
        <v>1729</v>
      </c>
      <c r="B1717" t="str">
        <f>HYPERLINK("https://www.suredividend.com/sure-analysis-research-database/","Vaxart Inc")</f>
        <v>Vaxart Inc</v>
      </c>
      <c r="C1717">
        <v>7.1942446043160007E-3</v>
      </c>
      <c r="D1717">
        <v>-9.0554761595426012E-2</v>
      </c>
      <c r="E1717">
        <v>-0.186046511627906</v>
      </c>
      <c r="F1717">
        <v>-0.27151628681444401</v>
      </c>
      <c r="G1717">
        <v>-0.52380952380952306</v>
      </c>
      <c r="H1717">
        <v>-0.8984034833091431</v>
      </c>
      <c r="I1717">
        <v>-0.76109215017064802</v>
      </c>
    </row>
    <row r="1718" spans="1:9" x14ac:dyDescent="0.25">
      <c r="A1718" s="1" t="s">
        <v>1730</v>
      </c>
      <c r="B1718" t="str">
        <f>HYPERLINK("https://www.suredividend.com/sure-analysis-research-database/","VIZIO Holding Corp")</f>
        <v>VIZIO Holding Corp</v>
      </c>
      <c r="C1718">
        <v>6.8965517241379004E-2</v>
      </c>
      <c r="D1718">
        <v>-0.24184782608695601</v>
      </c>
      <c r="E1718">
        <v>-0.31025957972805901</v>
      </c>
      <c r="F1718">
        <v>-0.24696356275303599</v>
      </c>
      <c r="G1718">
        <v>-0.46958174904942901</v>
      </c>
      <c r="H1718">
        <v>-0.70271710175812407</v>
      </c>
      <c r="I1718">
        <v>-0.70785340314136103</v>
      </c>
    </row>
    <row r="1719" spans="1:9" x14ac:dyDescent="0.25">
      <c r="A1719" s="1" t="s">
        <v>1731</v>
      </c>
      <c r="B1719" t="str">
        <f>HYPERLINK("https://www.suredividend.com/sure-analysis-WABC/","Westamerica Bancorporation")</f>
        <v>Westamerica Bancorporation</v>
      </c>
      <c r="C1719">
        <v>0.163226397886585</v>
      </c>
      <c r="D1719">
        <v>2.0598050608099001E-2</v>
      </c>
      <c r="E1719">
        <v>0.38756142264401211</v>
      </c>
      <c r="F1719">
        <v>-0.10611125799990501</v>
      </c>
      <c r="G1719">
        <v>-0.138379469132828</v>
      </c>
      <c r="H1719">
        <v>-2.2752290671798001E-2</v>
      </c>
      <c r="I1719">
        <v>-1.5744891285273999E-2</v>
      </c>
    </row>
    <row r="1720" spans="1:9" x14ac:dyDescent="0.25">
      <c r="A1720" s="1" t="s">
        <v>1732</v>
      </c>
      <c r="B1720" t="str">
        <f>HYPERLINK("https://www.suredividend.com/sure-analysis-WAFD/","WaFd Inc")</f>
        <v>WaFd Inc</v>
      </c>
      <c r="C1720">
        <v>6.9924513309495007E-2</v>
      </c>
      <c r="D1720">
        <v>-0.115337866692947</v>
      </c>
      <c r="E1720">
        <v>9.9201619618279002E-2</v>
      </c>
      <c r="F1720">
        <v>-0.168822029765615</v>
      </c>
      <c r="G1720">
        <v>-0.26478417197443499</v>
      </c>
      <c r="H1720">
        <v>-0.19517523542543899</v>
      </c>
      <c r="I1720">
        <v>0.12703760279562201</v>
      </c>
    </row>
    <row r="1721" spans="1:9" x14ac:dyDescent="0.25">
      <c r="A1721" s="1" t="s">
        <v>1733</v>
      </c>
      <c r="B1721" t="str">
        <f>HYPERLINK("https://www.suredividend.com/sure-analysis-WASH/","Washington Trust Bancorp, Inc.")</f>
        <v>Washington Trust Bancorp, Inc.</v>
      </c>
      <c r="C1721">
        <v>8.206330597889E-3</v>
      </c>
      <c r="D1721">
        <v>-0.154386700928208</v>
      </c>
      <c r="E1721">
        <v>0.13600838356574499</v>
      </c>
      <c r="F1721">
        <v>-0.39677202892688501</v>
      </c>
      <c r="G1721">
        <v>-0.39730891422164011</v>
      </c>
      <c r="H1721">
        <v>-0.46640193584413903</v>
      </c>
      <c r="I1721">
        <v>-0.32979179384603402</v>
      </c>
    </row>
    <row r="1722" spans="1:9" x14ac:dyDescent="0.25">
      <c r="A1722" s="1" t="s">
        <v>1734</v>
      </c>
      <c r="B1722" t="str">
        <f>HYPERLINK("https://www.suredividend.com/sure-analysis-research-database/","Walker &amp; Dunlop Inc")</f>
        <v>Walker &amp; Dunlop Inc</v>
      </c>
      <c r="C1722">
        <v>0.11579253232602001</v>
      </c>
      <c r="D1722">
        <v>-0.11890634249762499</v>
      </c>
      <c r="E1722">
        <v>0.198932201008476</v>
      </c>
      <c r="F1722">
        <v>2.1530632217649998E-3</v>
      </c>
      <c r="G1722">
        <v>-5.5737317925130002E-2</v>
      </c>
      <c r="H1722">
        <v>-0.43891066844150112</v>
      </c>
      <c r="I1722">
        <v>0.89097355591667804</v>
      </c>
    </row>
    <row r="1723" spans="1:9" x14ac:dyDescent="0.25">
      <c r="A1723" s="1" t="s">
        <v>1735</v>
      </c>
      <c r="B1723" t="str">
        <f>HYPERLINK("https://www.suredividend.com/sure-analysis-WDFC/","WD-40 Co.")</f>
        <v>WD-40 Co.</v>
      </c>
      <c r="C1723">
        <v>0.10032735314817499</v>
      </c>
      <c r="D1723">
        <v>-1.5463224418448E-2</v>
      </c>
      <c r="E1723">
        <v>0.17805616977824101</v>
      </c>
      <c r="F1723">
        <v>0.39734780003282411</v>
      </c>
      <c r="G1723">
        <v>0.42025286009675211</v>
      </c>
      <c r="H1723">
        <v>-1.1835836808507E-2</v>
      </c>
      <c r="I1723">
        <v>0.39193670318974411</v>
      </c>
    </row>
    <row r="1724" spans="1:9" x14ac:dyDescent="0.25">
      <c r="A1724" s="1" t="s">
        <v>1736</v>
      </c>
      <c r="B1724" t="str">
        <f>HYPERLINK("https://www.suredividend.com/sure-analysis-research-database/","Weave Communications Inc")</f>
        <v>Weave Communications Inc</v>
      </c>
      <c r="C1724">
        <v>0.11183355006501899</v>
      </c>
      <c r="D1724">
        <v>-0.144144144144144</v>
      </c>
      <c r="E1724">
        <v>0.59813084112149506</v>
      </c>
      <c r="F1724">
        <v>0.86681222707423611</v>
      </c>
      <c r="G1724">
        <v>0.7168674698795181</v>
      </c>
      <c r="H1724">
        <v>-0.54497072911122901</v>
      </c>
      <c r="I1724">
        <v>-0.54497072911122901</v>
      </c>
    </row>
    <row r="1725" spans="1:9" x14ac:dyDescent="0.25">
      <c r="A1725" s="1" t="s">
        <v>1737</v>
      </c>
      <c r="B1725" t="str">
        <f>HYPERLINK("https://www.suredividend.com/sure-analysis-research-database/","Werner Enterprises, Inc.")</f>
        <v>Werner Enterprises, Inc.</v>
      </c>
      <c r="C1725">
        <v>-3.6040741708017E-2</v>
      </c>
      <c r="D1725">
        <v>-0.18666223014528099</v>
      </c>
      <c r="E1725">
        <v>-0.178304203315724</v>
      </c>
      <c r="F1725">
        <v>-6.8152842121208007E-2</v>
      </c>
      <c r="G1725">
        <v>-2.4963677189273999E-2</v>
      </c>
      <c r="H1725">
        <v>-0.17480828992376299</v>
      </c>
      <c r="I1725">
        <v>0.34891659083350601</v>
      </c>
    </row>
    <row r="1726" spans="1:9" x14ac:dyDescent="0.25">
      <c r="A1726" s="1" t="s">
        <v>1738</v>
      </c>
      <c r="B1726" t="str">
        <f>HYPERLINK("https://www.suredividend.com/sure-analysis-WEYS/","Weyco Group, Inc")</f>
        <v>Weyco Group, Inc</v>
      </c>
      <c r="C1726">
        <v>5.5598755832037002E-2</v>
      </c>
      <c r="D1726">
        <v>9.9902771025765003E-2</v>
      </c>
      <c r="E1726">
        <v>0.106248777625659</v>
      </c>
      <c r="F1726">
        <v>0.34755504377692598</v>
      </c>
      <c r="G1726">
        <v>0.172841906094889</v>
      </c>
      <c r="H1726">
        <v>0.28252972492925998</v>
      </c>
      <c r="I1726">
        <v>6.4559766306585012E-2</v>
      </c>
    </row>
    <row r="1727" spans="1:9" x14ac:dyDescent="0.25">
      <c r="A1727" s="1" t="s">
        <v>1739</v>
      </c>
      <c r="B1727" t="str">
        <f>HYPERLINK("https://www.suredividend.com/sure-analysis-research-database/","Weatherford International plc")</f>
        <v>Weatherford International plc</v>
      </c>
      <c r="C1727">
        <v>0.16272535705923599</v>
      </c>
      <c r="D1727">
        <v>0.19174466042716501</v>
      </c>
      <c r="E1727">
        <v>0.68624787775891305</v>
      </c>
      <c r="F1727">
        <v>0.95051060487038408</v>
      </c>
      <c r="G1727">
        <v>1.3232748538011689</v>
      </c>
      <c r="H1727">
        <v>2.1252359974826929</v>
      </c>
      <c r="I1727">
        <v>6.7533177205308341</v>
      </c>
    </row>
    <row r="1728" spans="1:9" x14ac:dyDescent="0.25">
      <c r="A1728" s="1" t="s">
        <v>1740</v>
      </c>
      <c r="B1728" t="str">
        <f>HYPERLINK("https://www.suredividend.com/sure-analysis-WGO/","Winnebago Industries, Inc.")</f>
        <v>Winnebago Industries, Inc.</v>
      </c>
      <c r="C1728">
        <v>8.8539021499915008E-2</v>
      </c>
      <c r="D1728">
        <v>-4.0375850304602001E-2</v>
      </c>
      <c r="E1728">
        <v>0.105019849112375</v>
      </c>
      <c r="F1728">
        <v>0.24285551369750399</v>
      </c>
      <c r="G1728">
        <v>0.138113528151937</v>
      </c>
      <c r="H1728">
        <v>-8.1874518091212004E-2</v>
      </c>
      <c r="I1728">
        <v>1.3495879999269169</v>
      </c>
    </row>
    <row r="1729" spans="1:9" x14ac:dyDescent="0.25">
      <c r="A1729" s="1" t="s">
        <v>1741</v>
      </c>
      <c r="B1729" t="str">
        <f>HYPERLINK("https://www.suredividend.com/sure-analysis-research-database/","GeneDx Holdings Corp")</f>
        <v>GeneDx Holdings Corp</v>
      </c>
      <c r="C1729">
        <v>-0.48</v>
      </c>
      <c r="D1729">
        <v>-0.74509803921568607</v>
      </c>
      <c r="E1729">
        <v>-0.76546391752577303</v>
      </c>
      <c r="F1729">
        <v>5.8991660348749058</v>
      </c>
      <c r="G1729">
        <v>0.90855704697986506</v>
      </c>
      <c r="H1729">
        <v>-0.7931818181818181</v>
      </c>
      <c r="I1729">
        <v>-0.81428571428571406</v>
      </c>
    </row>
    <row r="1730" spans="1:9" x14ac:dyDescent="0.25">
      <c r="A1730" s="1" t="s">
        <v>1742</v>
      </c>
      <c r="B1730" t="str">
        <f>HYPERLINK("https://www.suredividend.com/sure-analysis-research-database/","Cactus Inc")</f>
        <v>Cactus Inc</v>
      </c>
      <c r="C1730">
        <v>-4.4425639940760004E-3</v>
      </c>
      <c r="D1730">
        <v>-8.4585398495187009E-2</v>
      </c>
      <c r="E1730">
        <v>0.26735339662021101</v>
      </c>
      <c r="F1730">
        <v>-5.6242416949934003E-2</v>
      </c>
      <c r="G1730">
        <v>-0.104884144694545</v>
      </c>
      <c r="H1730">
        <v>0.13679186031905499</v>
      </c>
      <c r="I1730">
        <v>0.35555139486987403</v>
      </c>
    </row>
    <row r="1731" spans="1:9" x14ac:dyDescent="0.25">
      <c r="A1731" s="1" t="s">
        <v>1743</v>
      </c>
      <c r="B1731" t="str">
        <f>HYPERLINK("https://www.suredividend.com/sure-analysis-research-database/","Winmark Corporation")</f>
        <v>Winmark Corporation</v>
      </c>
      <c r="C1731">
        <v>0.112128984976181</v>
      </c>
      <c r="D1731">
        <v>0.162820610359037</v>
      </c>
      <c r="E1731">
        <v>0.33728970497796501</v>
      </c>
      <c r="F1731">
        <v>0.82303320288784909</v>
      </c>
      <c r="G1731">
        <v>0.78402805739960102</v>
      </c>
      <c r="H1731">
        <v>0.77275596589332607</v>
      </c>
      <c r="I1731">
        <v>1.9117517863518401</v>
      </c>
    </row>
    <row r="1732" spans="1:9" x14ac:dyDescent="0.25">
      <c r="A1732" s="1" t="s">
        <v>1744</v>
      </c>
      <c r="B1732" t="str">
        <f>HYPERLINK("https://www.suredividend.com/sure-analysis-research-database/","Wingstop Inc")</f>
        <v>Wingstop Inc</v>
      </c>
      <c r="C1732">
        <v>0.120355324450222</v>
      </c>
      <c r="D1732">
        <v>0.24906323276937001</v>
      </c>
      <c r="E1732">
        <v>-1.236623963464E-3</v>
      </c>
      <c r="F1732">
        <v>0.50809679700772103</v>
      </c>
      <c r="G1732">
        <v>0.35642393035047698</v>
      </c>
      <c r="H1732">
        <v>0.32068243346784397</v>
      </c>
      <c r="I1732">
        <v>2.8336218496428449</v>
      </c>
    </row>
    <row r="1733" spans="1:9" x14ac:dyDescent="0.25">
      <c r="A1733" s="1" t="s">
        <v>1745</v>
      </c>
      <c r="B1733" t="str">
        <f>HYPERLINK("https://www.suredividend.com/sure-analysis-research-database/","Encore Wire Corp.")</f>
        <v>Encore Wire Corp.</v>
      </c>
      <c r="C1733">
        <v>7.5045620437956012E-2</v>
      </c>
      <c r="D1733">
        <v>0.13694890967009599</v>
      </c>
      <c r="E1733">
        <v>0.16624280145724599</v>
      </c>
      <c r="F1733">
        <v>0.37143555518696802</v>
      </c>
      <c r="G1733">
        <v>0.35450009160766011</v>
      </c>
      <c r="H1733">
        <v>0.373851206929597</v>
      </c>
      <c r="I1733">
        <v>2.862006801327488</v>
      </c>
    </row>
    <row r="1734" spans="1:9" x14ac:dyDescent="0.25">
      <c r="A1734" s="1" t="s">
        <v>1746</v>
      </c>
      <c r="B1734" t="str">
        <f>HYPERLINK("https://www.suredividend.com/sure-analysis-research-database/","ContextLogic Inc")</f>
        <v>ContextLogic Inc</v>
      </c>
      <c r="C1734">
        <v>-2.3255813953480002E-3</v>
      </c>
      <c r="D1734">
        <v>-0.3125</v>
      </c>
      <c r="E1734">
        <v>-0.43774574049803411</v>
      </c>
      <c r="F1734">
        <v>-0.70678695919622703</v>
      </c>
      <c r="G1734">
        <v>-0.79187891136661304</v>
      </c>
      <c r="H1734">
        <v>-0.97179487179487112</v>
      </c>
      <c r="I1734">
        <v>-0.99286783042394</v>
      </c>
    </row>
    <row r="1735" spans="1:9" x14ac:dyDescent="0.25">
      <c r="A1735" s="1" t="s">
        <v>1747</v>
      </c>
      <c r="B1735" t="str">
        <f>HYPERLINK("https://www.suredividend.com/sure-analysis-research-database/","Workiva Inc")</f>
        <v>Workiva Inc</v>
      </c>
      <c r="C1735">
        <v>-8.5457882928819007E-2</v>
      </c>
      <c r="D1735">
        <v>-0.165068429382738</v>
      </c>
      <c r="E1735">
        <v>4.570895522388E-2</v>
      </c>
      <c r="F1735">
        <v>6.8000476360605008E-2</v>
      </c>
      <c r="G1735">
        <v>0.31766088745224802</v>
      </c>
      <c r="H1735">
        <v>-0.43233320673502901</v>
      </c>
      <c r="I1735">
        <v>1.6306834848929299</v>
      </c>
    </row>
    <row r="1736" spans="1:9" x14ac:dyDescent="0.25">
      <c r="A1736" s="1" t="s">
        <v>1748</v>
      </c>
      <c r="B1736" t="str">
        <f>HYPERLINK("https://www.suredividend.com/sure-analysis-research-database/","Workhorse Group Inc")</f>
        <v>Workhorse Group Inc</v>
      </c>
      <c r="C1736">
        <v>5.5061728395061002E-2</v>
      </c>
      <c r="D1736">
        <v>-0.64092436974789901</v>
      </c>
      <c r="E1736">
        <v>-0.59688679245283005</v>
      </c>
      <c r="F1736">
        <v>-0.71888157894736804</v>
      </c>
      <c r="G1736">
        <v>-0.84405109489051011</v>
      </c>
      <c r="H1736">
        <v>-0.94081717451523506</v>
      </c>
      <c r="I1736">
        <v>-0.49088526152746298</v>
      </c>
    </row>
    <row r="1737" spans="1:9" x14ac:dyDescent="0.25">
      <c r="A1737" s="1" t="s">
        <v>1749</v>
      </c>
      <c r="B1737" t="str">
        <f>HYPERLINK("https://www.suredividend.com/sure-analysis-research-database/","Willdan Group Inc")</f>
        <v>Willdan Group Inc</v>
      </c>
      <c r="C1737">
        <v>2.5906735751289999E-3</v>
      </c>
      <c r="D1737">
        <v>-0.20955882352941099</v>
      </c>
      <c r="E1737">
        <v>0.348432055749128</v>
      </c>
      <c r="F1737">
        <v>8.4033613445378005E-2</v>
      </c>
      <c r="G1737">
        <v>0.15384615384615299</v>
      </c>
      <c r="H1737">
        <v>-0.47603574329813098</v>
      </c>
      <c r="I1737">
        <v>-0.44091303091591999</v>
      </c>
    </row>
    <row r="1738" spans="1:9" x14ac:dyDescent="0.25">
      <c r="A1738" s="1" t="s">
        <v>1750</v>
      </c>
      <c r="B1738" t="str">
        <f>HYPERLINK("https://www.suredividend.com/sure-analysis-WLY/","John Wiley &amp; Sons Inc.")</f>
        <v>John Wiley &amp; Sons Inc.</v>
      </c>
      <c r="C1738">
        <v>-0.124255503296853</v>
      </c>
      <c r="D1738">
        <v>-0.103536310276691</v>
      </c>
      <c r="E1738">
        <v>-0.11118816458622199</v>
      </c>
      <c r="F1738">
        <v>-0.209112179569588</v>
      </c>
      <c r="G1738">
        <v>-0.236440362417773</v>
      </c>
      <c r="H1738">
        <v>-0.42595232940930511</v>
      </c>
      <c r="I1738">
        <v>-0.38855427674081111</v>
      </c>
    </row>
    <row r="1739" spans="1:9" x14ac:dyDescent="0.25">
      <c r="A1739" s="1" t="s">
        <v>1751</v>
      </c>
      <c r="B1739" t="str">
        <f>HYPERLINK("https://www.suredividend.com/sure-analysis-research-database/","Weis Markets, Inc.")</f>
        <v>Weis Markets, Inc.</v>
      </c>
      <c r="C1739">
        <v>4.2338509624924997E-2</v>
      </c>
      <c r="D1739">
        <v>4.0092205109957001E-2</v>
      </c>
      <c r="E1739">
        <v>-0.142238167658436</v>
      </c>
      <c r="F1739">
        <v>-0.16762825433457201</v>
      </c>
      <c r="G1739">
        <v>-0.209510797355864</v>
      </c>
      <c r="H1739">
        <v>0.13014389456697101</v>
      </c>
      <c r="I1739">
        <v>0.66072579868238701</v>
      </c>
    </row>
    <row r="1740" spans="1:9" x14ac:dyDescent="0.25">
      <c r="A1740" s="1" t="s">
        <v>1752</v>
      </c>
      <c r="B1740" t="str">
        <f>HYPERLINK("https://www.suredividend.com/sure-analysis-research-database/","Wabash National Corp.")</f>
        <v>Wabash National Corp.</v>
      </c>
      <c r="C1740">
        <v>1.5910154422086001E-2</v>
      </c>
      <c r="D1740">
        <v>-9.194334998034101E-2</v>
      </c>
      <c r="E1740">
        <v>-6.2988251745836998E-2</v>
      </c>
      <c r="F1740">
        <v>-2.6016267457458001E-2</v>
      </c>
      <c r="G1740">
        <v>-1.8193494118658001E-2</v>
      </c>
      <c r="H1740">
        <v>0.35102337998543798</v>
      </c>
      <c r="I1740">
        <v>0.535719085783811</v>
      </c>
    </row>
    <row r="1741" spans="1:9" x14ac:dyDescent="0.25">
      <c r="A1741" s="1" t="s">
        <v>1753</v>
      </c>
      <c r="B1741" t="str">
        <f>HYPERLINK("https://www.suredividend.com/sure-analysis-WOR/","Worthington Industries, Inc.")</f>
        <v>Worthington Industries, Inc.</v>
      </c>
      <c r="C1741">
        <v>3.7902303545172003E-2</v>
      </c>
      <c r="D1741">
        <v>-0.106872987019924</v>
      </c>
      <c r="E1741">
        <v>0.140881745532908</v>
      </c>
      <c r="F1741">
        <v>0.29760047059208</v>
      </c>
      <c r="G1741">
        <v>0.282343703637916</v>
      </c>
      <c r="H1741">
        <v>0.18214703058361101</v>
      </c>
      <c r="I1741">
        <v>0.67425655945943108</v>
      </c>
    </row>
    <row r="1742" spans="1:9" x14ac:dyDescent="0.25">
      <c r="A1742" s="1" t="s">
        <v>1754</v>
      </c>
      <c r="B1742" t="str">
        <f>HYPERLINK("https://www.suredividend.com/sure-analysis-research-database/","WideOpenWest Inc")</f>
        <v>WideOpenWest Inc</v>
      </c>
      <c r="C1742">
        <v>4.2699724517905997E-2</v>
      </c>
      <c r="D1742">
        <v>-8.0194410692588008E-2</v>
      </c>
      <c r="E1742">
        <v>-0.17086527929901399</v>
      </c>
      <c r="F1742">
        <v>-0.16904500548847401</v>
      </c>
      <c r="G1742">
        <v>-0.27000964320154203</v>
      </c>
      <c r="H1742">
        <v>-0.609391124871001</v>
      </c>
      <c r="I1742">
        <v>-0.22517911975435001</v>
      </c>
    </row>
    <row r="1743" spans="1:9" x14ac:dyDescent="0.25">
      <c r="A1743" s="1" t="s">
        <v>1755</v>
      </c>
      <c r="B1743" t="str">
        <f>HYPERLINK("https://www.suredividend.com/sure-analysis-research-database/","Warby Parker Inc")</f>
        <v>Warby Parker Inc</v>
      </c>
      <c r="C1743">
        <v>2.6296018031554999E-2</v>
      </c>
      <c r="D1743">
        <v>-8.3221476510067005E-2</v>
      </c>
      <c r="E1743">
        <v>0.213143872113676</v>
      </c>
      <c r="F1743">
        <v>1.2601927353594999E-2</v>
      </c>
      <c r="G1743">
        <v>-8.628762541806001E-2</v>
      </c>
      <c r="H1743">
        <v>-0.75231187669990907</v>
      </c>
      <c r="I1743">
        <v>-0.74931180033033506</v>
      </c>
    </row>
    <row r="1744" spans="1:9" x14ac:dyDescent="0.25">
      <c r="A1744" s="1" t="s">
        <v>1756</v>
      </c>
      <c r="B1744" t="str">
        <f>HYPERLINK("https://www.suredividend.com/sure-analysis-research-database/","World Acceptance Corp.")</f>
        <v>World Acceptance Corp.</v>
      </c>
      <c r="C1744">
        <v>-0.121741972383364</v>
      </c>
      <c r="D1744">
        <v>-0.29639327093015599</v>
      </c>
      <c r="E1744">
        <v>4.6538798559049001E-2</v>
      </c>
      <c r="F1744">
        <v>0.63011828935395808</v>
      </c>
      <c r="G1744">
        <v>0.510539629005059</v>
      </c>
      <c r="H1744">
        <v>-0.50233807120700003</v>
      </c>
      <c r="I1744">
        <v>-1.0858562620778001E-2</v>
      </c>
    </row>
    <row r="1745" spans="1:9" x14ac:dyDescent="0.25">
      <c r="A1745" s="1" t="s">
        <v>1757</v>
      </c>
      <c r="B1745" t="str">
        <f>HYPERLINK("https://www.suredividend.com/sure-analysis-WSBC/","Wesbanco, Inc.")</f>
        <v>Wesbanco, Inc.</v>
      </c>
      <c r="C1745">
        <v>9.5355528154541014E-2</v>
      </c>
      <c r="D1745">
        <v>2.6411033943069999E-3</v>
      </c>
      <c r="E1745">
        <v>0.32471728594507199</v>
      </c>
      <c r="F1745">
        <v>-0.23281535175344101</v>
      </c>
      <c r="G1745">
        <v>-0.28325919391536802</v>
      </c>
      <c r="H1745">
        <v>-0.155239417511427</v>
      </c>
      <c r="I1745">
        <v>-0.18174225955810999</v>
      </c>
    </row>
    <row r="1746" spans="1:9" x14ac:dyDescent="0.25">
      <c r="A1746" s="1" t="s">
        <v>1758</v>
      </c>
      <c r="B1746" t="str">
        <f>HYPERLINK("https://www.suredividend.com/sure-analysis-research-database/","Waterstone Financial Inc")</f>
        <v>Waterstone Financial Inc</v>
      </c>
      <c r="C1746">
        <v>0.113762927605409</v>
      </c>
      <c r="D1746">
        <v>-0.148015416863885</v>
      </c>
      <c r="E1746">
        <v>-0.112467715426156</v>
      </c>
      <c r="F1746">
        <v>-0.27622257113315202</v>
      </c>
      <c r="G1746">
        <v>-0.25505009032681802</v>
      </c>
      <c r="H1746">
        <v>-0.38729198184568803</v>
      </c>
      <c r="I1746">
        <v>-2.8760341903766001E-2</v>
      </c>
    </row>
    <row r="1747" spans="1:9" x14ac:dyDescent="0.25">
      <c r="A1747" s="1" t="s">
        <v>1759</v>
      </c>
      <c r="B1747" t="str">
        <f>HYPERLINK("https://www.suredividend.com/sure-analysis-research-database/","WSFS Financial Corp.")</f>
        <v>WSFS Financial Corp.</v>
      </c>
      <c r="C1747">
        <v>8.0177331679133004E-2</v>
      </c>
      <c r="D1747">
        <v>-9.8977034076282014E-2</v>
      </c>
      <c r="E1747">
        <v>0.25034038304438599</v>
      </c>
      <c r="F1747">
        <v>-0.125537611858408</v>
      </c>
      <c r="G1747">
        <v>-0.15714070308931799</v>
      </c>
      <c r="H1747">
        <v>-0.248521689998149</v>
      </c>
      <c r="I1747">
        <v>-2.2378583069939E-2</v>
      </c>
    </row>
    <row r="1748" spans="1:9" x14ac:dyDescent="0.25">
      <c r="A1748" s="1" t="s">
        <v>1760</v>
      </c>
      <c r="B1748" t="str">
        <f>HYPERLINK("https://www.suredividend.com/sure-analysis-WSR/","Whitestone REIT")</f>
        <v>Whitestone REIT</v>
      </c>
      <c r="C1748">
        <v>0.18976084605215701</v>
      </c>
      <c r="D1748">
        <v>6.6121042429463012E-2</v>
      </c>
      <c r="E1748">
        <v>0.31486803023351201</v>
      </c>
      <c r="F1748">
        <v>0.18269293425139499</v>
      </c>
      <c r="G1748">
        <v>0.233644859813084</v>
      </c>
      <c r="H1748">
        <v>0.269837568068657</v>
      </c>
      <c r="I1748">
        <v>5.7230231542158012E-2</v>
      </c>
    </row>
    <row r="1749" spans="1:9" x14ac:dyDescent="0.25">
      <c r="A1749" s="1" t="s">
        <v>1761</v>
      </c>
      <c r="B1749" t="str">
        <f>HYPERLINK("https://www.suredividend.com/sure-analysis-research-database/","WisdomTree Inc")</f>
        <v>WisdomTree Inc</v>
      </c>
      <c r="C1749">
        <v>-9.0651558073654007E-2</v>
      </c>
      <c r="D1749">
        <v>-6.2534827564850008E-3</v>
      </c>
      <c r="E1749">
        <v>1.7142495009347E-2</v>
      </c>
      <c r="F1749">
        <v>0.19466309384246</v>
      </c>
      <c r="G1749">
        <v>0.22053231939163501</v>
      </c>
      <c r="H1749">
        <v>-2.8773713352092001E-2</v>
      </c>
      <c r="I1749">
        <v>-9.7198785015187014E-2</v>
      </c>
    </row>
    <row r="1750" spans="1:9" x14ac:dyDescent="0.25">
      <c r="A1750" s="1" t="s">
        <v>1762</v>
      </c>
      <c r="B1750" t="str">
        <f>HYPERLINK("https://www.suredividend.com/sure-analysis-research-database/","West Bancorporation")</f>
        <v>West Bancorporation</v>
      </c>
      <c r="C1750">
        <v>0.10037406483790499</v>
      </c>
      <c r="D1750">
        <v>-6.9181195878028012E-2</v>
      </c>
      <c r="E1750">
        <v>0.15754403914007201</v>
      </c>
      <c r="F1750">
        <v>-0.25985876511733202</v>
      </c>
      <c r="G1750">
        <v>-0.138145719294304</v>
      </c>
      <c r="H1750">
        <v>-0.39147793288673899</v>
      </c>
      <c r="I1750">
        <v>1.9771432533308E-2</v>
      </c>
    </row>
    <row r="1751" spans="1:9" x14ac:dyDescent="0.25">
      <c r="A1751" s="1" t="s">
        <v>1763</v>
      </c>
      <c r="B1751" t="str">
        <f>HYPERLINK("https://www.suredividend.com/sure-analysis-research-database/","W &amp; T Offshore Inc")</f>
        <v>W &amp; T Offshore Inc</v>
      </c>
      <c r="C1751">
        <v>0.110526315789473</v>
      </c>
      <c r="D1751">
        <v>1.9323671497583999E-2</v>
      </c>
      <c r="E1751">
        <v>2.6763990267638999E-2</v>
      </c>
      <c r="F1751">
        <v>-0.24372759856630799</v>
      </c>
      <c r="G1751">
        <v>-0.51494252873563207</v>
      </c>
      <c r="H1751">
        <v>2.6763990267638999E-2</v>
      </c>
      <c r="I1751">
        <v>-0.43882978723404198</v>
      </c>
    </row>
    <row r="1752" spans="1:9" x14ac:dyDescent="0.25">
      <c r="A1752" s="1" t="s">
        <v>1764</v>
      </c>
      <c r="B1752" t="str">
        <f>HYPERLINK("https://www.suredividend.com/sure-analysis-research-database/","Watts Water Technologies, Inc.")</f>
        <v>Watts Water Technologies, Inc.</v>
      </c>
      <c r="C1752">
        <v>0.114446199754256</v>
      </c>
      <c r="D1752">
        <v>2.9561589101279998E-3</v>
      </c>
      <c r="E1752">
        <v>0.13738081745476699</v>
      </c>
      <c r="F1752">
        <v>0.310114854296409</v>
      </c>
      <c r="G1752">
        <v>0.35187503726226599</v>
      </c>
      <c r="H1752">
        <v>-3.6668989814900001E-2</v>
      </c>
      <c r="I1752">
        <v>1.798465523498324</v>
      </c>
    </row>
    <row r="1753" spans="1:9" x14ac:dyDescent="0.25">
      <c r="A1753" s="1" t="s">
        <v>1765</v>
      </c>
      <c r="B1753" t="str">
        <f>HYPERLINK("https://www.suredividend.com/sure-analysis-research-database/","Select Water Solutions Inc")</f>
        <v>Select Water Solutions Inc</v>
      </c>
      <c r="C1753">
        <v>4.20054200542E-2</v>
      </c>
      <c r="D1753">
        <v>-8.7781731909845007E-2</v>
      </c>
      <c r="E1753">
        <v>5.8252026366851013E-2</v>
      </c>
      <c r="F1753">
        <v>-0.151878770499939</v>
      </c>
      <c r="G1753">
        <v>-0.16720814381633001</v>
      </c>
      <c r="H1753">
        <v>0.22015073383577899</v>
      </c>
      <c r="I1753">
        <v>-0.21959041182082001</v>
      </c>
    </row>
    <row r="1754" spans="1:9" x14ac:dyDescent="0.25">
      <c r="A1754" s="1" t="s">
        <v>1766</v>
      </c>
      <c r="B1754" t="str">
        <f>HYPERLINK("https://www.suredividend.com/sure-analysis-research-database/","TeraWulf Inc")</f>
        <v>TeraWulf Inc</v>
      </c>
      <c r="C1754">
        <v>3.6036036036035002E-2</v>
      </c>
      <c r="D1754">
        <v>-0.56273764258555103</v>
      </c>
      <c r="E1754">
        <v>-0.35393258426966301</v>
      </c>
      <c r="F1754">
        <v>0.72776442307692302</v>
      </c>
      <c r="G1754">
        <v>4.5454545454544998E-2</v>
      </c>
      <c r="H1754">
        <v>-0.96068376068376005</v>
      </c>
      <c r="I1754">
        <v>-0.88020833333333304</v>
      </c>
    </row>
    <row r="1755" spans="1:9" x14ac:dyDescent="0.25">
      <c r="A1755" s="1" t="s">
        <v>1767</v>
      </c>
      <c r="B1755" t="str">
        <f>HYPERLINK("https://www.suredividend.com/sure-analysis-research-database/","WW International Inc")</f>
        <v>WW International Inc</v>
      </c>
      <c r="C1755">
        <v>-0.30152671755725102</v>
      </c>
      <c r="D1755">
        <v>-0.107317073170731</v>
      </c>
      <c r="E1755">
        <v>-3.4300791556728001E-2</v>
      </c>
      <c r="F1755">
        <v>0.89637305699481806</v>
      </c>
      <c r="G1755">
        <v>0.65237020316027106</v>
      </c>
      <c r="H1755">
        <v>-0.59513274336283106</v>
      </c>
      <c r="I1755">
        <v>-0.8479119052565961</v>
      </c>
    </row>
    <row r="1756" spans="1:9" x14ac:dyDescent="0.25">
      <c r="A1756" s="1" t="s">
        <v>1768</v>
      </c>
      <c r="B1756" t="str">
        <f>HYPERLINK("https://www.suredividend.com/sure-analysis-research-database/","Wolverine World Wide, Inc.")</f>
        <v>Wolverine World Wide, Inc.</v>
      </c>
      <c r="C1756">
        <v>3.8083538083536997E-2</v>
      </c>
      <c r="D1756">
        <v>-0.31832849306227801</v>
      </c>
      <c r="E1756">
        <v>-0.38942439701143111</v>
      </c>
      <c r="F1756">
        <v>-0.20635666049910301</v>
      </c>
      <c r="G1756">
        <v>-0.49848655706570111</v>
      </c>
      <c r="H1756">
        <v>-0.75682893419129005</v>
      </c>
      <c r="I1756">
        <v>-0.7449010397169451</v>
      </c>
    </row>
    <row r="1757" spans="1:9" x14ac:dyDescent="0.25">
      <c r="A1757" s="1" t="s">
        <v>1769</v>
      </c>
      <c r="B1757" t="str">
        <f>HYPERLINK("https://www.suredividend.com/sure-analysis-research-database/","Xeris Biopharma Holdings Inc")</f>
        <v>Xeris Biopharma Holdings Inc</v>
      </c>
      <c r="C1757">
        <v>0.13095238095237999</v>
      </c>
      <c r="D1757">
        <v>-0.28030303030303</v>
      </c>
      <c r="E1757">
        <v>-0.177489177489177</v>
      </c>
      <c r="F1757">
        <v>0.42857142857142799</v>
      </c>
      <c r="G1757">
        <v>0.24183006535947699</v>
      </c>
      <c r="H1757">
        <v>-2.0618556701030001E-2</v>
      </c>
      <c r="I1757">
        <v>-0.194915254237288</v>
      </c>
    </row>
    <row r="1758" spans="1:9" x14ac:dyDescent="0.25">
      <c r="A1758" s="1" t="s">
        <v>1770</v>
      </c>
      <c r="B1758" t="str">
        <f>HYPERLINK("https://www.suredividend.com/sure-analysis-research-database/","Xenia Hotels &amp; Resorts Inc")</f>
        <v>Xenia Hotels &amp; Resorts Inc</v>
      </c>
      <c r="C1758">
        <v>5.8974358974358002E-2</v>
      </c>
      <c r="D1758">
        <v>3.541642292457E-2</v>
      </c>
      <c r="E1758">
        <v>-2.2323225149727999E-2</v>
      </c>
      <c r="F1758">
        <v>-3.6225176380904001E-2</v>
      </c>
      <c r="G1758">
        <v>-0.111547728315741</v>
      </c>
      <c r="H1758">
        <v>-0.32143796004205999</v>
      </c>
      <c r="I1758">
        <v>-0.28839725696957103</v>
      </c>
    </row>
    <row r="1759" spans="1:9" x14ac:dyDescent="0.25">
      <c r="A1759" s="1" t="s">
        <v>1771</v>
      </c>
      <c r="B1759" t="str">
        <f>HYPERLINK("https://www.suredividend.com/sure-analysis-research-database/","Xometry Inc")</f>
        <v>Xometry Inc</v>
      </c>
      <c r="C1759">
        <v>-3.6061820263308002E-2</v>
      </c>
      <c r="D1759">
        <v>-2.4050999710228001E-2</v>
      </c>
      <c r="E1759">
        <v>0.33863275039745611</v>
      </c>
      <c r="F1759">
        <v>-0.47750542972385901</v>
      </c>
      <c r="G1759">
        <v>-0.68482126146359701</v>
      </c>
      <c r="H1759">
        <v>-0.64261460101867507</v>
      </c>
      <c r="I1759">
        <v>-0.80730060647671309</v>
      </c>
    </row>
    <row r="1760" spans="1:9" x14ac:dyDescent="0.25">
      <c r="A1760" s="1" t="s">
        <v>1772</v>
      </c>
      <c r="B1760" t="str">
        <f>HYPERLINK("https://www.suredividend.com/sure-analysis-research-database/","Xencor Inc")</f>
        <v>Xencor Inc</v>
      </c>
      <c r="C1760">
        <v>-4.0062434963579002E-2</v>
      </c>
      <c r="D1760">
        <v>-0.23697270471463999</v>
      </c>
      <c r="E1760">
        <v>-0.33248914616497799</v>
      </c>
      <c r="F1760">
        <v>-0.29147465437788</v>
      </c>
      <c r="G1760">
        <v>-0.316919659385412</v>
      </c>
      <c r="H1760">
        <v>-0.56730769230769207</v>
      </c>
      <c r="I1760">
        <v>-0.51434588049486707</v>
      </c>
    </row>
    <row r="1761" spans="1:9" x14ac:dyDescent="0.25">
      <c r="A1761" s="1" t="s">
        <v>1773</v>
      </c>
      <c r="B1761" t="str">
        <f>HYPERLINK("https://www.suredividend.com/sure-analysis-research-database/","Xos Inc")</f>
        <v>Xos Inc</v>
      </c>
      <c r="C1761">
        <v>-0.16269841269841201</v>
      </c>
      <c r="D1761">
        <v>-0.56056924678930908</v>
      </c>
      <c r="E1761">
        <v>-0.46962714704650099</v>
      </c>
      <c r="F1761">
        <v>-0.42831338902686811</v>
      </c>
      <c r="G1761">
        <v>-0.77392857142857108</v>
      </c>
      <c r="H1761">
        <v>-0.9479012345679011</v>
      </c>
      <c r="I1761">
        <v>-0.96646357615894007</v>
      </c>
    </row>
    <row r="1762" spans="1:9" x14ac:dyDescent="0.25">
      <c r="A1762" s="1" t="s">
        <v>1774</v>
      </c>
      <c r="B1762" t="str">
        <f>HYPERLINK("https://www.suredividend.com/sure-analysis-research-database/","XPEL Inc")</f>
        <v>XPEL Inc</v>
      </c>
      <c r="C1762">
        <v>-0.32977017637626899</v>
      </c>
      <c r="D1762">
        <v>-0.38619676945668102</v>
      </c>
      <c r="E1762">
        <v>-0.27367506516072898</v>
      </c>
      <c r="F1762">
        <v>-0.164835164835164</v>
      </c>
      <c r="G1762">
        <v>-0.21929961089494099</v>
      </c>
      <c r="H1762">
        <v>-0.35252355750613101</v>
      </c>
      <c r="I1762">
        <v>28.910554561717351</v>
      </c>
    </row>
    <row r="1763" spans="1:9" x14ac:dyDescent="0.25">
      <c r="A1763" s="1" t="s">
        <v>1775</v>
      </c>
      <c r="B1763" t="str">
        <f>HYPERLINK("https://www.suredividend.com/sure-analysis-research-database/","Xperi Inc")</f>
        <v>Xperi Inc</v>
      </c>
      <c r="C1763">
        <v>-5.0429184549356007E-2</v>
      </c>
      <c r="D1763">
        <v>-0.32648401826484003</v>
      </c>
      <c r="E1763">
        <v>-2.1017699115043999E-2</v>
      </c>
      <c r="F1763">
        <v>2.7874564459930001E-2</v>
      </c>
      <c r="G1763">
        <v>-0.21333333333333299</v>
      </c>
      <c r="H1763">
        <v>-0.61521739130434705</v>
      </c>
      <c r="I1763">
        <v>-0.61521739130434705</v>
      </c>
    </row>
    <row r="1764" spans="1:9" x14ac:dyDescent="0.25">
      <c r="A1764" s="1" t="s">
        <v>1776</v>
      </c>
      <c r="B1764" t="str">
        <f>HYPERLINK("https://www.suredividend.com/sure-analysis-research-database/","Xponential Fitness Inc")</f>
        <v>Xponential Fitness Inc</v>
      </c>
      <c r="C1764">
        <v>-9.3690248565965001E-2</v>
      </c>
      <c r="D1764">
        <v>-0.27485976542580298</v>
      </c>
      <c r="E1764">
        <v>-0.54188144329896903</v>
      </c>
      <c r="F1764">
        <v>-0.37985172263410311</v>
      </c>
      <c r="G1764">
        <v>-0.18835616438356101</v>
      </c>
      <c r="H1764">
        <v>-0.17325581395348799</v>
      </c>
      <c r="I1764">
        <v>0.16081632653061201</v>
      </c>
    </row>
    <row r="1765" spans="1:9" x14ac:dyDescent="0.25">
      <c r="A1765" s="1" t="s">
        <v>1777</v>
      </c>
      <c r="B1765" t="str">
        <f>HYPERLINK("https://www.suredividend.com/sure-analysis-research-database/","Expro Group Holdings N.V.")</f>
        <v>Expro Group Holdings N.V.</v>
      </c>
      <c r="C1765">
        <v>-0.23877068557919601</v>
      </c>
      <c r="D1765">
        <v>-0.30030421555845199</v>
      </c>
      <c r="E1765">
        <v>-8.1574443810610006E-2</v>
      </c>
      <c r="F1765">
        <v>-0.111969111969111</v>
      </c>
      <c r="G1765">
        <v>-0.12547528517110201</v>
      </c>
      <c r="H1765">
        <v>-7.9999999999999002E-2</v>
      </c>
      <c r="I1765">
        <v>-0.62575546257554604</v>
      </c>
    </row>
    <row r="1766" spans="1:9" x14ac:dyDescent="0.25">
      <c r="A1766" s="1" t="s">
        <v>1778</v>
      </c>
      <c r="B1766" t="str">
        <f>HYPERLINK("https://www.suredividend.com/sure-analysis-XRX/","Xerox Holdings Corp")</f>
        <v>Xerox Holdings Corp</v>
      </c>
      <c r="C1766">
        <v>-9.3324692158133007E-2</v>
      </c>
      <c r="D1766">
        <v>-7.3012675673705008E-2</v>
      </c>
      <c r="E1766">
        <v>8.1093612351822011E-2</v>
      </c>
      <c r="F1766">
        <v>4.2318581433467013E-2</v>
      </c>
      <c r="G1766">
        <v>8.6070505306141007E-2</v>
      </c>
      <c r="H1766">
        <v>-0.13092634926945601</v>
      </c>
      <c r="I1766">
        <v>-0.42671922764860598</v>
      </c>
    </row>
    <row r="1767" spans="1:9" x14ac:dyDescent="0.25">
      <c r="A1767" s="1" t="s">
        <v>1779</v>
      </c>
      <c r="B1767" t="str">
        <f>HYPERLINK("https://www.suredividend.com/sure-analysis-research-database/","22nd Century Group Inc")</f>
        <v>22nd Century Group Inc</v>
      </c>
      <c r="C1767">
        <v>-0.30450351191295899</v>
      </c>
      <c r="D1767">
        <v>-0.84018987341772111</v>
      </c>
      <c r="E1767">
        <v>-0.95388127853881211</v>
      </c>
      <c r="F1767">
        <v>-0.9634256744522901</v>
      </c>
      <c r="G1767">
        <v>-0.97349081364829404</v>
      </c>
      <c r="H1767">
        <v>-0.98854875283446708</v>
      </c>
      <c r="I1767">
        <v>-0.98719898605830103</v>
      </c>
    </row>
    <row r="1768" spans="1:9" x14ac:dyDescent="0.25">
      <c r="A1768" s="1" t="s">
        <v>1780</v>
      </c>
      <c r="B1768" t="str">
        <f>HYPERLINK("https://www.suredividend.com/sure-analysis-research-database/","Yelp Inc")</f>
        <v>Yelp Inc</v>
      </c>
      <c r="C1768">
        <v>6.5253631817099006E-2</v>
      </c>
      <c r="D1768">
        <v>-1.2146643109540001E-2</v>
      </c>
      <c r="E1768">
        <v>0.63906192744595003</v>
      </c>
      <c r="F1768">
        <v>0.63606437454279408</v>
      </c>
      <c r="G1768">
        <v>0.47575057736720511</v>
      </c>
      <c r="H1768">
        <v>0.12133366758586001</v>
      </c>
      <c r="I1768">
        <v>3.7819025522041E-2</v>
      </c>
    </row>
    <row r="1769" spans="1:9" x14ac:dyDescent="0.25">
      <c r="A1769" s="1" t="s">
        <v>1781</v>
      </c>
      <c r="B1769" t="str">
        <f>HYPERLINK("https://www.suredividend.com/sure-analysis-research-database/","Yext Inc")</f>
        <v>Yext Inc</v>
      </c>
      <c r="C1769">
        <v>4.6128500823723002E-2</v>
      </c>
      <c r="D1769">
        <v>-0.335774058577405</v>
      </c>
      <c r="E1769">
        <v>-0.218942189421894</v>
      </c>
      <c r="F1769">
        <v>-2.7565084226646001E-2</v>
      </c>
      <c r="G1769">
        <v>0.225868725868726</v>
      </c>
      <c r="H1769">
        <v>-0.49482895783611702</v>
      </c>
      <c r="I1769">
        <v>-0.67318579516212007</v>
      </c>
    </row>
    <row r="1770" spans="1:9" x14ac:dyDescent="0.25">
      <c r="A1770" s="1" t="s">
        <v>1782</v>
      </c>
      <c r="B1770" t="str">
        <f>HYPERLINK("https://www.suredividend.com/sure-analysis-research-database/","Y-Mabs Therapeutics Inc")</f>
        <v>Y-Mabs Therapeutics Inc</v>
      </c>
      <c r="C1770">
        <v>7.6771653543306007E-2</v>
      </c>
      <c r="D1770">
        <v>-2.6690391459073998E-2</v>
      </c>
      <c r="E1770">
        <v>-0.11488673139158501</v>
      </c>
      <c r="F1770">
        <v>0.120901639344262</v>
      </c>
      <c r="G1770">
        <v>0.62314540059347101</v>
      </c>
      <c r="H1770">
        <v>-0.76949009692372505</v>
      </c>
      <c r="I1770">
        <v>-0.78447596532702901</v>
      </c>
    </row>
    <row r="1771" spans="1:9" x14ac:dyDescent="0.25">
      <c r="A1771" s="1" t="s">
        <v>1783</v>
      </c>
      <c r="B1771" t="str">
        <f>HYPERLINK("https://www.suredividend.com/sure-analysis-YORW/","York Water Co.")</f>
        <v>York Water Co.</v>
      </c>
      <c r="C1771">
        <v>3.4708936867995997E-2</v>
      </c>
      <c r="D1771">
        <v>-6.6070688532354011E-2</v>
      </c>
      <c r="E1771">
        <v>-9.0245004277242011E-2</v>
      </c>
      <c r="F1771">
        <v>-0.13712941691281</v>
      </c>
      <c r="G1771">
        <v>-0.122910657817006</v>
      </c>
      <c r="H1771">
        <v>-0.17643731917948199</v>
      </c>
      <c r="I1771">
        <v>0.31516328380917902</v>
      </c>
    </row>
    <row r="1772" spans="1:9" x14ac:dyDescent="0.25">
      <c r="A1772" s="1" t="s">
        <v>1784</v>
      </c>
      <c r="B1772" t="str">
        <f>HYPERLINK("https://www.suredividend.com/sure-analysis-research-database/","Clear Secure Inc")</f>
        <v>Clear Secure Inc</v>
      </c>
      <c r="C1772">
        <v>2.6689381033503001E-2</v>
      </c>
      <c r="D1772">
        <v>-0.22497235106009</v>
      </c>
      <c r="E1772">
        <v>-0.24544050749134</v>
      </c>
      <c r="F1772">
        <v>-0.33346605027022602</v>
      </c>
      <c r="G1772">
        <v>-0.25027782845958602</v>
      </c>
      <c r="H1772">
        <v>-0.59684522468966206</v>
      </c>
      <c r="I1772">
        <v>-0.53929497862104403</v>
      </c>
    </row>
    <row r="1773" spans="1:9" x14ac:dyDescent="0.25">
      <c r="A1773" s="1" t="s">
        <v>1785</v>
      </c>
      <c r="B1773" t="str">
        <f>HYPERLINK("https://www.suredividend.com/sure-analysis-research-database/","Ziff Davis Inc")</f>
        <v>Ziff Davis Inc</v>
      </c>
      <c r="C1773">
        <v>1.5724815724814999E-2</v>
      </c>
      <c r="D1773">
        <v>-9.7773897861196002E-2</v>
      </c>
      <c r="E1773">
        <v>-6.2443302086483007E-2</v>
      </c>
      <c r="F1773">
        <v>-0.21605562579013901</v>
      </c>
      <c r="G1773">
        <v>-0.12968421052631501</v>
      </c>
      <c r="H1773">
        <v>-0.51080782581255901</v>
      </c>
      <c r="I1773">
        <v>2.0328290581429998E-3</v>
      </c>
    </row>
    <row r="1774" spans="1:9" x14ac:dyDescent="0.25">
      <c r="A1774" s="1" t="s">
        <v>1786</v>
      </c>
      <c r="B1774" t="str">
        <f>HYPERLINK("https://www.suredividend.com/sure-analysis-research-database/","Zeta Global Holdings Corp")</f>
        <v>Zeta Global Holdings Corp</v>
      </c>
      <c r="C1774">
        <v>4.1923551171393E-2</v>
      </c>
      <c r="D1774">
        <v>-9.4319399785637012E-2</v>
      </c>
      <c r="E1774">
        <v>-7.9520697167756005E-2</v>
      </c>
      <c r="F1774">
        <v>3.4271725826193013E-2</v>
      </c>
      <c r="G1774">
        <v>1.8072289156625999E-2</v>
      </c>
      <c r="H1774">
        <v>-5.6919642857143002E-2</v>
      </c>
      <c r="I1774">
        <v>-4.9493813273341007E-2</v>
      </c>
    </row>
    <row r="1775" spans="1:9" x14ac:dyDescent="0.25">
      <c r="A1775" s="1" t="s">
        <v>1787</v>
      </c>
      <c r="B1775" t="str">
        <f>HYPERLINK("https://www.suredividend.com/sure-analysis-research-database/","Olympic Steel Inc.")</f>
        <v>Olympic Steel Inc.</v>
      </c>
      <c r="C1775">
        <v>-2.6320882523708001E-2</v>
      </c>
      <c r="D1775">
        <v>-5.9520693909597001E-2</v>
      </c>
      <c r="E1775">
        <v>0.15520531242896199</v>
      </c>
      <c r="F1775">
        <v>0.51816456288267199</v>
      </c>
      <c r="G1775">
        <v>0.75823638161872309</v>
      </c>
      <c r="H1775">
        <v>0.87449002023152611</v>
      </c>
      <c r="I1775">
        <v>1.62493347664117</v>
      </c>
    </row>
    <row r="1776" spans="1:9" x14ac:dyDescent="0.25">
      <c r="A1776" s="1" t="s">
        <v>1788</v>
      </c>
      <c r="B1776" t="str">
        <f>HYPERLINK("https://www.suredividend.com/sure-analysis-research-database/","Lightning eMotors Inc")</f>
        <v>Lightning eMotors Inc</v>
      </c>
      <c r="C1776">
        <v>-0.25909090909090898</v>
      </c>
      <c r="D1776">
        <v>-0.55219780219780201</v>
      </c>
      <c r="E1776">
        <v>-0.74531249999999993</v>
      </c>
      <c r="F1776">
        <v>-0.7776261937244201</v>
      </c>
      <c r="G1776">
        <v>-0.95710526315789413</v>
      </c>
      <c r="H1776">
        <v>-0.99137566137566113</v>
      </c>
      <c r="I1776">
        <v>-0.83367346938775511</v>
      </c>
    </row>
    <row r="1777" spans="1:9" x14ac:dyDescent="0.25">
      <c r="A1777" s="1" t="s">
        <v>1789</v>
      </c>
      <c r="B1777" t="str">
        <f>HYPERLINK("https://www.suredividend.com/sure-analysis-research-database/","Ermenegildo Zegna N.V.")</f>
        <v>Ermenegildo Zegna N.V.</v>
      </c>
      <c r="C1777">
        <v>-0.15589080459770099</v>
      </c>
      <c r="D1777">
        <v>-0.240956072351421</v>
      </c>
      <c r="E1777">
        <v>-6.7460317460316999E-2</v>
      </c>
      <c r="F1777">
        <v>0.13090597599591899</v>
      </c>
      <c r="G1777">
        <v>7.6421334212792E-2</v>
      </c>
      <c r="H1777">
        <v>0.10247893561523</v>
      </c>
      <c r="I1777">
        <v>0.10247893561523</v>
      </c>
    </row>
    <row r="1778" spans="1:9" x14ac:dyDescent="0.25">
      <c r="A1778" s="1" t="s">
        <v>1790</v>
      </c>
      <c r="B1778" t="str">
        <f>HYPERLINK("https://www.suredividend.com/sure-analysis-research-database/","ZimVie Inc")</f>
        <v>ZimVie Inc</v>
      </c>
      <c r="C1778">
        <v>-0.107587768969422</v>
      </c>
      <c r="D1778">
        <v>-0.38629283489096511</v>
      </c>
      <c r="E1778">
        <v>-0.16525423728813499</v>
      </c>
      <c r="F1778">
        <v>-0.15631691648822199</v>
      </c>
      <c r="G1778">
        <v>-5.8542413381121997E-2</v>
      </c>
      <c r="H1778">
        <v>-0.69134351743047406</v>
      </c>
      <c r="I1778">
        <v>-0.69134351743047406</v>
      </c>
    </row>
    <row r="1779" spans="1:9" x14ac:dyDescent="0.25">
      <c r="A1779" s="1" t="s">
        <v>1791</v>
      </c>
      <c r="B1779" t="str">
        <f>HYPERLINK("https://www.suredividend.com/sure-analysis-research-database/","ZipRecruiter Inc")</f>
        <v>ZipRecruiter Inc</v>
      </c>
      <c r="C1779">
        <v>-9.2748735244510012E-3</v>
      </c>
      <c r="D1779">
        <v>-0.34394193188163003</v>
      </c>
      <c r="E1779">
        <v>-0.28134556574923503</v>
      </c>
      <c r="F1779">
        <v>-0.28440925700365399</v>
      </c>
      <c r="G1779">
        <v>-0.24727738629083901</v>
      </c>
      <c r="H1779">
        <v>-0.59243843218869208</v>
      </c>
      <c r="I1779">
        <v>-0.44312796208530802</v>
      </c>
    </row>
    <row r="1780" spans="1:9" x14ac:dyDescent="0.25">
      <c r="A1780" s="1" t="s">
        <v>1792</v>
      </c>
      <c r="B1780" t="str">
        <f>HYPERLINK("https://www.suredividend.com/sure-analysis-research-database/","Zentalis Pharmaceuticals Inc")</f>
        <v>Zentalis Pharmaceuticals Inc</v>
      </c>
      <c r="C1780">
        <v>-0.101958814665997</v>
      </c>
      <c r="D1780">
        <v>-0.31963470319634701</v>
      </c>
      <c r="E1780">
        <v>-0.18653321201091899</v>
      </c>
      <c r="F1780">
        <v>-0.112214498510427</v>
      </c>
      <c r="G1780">
        <v>-0.26691266912669098</v>
      </c>
      <c r="H1780">
        <v>-0.78645646721605111</v>
      </c>
      <c r="I1780">
        <v>-0.229310344827586</v>
      </c>
    </row>
    <row r="1781" spans="1:9" x14ac:dyDescent="0.25">
      <c r="A1781" s="1" t="s">
        <v>1793</v>
      </c>
      <c r="B1781" t="str">
        <f>HYPERLINK("https://www.suredividend.com/sure-analysis-research-database/","Zumiez Inc")</f>
        <v>Zumiez Inc</v>
      </c>
      <c r="C1781">
        <v>-2.9276693455797E-2</v>
      </c>
      <c r="D1781">
        <v>-9.6688034188034011E-2</v>
      </c>
      <c r="E1781">
        <v>4.8357098574085003E-2</v>
      </c>
      <c r="F1781">
        <v>-0.222171113155473</v>
      </c>
      <c r="G1781">
        <v>-0.24136384028712399</v>
      </c>
      <c r="H1781">
        <v>-0.65658001624695306</v>
      </c>
      <c r="I1781">
        <v>-0.26318082788670999</v>
      </c>
    </row>
    <row r="1782" spans="1:9" x14ac:dyDescent="0.25">
      <c r="A1782" s="1" t="s">
        <v>1794</v>
      </c>
      <c r="B1782" t="str">
        <f>HYPERLINK("https://www.suredividend.com/sure-analysis-research-database/","Zuora Inc")</f>
        <v>Zuora Inc</v>
      </c>
      <c r="C1782">
        <v>-2.8822055137843999E-2</v>
      </c>
      <c r="D1782">
        <v>-0.28768382352941102</v>
      </c>
      <c r="E1782">
        <v>5.5858310626701997E-2</v>
      </c>
      <c r="F1782">
        <v>0.218553459119496</v>
      </c>
      <c r="G1782">
        <v>5.2989130434781997E-2</v>
      </c>
      <c r="H1782">
        <v>-0.6490036231884051</v>
      </c>
      <c r="I1782">
        <v>-0.62704523580365701</v>
      </c>
    </row>
    <row r="1783" spans="1:9" x14ac:dyDescent="0.25">
      <c r="A1783" s="1" t="s">
        <v>1795</v>
      </c>
      <c r="B1783" t="str">
        <f>HYPERLINK("https://www.suredividend.com/sure-analysis-research-database/","Zurn Elkay Water Solutions Corp")</f>
        <v>Zurn Elkay Water Solutions Corp</v>
      </c>
      <c r="C1783">
        <v>5.1762114537443997E-2</v>
      </c>
      <c r="D1783">
        <v>-3.8526075575542003E-2</v>
      </c>
      <c r="E1783">
        <v>0.35580226582242502</v>
      </c>
      <c r="F1783">
        <v>0.36627657443703598</v>
      </c>
      <c r="G1783">
        <v>0.2655320314329</v>
      </c>
      <c r="H1783">
        <v>-0.17907839013404001</v>
      </c>
      <c r="I1783">
        <v>2.7043691478224999E-2</v>
      </c>
    </row>
    <row r="1784" spans="1:9" x14ac:dyDescent="0.25">
      <c r="A1784" s="1" t="s">
        <v>1796</v>
      </c>
      <c r="B1784" t="str">
        <f>HYPERLINK("https://www.suredividend.com/sure-analysis-research-database/","Zynex Inc")</f>
        <v>Zynex Inc</v>
      </c>
      <c r="C1784">
        <v>0.113746958637469</v>
      </c>
      <c r="D1784">
        <v>9.9039615846338011E-2</v>
      </c>
      <c r="E1784">
        <v>-2.2945570971184E-2</v>
      </c>
      <c r="F1784">
        <v>-0.34184040258806597</v>
      </c>
      <c r="G1784">
        <v>-0.28308535630383702</v>
      </c>
      <c r="H1784">
        <v>-0.28417283062536097</v>
      </c>
      <c r="I1784">
        <v>47.413537810682179</v>
      </c>
    </row>
  </sheetData>
  <autoFilter ref="A1:I1784" xr:uid="{00000000-0009-0000-0000-000001000000}"/>
  <conditionalFormatting sqref="A1:I1">
    <cfRule type="cellIs" dxfId="9" priority="10" operator="notEqual">
      <formula>-13.345</formula>
    </cfRule>
  </conditionalFormatting>
  <conditionalFormatting sqref="A2:A1784">
    <cfRule type="cellIs" dxfId="8" priority="1" operator="notEqual">
      <formula>"None"</formula>
    </cfRule>
  </conditionalFormatting>
  <conditionalFormatting sqref="B2:B1784">
    <cfRule type="cellIs" dxfId="7" priority="2" operator="notEqual">
      <formula>"None"</formula>
    </cfRule>
  </conditionalFormatting>
  <conditionalFormatting sqref="C2:C1784">
    <cfRule type="cellIs" dxfId="6" priority="3" operator="notEqual">
      <formula>"None"</formula>
    </cfRule>
  </conditionalFormatting>
  <conditionalFormatting sqref="D2:D1784">
    <cfRule type="cellIs" dxfId="5" priority="4" operator="notEqual">
      <formula>"None"</formula>
    </cfRule>
  </conditionalFormatting>
  <conditionalFormatting sqref="E2:E1784">
    <cfRule type="cellIs" dxfId="4" priority="5" operator="notEqual">
      <formula>"None"</formula>
    </cfRule>
  </conditionalFormatting>
  <conditionalFormatting sqref="F2:F1784">
    <cfRule type="cellIs" dxfId="3" priority="6" operator="notEqual">
      <formula>"None"</formula>
    </cfRule>
  </conditionalFormatting>
  <conditionalFormatting sqref="G2:G1784">
    <cfRule type="cellIs" dxfId="2" priority="7" operator="notEqual">
      <formula>"None"</formula>
    </cfRule>
  </conditionalFormatting>
  <conditionalFormatting sqref="H2:H1784">
    <cfRule type="cellIs" dxfId="1" priority="8" operator="notEqual">
      <formula>"None"</formula>
    </cfRule>
  </conditionalFormatting>
  <conditionalFormatting sqref="I2:I1784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5" x14ac:dyDescent="0.25"/>
  <cols>
    <col min="1" max="1" width="25.7109375" customWidth="1"/>
    <col min="2" max="2" width="0" hidden="1" customWidth="1"/>
  </cols>
  <sheetData>
    <row r="1" spans="1:2" x14ac:dyDescent="0.25">
      <c r="A1" s="1" t="s">
        <v>1816</v>
      </c>
      <c r="B1" s="1"/>
    </row>
    <row r="2" spans="1:2" x14ac:dyDescent="0.25">
      <c r="A2" s="1" t="s">
        <v>1817</v>
      </c>
    </row>
    <row r="3" spans="1:2" x14ac:dyDescent="0.25">
      <c r="A3" s="1" t="s">
        <v>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Tewari</cp:lastModifiedBy>
  <dcterms:created xsi:type="dcterms:W3CDTF">2023-11-05T12:49:24Z</dcterms:created>
  <dcterms:modified xsi:type="dcterms:W3CDTF">2023-11-05T20:30:12Z</dcterms:modified>
</cp:coreProperties>
</file>