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анна\Desktop\АНАЛИТИКА ДАННЫХ\"/>
    </mc:Choice>
  </mc:AlternateContent>
  <xr:revisionPtr revIDLastSave="0" documentId="13_ncr:1_{672FDD8B-A6CD-433A-A9ED-EFF2613A1FE1}" xr6:coauthVersionLast="47" xr6:coauthVersionMax="47" xr10:uidLastSave="{00000000-0000-0000-0000-000000000000}"/>
  <bookViews>
    <workbookView xWindow="-108" yWindow="-108" windowWidth="23256" windowHeight="12576" xr2:uid="{AE6E3888-1AFD-4CBE-A809-AD25EEA4A026}"/>
  </bookViews>
  <sheets>
    <sheet name="Решение 1" sheetId="8" r:id="rId1"/>
    <sheet name="Решение 2" sheetId="12" r:id="rId2"/>
  </sheets>
  <definedNames>
    <definedName name="solver_adj" localSheetId="1" hidden="1">'Решение 2'!$E$33:$E$44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'Решение 2'!$E$46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'Решение 2'!$H$46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70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23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2" l="1"/>
  <c r="B34" i="12"/>
  <c r="B35" i="12"/>
  <c r="B36" i="12"/>
  <c r="B37" i="12"/>
  <c r="B38" i="12"/>
  <c r="B39" i="12"/>
  <c r="B40" i="12"/>
  <c r="B41" i="12"/>
  <c r="B42" i="12"/>
  <c r="B43" i="12"/>
  <c r="B44" i="12"/>
  <c r="B33" i="12"/>
  <c r="C33" i="12"/>
  <c r="F33" i="12" l="1"/>
  <c r="G33" i="12"/>
  <c r="H33" i="12" s="1"/>
  <c r="E46" i="12" l="1"/>
  <c r="D34" i="12" l="1"/>
  <c r="G34" i="12" l="1"/>
  <c r="F34" i="12"/>
  <c r="D35" i="12"/>
  <c r="B20" i="8"/>
  <c r="B14" i="8"/>
  <c r="B13" i="8" s="1"/>
  <c r="D13" i="8" s="1"/>
  <c r="D9" i="8"/>
  <c r="D3" i="8"/>
  <c r="D2" i="8"/>
  <c r="D12" i="8"/>
  <c r="D6" i="8"/>
  <c r="D7" i="8" s="1"/>
  <c r="G35" i="12" l="1"/>
  <c r="F35" i="12"/>
  <c r="D36" i="12"/>
  <c r="B4" i="8"/>
  <c r="D15" i="8"/>
  <c r="D14" i="8"/>
  <c r="D10" i="8"/>
  <c r="D4" i="8"/>
  <c r="B7" i="8"/>
  <c r="G36" i="12" l="1"/>
  <c r="F36" i="12"/>
  <c r="D37" i="12"/>
  <c r="D17" i="8"/>
  <c r="D18" i="8" s="1"/>
  <c r="C34" i="12"/>
  <c r="H34" i="12" s="1"/>
  <c r="D19" i="8"/>
  <c r="B10" i="8"/>
  <c r="G37" i="12" l="1"/>
  <c r="F37" i="12"/>
  <c r="D38" i="12"/>
  <c r="C35" i="12"/>
  <c r="H35" i="12" s="1"/>
  <c r="D39" i="12" l="1"/>
  <c r="G38" i="12"/>
  <c r="F38" i="12"/>
  <c r="C36" i="12"/>
  <c r="H36" i="12" s="1"/>
  <c r="G39" i="12" l="1"/>
  <c r="F39" i="12"/>
  <c r="D40" i="12"/>
  <c r="D41" i="12" s="1"/>
  <c r="C37" i="12"/>
  <c r="H37" i="12" s="1"/>
  <c r="G41" i="12" l="1"/>
  <c r="F41" i="12"/>
  <c r="G40" i="12"/>
  <c r="F40" i="12"/>
  <c r="D42" i="12"/>
  <c r="C38" i="12"/>
  <c r="H38" i="12" s="1"/>
  <c r="G42" i="12" l="1"/>
  <c r="F42" i="12"/>
  <c r="D43" i="12"/>
  <c r="C39" i="12"/>
  <c r="H39" i="12" s="1"/>
  <c r="G43" i="12" l="1"/>
  <c r="F43" i="12"/>
  <c r="D44" i="12"/>
  <c r="C40" i="12"/>
  <c r="H40" i="12" s="1"/>
  <c r="G44" i="12" l="1"/>
  <c r="F44" i="12"/>
  <c r="C41" i="12"/>
  <c r="H41" i="12" s="1"/>
  <c r="C42" i="12" l="1"/>
  <c r="H42" i="12" s="1"/>
  <c r="C44" i="12" l="1"/>
  <c r="H44" i="12" s="1"/>
  <c r="C43" i="12"/>
  <c r="H43" i="12" s="1"/>
  <c r="H46" i="12" l="1"/>
  <c r="D20" i="8"/>
  <c r="D21" i="8" s="1"/>
  <c r="B17" i="8" l="1"/>
  <c r="B19" i="8"/>
  <c r="B18" i="8" l="1"/>
  <c r="B21" i="8" s="1"/>
</calcChain>
</file>

<file path=xl/sharedStrings.xml><?xml version="1.0" encoding="utf-8"?>
<sst xmlns="http://schemas.openxmlformats.org/spreadsheetml/2006/main" count="61" uniqueCount="56">
  <si>
    <t>Уроки</t>
  </si>
  <si>
    <t>Retention</t>
  </si>
  <si>
    <t>Интенсивность</t>
  </si>
  <si>
    <t>ЗП Учителей</t>
  </si>
  <si>
    <t>ФОТ Core-team</t>
  </si>
  <si>
    <t>Выручка (признанная)</t>
  </si>
  <si>
    <t>% ФОТ</t>
  </si>
  <si>
    <t>% ЗП Учителей</t>
  </si>
  <si>
    <t>% CAC</t>
  </si>
  <si>
    <t>CAC</t>
  </si>
  <si>
    <t>% Маржа</t>
  </si>
  <si>
    <t>LTR</t>
  </si>
  <si>
    <t>Стандартная Цена 1 урока</t>
  </si>
  <si>
    <t>CPA</t>
  </si>
  <si>
    <t>Retention П</t>
  </si>
  <si>
    <t>Изменение</t>
  </si>
  <si>
    <t>Регистрации</t>
  </si>
  <si>
    <t>Студенты</t>
  </si>
  <si>
    <t>Новые студенты</t>
  </si>
  <si>
    <t>Старые студенты</t>
  </si>
  <si>
    <t>LT</t>
  </si>
  <si>
    <t>LT (уроки)</t>
  </si>
  <si>
    <t>Доля скидок</t>
  </si>
  <si>
    <t>Фактическая Цена 1 урока</t>
  </si>
  <si>
    <t>Конверсия в покупку</t>
  </si>
  <si>
    <t>CAC%</t>
  </si>
  <si>
    <t>Средний CAC</t>
  </si>
  <si>
    <t>Средний CPA</t>
  </si>
  <si>
    <t>Месяцы</t>
  </si>
  <si>
    <t>Показатели</t>
  </si>
  <si>
    <t>Плата учителю за 1 урок</t>
  </si>
  <si>
    <t>ЗП Учителей%</t>
  </si>
  <si>
    <t>ФОТ%</t>
  </si>
  <si>
    <t>Маржа%</t>
  </si>
  <si>
    <t>Факт 05.20-04.21</t>
  </si>
  <si>
    <t>План для 05.21-04.22</t>
  </si>
  <si>
    <t>Расходы на маркетинг</t>
  </si>
  <si>
    <t>Пропускная способность П</t>
  </si>
  <si>
    <t>Преподаватели</t>
  </si>
  <si>
    <t>Новые Преподаватели</t>
  </si>
  <si>
    <t>Пропускная способность</t>
  </si>
  <si>
    <t>Квадрат разности</t>
  </si>
  <si>
    <t>Сумма квадратов ошибок</t>
  </si>
  <si>
    <t>Макс</t>
  </si>
  <si>
    <t>Задача:</t>
  </si>
  <si>
    <t>Итог:</t>
  </si>
  <si>
    <t>пересчитать план найма преподавателей</t>
  </si>
  <si>
    <t>1) Добавьте в калькулятор Найма преподавателей возможность изменять входных параметры: Пропускную способность П и Retention П - с помощью дополнительного столбца с процентными изменениями, как это сделано на Главном листе с основным калькулятором Юнит-экономики</t>
  </si>
  <si>
    <t>2) Сделайте поправку в расчёте общей пропускной способности - измените формулу так, чтобы отразить, что новые преподаватели в первый месяц своей работы могут проводить только половину уроков от средней пропускной способности преподавателя, задаваемой параметром</t>
  </si>
  <si>
    <t>3) Обновите прогнозное количество уроков, добавив новые значения из Задачи 1 (полученные после поправки на планы маркетинга)</t>
  </si>
  <si>
    <t>4) Просчитайте сценарий, при котором Пропускная способность П увеличится на 15 процентов, а Retention П упадёт на 2 процента</t>
  </si>
  <si>
    <t>5) С помощью Поиска решений составьте новый план найма с ограничением: за месяц нельзя нанять более 70 преподавателей</t>
  </si>
  <si>
    <t>Обновлённый план по найму - с количеством новых преподавателей по месяцам за период с 05.2021 по 04.2022</t>
  </si>
  <si>
    <t>Поправочный коэф-т на привлечение</t>
  </si>
  <si>
    <t>изменения</t>
  </si>
  <si>
    <t>Старые Преподователи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</si>
</sst>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6" formatCode="0.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4" fontId="0" fillId="0" borderId="0" xfId="0" applyNumberFormat="1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1" fontId="0" fillId="0" borderId="0" xfId="0" applyNumberFormat="1"/>
    <xf numFmtId="10" fontId="0" fillId="0" borderId="0" xfId="2" applyNumberFormat="1" applyFont="1" applyBorder="1"/>
    <xf numFmtId="10" fontId="0" fillId="0" borderId="1" xfId="0" applyNumberFormat="1" applyBorder="1"/>
    <xf numFmtId="44" fontId="0" fillId="0" borderId="1" xfId="1" applyFont="1" applyBorder="1"/>
    <xf numFmtId="2" fontId="0" fillId="0" borderId="1" xfId="0" applyNumberFormat="1" applyBorder="1"/>
    <xf numFmtId="10" fontId="0" fillId="0" borderId="1" xfId="2" applyNumberFormat="1" applyFont="1" applyBorder="1"/>
    <xf numFmtId="44" fontId="0" fillId="0" borderId="0" xfId="1" applyFont="1" applyBorder="1"/>
    <xf numFmtId="44" fontId="0" fillId="2" borderId="2" xfId="1" applyFont="1" applyFill="1" applyBorder="1"/>
    <xf numFmtId="10" fontId="0" fillId="2" borderId="2" xfId="2" applyNumberFormat="1" applyFont="1" applyFill="1" applyBorder="1"/>
    <xf numFmtId="44" fontId="0" fillId="0" borderId="2" xfId="1" applyFont="1" applyBorder="1"/>
    <xf numFmtId="0" fontId="0" fillId="3" borderId="2" xfId="0" applyFill="1" applyBorder="1"/>
    <xf numFmtId="2" fontId="0" fillId="0" borderId="2" xfId="0" applyNumberFormat="1" applyBorder="1"/>
    <xf numFmtId="2" fontId="0" fillId="2" borderId="2" xfId="2" applyNumberFormat="1" applyFont="1" applyFill="1" applyBorder="1"/>
    <xf numFmtId="44" fontId="0" fillId="0" borderId="2" xfId="0" applyNumberFormat="1" applyBorder="1"/>
    <xf numFmtId="10" fontId="0" fillId="0" borderId="2" xfId="2" applyNumberFormat="1" applyFont="1" applyBorder="1"/>
    <xf numFmtId="2" fontId="0" fillId="2" borderId="2" xfId="0" applyNumberFormat="1" applyFill="1" applyBorder="1"/>
    <xf numFmtId="9" fontId="0" fillId="0" borderId="3" xfId="2" applyFont="1" applyBorder="1"/>
    <xf numFmtId="9" fontId="0" fillId="3" borderId="3" xfId="2" applyFont="1" applyFill="1" applyBorder="1"/>
    <xf numFmtId="0" fontId="0" fillId="0" borderId="2" xfId="0" applyBorder="1"/>
    <xf numFmtId="0" fontId="0" fillId="0" borderId="4" xfId="0" applyBorder="1"/>
    <xf numFmtId="0" fontId="2" fillId="0" borderId="4" xfId="0" applyFont="1" applyBorder="1"/>
    <xf numFmtId="44" fontId="2" fillId="0" borderId="5" xfId="1" applyFont="1" applyBorder="1"/>
    <xf numFmtId="14" fontId="0" fillId="0" borderId="1" xfId="0" applyNumberFormat="1" applyBorder="1"/>
    <xf numFmtId="0" fontId="0" fillId="0" borderId="1" xfId="0" applyBorder="1"/>
    <xf numFmtId="44" fontId="0" fillId="0" borderId="1" xfId="0" applyNumberFormat="1" applyBorder="1"/>
    <xf numFmtId="10" fontId="0" fillId="0" borderId="3" xfId="2" applyNumberFormat="1" applyFont="1" applyBorder="1"/>
    <xf numFmtId="0" fontId="0" fillId="0" borderId="3" xfId="0" applyBorder="1"/>
    <xf numFmtId="1" fontId="0" fillId="0" borderId="1" xfId="0" applyNumberFormat="1" applyBorder="1"/>
    <xf numFmtId="10" fontId="0" fillId="0" borderId="3" xfId="0" applyNumberFormat="1" applyBorder="1"/>
    <xf numFmtId="14" fontId="0" fillId="0" borderId="6" xfId="0" applyNumberFormat="1" applyBorder="1"/>
    <xf numFmtId="1" fontId="0" fillId="0" borderId="6" xfId="0" applyNumberFormat="1" applyBorder="1"/>
    <xf numFmtId="0" fontId="0" fillId="0" borderId="6" xfId="0" applyBorder="1"/>
    <xf numFmtId="2" fontId="0" fillId="0" borderId="6" xfId="0" applyNumberFormat="1" applyBorder="1"/>
    <xf numFmtId="44" fontId="0" fillId="0" borderId="6" xfId="1" applyFont="1" applyBorder="1"/>
    <xf numFmtId="10" fontId="0" fillId="0" borderId="6" xfId="2" applyNumberFormat="1" applyFont="1" applyBorder="1"/>
    <xf numFmtId="10" fontId="0" fillId="0" borderId="6" xfId="0" applyNumberFormat="1" applyBorder="1"/>
    <xf numFmtId="166" fontId="0" fillId="0" borderId="3" xfId="2" applyNumberFormat="1" applyFont="1" applyBorder="1"/>
    <xf numFmtId="166" fontId="0" fillId="3" borderId="3" xfId="2" applyNumberFormat="1" applyFont="1" applyFill="1" applyBorder="1"/>
    <xf numFmtId="1" fontId="0" fillId="2" borderId="0" xfId="0" applyNumberFormat="1" applyFill="1"/>
    <xf numFmtId="0" fontId="2" fillId="0" borderId="0" xfId="0" applyFont="1"/>
    <xf numFmtId="2" fontId="0" fillId="2" borderId="0" xfId="0" applyNumberFormat="1" applyFill="1"/>
    <xf numFmtId="0" fontId="0" fillId="2" borderId="0" xfId="0" applyFill="1"/>
    <xf numFmtId="9" fontId="0" fillId="2" borderId="0" xfId="2" applyFont="1" applyFill="1"/>
    <xf numFmtId="10" fontId="0" fillId="2" borderId="3" xfId="0" applyNumberFormat="1" applyFill="1" applyBorder="1"/>
    <xf numFmtId="1" fontId="0" fillId="4" borderId="0" xfId="0" applyNumberFormat="1" applyFill="1"/>
    <xf numFmtId="1" fontId="0" fillId="5" borderId="0" xfId="0" applyNumberFormat="1" applyFill="1"/>
  </cellXfs>
  <cellStyles count="3">
    <cellStyle name="Денежный" xfId="1" builtinId="4"/>
    <cellStyle name="Обычный" xfId="0" builtinId="0"/>
    <cellStyle name="Процентный" xfId="2" builtinId="5"/>
  </cellStyles>
  <dxfs count="10"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4" formatCode="_-* #,##0.00\ &quot;₽&quot;_-;\-* #,##0.00\ &quot;₽&quot;_-;_-* &quot;-&quot;??\ &quot;₽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05.2020</a:t>
            </a:r>
            <a:r>
              <a:rPr lang="ru-RU" sz="1200" baseline="0"/>
              <a:t> - 04.2021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C-4FCC-AAA2-CA92F07B3F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C-4FCC-AAA2-CA92F07B3F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5C-4FCC-AAA2-CA92F07B3F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0F-4AA5-B7EF-0EF621E1E8F9}"/>
              </c:ext>
            </c:extLst>
          </c:dPt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B0F-4AA5-B7EF-0EF621E1E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'Решение 1'!$A$18:$A$21</c:f>
              <c:strCache>
                <c:ptCount val="4"/>
                <c:pt idx="0">
                  <c:v>CAC%</c:v>
                </c:pt>
                <c:pt idx="1">
                  <c:v>ЗП Учителей%</c:v>
                </c:pt>
                <c:pt idx="2">
                  <c:v>ФОТ%</c:v>
                </c:pt>
                <c:pt idx="3">
                  <c:v>Маржа%</c:v>
                </c:pt>
              </c:strCache>
            </c:strRef>
          </c:cat>
          <c:val>
            <c:numRef>
              <c:f>'Решение 1'!$B$18:$B$21</c:f>
              <c:numCache>
                <c:formatCode>0.00%</c:formatCode>
                <c:ptCount val="4"/>
                <c:pt idx="0">
                  <c:v>0.20133631989898962</c:v>
                </c:pt>
                <c:pt idx="1">
                  <c:v>0.56063855825217701</c:v>
                </c:pt>
                <c:pt idx="2">
                  <c:v>0.14311041119183798</c:v>
                </c:pt>
                <c:pt idx="3">
                  <c:v>9.4914710656995416E-2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F-4AA5-B7EF-0EF621E1E8F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/>
              </a:rPr>
              <a:t>05.2021 - 04.2022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95-463A-8FB2-5024BACBCC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95-463A-8FB2-5024BACBCC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95-463A-8FB2-5024BACBCC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95-463A-8FB2-5024BACBCC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'Решение 1'!$A$18:$A$21</c:f>
              <c:strCache>
                <c:ptCount val="4"/>
                <c:pt idx="0">
                  <c:v>CAC%</c:v>
                </c:pt>
                <c:pt idx="1">
                  <c:v>ЗП Учителей%</c:v>
                </c:pt>
                <c:pt idx="2">
                  <c:v>ФОТ%</c:v>
                </c:pt>
                <c:pt idx="3">
                  <c:v>Маржа%</c:v>
                </c:pt>
              </c:strCache>
            </c:strRef>
          </c:cat>
          <c:val>
            <c:numRef>
              <c:f>'Решение 1'!$D$18:$D$21</c:f>
              <c:numCache>
                <c:formatCode>0.00%</c:formatCode>
                <c:ptCount val="4"/>
                <c:pt idx="0">
                  <c:v>0.10737653206613472</c:v>
                </c:pt>
                <c:pt idx="1">
                  <c:v>0.62122156432609021</c:v>
                </c:pt>
                <c:pt idx="2">
                  <c:v>8.2038730895350118E-2</c:v>
                </c:pt>
                <c:pt idx="3">
                  <c:v>0.18936317271242492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1-4C0B-BBD0-E7F29D1266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'Решение 1'!$C$23</c:f>
              <c:strCache>
                <c:ptCount val="1"/>
                <c:pt idx="0">
                  <c:v>Студенты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B6-4D65-9F7C-400302F5C2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'Решение 1'!$A$24:$A$51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cat>
          <c:val>
            <c:numRef>
              <c:f>'Решение 1'!$C$24:$C$51</c:f>
              <c:numCache>
                <c:formatCode>0</c:formatCode>
                <c:ptCount val="28"/>
                <c:pt idx="0">
                  <c:v>146</c:v>
                </c:pt>
                <c:pt idx="1">
                  <c:v>316</c:v>
                </c:pt>
                <c:pt idx="2">
                  <c:v>517</c:v>
                </c:pt>
                <c:pt idx="3">
                  <c:v>662</c:v>
                </c:pt>
                <c:pt idx="4">
                  <c:v>809</c:v>
                </c:pt>
                <c:pt idx="5">
                  <c:v>797</c:v>
                </c:pt>
                <c:pt idx="6">
                  <c:v>895</c:v>
                </c:pt>
                <c:pt idx="7">
                  <c:v>925</c:v>
                </c:pt>
                <c:pt idx="8">
                  <c:v>1087</c:v>
                </c:pt>
                <c:pt idx="9">
                  <c:v>1237</c:v>
                </c:pt>
                <c:pt idx="10">
                  <c:v>1333</c:v>
                </c:pt>
                <c:pt idx="11">
                  <c:v>1415</c:v>
                </c:pt>
                <c:pt idx="12">
                  <c:v>1434</c:v>
                </c:pt>
                <c:pt idx="13">
                  <c:v>1525</c:v>
                </c:pt>
                <c:pt idx="14">
                  <c:v>1611</c:v>
                </c:pt>
                <c:pt idx="15">
                  <c:v>1681</c:v>
                </c:pt>
                <c:pt idx="16">
                  <c:v>1793.2719033232629</c:v>
                </c:pt>
                <c:pt idx="17">
                  <c:v>1573.3428995178861</c:v>
                </c:pt>
                <c:pt idx="18">
                  <c:v>1633.0795837476435</c:v>
                </c:pt>
                <c:pt idx="19">
                  <c:v>1724.8840075544065</c:v>
                </c:pt>
                <c:pt idx="20">
                  <c:v>2184.59644519828</c:v>
                </c:pt>
                <c:pt idx="21">
                  <c:v>2625.7918095842542</c:v>
                </c:pt>
                <c:pt idx="22">
                  <c:v>3021.8761721258097</c:v>
                </c:pt>
                <c:pt idx="23">
                  <c:v>3378.3245881084231</c:v>
                </c:pt>
                <c:pt idx="24">
                  <c:v>3401.4196927404682</c:v>
                </c:pt>
                <c:pt idx="25">
                  <c:v>3726.501221733904</c:v>
                </c:pt>
                <c:pt idx="26">
                  <c:v>4159.189278355323</c:v>
                </c:pt>
                <c:pt idx="27">
                  <c:v>4453.0631263920295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6-4D65-9F7C-400302F5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27"/>
        <c:axId val="280920176"/>
        <c:axId val="203755504"/>
      </c:barChart>
      <c:lineChart>
        <c:grouping val="standard"/>
        <c:varyColors val="0"/>
        <c:ser>
          <c:idx val="1"/>
          <c:order val="1"/>
          <c:tx>
            <c:strRef>
              <c:f>'Решение 1'!$K$23</c:f>
              <c:strCache>
                <c:ptCount val="1"/>
                <c:pt idx="0">
                  <c:v>Выручка (признанная)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'Решение 1'!$A$24:$A$51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cat>
          <c:val>
            <c:numRef>
              <c:f>'Решение 1'!$K$24:$K$51</c:f>
              <c:numCache>
                <c:formatCode>_("₽"* #,##0.00_);_("₽"* \(#,##0.00\);_("₽"* "-"??_);_(@_)</c:formatCode>
                <c:ptCount val="28"/>
                <c:pt idx="0">
                  <c:v>363600</c:v>
                </c:pt>
                <c:pt idx="1">
                  <c:v>1906560</c:v>
                </c:pt>
                <c:pt idx="2">
                  <c:v>3086160</c:v>
                </c:pt>
                <c:pt idx="3">
                  <c:v>4036320</c:v>
                </c:pt>
                <c:pt idx="4">
                  <c:v>4953360</c:v>
                </c:pt>
                <c:pt idx="5">
                  <c:v>4454880</c:v>
                </c:pt>
                <c:pt idx="6">
                  <c:v>5027520</c:v>
                </c:pt>
                <c:pt idx="7">
                  <c:v>5588160</c:v>
                </c:pt>
                <c:pt idx="8">
                  <c:v>7974240</c:v>
                </c:pt>
                <c:pt idx="9">
                  <c:v>9486720</c:v>
                </c:pt>
                <c:pt idx="10">
                  <c:v>10096080</c:v>
                </c:pt>
                <c:pt idx="11">
                  <c:v>10566000</c:v>
                </c:pt>
                <c:pt idx="12">
                  <c:v>9177840</c:v>
                </c:pt>
                <c:pt idx="13">
                  <c:v>11614560</c:v>
                </c:pt>
                <c:pt idx="14">
                  <c:v>7872720</c:v>
                </c:pt>
                <c:pt idx="15">
                  <c:v>12551760</c:v>
                </c:pt>
                <c:pt idx="16">
                  <c:v>12329556.848573172</c:v>
                </c:pt>
                <c:pt idx="17">
                  <c:v>9872664.9381131958</c:v>
                </c:pt>
                <c:pt idx="18">
                  <c:v>10345353.712746626</c:v>
                </c:pt>
                <c:pt idx="19">
                  <c:v>11735352.383517502</c:v>
                </c:pt>
                <c:pt idx="20">
                  <c:v>18020043.481213596</c:v>
                </c:pt>
                <c:pt idx="21">
                  <c:v>22685613.703286819</c:v>
                </c:pt>
                <c:pt idx="22">
                  <c:v>25703346.821160115</c:v>
                </c:pt>
                <c:pt idx="23">
                  <c:v>28370829.399110224</c:v>
                </c:pt>
                <c:pt idx="24">
                  <c:v>24531482.981187355</c:v>
                </c:pt>
                <c:pt idx="25">
                  <c:v>31914020.716998871</c:v>
                </c:pt>
                <c:pt idx="26">
                  <c:v>35124780.424343675</c:v>
                </c:pt>
                <c:pt idx="27">
                  <c:v>37411081.552790098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6-4D65-9F7C-400302F5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41776"/>
        <c:axId val="203745104"/>
      </c:lineChart>
      <c:dateAx>
        <c:axId val="28092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55504"/>
        <c:crosses val="autoZero"/>
        <c:auto val="1"/>
        <c:lblOffset val="100"/>
        <c:baseTimeUnit val="months"/>
      </c:dateAx>
      <c:valAx>
        <c:axId val="2037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920176"/>
        <c:crosses val="autoZero"/>
        <c:crossBetween val="between"/>
      </c:valAx>
      <c:valAx>
        <c:axId val="203745104"/>
        <c:scaling>
          <c:orientation val="minMax"/>
        </c:scaling>
        <c:delete val="0"/>
        <c:axPos val="r"/>
        <c:numFmt formatCode="_(&quot;₽&quot;* #,##0.00_);_(&quot;₽&quot;* \(#,##0.00\);_(&quot;₽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941776"/>
        <c:crosses val="max"/>
        <c:crossBetween val="between"/>
      </c:valAx>
      <c:dateAx>
        <c:axId val="28094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51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План</a:t>
            </a:r>
            <a:r>
              <a:rPr lang="ru-RU" baseline="0"/>
              <a:t> </a:t>
            </a:r>
            <a:r>
              <a:rPr lang="ru-RU"/>
              <a:t>найма 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'Решение 2'!$C$16</c:f>
              <c:strCache>
                <c:ptCount val="1"/>
                <c:pt idx="0">
                  <c:v>Уроки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'Решение 2'!$A$17:$A$44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xVal>
          <c:yVal>
            <c:numRef>
              <c:f>'Решение 2'!$C$17:$C$44</c:f>
              <c:numCache>
                <c:formatCode>0</c:formatCode>
                <c:ptCount val="28"/>
                <c:pt idx="0">
                  <c:v>406</c:v>
                </c:pt>
                <c:pt idx="1">
                  <c:v>1706</c:v>
                </c:pt>
                <c:pt idx="2">
                  <c:v>2788</c:v>
                </c:pt>
                <c:pt idx="3">
                  <c:v>3652</c:v>
                </c:pt>
                <c:pt idx="4">
                  <c:v>4451</c:v>
                </c:pt>
                <c:pt idx="5">
                  <c:v>4002</c:v>
                </c:pt>
                <c:pt idx="6">
                  <c:v>4537</c:v>
                </c:pt>
                <c:pt idx="7">
                  <c:v>5036</c:v>
                </c:pt>
                <c:pt idx="8">
                  <c:v>7175</c:v>
                </c:pt>
                <c:pt idx="9">
                  <c:v>8552</c:v>
                </c:pt>
                <c:pt idx="10">
                  <c:v>9073</c:v>
                </c:pt>
                <c:pt idx="11">
                  <c:v>9509</c:v>
                </c:pt>
                <c:pt idx="12">
                  <c:v>8276</c:v>
                </c:pt>
                <c:pt idx="13">
                  <c:v>10451</c:v>
                </c:pt>
                <c:pt idx="14">
                  <c:v>10887</c:v>
                </c:pt>
                <c:pt idx="15">
                  <c:v>11301</c:v>
                </c:pt>
                <c:pt idx="16">
                  <c:v>11148.942105206159</c:v>
                </c:pt>
                <c:pt idx="17">
                  <c:v>8927.3094865417243</c:v>
                </c:pt>
                <c:pt idx="18">
                  <c:v>9354.7360231879957</c:v>
                </c:pt>
                <c:pt idx="19">
                  <c:v>10611.635593632118</c:v>
                </c:pt>
                <c:pt idx="20">
                  <c:v>16294.537100787813</c:v>
                </c:pt>
                <c:pt idx="21">
                  <c:v>20513.356392714573</c:v>
                </c:pt>
                <c:pt idx="22">
                  <c:v>23242.126958708282</c:v>
                </c:pt>
                <c:pt idx="23">
                  <c:v>25654.185169190798</c:v>
                </c:pt>
                <c:pt idx="24">
                  <c:v>22182.474753239698</c:v>
                </c:pt>
                <c:pt idx="25">
                  <c:v>28858.098769328102</c:v>
                </c:pt>
                <c:pt idx="26">
                  <c:v>31761.412694601779</c:v>
                </c:pt>
                <c:pt idx="27">
                  <c:v>33828.789424290684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6-4B1E-9B2C-6DD8E583963B}"/>
            </c:ext>
          </c:extLst>
        </c:ser>
        <c:ser>
          <c:idx val="1"/>
          <c:order val="1"/>
          <c:tx>
            <c:strRef>
              <c:f>'Решение 2'!$G$16</c:f>
              <c:strCache>
                <c:ptCount val="1"/>
                <c:pt idx="0">
                  <c:v>Пропускная способность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'Решение 2'!$A$17:$A$44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xVal>
          <c:yVal>
            <c:numRef>
              <c:f>'Решение 2'!$G$17:$G$44</c:f>
              <c:numCache>
                <c:formatCode>General</c:formatCode>
                <c:ptCount val="28"/>
                <c:pt idx="16" formatCode="0">
                  <c:v>13927.563041049163</c:v>
                </c:pt>
                <c:pt idx="17" formatCode="0">
                  <c:v>14145.35619089204</c:v>
                </c:pt>
                <c:pt idx="18" formatCode="0">
                  <c:v>16191.9994786146</c:v>
                </c:pt>
                <c:pt idx="19" formatCode="0">
                  <c:v>19614.32703212522</c:v>
                </c:pt>
                <c:pt idx="20" formatCode="0">
                  <c:v>22182.963125491577</c:v>
                </c:pt>
                <c:pt idx="21" formatCode="0">
                  <c:v>24611.86440925788</c:v>
                </c:pt>
                <c:pt idx="22" formatCode="0">
                  <c:v>26908.61048500684</c:v>
                </c:pt>
                <c:pt idx="23" formatCode="0">
                  <c:v>29067.220784876074</c:v>
                </c:pt>
                <c:pt idx="24" formatCode="0">
                  <c:v>31125.733441188167</c:v>
                </c:pt>
                <c:pt idx="25" formatCode="0">
                  <c:v>33068.083010819239</c:v>
                </c:pt>
                <c:pt idx="26" formatCode="0">
                  <c:v>34904.767665885913</c:v>
                </c:pt>
                <c:pt idx="27" formatCode="0">
                  <c:v>34548.129221050069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6-4B1E-9B2C-6DD8E58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53712"/>
        <c:axId val="203795024"/>
      </c:scatterChart>
      <c:valAx>
        <c:axId val="2147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95024"/>
        <c:crosses val="autoZero"/>
        <c:crossBetween val="midCat"/>
      </c:valAx>
      <c:valAx>
        <c:axId val="2037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169861</xdr:rowOff>
    </xdr:from>
    <xdr:to>
      <xdr:col>5</xdr:col>
      <xdr:colOff>781050</xdr:colOff>
      <xdr:row>19</xdr:row>
      <xdr:rowOff>55038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13B6F97-AC0F-4D9C-AD1D-60C15DF0B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847727</xdr:colOff>
      <xdr:row>0</xdr:row>
      <xdr:rowOff>173037</xdr:rowOff>
    </xdr:from>
    <xdr:to>
      <xdr:col>7</xdr:col>
      <xdr:colOff>828675</xdr:colOff>
      <xdr:row>19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FB49164-89CE-4B9C-BE7E-F2B2DBB21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922058</xdr:colOff>
      <xdr:row>1</xdr:row>
      <xdr:rowOff>0</xdr:rowOff>
    </xdr:from>
    <xdr:to>
      <xdr:col>15</xdr:col>
      <xdr:colOff>605117</xdr:colOff>
      <xdr:row>19</xdr:row>
      <xdr:rowOff>98424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7564BFB-463F-47C4-BEA4-3DC4C109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12</xdr:row>
      <xdr:rowOff>38100</xdr:rowOff>
    </xdr:from>
    <xdr:to>
      <xdr:col>20</xdr:col>
      <xdr:colOff>415925</xdr:colOff>
      <xdr:row>40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A70740-E1A7-430C-B447-ADE32C31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D256A-3FF3-4D9B-A2B5-298BDCF0F7BD}" name="Таблица1" displayName="Таблица1" ref="A23:R51" totalsRowShown="0">
  <autoFilter ref="A23:R51" xr:uid="{EF67C4A9-3EAA-4388-9EB7-53119CA5D3DD}"/>
  <tableColumns count="18">
    <tableColumn id="1" xr3:uid="{6B9A2218-C6C4-46E9-99AD-48DC5D16FE76}" name="Месяцы" dataDxfId="9"/>
    <tableColumn id="2" xr3:uid="{FABC4D37-7047-45E5-9CCA-01FF7765D6DA}" name="Регистрации" dataDxfId="8"/>
    <tableColumn id="3" xr3:uid="{FE98F332-9EB5-4C9D-97AA-B7E77244A3A8}" name="Студенты" dataDxfId="7"/>
    <tableColumn id="4" xr3:uid="{CAA64513-C8E8-415E-A24C-AEB351A65E61}" name="Новые студенты"/>
    <tableColumn id="5" xr3:uid="{828580F0-C1C8-4812-8CC7-451DBD1C6A5E}" name="Старые студенты"/>
    <tableColumn id="6" xr3:uid="{FFD9881A-7F86-4C6C-AD4D-B5BC612CB7AA}" name="Retention"/>
    <tableColumn id="7" xr3:uid="{D490CE3E-DC49-4E71-ABED-B9071EEAFE8C}" name="Уроки"/>
    <tableColumn id="8" xr3:uid="{EA024643-BDF3-4409-BE38-B0F8A6EFDFBE}" name="Интенсивность"/>
    <tableColumn id="9" xr3:uid="{65D4129E-043D-4A0E-B2E1-7E8A9697D626}" name="ЗП Учителей"/>
    <tableColumn id="10" xr3:uid="{FA5DF4BE-DD85-4982-824D-AB5061010411}" name="ФОТ Core-team"/>
    <tableColumn id="11" xr3:uid="{A4CB217C-C703-4F47-9683-6086A33C6784}" name="Выручка (признанная)"/>
    <tableColumn id="21" xr3:uid="{CE8519E3-BFDD-44E4-915B-D141ED94DBB9}" name="Расходы на маркетинг" dataDxfId="6" dataCellStyle="Денежный"/>
    <tableColumn id="17" xr3:uid="{5B7B1F31-32FD-4C97-97D4-9D89122DDCC2}" name="CPA" dataDxfId="5" dataCellStyle="Денежный"/>
    <tableColumn id="12" xr3:uid="{335FF2BD-F40B-4AA6-875A-D26526DF4298}" name="CAC" dataDxfId="4" dataCellStyle="Денежный"/>
    <tableColumn id="13" xr3:uid="{E7C6BA54-E412-427E-84D8-7E344A3810A0}" name="% CAC" dataDxfId="3" dataCellStyle="Процентный"/>
    <tableColumn id="14" xr3:uid="{DF4A1EE3-074A-4DD5-BE5C-A5E4E847EFC7}" name="% ФОТ" dataDxfId="2" dataCellStyle="Процентный"/>
    <tableColumn id="15" xr3:uid="{31E54BCF-2F6D-4996-8B45-C66913E83F77}" name="% ЗП Учителей" dataDxfId="1" dataCellStyle="Процентный"/>
    <tableColumn id="16" xr3:uid="{589BF3ED-0119-49B5-ABE3-EA956AAF727D}" name="% Маржа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6A27-5833-48F2-A8E8-B7A3C9449EA1}">
  <dimension ref="A1:R55"/>
  <sheetViews>
    <sheetView tabSelected="1" zoomScale="63" zoomScaleNormal="63" workbookViewId="0">
      <selection activeCell="I31" sqref="I31"/>
    </sheetView>
  </sheetViews>
  <sheetFormatPr defaultColWidth="8.77734375" defaultRowHeight="14.4" x14ac:dyDescent="0.3"/>
  <cols>
    <col min="1" max="1" width="35.44140625" customWidth="1"/>
    <col min="2" max="2" width="15.33203125" bestFit="1" customWidth="1"/>
    <col min="3" max="3" width="12.6640625" bestFit="1" customWidth="1"/>
    <col min="4" max="4" width="19.33203125" bestFit="1" customWidth="1"/>
    <col min="5" max="5" width="17.6640625" customWidth="1"/>
    <col min="6" max="6" width="14.33203125" bestFit="1" customWidth="1"/>
    <col min="7" max="7" width="15.33203125" bestFit="1" customWidth="1"/>
    <col min="8" max="8" width="16" customWidth="1"/>
    <col min="9" max="9" width="28.88671875" customWidth="1"/>
    <col min="10" max="10" width="16" customWidth="1"/>
    <col min="11" max="11" width="22.33203125" customWidth="1"/>
    <col min="12" max="12" width="23.44140625" bestFit="1" customWidth="1"/>
    <col min="13" max="13" width="22.33203125" customWidth="1"/>
    <col min="14" max="14" width="14" customWidth="1"/>
    <col min="15" max="15" width="14.109375" bestFit="1" customWidth="1"/>
    <col min="16" max="16" width="9" bestFit="1" customWidth="1"/>
    <col min="17" max="17" width="16.109375" bestFit="1" customWidth="1"/>
    <col min="18" max="18" width="13.77734375" bestFit="1" customWidth="1"/>
    <col min="19" max="19" width="7.77734375" bestFit="1" customWidth="1"/>
    <col min="20" max="20" width="13.77734375" bestFit="1" customWidth="1"/>
    <col min="21" max="21" width="7.77734375" bestFit="1" customWidth="1"/>
    <col min="22" max="22" width="11.44140625" bestFit="1" customWidth="1"/>
  </cols>
  <sheetData>
    <row r="1" spans="1:4" x14ac:dyDescent="0.3">
      <c r="A1" s="27" t="s">
        <v>29</v>
      </c>
      <c r="B1" s="28" t="s">
        <v>34</v>
      </c>
      <c r="C1" s="29" t="s">
        <v>15</v>
      </c>
      <c r="D1" s="28" t="s">
        <v>35</v>
      </c>
    </row>
    <row r="2" spans="1:4" x14ac:dyDescent="0.3">
      <c r="A2" s="26" t="s">
        <v>27</v>
      </c>
      <c r="B2" s="15">
        <v>2710.0494895263255</v>
      </c>
      <c r="C2" s="44">
        <v>-0.1</v>
      </c>
      <c r="D2" s="15">
        <f>B2*(1+C2)</f>
        <v>2439.0445405736932</v>
      </c>
    </row>
    <row r="3" spans="1:4" x14ac:dyDescent="0.3">
      <c r="A3" s="26" t="s">
        <v>24</v>
      </c>
      <c r="B3" s="16">
        <v>0.23391205887903377</v>
      </c>
      <c r="C3" s="44">
        <v>0.105</v>
      </c>
      <c r="D3" s="16">
        <f>B3*(1+C3)</f>
        <v>0.25847282506133229</v>
      </c>
    </row>
    <row r="4" spans="1:4" x14ac:dyDescent="0.3">
      <c r="A4" s="26" t="s">
        <v>26</v>
      </c>
      <c r="B4" s="17">
        <f>B2/B3</f>
        <v>11585.762198467124</v>
      </c>
      <c r="C4" s="44"/>
      <c r="D4" s="17">
        <f>D2/D3</f>
        <v>9436.3674014664375</v>
      </c>
    </row>
    <row r="5" spans="1:4" x14ac:dyDescent="0.3">
      <c r="A5" s="18"/>
      <c r="B5" s="18"/>
      <c r="C5" s="45"/>
      <c r="D5" s="18"/>
    </row>
    <row r="6" spans="1:4" x14ac:dyDescent="0.3">
      <c r="A6" s="26" t="s">
        <v>1</v>
      </c>
      <c r="B6" s="16">
        <v>0.88552823044460138</v>
      </c>
      <c r="C6" s="44">
        <v>0.03</v>
      </c>
      <c r="D6" s="16">
        <f>B6*(1+C6)</f>
        <v>0.91209407735793946</v>
      </c>
    </row>
    <row r="7" spans="1:4" x14ac:dyDescent="0.3">
      <c r="A7" s="26" t="s">
        <v>20</v>
      </c>
      <c r="B7" s="19">
        <f>1/(1-B6)</f>
        <v>8.735778296115619</v>
      </c>
      <c r="C7" s="44"/>
      <c r="D7" s="19">
        <f>1/(1-D6)</f>
        <v>11.375797784090691</v>
      </c>
    </row>
    <row r="8" spans="1:4" x14ac:dyDescent="0.3">
      <c r="A8" s="18"/>
      <c r="B8" s="18"/>
      <c r="C8" s="45"/>
      <c r="D8" s="18"/>
    </row>
    <row r="9" spans="1:4" x14ac:dyDescent="0.3">
      <c r="A9" s="26" t="s">
        <v>2</v>
      </c>
      <c r="B9" s="23">
        <v>6.1818911544489268</v>
      </c>
      <c r="C9" s="44">
        <v>0.13</v>
      </c>
      <c r="D9" s="20">
        <f>B9*(1+C9)</f>
        <v>6.9855370045272869</v>
      </c>
    </row>
    <row r="10" spans="1:4" x14ac:dyDescent="0.3">
      <c r="A10" s="26" t="s">
        <v>21</v>
      </c>
      <c r="B10" s="19">
        <f>B7*B9</f>
        <v>54.003630575984062</v>
      </c>
      <c r="C10" s="44"/>
      <c r="D10" s="19">
        <f>D7*D9</f>
        <v>79.466056376785033</v>
      </c>
    </row>
    <row r="11" spans="1:4" x14ac:dyDescent="0.3">
      <c r="A11" s="18"/>
      <c r="B11" s="18"/>
      <c r="C11" s="45"/>
      <c r="D11" s="18"/>
    </row>
    <row r="12" spans="1:4" x14ac:dyDescent="0.3">
      <c r="A12" s="26" t="s">
        <v>12</v>
      </c>
      <c r="B12" s="15">
        <v>1200</v>
      </c>
      <c r="C12" s="44">
        <v>0</v>
      </c>
      <c r="D12" s="15">
        <f>B12*(1+C12)</f>
        <v>1200</v>
      </c>
    </row>
    <row r="13" spans="1:4" x14ac:dyDescent="0.3">
      <c r="A13" s="26" t="s">
        <v>22</v>
      </c>
      <c r="B13" s="16">
        <f>(B12-B14)/B12</f>
        <v>0.11203002680965142</v>
      </c>
      <c r="C13" s="44">
        <v>-0.3</v>
      </c>
      <c r="D13" s="16">
        <f>B13*(1+C13)</f>
        <v>7.8421018766755987E-2</v>
      </c>
    </row>
    <row r="14" spans="1:4" x14ac:dyDescent="0.3">
      <c r="A14" s="26" t="s">
        <v>23</v>
      </c>
      <c r="B14" s="17">
        <f>SUM(K28:K39)/SUM(G28:G39)</f>
        <v>1065.5639678284183</v>
      </c>
      <c r="C14" s="44"/>
      <c r="D14" s="17">
        <f>D12*(1-D13)</f>
        <v>1105.8947774798928</v>
      </c>
    </row>
    <row r="15" spans="1:4" x14ac:dyDescent="0.3">
      <c r="A15" s="26" t="s">
        <v>30</v>
      </c>
      <c r="B15" s="15">
        <v>597.39624664879352</v>
      </c>
      <c r="C15" s="44">
        <v>0.15</v>
      </c>
      <c r="D15" s="15">
        <f>B15*(1+C15)</f>
        <v>687.00568364611252</v>
      </c>
    </row>
    <row r="16" spans="1:4" x14ac:dyDescent="0.3">
      <c r="A16" s="18"/>
      <c r="B16" s="18"/>
      <c r="C16" s="25"/>
      <c r="D16" s="18"/>
    </row>
    <row r="17" spans="1:18" x14ac:dyDescent="0.3">
      <c r="A17" s="26" t="s">
        <v>11</v>
      </c>
      <c r="B17" s="21">
        <f>B10*B14</f>
        <v>57544.322873685669</v>
      </c>
      <c r="C17" s="24"/>
      <c r="D17" s="21">
        <f>D10*D14</f>
        <v>87881.096734009305</v>
      </c>
    </row>
    <row r="18" spans="1:18" x14ac:dyDescent="0.3">
      <c r="A18" s="26" t="s">
        <v>25</v>
      </c>
      <c r="B18" s="22">
        <f>B4/B17</f>
        <v>0.20133631989898962</v>
      </c>
      <c r="C18" s="24"/>
      <c r="D18" s="22">
        <f>D4/D17</f>
        <v>0.10737653206613472</v>
      </c>
    </row>
    <row r="19" spans="1:18" x14ac:dyDescent="0.3">
      <c r="A19" s="26" t="s">
        <v>31</v>
      </c>
      <c r="B19" s="33">
        <f>B15/B14</f>
        <v>0.56063855825217701</v>
      </c>
      <c r="C19" s="24"/>
      <c r="D19" s="22">
        <f>D15/D14</f>
        <v>0.62122156432609021</v>
      </c>
    </row>
    <row r="20" spans="1:18" x14ac:dyDescent="0.3">
      <c r="A20" s="26" t="s">
        <v>32</v>
      </c>
      <c r="B20" s="36">
        <f>SUM(J28:J39)/SUM(K28:K39)</f>
        <v>0.14311041119183798</v>
      </c>
      <c r="C20" s="34"/>
      <c r="D20" s="22">
        <f>SUM(J40:J51)/SUM(K40:K51)</f>
        <v>8.2038730895350118E-2</v>
      </c>
    </row>
    <row r="21" spans="1:18" x14ac:dyDescent="0.3">
      <c r="A21" s="26" t="s">
        <v>33</v>
      </c>
      <c r="B21" s="36">
        <f>1-B18-B19-B20</f>
        <v>9.4914710656995416E-2</v>
      </c>
      <c r="C21" s="34"/>
      <c r="D21" s="51">
        <f>1-D18-D19-D20</f>
        <v>0.18936317271242492</v>
      </c>
    </row>
    <row r="22" spans="1:18" x14ac:dyDescent="0.3">
      <c r="A22" s="49" t="s">
        <v>53</v>
      </c>
      <c r="B22" s="49"/>
      <c r="C22" s="50">
        <v>0.12</v>
      </c>
    </row>
    <row r="23" spans="1:18" x14ac:dyDescent="0.3">
      <c r="A23" t="s">
        <v>28</v>
      </c>
      <c r="B23" t="s">
        <v>16</v>
      </c>
      <c r="C23" s="5" t="s">
        <v>17</v>
      </c>
      <c r="D23" t="s">
        <v>18</v>
      </c>
      <c r="E23" t="s">
        <v>19</v>
      </c>
      <c r="F23" t="s">
        <v>1</v>
      </c>
      <c r="G23" t="s">
        <v>0</v>
      </c>
      <c r="H23" t="s">
        <v>2</v>
      </c>
      <c r="I23" t="s">
        <v>3</v>
      </c>
      <c r="J23" t="s">
        <v>4</v>
      </c>
      <c r="K23" t="s">
        <v>5</v>
      </c>
      <c r="L23" t="s">
        <v>36</v>
      </c>
      <c r="M23" t="s">
        <v>13</v>
      </c>
      <c r="N23" t="s">
        <v>9</v>
      </c>
      <c r="O23" t="s">
        <v>8</v>
      </c>
      <c r="P23" t="s">
        <v>6</v>
      </c>
      <c r="Q23" t="s">
        <v>7</v>
      </c>
      <c r="R23" t="s">
        <v>10</v>
      </c>
    </row>
    <row r="24" spans="1:18" x14ac:dyDescent="0.3">
      <c r="A24" s="37">
        <v>43831</v>
      </c>
      <c r="B24" s="38">
        <v>727</v>
      </c>
      <c r="C24" s="38">
        <v>146</v>
      </c>
      <c r="D24" s="39">
        <v>146</v>
      </c>
      <c r="E24" s="39">
        <v>0</v>
      </c>
      <c r="F24" s="39"/>
      <c r="G24" s="39">
        <v>406</v>
      </c>
      <c r="H24" s="40">
        <v>2.7808219178082192</v>
      </c>
      <c r="I24" s="41">
        <v>481800</v>
      </c>
      <c r="J24" s="41">
        <v>900000</v>
      </c>
      <c r="K24" s="41">
        <v>363600</v>
      </c>
      <c r="L24" s="41">
        <v>4399416</v>
      </c>
      <c r="M24" s="41">
        <v>6051.4662998624481</v>
      </c>
      <c r="N24" s="41">
        <v>24172.615384615383</v>
      </c>
      <c r="O24" s="42">
        <v>0.4200695077718819</v>
      </c>
      <c r="P24" s="42">
        <v>2.4752475247524752</v>
      </c>
      <c r="Q24" s="42">
        <v>1.3250825082508251</v>
      </c>
      <c r="R24" s="43">
        <v>-3.2203995407751824</v>
      </c>
    </row>
    <row r="25" spans="1:18" x14ac:dyDescent="0.3">
      <c r="A25" s="2">
        <v>43862</v>
      </c>
      <c r="B25" s="8">
        <v>781</v>
      </c>
      <c r="C25" s="8">
        <v>316</v>
      </c>
      <c r="D25">
        <v>178</v>
      </c>
      <c r="E25" s="8">
        <v>138</v>
      </c>
      <c r="F25" s="9">
        <v>0.9452054794520548</v>
      </c>
      <c r="G25" s="8">
        <v>1706</v>
      </c>
      <c r="H25" s="3">
        <v>5.3987341772151902</v>
      </c>
      <c r="I25" s="14">
        <v>1290650</v>
      </c>
      <c r="J25" s="14">
        <v>900000</v>
      </c>
      <c r="K25" s="14">
        <v>1906560</v>
      </c>
      <c r="L25" s="14">
        <v>4661820</v>
      </c>
      <c r="M25" s="14">
        <v>5969.0396927016645</v>
      </c>
      <c r="N25" s="14">
        <v>27103.60465116279</v>
      </c>
      <c r="O25" s="9">
        <v>0.47100397220169471</v>
      </c>
      <c r="P25" s="9">
        <v>0.47205438066465255</v>
      </c>
      <c r="Q25" s="9">
        <v>0.67695220711648207</v>
      </c>
      <c r="R25" s="7">
        <v>-0.62001055998282939</v>
      </c>
    </row>
    <row r="26" spans="1:18" x14ac:dyDescent="0.3">
      <c r="A26" s="2">
        <v>43891</v>
      </c>
      <c r="B26" s="8">
        <v>954</v>
      </c>
      <c r="C26" s="8">
        <v>517</v>
      </c>
      <c r="D26">
        <v>233</v>
      </c>
      <c r="E26" s="8">
        <v>284</v>
      </c>
      <c r="F26" s="9">
        <v>0.89873417721518989</v>
      </c>
      <c r="G26" s="8">
        <v>2788</v>
      </c>
      <c r="H26" s="3">
        <v>5.3926499032882012</v>
      </c>
      <c r="I26" s="14">
        <v>2024450</v>
      </c>
      <c r="J26" s="14">
        <v>900000</v>
      </c>
      <c r="K26" s="14">
        <v>3086160</v>
      </c>
      <c r="L26" s="14">
        <v>4359506.8899999987</v>
      </c>
      <c r="M26" s="14">
        <v>4569.7137211740028</v>
      </c>
      <c r="N26" s="14">
        <v>18790.977974137924</v>
      </c>
      <c r="O26" s="9">
        <v>0.32654790317692334</v>
      </c>
      <c r="P26" s="9">
        <v>0.29162454312154912</v>
      </c>
      <c r="Q26" s="9">
        <v>0.65597700702491124</v>
      </c>
      <c r="R26" s="7">
        <v>-0.27414945332338375</v>
      </c>
    </row>
    <row r="27" spans="1:18" ht="15" thickBot="1" x14ac:dyDescent="0.35">
      <c r="A27" s="30">
        <v>43922</v>
      </c>
      <c r="B27" s="35">
        <v>842</v>
      </c>
      <c r="C27" s="35">
        <v>662</v>
      </c>
      <c r="D27" s="31">
        <v>194</v>
      </c>
      <c r="E27" s="35">
        <v>468</v>
      </c>
      <c r="F27" s="13">
        <v>0.90522243713733075</v>
      </c>
      <c r="G27" s="35">
        <v>3652</v>
      </c>
      <c r="H27" s="12">
        <v>5.5166163141993954</v>
      </c>
      <c r="I27" s="11">
        <v>2392600</v>
      </c>
      <c r="J27" s="11">
        <v>900000</v>
      </c>
      <c r="K27" s="11">
        <v>4036320</v>
      </c>
      <c r="L27" s="11">
        <v>2940624.84</v>
      </c>
      <c r="M27" s="11">
        <v>3492.4285510688833</v>
      </c>
      <c r="N27" s="11">
        <v>14777.009246231155</v>
      </c>
      <c r="O27" s="13">
        <v>0.25679352033853725</v>
      </c>
      <c r="P27" s="13">
        <v>0.22297538351765964</v>
      </c>
      <c r="Q27" s="13">
        <v>0.59276766956039162</v>
      </c>
      <c r="R27" s="10">
        <v>-7.2536573416588535E-2</v>
      </c>
    </row>
    <row r="28" spans="1:18" x14ac:dyDescent="0.3">
      <c r="A28" s="2">
        <v>43952</v>
      </c>
      <c r="B28" s="8">
        <v>841</v>
      </c>
      <c r="C28" s="8">
        <v>809</v>
      </c>
      <c r="D28">
        <v>209</v>
      </c>
      <c r="E28" s="8">
        <v>600</v>
      </c>
      <c r="F28" s="6">
        <v>0.90634441087613293</v>
      </c>
      <c r="G28" s="8">
        <v>4451</v>
      </c>
      <c r="H28" s="3">
        <v>5.5018541409147099</v>
      </c>
      <c r="I28" s="4">
        <v>2817000</v>
      </c>
      <c r="J28" s="4">
        <v>900000</v>
      </c>
      <c r="K28" s="4">
        <v>4953360</v>
      </c>
      <c r="L28" s="4">
        <v>2818615.8000000003</v>
      </c>
      <c r="M28" s="4">
        <v>3351.5051129607614</v>
      </c>
      <c r="N28" s="4">
        <v>13884.806896551725</v>
      </c>
      <c r="O28" s="6">
        <v>0.24128890919491697</v>
      </c>
      <c r="P28" s="6">
        <v>0.18169484955666457</v>
      </c>
      <c r="Q28" s="6">
        <v>0.56870487911236012</v>
      </c>
      <c r="R28" s="7">
        <v>8.3113621360583201E-3</v>
      </c>
    </row>
    <row r="29" spans="1:18" x14ac:dyDescent="0.3">
      <c r="A29" s="2">
        <v>43983</v>
      </c>
      <c r="B29" s="8">
        <v>832</v>
      </c>
      <c r="C29" s="8">
        <v>797</v>
      </c>
      <c r="D29">
        <v>206</v>
      </c>
      <c r="E29" s="8">
        <v>591</v>
      </c>
      <c r="F29" s="6">
        <v>0.73053152039555003</v>
      </c>
      <c r="G29" s="8">
        <v>4002</v>
      </c>
      <c r="H29" s="3">
        <v>5.0213299874529485</v>
      </c>
      <c r="I29" s="4">
        <v>2534350</v>
      </c>
      <c r="J29" s="4">
        <v>900000</v>
      </c>
      <c r="K29" s="4">
        <v>4454880</v>
      </c>
      <c r="L29" s="4">
        <v>2522274.2999999998</v>
      </c>
      <c r="M29" s="4">
        <v>3031.5796874999996</v>
      </c>
      <c r="N29" s="4">
        <v>11786.328504672896</v>
      </c>
      <c r="O29" s="6">
        <v>0.2048217428945131</v>
      </c>
      <c r="P29" s="6">
        <v>0.20202564378838486</v>
      </c>
      <c r="Q29" s="6">
        <v>0.56889298926121468</v>
      </c>
      <c r="R29" s="7">
        <v>2.4259624055887385E-2</v>
      </c>
    </row>
    <row r="30" spans="1:18" x14ac:dyDescent="0.3">
      <c r="A30" s="2">
        <v>44013</v>
      </c>
      <c r="B30" s="8">
        <v>908</v>
      </c>
      <c r="C30" s="8">
        <v>895</v>
      </c>
      <c r="D30">
        <v>202</v>
      </c>
      <c r="E30" s="8">
        <v>693</v>
      </c>
      <c r="F30" s="6">
        <v>0.86951066499372642</v>
      </c>
      <c r="G30" s="8">
        <v>4537</v>
      </c>
      <c r="H30" s="3">
        <v>5.06927374301676</v>
      </c>
      <c r="I30" s="4">
        <v>2786550</v>
      </c>
      <c r="J30" s="4">
        <v>900000</v>
      </c>
      <c r="K30" s="4">
        <v>5027520</v>
      </c>
      <c r="L30" s="4">
        <v>2200325.4</v>
      </c>
      <c r="M30" s="4">
        <v>2423.265859030837</v>
      </c>
      <c r="N30" s="4">
        <v>11580.66</v>
      </c>
      <c r="O30" s="6">
        <v>0.20124765435889241</v>
      </c>
      <c r="P30" s="6">
        <v>0.17901470307427916</v>
      </c>
      <c r="Q30" s="6">
        <v>0.55425935650181402</v>
      </c>
      <c r="R30" s="7">
        <v>6.5478286065014435E-2</v>
      </c>
    </row>
    <row r="31" spans="1:18" x14ac:dyDescent="0.3">
      <c r="A31" s="2">
        <v>44044</v>
      </c>
      <c r="B31" s="8">
        <v>822</v>
      </c>
      <c r="C31" s="8">
        <v>925</v>
      </c>
      <c r="D31">
        <v>186</v>
      </c>
      <c r="E31" s="8">
        <v>739</v>
      </c>
      <c r="F31" s="6">
        <v>0.82569832402234633</v>
      </c>
      <c r="G31" s="8">
        <v>5036</v>
      </c>
      <c r="H31" s="3">
        <v>5.4443243243243247</v>
      </c>
      <c r="I31" s="4">
        <v>3045650</v>
      </c>
      <c r="J31" s="4">
        <v>1200000</v>
      </c>
      <c r="K31" s="4">
        <v>5588160</v>
      </c>
      <c r="L31" s="4">
        <v>2411423.04</v>
      </c>
      <c r="M31" s="4">
        <v>2933.6046715328466</v>
      </c>
      <c r="N31" s="4">
        <v>11878.931231527094</v>
      </c>
      <c r="O31" s="6">
        <v>0.20643098464469356</v>
      </c>
      <c r="P31" s="6">
        <v>0.21473973544064592</v>
      </c>
      <c r="Q31" s="6">
        <v>0.54501839603733604</v>
      </c>
      <c r="R31" s="7">
        <v>3.3810883877324449E-2</v>
      </c>
    </row>
    <row r="32" spans="1:18" x14ac:dyDescent="0.3">
      <c r="A32" s="2">
        <v>44075</v>
      </c>
      <c r="B32" s="8">
        <v>911</v>
      </c>
      <c r="C32" s="8">
        <v>1087</v>
      </c>
      <c r="D32">
        <v>212</v>
      </c>
      <c r="E32" s="8">
        <v>875</v>
      </c>
      <c r="F32" s="6">
        <v>0.94594594594594594</v>
      </c>
      <c r="G32" s="8">
        <v>7175</v>
      </c>
      <c r="H32" s="3">
        <v>6.6007359705611774</v>
      </c>
      <c r="I32" s="4">
        <v>4387250</v>
      </c>
      <c r="J32" s="4">
        <v>1200000</v>
      </c>
      <c r="K32" s="4">
        <v>7974240</v>
      </c>
      <c r="L32" s="4">
        <v>2743733.68</v>
      </c>
      <c r="M32" s="4">
        <v>3011.7823051591658</v>
      </c>
      <c r="N32" s="4">
        <v>13384.066731707318</v>
      </c>
      <c r="O32" s="6">
        <v>0.23258709223299753</v>
      </c>
      <c r="P32" s="6">
        <v>0.15048456028411486</v>
      </c>
      <c r="Q32" s="6">
        <v>0.55017782258873571</v>
      </c>
      <c r="R32" s="7">
        <v>6.6750524894151925E-2</v>
      </c>
    </row>
    <row r="33" spans="1:18" x14ac:dyDescent="0.3">
      <c r="A33" s="2">
        <v>44105</v>
      </c>
      <c r="B33" s="8">
        <v>932</v>
      </c>
      <c r="C33" s="8">
        <v>1237</v>
      </c>
      <c r="D33">
        <v>212</v>
      </c>
      <c r="E33" s="8">
        <v>1025</v>
      </c>
      <c r="F33" s="6">
        <v>0.94296228150873962</v>
      </c>
      <c r="G33" s="8">
        <v>8552</v>
      </c>
      <c r="H33" s="3">
        <v>6.9135004042037185</v>
      </c>
      <c r="I33" s="4">
        <v>5150550</v>
      </c>
      <c r="J33" s="4">
        <v>1200000</v>
      </c>
      <c r="K33" s="4">
        <v>9486720</v>
      </c>
      <c r="L33" s="4">
        <v>2699845.44</v>
      </c>
      <c r="M33" s="4">
        <v>2896.8298712446353</v>
      </c>
      <c r="N33" s="4">
        <v>12616.100186915888</v>
      </c>
      <c r="O33" s="6">
        <v>0.21924143958751977</v>
      </c>
      <c r="P33" s="6">
        <v>0.12649261283141064</v>
      </c>
      <c r="Q33" s="6">
        <v>0.54292210584901845</v>
      </c>
      <c r="R33" s="7">
        <v>0.11134384173205111</v>
      </c>
    </row>
    <row r="34" spans="1:18" x14ac:dyDescent="0.3">
      <c r="A34" s="2">
        <v>44136</v>
      </c>
      <c r="B34" s="8">
        <v>813</v>
      </c>
      <c r="C34" s="8">
        <v>1333</v>
      </c>
      <c r="D34">
        <v>207</v>
      </c>
      <c r="E34" s="8">
        <v>1126</v>
      </c>
      <c r="F34" s="6">
        <v>0.91026677445432502</v>
      </c>
      <c r="G34" s="8">
        <v>9073</v>
      </c>
      <c r="H34" s="3">
        <v>6.806451612903226</v>
      </c>
      <c r="I34" s="4">
        <v>5435400</v>
      </c>
      <c r="J34" s="4">
        <v>1200000</v>
      </c>
      <c r="K34" s="4">
        <v>10096080</v>
      </c>
      <c r="L34" s="4">
        <v>2440637.6399999997</v>
      </c>
      <c r="M34" s="4">
        <v>3002.0143173431729</v>
      </c>
      <c r="N34" s="4">
        <v>11733.834807692307</v>
      </c>
      <c r="O34" s="6">
        <v>0.20390951221111769</v>
      </c>
      <c r="P34" s="6">
        <v>0.11885801221860366</v>
      </c>
      <c r="Q34" s="6">
        <v>0.53836736634416527</v>
      </c>
      <c r="R34" s="7">
        <v>0.13886510922611334</v>
      </c>
    </row>
    <row r="35" spans="1:18" x14ac:dyDescent="0.3">
      <c r="A35" s="2">
        <v>44166</v>
      </c>
      <c r="B35" s="8">
        <v>1011</v>
      </c>
      <c r="C35" s="8">
        <v>1415</v>
      </c>
      <c r="D35">
        <v>208</v>
      </c>
      <c r="E35" s="8">
        <v>1207</v>
      </c>
      <c r="F35" s="6">
        <v>0.90547636909227303</v>
      </c>
      <c r="G35" s="8">
        <v>9509</v>
      </c>
      <c r="H35" s="3">
        <v>6.7201413427561834</v>
      </c>
      <c r="I35" s="4">
        <v>5631900</v>
      </c>
      <c r="J35" s="4">
        <v>1200000</v>
      </c>
      <c r="K35" s="4">
        <v>10566000</v>
      </c>
      <c r="L35" s="4">
        <v>2473484</v>
      </c>
      <c r="M35" s="4">
        <v>2446.5717111770523</v>
      </c>
      <c r="N35" s="4">
        <v>12065.775609756098</v>
      </c>
      <c r="O35" s="6">
        <v>0.20967794922605013</v>
      </c>
      <c r="P35" s="6">
        <v>0.11357183418512209</v>
      </c>
      <c r="Q35" s="6">
        <v>0.53302101078932429</v>
      </c>
      <c r="R35" s="7">
        <v>0.14372920579950352</v>
      </c>
    </row>
    <row r="36" spans="1:18" x14ac:dyDescent="0.3">
      <c r="A36" s="2">
        <v>44197</v>
      </c>
      <c r="B36" s="8">
        <v>971</v>
      </c>
      <c r="C36" s="8">
        <v>1434</v>
      </c>
      <c r="D36">
        <v>233</v>
      </c>
      <c r="E36" s="8">
        <v>1201</v>
      </c>
      <c r="F36" s="6">
        <v>0.84876325088339222</v>
      </c>
      <c r="G36" s="8">
        <v>8276</v>
      </c>
      <c r="H36" s="3">
        <v>5.7712691771269178</v>
      </c>
      <c r="I36" s="4">
        <v>4909200</v>
      </c>
      <c r="J36" s="1">
        <v>1380000</v>
      </c>
      <c r="K36" s="4">
        <v>9177840</v>
      </c>
      <c r="L36" s="4">
        <v>2241070.8899999997</v>
      </c>
      <c r="M36" s="4">
        <v>2308.0029763130788</v>
      </c>
      <c r="N36" s="4">
        <v>9536.4718723404239</v>
      </c>
      <c r="O36" s="6">
        <v>0.16572393932367113</v>
      </c>
      <c r="P36" s="6">
        <v>0.15036217672132005</v>
      </c>
      <c r="Q36" s="6">
        <v>0.53489709997123502</v>
      </c>
      <c r="R36" s="7">
        <v>0.14901678398377383</v>
      </c>
    </row>
    <row r="37" spans="1:18" x14ac:dyDescent="0.3">
      <c r="A37" s="2">
        <v>44228</v>
      </c>
      <c r="B37" s="8">
        <v>904</v>
      </c>
      <c r="C37" s="8">
        <v>1525</v>
      </c>
      <c r="D37">
        <v>206</v>
      </c>
      <c r="E37" s="8">
        <v>1319</v>
      </c>
      <c r="F37" s="6">
        <v>0.91980474198047424</v>
      </c>
      <c r="G37" s="8">
        <v>10451</v>
      </c>
      <c r="H37" s="3">
        <v>6.8531147540983604</v>
      </c>
      <c r="I37" s="4">
        <v>6122400</v>
      </c>
      <c r="J37" s="1">
        <v>1380000</v>
      </c>
      <c r="K37" s="4">
        <v>11614560</v>
      </c>
      <c r="L37" s="4">
        <v>2112781.3199999998</v>
      </c>
      <c r="M37" s="4">
        <v>2337.1474778761062</v>
      </c>
      <c r="N37" s="4">
        <v>10407.78975369458</v>
      </c>
      <c r="O37" s="6">
        <v>0.18086562207953163</v>
      </c>
      <c r="P37" s="6">
        <v>0.11881638219614002</v>
      </c>
      <c r="Q37" s="6">
        <v>0.52713146257800558</v>
      </c>
      <c r="R37" s="7">
        <v>0.17318653314632279</v>
      </c>
    </row>
    <row r="38" spans="1:18" x14ac:dyDescent="0.3">
      <c r="A38" s="2">
        <v>44256</v>
      </c>
      <c r="B38" s="8">
        <v>759</v>
      </c>
      <c r="C38" s="8">
        <v>1611</v>
      </c>
      <c r="D38">
        <v>181</v>
      </c>
      <c r="E38" s="8">
        <v>1430</v>
      </c>
      <c r="F38" s="6">
        <v>0.93770491803278688</v>
      </c>
      <c r="G38" s="8">
        <v>10887</v>
      </c>
      <c r="H38" s="3">
        <v>6.7579143389199254</v>
      </c>
      <c r="I38" s="4">
        <v>6313400</v>
      </c>
      <c r="J38" s="1">
        <v>1380000</v>
      </c>
      <c r="K38" s="4">
        <v>7872720</v>
      </c>
      <c r="L38" s="4">
        <v>1809849.77</v>
      </c>
      <c r="M38" s="4">
        <v>2384.5188010540187</v>
      </c>
      <c r="N38" s="4">
        <v>9329.1225257731967</v>
      </c>
      <c r="O38" s="6">
        <v>0.16212064127075329</v>
      </c>
      <c r="P38" s="6">
        <v>0.17528884553242083</v>
      </c>
      <c r="Q38" s="6">
        <v>0.80193376622056922</v>
      </c>
      <c r="R38" s="7">
        <v>-0.13934325302374337</v>
      </c>
    </row>
    <row r="39" spans="1:18" ht="15" thickBot="1" x14ac:dyDescent="0.35">
      <c r="A39" s="30">
        <v>44287</v>
      </c>
      <c r="B39" s="35">
        <v>894</v>
      </c>
      <c r="C39" s="35">
        <v>1681</v>
      </c>
      <c r="D39" s="31">
        <v>217</v>
      </c>
      <c r="E39" s="35">
        <v>1464</v>
      </c>
      <c r="F39" s="13">
        <v>0.9087523277467412</v>
      </c>
      <c r="G39" s="35">
        <v>11301</v>
      </c>
      <c r="H39" s="12">
        <v>6.7227840571088642</v>
      </c>
      <c r="I39" s="11">
        <v>6573550</v>
      </c>
      <c r="J39" s="32">
        <v>1380000</v>
      </c>
      <c r="K39" s="11">
        <v>12551760</v>
      </c>
      <c r="L39" s="11">
        <v>2247063.21</v>
      </c>
      <c r="M39" s="11">
        <v>2513.4935234899331</v>
      </c>
      <c r="N39" s="11">
        <v>13140.720526315788</v>
      </c>
      <c r="O39" s="13">
        <v>0.22835824404712707</v>
      </c>
      <c r="P39" s="13">
        <v>0.10994474081722404</v>
      </c>
      <c r="Q39" s="13">
        <v>0.52371539927468336</v>
      </c>
      <c r="R39" s="10">
        <v>0.13798161586096552</v>
      </c>
    </row>
    <row r="40" spans="1:18" x14ac:dyDescent="0.3">
      <c r="A40" s="2">
        <v>44317</v>
      </c>
      <c r="B40" s="8">
        <v>866.62882237948111</v>
      </c>
      <c r="C40" s="8">
        <v>1793.2719033232629</v>
      </c>
      <c r="D40" s="48">
        <v>224.00000000000003</v>
      </c>
      <c r="E40" s="8">
        <v>1569.2719033232629</v>
      </c>
      <c r="F40" s="6">
        <v>0.93353474320241692</v>
      </c>
      <c r="G40" s="8">
        <v>11148.942105206159</v>
      </c>
      <c r="H40" s="3">
        <v>6.2170951792336213</v>
      </c>
      <c r="I40" s="4">
        <v>7659386.5929180859</v>
      </c>
      <c r="J40" s="1">
        <v>1480000</v>
      </c>
      <c r="K40" s="4">
        <v>12329556.848573172</v>
      </c>
      <c r="L40" s="4">
        <v>2113746.2979284823</v>
      </c>
      <c r="M40" s="4">
        <v>2439.0445405736932</v>
      </c>
      <c r="N40" s="4">
        <v>9436.3674014664375</v>
      </c>
      <c r="O40" s="6">
        <v>0.10737653206613472</v>
      </c>
      <c r="P40" s="6">
        <v>0.12003675543061158</v>
      </c>
      <c r="Q40" s="6">
        <v>0.62122156432609021</v>
      </c>
      <c r="R40" s="7">
        <v>0.15136514817716351</v>
      </c>
    </row>
    <row r="41" spans="1:18" x14ac:dyDescent="0.3">
      <c r="A41" s="2">
        <v>44348</v>
      </c>
      <c r="B41" s="8">
        <v>866.62882237948111</v>
      </c>
      <c r="C41" s="8">
        <v>1573.3428995178861</v>
      </c>
      <c r="D41" s="48">
        <v>224.00000000000003</v>
      </c>
      <c r="E41" s="8">
        <v>1349.3428995178861</v>
      </c>
      <c r="F41" s="6">
        <v>0.75244746600741652</v>
      </c>
      <c r="G41" s="8">
        <v>8927.3094865417243</v>
      </c>
      <c r="H41" s="3">
        <v>5.6741028858218314</v>
      </c>
      <c r="I41" s="4">
        <v>6133112.356922023</v>
      </c>
      <c r="J41" s="1">
        <v>1630000</v>
      </c>
      <c r="K41" s="4">
        <v>9872664.9381131958</v>
      </c>
      <c r="L41" s="4">
        <v>2113746.2979284823</v>
      </c>
      <c r="M41" s="4">
        <v>2439.0445405736932</v>
      </c>
      <c r="N41" s="4">
        <v>9436.3674014664375</v>
      </c>
      <c r="O41" s="6">
        <v>0.10737653206613472</v>
      </c>
      <c r="P41" s="6">
        <v>0.16510233156069365</v>
      </c>
      <c r="Q41" s="6">
        <v>0.62122156432609033</v>
      </c>
      <c r="R41" s="7">
        <v>0.10629957204708129</v>
      </c>
    </row>
    <row r="42" spans="1:18" x14ac:dyDescent="0.3">
      <c r="A42" s="2">
        <v>44378</v>
      </c>
      <c r="B42" s="8">
        <v>866.62882237948111</v>
      </c>
      <c r="C42" s="8">
        <v>1633.0795837476435</v>
      </c>
      <c r="D42" s="48">
        <v>224.00000000000003</v>
      </c>
      <c r="E42" s="8">
        <v>1409.0795837476435</v>
      </c>
      <c r="F42" s="6">
        <v>0.8955959849435382</v>
      </c>
      <c r="G42" s="8">
        <v>9354.7360231879957</v>
      </c>
      <c r="H42" s="3">
        <v>5.728279329608938</v>
      </c>
      <c r="I42" s="4">
        <v>6426756.8169391844</v>
      </c>
      <c r="J42" s="1">
        <v>1780000</v>
      </c>
      <c r="K42" s="4">
        <v>10345353.712746626</v>
      </c>
      <c r="L42" s="4">
        <v>2113746.2979284823</v>
      </c>
      <c r="M42" s="4">
        <v>2439.0445405736932</v>
      </c>
      <c r="N42" s="4">
        <v>9436.3674014664375</v>
      </c>
      <c r="O42" s="6">
        <v>0.10737653206613472</v>
      </c>
      <c r="P42" s="6">
        <v>0.17205791599052259</v>
      </c>
      <c r="Q42" s="6">
        <v>0.62122156432609021</v>
      </c>
      <c r="R42" s="7">
        <v>9.9343987617252494E-2</v>
      </c>
    </row>
    <row r="43" spans="1:18" x14ac:dyDescent="0.3">
      <c r="A43" s="2">
        <v>44409</v>
      </c>
      <c r="B43" s="8">
        <v>1299.9432335692218</v>
      </c>
      <c r="C43" s="8">
        <v>1724.8840075544065</v>
      </c>
      <c r="D43" s="48">
        <v>336.00000000000006</v>
      </c>
      <c r="E43" s="8">
        <v>1388.8840075544065</v>
      </c>
      <c r="F43" s="6">
        <v>0.85046927374301673</v>
      </c>
      <c r="G43" s="8">
        <v>10611.635593632118</v>
      </c>
      <c r="H43" s="3">
        <v>6.1520864864864864</v>
      </c>
      <c r="I43" s="4">
        <v>7290253.9656066541</v>
      </c>
      <c r="J43" s="1">
        <v>1900000</v>
      </c>
      <c r="K43" s="4">
        <v>11735352.383517502</v>
      </c>
      <c r="L43" s="4">
        <v>3170619.4468927239</v>
      </c>
      <c r="M43" s="4">
        <v>2439.0445405736932</v>
      </c>
      <c r="N43" s="4">
        <v>9436.3674014664375</v>
      </c>
      <c r="O43" s="6">
        <v>0.10737653206613472</v>
      </c>
      <c r="P43" s="6">
        <v>0.16190395804974564</v>
      </c>
      <c r="Q43" s="6">
        <v>0.62122156432609021</v>
      </c>
      <c r="R43" s="7">
        <v>0.10949794555802939</v>
      </c>
    </row>
    <row r="44" spans="1:18" x14ac:dyDescent="0.3">
      <c r="A44" s="2">
        <v>44440</v>
      </c>
      <c r="B44" s="8">
        <v>1949.9148503538324</v>
      </c>
      <c r="C44" s="8">
        <v>2184.59644519828</v>
      </c>
      <c r="D44" s="48">
        <v>504.00000000000006</v>
      </c>
      <c r="E44" s="8">
        <v>1680.59644519828</v>
      </c>
      <c r="F44" s="6">
        <v>0.97432432432432436</v>
      </c>
      <c r="G44" s="8">
        <v>16294.537100787813</v>
      </c>
      <c r="H44" s="3">
        <v>7.4588316467341302</v>
      </c>
      <c r="I44" s="4">
        <v>11194439.600623677</v>
      </c>
      <c r="J44" s="1">
        <v>1900000</v>
      </c>
      <c r="K44" s="4">
        <v>18020043.481213596</v>
      </c>
      <c r="L44" s="4">
        <v>4755929.1703390852</v>
      </c>
      <c r="M44" s="4">
        <v>2439.0445405736932</v>
      </c>
      <c r="N44" s="4">
        <v>9436.3674014664375</v>
      </c>
      <c r="O44" s="6">
        <v>0.10737653206613472</v>
      </c>
      <c r="P44" s="6">
        <v>0.10543814735967777</v>
      </c>
      <c r="Q44" s="6">
        <v>0.62122156432609033</v>
      </c>
      <c r="R44" s="7">
        <v>0.16596375624809712</v>
      </c>
    </row>
    <row r="45" spans="1:18" x14ac:dyDescent="0.3">
      <c r="A45" s="2">
        <v>44470</v>
      </c>
      <c r="B45" s="8">
        <v>1949.9148503538324</v>
      </c>
      <c r="C45" s="8">
        <v>2625.7918095842542</v>
      </c>
      <c r="D45" s="48">
        <v>504.00000000000006</v>
      </c>
      <c r="E45" s="8">
        <v>2121.7918095842542</v>
      </c>
      <c r="F45" s="6">
        <v>0.97125114995400186</v>
      </c>
      <c r="G45" s="8">
        <v>20513.356392714573</v>
      </c>
      <c r="H45" s="3">
        <v>7.8122554567502007</v>
      </c>
      <c r="I45" s="4">
        <v>14092792.432453228</v>
      </c>
      <c r="J45" s="1">
        <v>1900000</v>
      </c>
      <c r="K45" s="4">
        <v>22685613.703286819</v>
      </c>
      <c r="L45" s="4">
        <v>4755929.1703390852</v>
      </c>
      <c r="M45" s="4">
        <v>2439.0445405736932</v>
      </c>
      <c r="N45" s="4">
        <v>9436.3674014664375</v>
      </c>
      <c r="O45" s="6">
        <v>0.10737653206613472</v>
      </c>
      <c r="P45" s="6">
        <v>8.375351995545606E-2</v>
      </c>
      <c r="Q45" s="6">
        <v>0.62122156432609033</v>
      </c>
      <c r="R45" s="7">
        <v>0.18764838365231884</v>
      </c>
    </row>
    <row r="46" spans="1:18" x14ac:dyDescent="0.3">
      <c r="A46" s="2">
        <v>44501</v>
      </c>
      <c r="B46" s="8">
        <v>2166.5720559487027</v>
      </c>
      <c r="C46" s="8">
        <v>3021.8761721258097</v>
      </c>
      <c r="D46" s="48">
        <v>560</v>
      </c>
      <c r="E46" s="8">
        <v>2461.8761721258097</v>
      </c>
      <c r="F46" s="6">
        <v>0.93757477768795483</v>
      </c>
      <c r="G46" s="8">
        <v>23242.126958708282</v>
      </c>
      <c r="H46" s="3">
        <v>7.6912903225806444</v>
      </c>
      <c r="I46" s="4">
        <v>15967473.320657125</v>
      </c>
      <c r="J46" s="1">
        <v>1900000</v>
      </c>
      <c r="K46" s="4">
        <v>25703346.821160115</v>
      </c>
      <c r="L46" s="4">
        <v>5284365.7448212057</v>
      </c>
      <c r="M46" s="4">
        <v>2439.0445405736932</v>
      </c>
      <c r="N46" s="4">
        <v>9436.3674014664375</v>
      </c>
      <c r="O46" s="6">
        <v>0.10737653206613472</v>
      </c>
      <c r="P46" s="6">
        <v>7.3920334702710283E-2</v>
      </c>
      <c r="Q46" s="6">
        <v>0.62122156432609021</v>
      </c>
      <c r="R46" s="7">
        <v>0.19748156890506474</v>
      </c>
    </row>
    <row r="47" spans="1:18" x14ac:dyDescent="0.3">
      <c r="A47" s="2">
        <v>44531</v>
      </c>
      <c r="B47" s="8">
        <v>2166.5720559487027</v>
      </c>
      <c r="C47" s="8">
        <v>3378.3245881084231</v>
      </c>
      <c r="D47" s="48">
        <v>560</v>
      </c>
      <c r="E47" s="8">
        <v>2818.3245881084231</v>
      </c>
      <c r="F47" s="6">
        <v>0.93264066016504121</v>
      </c>
      <c r="G47" s="8">
        <v>25654.185169190798</v>
      </c>
      <c r="H47" s="3">
        <v>7.5937597173144864</v>
      </c>
      <c r="I47" s="4">
        <v>17624571.020543884</v>
      </c>
      <c r="J47" s="1">
        <v>1900000</v>
      </c>
      <c r="K47" s="4">
        <v>28370829.399110224</v>
      </c>
      <c r="L47" s="4">
        <v>5284365.7448212057</v>
      </c>
      <c r="M47" s="4">
        <v>2439.0445405736932</v>
      </c>
      <c r="N47" s="4">
        <v>9436.3674014664375</v>
      </c>
      <c r="O47" s="6">
        <v>0.10737653206613472</v>
      </c>
      <c r="P47" s="6">
        <v>6.6970195804694682E-2</v>
      </c>
      <c r="Q47" s="6">
        <v>0.62122156432609021</v>
      </c>
      <c r="R47" s="7">
        <v>0.2044317078030804</v>
      </c>
    </row>
    <row r="48" spans="1:18" x14ac:dyDescent="0.3">
      <c r="A48" s="2">
        <v>44562</v>
      </c>
      <c r="B48" s="8">
        <v>1733.2576447589622</v>
      </c>
      <c r="C48" s="8">
        <v>3401.4196927404682</v>
      </c>
      <c r="D48" s="48">
        <v>448.00000000000006</v>
      </c>
      <c r="E48" s="8">
        <v>2953.4196927404682</v>
      </c>
      <c r="F48" s="6">
        <v>0.87422614840989399</v>
      </c>
      <c r="G48" s="8">
        <v>22182.474753239698</v>
      </c>
      <c r="H48" s="3">
        <v>6.5215341701534166</v>
      </c>
      <c r="I48" s="4">
        <v>15239486.232812069</v>
      </c>
      <c r="J48" s="1">
        <v>1900000</v>
      </c>
      <c r="K48" s="4">
        <v>24531482.981187355</v>
      </c>
      <c r="L48" s="4">
        <v>4227492.5958569646</v>
      </c>
      <c r="M48" s="4">
        <v>2439.0445405736932</v>
      </c>
      <c r="N48" s="4">
        <v>9436.3674014664375</v>
      </c>
      <c r="O48" s="6">
        <v>0.10737653206613472</v>
      </c>
      <c r="P48" s="6">
        <v>7.74514937175656E-2</v>
      </c>
      <c r="Q48" s="6">
        <v>0.62122156432609033</v>
      </c>
      <c r="R48" s="7">
        <v>0.1939504098902094</v>
      </c>
    </row>
    <row r="49" spans="1:18" x14ac:dyDescent="0.3">
      <c r="A49" s="2">
        <v>44593</v>
      </c>
      <c r="B49" s="8">
        <v>1949.9148503538324</v>
      </c>
      <c r="C49" s="8">
        <v>3726.501221733904</v>
      </c>
      <c r="D49" s="48">
        <v>504.00000000000006</v>
      </c>
      <c r="E49" s="8">
        <v>3222.501221733904</v>
      </c>
      <c r="F49" s="6">
        <v>0.94739888423988849</v>
      </c>
      <c r="G49" s="8">
        <v>28858.098769328102</v>
      </c>
      <c r="H49" s="3">
        <v>7.7440196721311461</v>
      </c>
      <c r="I49" s="4">
        <v>19825677.87374929</v>
      </c>
      <c r="J49" s="1">
        <v>1900000</v>
      </c>
      <c r="K49" s="4">
        <v>31914020.716998871</v>
      </c>
      <c r="L49" s="4">
        <v>4755929.1703390852</v>
      </c>
      <c r="M49" s="4">
        <v>2439.0445405736932</v>
      </c>
      <c r="N49" s="4">
        <v>9436.3674014664375</v>
      </c>
      <c r="O49" s="6">
        <v>0.10737653206613472</v>
      </c>
      <c r="P49" s="6">
        <v>5.9534961666173662E-2</v>
      </c>
      <c r="Q49" s="6">
        <v>0.62122156432609021</v>
      </c>
      <c r="R49" s="7">
        <v>0.21186694194160138</v>
      </c>
    </row>
    <row r="50" spans="1:18" x14ac:dyDescent="0.3">
      <c r="A50" s="2">
        <v>44621</v>
      </c>
      <c r="B50" s="8">
        <v>2166.5720559487027</v>
      </c>
      <c r="C50" s="8">
        <v>4159.189278355323</v>
      </c>
      <c r="D50" s="48">
        <v>560</v>
      </c>
      <c r="E50" s="8">
        <v>3599.189278355323</v>
      </c>
      <c r="F50" s="6">
        <v>0.96583606557377055</v>
      </c>
      <c r="G50" s="8">
        <v>31761.412694601779</v>
      </c>
      <c r="H50" s="3">
        <v>7.6364432029795148</v>
      </c>
      <c r="I50" s="4">
        <v>21820271.041821212</v>
      </c>
      <c r="J50" s="1">
        <v>1900000</v>
      </c>
      <c r="K50" s="4">
        <v>35124780.424343675</v>
      </c>
      <c r="L50" s="4">
        <v>5284365.7448212057</v>
      </c>
      <c r="M50" s="4">
        <v>2439.0445405736932</v>
      </c>
      <c r="N50" s="4">
        <v>9436.3674014664375</v>
      </c>
      <c r="O50" s="6">
        <v>0.10737653206613472</v>
      </c>
      <c r="P50" s="6">
        <v>5.4092864839182908E-2</v>
      </c>
      <c r="Q50" s="6">
        <v>0.62122156432609033</v>
      </c>
      <c r="R50" s="7">
        <v>0.21730903876859209</v>
      </c>
    </row>
    <row r="51" spans="1:18" x14ac:dyDescent="0.3">
      <c r="A51" s="2">
        <v>44652</v>
      </c>
      <c r="B51" s="8">
        <v>2166.5720559487027</v>
      </c>
      <c r="C51" s="8">
        <v>4453.0631263920295</v>
      </c>
      <c r="D51" s="48">
        <v>560</v>
      </c>
      <c r="E51" s="8">
        <v>3893.0631263920295</v>
      </c>
      <c r="F51" s="6">
        <v>0.93601489757914347</v>
      </c>
      <c r="G51" s="8">
        <v>33828.789424290684</v>
      </c>
      <c r="H51" s="3">
        <v>7.5967459845330154</v>
      </c>
      <c r="I51" s="4">
        <v>23240570.605355203</v>
      </c>
      <c r="J51" s="1">
        <v>1900000</v>
      </c>
      <c r="K51" s="4">
        <v>37411081.552790098</v>
      </c>
      <c r="L51" s="4">
        <v>5284365.7448212057</v>
      </c>
      <c r="M51" s="4">
        <v>2439.0445405736932</v>
      </c>
      <c r="N51" s="4">
        <v>9436.3674014664375</v>
      </c>
      <c r="O51" s="6">
        <v>0.10737653206613472</v>
      </c>
      <c r="P51" s="6">
        <v>5.0787090913662694E-2</v>
      </c>
      <c r="Q51" s="6">
        <v>0.62122156432609033</v>
      </c>
      <c r="R51" s="7">
        <v>0.22061481269411221</v>
      </c>
    </row>
    <row r="52" spans="1:18" x14ac:dyDescent="0.3">
      <c r="A52" s="2"/>
    </row>
    <row r="53" spans="1:18" x14ac:dyDescent="0.3">
      <c r="A53" s="2"/>
    </row>
    <row r="55" spans="1:18" x14ac:dyDescent="0.3">
      <c r="B55" s="1"/>
      <c r="D55" s="1"/>
      <c r="K55" s="1"/>
      <c r="L55" s="1"/>
      <c r="M55" s="1"/>
    </row>
  </sheetData>
  <conditionalFormatting sqref="C6 C3 C9">
    <cfRule type="colorScale" priority="5">
      <colorScale>
        <cfvo type="num" val="-0.2"/>
        <cfvo type="num" val="0"/>
        <cfvo type="num" val="0.2"/>
        <color rgb="FFF8696B"/>
        <color rgb="FFFCFCFF"/>
        <color rgb="FF63BE7B"/>
      </colorScale>
    </cfRule>
  </conditionalFormatting>
  <conditionalFormatting sqref="C13 C2">
    <cfRule type="colorScale" priority="6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C15">
    <cfRule type="colorScale" priority="4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D17">
    <cfRule type="iconSet" priority="1">
      <iconSet>
        <cfvo type="percent" val="0"/>
        <cfvo type="num" val="$B$17"/>
        <cfvo type="num" val="$B$17" gte="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023D341-FAE4-4AD0-9C7D-D199EA4E742D}">
            <x14:iconSet iconSet="3Triangles" custom="1">
              <x14:cfvo type="percent">
                <xm:f>0</xm:f>
              </x14:cfvo>
              <x14:cfvo type="num">
                <xm:f>$B$18</xm:f>
              </x14:cfvo>
              <x14:cfvo type="num" gte="0">
                <xm:f>$B$18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D31F-8992-40C0-AA18-1683AD3F428D}">
  <dimension ref="A1:J60"/>
  <sheetViews>
    <sheetView zoomScale="49" zoomScaleNormal="49" workbookViewId="0">
      <selection activeCell="B13" sqref="B13"/>
    </sheetView>
  </sheetViews>
  <sheetFormatPr defaultColWidth="8.77734375" defaultRowHeight="14.4" x14ac:dyDescent="0.3"/>
  <cols>
    <col min="1" max="1" width="33.77734375" bestFit="1" customWidth="1"/>
    <col min="2" max="2" width="10.33203125" bestFit="1" customWidth="1"/>
    <col min="3" max="3" width="13.21875" customWidth="1"/>
    <col min="4" max="4" width="14.6640625" bestFit="1" customWidth="1"/>
    <col min="5" max="5" width="21.109375" bestFit="1" customWidth="1"/>
    <col min="6" max="6" width="21.109375" customWidth="1"/>
    <col min="7" max="7" width="22.6640625" bestFit="1" customWidth="1"/>
    <col min="8" max="8" width="16.33203125" bestFit="1" customWidth="1"/>
  </cols>
  <sheetData>
    <row r="1" spans="1:8" x14ac:dyDescent="0.3">
      <c r="A1" s="47" t="s">
        <v>44</v>
      </c>
      <c r="B1" t="s">
        <v>46</v>
      </c>
    </row>
    <row r="2" spans="1:8" x14ac:dyDescent="0.3">
      <c r="A2" t="s">
        <v>47</v>
      </c>
    </row>
    <row r="3" spans="1:8" x14ac:dyDescent="0.3">
      <c r="A3" t="s">
        <v>48</v>
      </c>
    </row>
    <row r="4" spans="1:8" x14ac:dyDescent="0.3">
      <c r="A4" t="s">
        <v>49</v>
      </c>
    </row>
    <row r="5" spans="1:8" x14ac:dyDescent="0.3">
      <c r="A5" t="s">
        <v>50</v>
      </c>
    </row>
    <row r="6" spans="1:8" x14ac:dyDescent="0.3">
      <c r="A6" t="s">
        <v>51</v>
      </c>
    </row>
    <row r="8" spans="1:8" x14ac:dyDescent="0.3">
      <c r="A8" s="47"/>
    </row>
    <row r="9" spans="1:8" x14ac:dyDescent="0.3">
      <c r="A9" s="47" t="s">
        <v>45</v>
      </c>
      <c r="B9" t="s">
        <v>52</v>
      </c>
    </row>
    <row r="11" spans="1:8" x14ac:dyDescent="0.3">
      <c r="C11" t="s">
        <v>54</v>
      </c>
    </row>
    <row r="12" spans="1:8" x14ac:dyDescent="0.3">
      <c r="A12" t="s">
        <v>37</v>
      </c>
      <c r="B12" s="3">
        <v>50.564655657750002</v>
      </c>
      <c r="C12" s="5">
        <v>0.15</v>
      </c>
      <c r="D12" s="3"/>
    </row>
    <row r="13" spans="1:8" x14ac:dyDescent="0.3">
      <c r="A13" t="s">
        <v>14</v>
      </c>
      <c r="B13" s="6">
        <v>0.94559298734225927</v>
      </c>
      <c r="C13" s="5">
        <v>-0.02</v>
      </c>
      <c r="D13" s="7"/>
      <c r="E13" s="7"/>
      <c r="F13" s="7"/>
    </row>
    <row r="14" spans="1:8" x14ac:dyDescent="0.3">
      <c r="B14" s="5"/>
    </row>
    <row r="16" spans="1:8" x14ac:dyDescent="0.3">
      <c r="A16" s="2" t="s">
        <v>28</v>
      </c>
      <c r="B16" s="8" t="s">
        <v>17</v>
      </c>
      <c r="C16" s="8" t="s">
        <v>0</v>
      </c>
      <c r="D16" t="s">
        <v>38</v>
      </c>
      <c r="E16" t="s">
        <v>39</v>
      </c>
      <c r="F16" t="s">
        <v>55</v>
      </c>
      <c r="G16" t="s">
        <v>40</v>
      </c>
      <c r="H16" t="s">
        <v>41</v>
      </c>
    </row>
    <row r="17" spans="1:10" x14ac:dyDescent="0.3">
      <c r="A17" s="2">
        <v>43831</v>
      </c>
      <c r="B17" s="8">
        <v>146</v>
      </c>
      <c r="C17" s="8">
        <v>406</v>
      </c>
      <c r="D17">
        <v>24</v>
      </c>
      <c r="E17">
        <v>22</v>
      </c>
    </row>
    <row r="18" spans="1:10" x14ac:dyDescent="0.3">
      <c r="A18" s="2">
        <v>43862</v>
      </c>
      <c r="B18" s="8">
        <v>316</v>
      </c>
      <c r="C18" s="8">
        <v>1706</v>
      </c>
      <c r="D18">
        <v>41</v>
      </c>
      <c r="E18">
        <v>17</v>
      </c>
    </row>
    <row r="19" spans="1:10" x14ac:dyDescent="0.3">
      <c r="A19" s="2">
        <v>43891</v>
      </c>
      <c r="B19" s="8">
        <v>517</v>
      </c>
      <c r="C19" s="8">
        <v>2788</v>
      </c>
      <c r="D19">
        <v>55</v>
      </c>
      <c r="E19">
        <v>15</v>
      </c>
    </row>
    <row r="20" spans="1:10" x14ac:dyDescent="0.3">
      <c r="A20" s="2">
        <v>43922</v>
      </c>
      <c r="B20" s="8">
        <v>662</v>
      </c>
      <c r="C20" s="8">
        <v>3652</v>
      </c>
      <c r="D20">
        <v>79</v>
      </c>
      <c r="E20">
        <v>27</v>
      </c>
    </row>
    <row r="21" spans="1:10" x14ac:dyDescent="0.3">
      <c r="A21" s="2">
        <v>43952</v>
      </c>
      <c r="B21" s="8">
        <v>809</v>
      </c>
      <c r="C21" s="8">
        <v>4451</v>
      </c>
      <c r="D21">
        <v>92</v>
      </c>
      <c r="E21">
        <v>15</v>
      </c>
    </row>
    <row r="22" spans="1:10" x14ac:dyDescent="0.3">
      <c r="A22" s="2">
        <v>43983</v>
      </c>
      <c r="B22" s="8">
        <v>797</v>
      </c>
      <c r="C22" s="8">
        <v>4002</v>
      </c>
      <c r="D22">
        <v>110</v>
      </c>
      <c r="E22">
        <v>18</v>
      </c>
    </row>
    <row r="23" spans="1:10" x14ac:dyDescent="0.3">
      <c r="A23" s="2">
        <v>44013</v>
      </c>
      <c r="B23" s="8">
        <v>895</v>
      </c>
      <c r="C23" s="8">
        <v>4537</v>
      </c>
      <c r="D23">
        <v>113</v>
      </c>
      <c r="E23">
        <v>17</v>
      </c>
    </row>
    <row r="24" spans="1:10" x14ac:dyDescent="0.3">
      <c r="A24" s="2">
        <v>44044</v>
      </c>
      <c r="B24" s="8">
        <v>925</v>
      </c>
      <c r="C24" s="8">
        <v>5036</v>
      </c>
      <c r="D24">
        <v>131</v>
      </c>
      <c r="E24">
        <v>25</v>
      </c>
    </row>
    <row r="25" spans="1:10" x14ac:dyDescent="0.3">
      <c r="A25" s="2">
        <v>44075</v>
      </c>
      <c r="B25" s="8">
        <v>1087</v>
      </c>
      <c r="C25" s="8">
        <v>7175</v>
      </c>
      <c r="D25">
        <v>143</v>
      </c>
      <c r="E25">
        <v>24</v>
      </c>
    </row>
    <row r="26" spans="1:10" x14ac:dyDescent="0.3">
      <c r="A26" s="2">
        <v>44105</v>
      </c>
      <c r="B26" s="8">
        <v>1237</v>
      </c>
      <c r="C26" s="8">
        <v>8552</v>
      </c>
      <c r="D26">
        <v>160</v>
      </c>
      <c r="E26">
        <v>19</v>
      </c>
    </row>
    <row r="27" spans="1:10" x14ac:dyDescent="0.3">
      <c r="A27" s="2">
        <v>44136</v>
      </c>
      <c r="B27" s="8">
        <v>1333</v>
      </c>
      <c r="C27" s="8">
        <v>9073</v>
      </c>
      <c r="D27">
        <v>187</v>
      </c>
      <c r="E27">
        <v>29</v>
      </c>
    </row>
    <row r="28" spans="1:10" x14ac:dyDescent="0.3">
      <c r="A28" s="2">
        <v>44166</v>
      </c>
      <c r="B28" s="8">
        <v>1415</v>
      </c>
      <c r="C28" s="8">
        <v>9509</v>
      </c>
      <c r="D28">
        <v>206</v>
      </c>
      <c r="E28">
        <v>23</v>
      </c>
    </row>
    <row r="29" spans="1:10" x14ac:dyDescent="0.3">
      <c r="A29" s="2">
        <v>44197</v>
      </c>
      <c r="B29" s="8">
        <v>1434</v>
      </c>
      <c r="C29" s="8">
        <v>8276</v>
      </c>
      <c r="D29">
        <v>227</v>
      </c>
      <c r="E29">
        <v>25</v>
      </c>
    </row>
    <row r="30" spans="1:10" x14ac:dyDescent="0.3">
      <c r="A30" s="2">
        <v>44228</v>
      </c>
      <c r="B30" s="8">
        <v>1525</v>
      </c>
      <c r="C30" s="8">
        <v>10451</v>
      </c>
      <c r="D30">
        <v>243</v>
      </c>
      <c r="E30">
        <v>17</v>
      </c>
    </row>
    <row r="31" spans="1:10" x14ac:dyDescent="0.3">
      <c r="A31" s="2">
        <v>44256</v>
      </c>
      <c r="B31" s="8">
        <v>1611</v>
      </c>
      <c r="C31" s="8">
        <v>10887</v>
      </c>
      <c r="D31">
        <v>265</v>
      </c>
      <c r="E31">
        <v>23</v>
      </c>
    </row>
    <row r="32" spans="1:10" ht="15" thickBot="1" x14ac:dyDescent="0.35">
      <c r="A32" s="30">
        <v>44287</v>
      </c>
      <c r="B32" s="35">
        <v>1681</v>
      </c>
      <c r="C32" s="35">
        <v>11301</v>
      </c>
      <c r="D32" s="31">
        <v>277</v>
      </c>
      <c r="E32" s="31">
        <v>20</v>
      </c>
      <c r="F32" s="31"/>
      <c r="G32" s="31"/>
      <c r="H32" s="31"/>
      <c r="I32" s="31"/>
      <c r="J32" s="31"/>
    </row>
    <row r="33" spans="1:8" x14ac:dyDescent="0.3">
      <c r="A33" s="2">
        <v>44317</v>
      </c>
      <c r="B33" s="8">
        <f>VLOOKUP(A33,'Решение 1'!A40:G51,3,0)</f>
        <v>1793.2719033232629</v>
      </c>
      <c r="C33" s="52">
        <f>VLOOKUP(A33,'Решение 1'!A40:G51,7,0)</f>
        <v>11148.942105206159</v>
      </c>
      <c r="D33" s="8">
        <f>D32*$B$13+E33</f>
        <v>270.93687121525613</v>
      </c>
      <c r="E33" s="46">
        <v>9.0076137214503138</v>
      </c>
      <c r="F33" s="53">
        <f>D33-E33</f>
        <v>261.92925749380584</v>
      </c>
      <c r="G33" s="8">
        <f>D33*$B$12+(E33*$B$12/2)</f>
        <v>13927.563041049163</v>
      </c>
      <c r="H33" s="8">
        <f>(C33-G33)^2</f>
        <v>7720734.305105052</v>
      </c>
    </row>
    <row r="34" spans="1:8" x14ac:dyDescent="0.3">
      <c r="A34" s="2">
        <v>44348</v>
      </c>
      <c r="B34" s="8">
        <f>VLOOKUP(A34,'Решение 1'!A41:G52,3,0)</f>
        <v>1573.3428995178861</v>
      </c>
      <c r="C34" s="52">
        <f>VLOOKUP(A34,'Решение 1'!A41:G52,7,0)</f>
        <v>8927.3094865417243</v>
      </c>
      <c r="D34" s="8">
        <f>D33*$B$13+E34</f>
        <v>271.89726790320088</v>
      </c>
      <c r="E34" s="46">
        <v>15.701262469601872</v>
      </c>
      <c r="F34" s="53">
        <f t="shared" ref="F34:F44" si="0">D34-E34</f>
        <v>256.196005433599</v>
      </c>
      <c r="G34" s="8">
        <f t="shared" ref="G34:G44" si="1">D34*$B$12+(E34*$B$12/2)</f>
        <v>14145.35619089204</v>
      </c>
      <c r="H34" s="8">
        <f t="shared" ref="H34:H44" si="2">(C34-G34)^2</f>
        <v>27228011.408781193</v>
      </c>
    </row>
    <row r="35" spans="1:8" x14ac:dyDescent="0.3">
      <c r="A35" s="2">
        <v>44378</v>
      </c>
      <c r="B35" s="8">
        <f>VLOOKUP(A35,'Решение 1'!A42:G53,3,0)</f>
        <v>1633.0795837476435</v>
      </c>
      <c r="C35" s="52">
        <f>VLOOKUP(A35,'Решение 1'!A42:G53,7,0)</f>
        <v>9354.7360231879957</v>
      </c>
      <c r="D35" s="8">
        <f t="shared" ref="D35:D44" si="3">D34*$B$13+E35</f>
        <v>299.18382824276119</v>
      </c>
      <c r="E35" s="46">
        <v>42.079678435974891</v>
      </c>
      <c r="F35" s="53">
        <f t="shared" si="0"/>
        <v>257.10414980678632</v>
      </c>
      <c r="G35" s="8">
        <f t="shared" si="1"/>
        <v>16191.9994786146</v>
      </c>
      <c r="H35" s="8">
        <f t="shared" si="2"/>
        <v>46748171.558912151</v>
      </c>
    </row>
    <row r="36" spans="1:8" x14ac:dyDescent="0.3">
      <c r="A36" s="2">
        <v>44409</v>
      </c>
      <c r="B36" s="8">
        <f>VLOOKUP(A36,'Решение 1'!A43:G54,3,0)</f>
        <v>1724.8840075544065</v>
      </c>
      <c r="C36" s="52">
        <f>VLOOKUP(A36,'Решение 1'!A43:G54,7,0)</f>
        <v>10611.635593632118</v>
      </c>
      <c r="D36" s="8">
        <f t="shared" si="3"/>
        <v>352.90596043405111</v>
      </c>
      <c r="E36" s="46">
        <v>69.999830521485151</v>
      </c>
      <c r="F36" s="53">
        <f t="shared" si="0"/>
        <v>282.90612991256597</v>
      </c>
      <c r="G36" s="8">
        <f t="shared" si="1"/>
        <v>19614.32703212522</v>
      </c>
      <c r="H36" s="8">
        <f t="shared" si="2"/>
        <v>81048453.136717007</v>
      </c>
    </row>
    <row r="37" spans="1:8" x14ac:dyDescent="0.3">
      <c r="A37" s="2">
        <v>44440</v>
      </c>
      <c r="B37" s="8">
        <f>VLOOKUP(A37,'Решение 1'!A44:G55,3,0)</f>
        <v>2184.59644519828</v>
      </c>
      <c r="C37" s="52">
        <f>VLOOKUP(A37,'Решение 1'!A44:G55,7,0)</f>
        <v>16294.537100787813</v>
      </c>
      <c r="D37" s="8">
        <f t="shared" si="3"/>
        <v>403.70507927700322</v>
      </c>
      <c r="E37" s="46">
        <v>69.999677899279661</v>
      </c>
      <c r="F37" s="53">
        <f t="shared" si="0"/>
        <v>333.70540137772355</v>
      </c>
      <c r="G37" s="8">
        <f t="shared" si="1"/>
        <v>22182.963125491577</v>
      </c>
      <c r="H37" s="8">
        <f t="shared" si="2"/>
        <v>34673561.048408568</v>
      </c>
    </row>
    <row r="38" spans="1:8" x14ac:dyDescent="0.3">
      <c r="A38" s="2">
        <v>44470</v>
      </c>
      <c r="B38" s="8">
        <f>VLOOKUP(A38,'Решение 1'!A45:G56,3,0)</f>
        <v>2625.7918095842542</v>
      </c>
      <c r="C38" s="52">
        <f>VLOOKUP(A38,'Решение 1'!A45:G56,7,0)</f>
        <v>20513.356392714573</v>
      </c>
      <c r="D38" s="8">
        <f t="shared" si="3"/>
        <v>451.74054593762725</v>
      </c>
      <c r="E38" s="46">
        <v>69.999854018842157</v>
      </c>
      <c r="F38" s="53">
        <f t="shared" si="0"/>
        <v>381.7406919187851</v>
      </c>
      <c r="G38" s="8">
        <f t="shared" si="1"/>
        <v>24611.86440925788</v>
      </c>
      <c r="H38" s="8">
        <f t="shared" si="2"/>
        <v>16797767.961669747</v>
      </c>
    </row>
    <row r="39" spans="1:8" x14ac:dyDescent="0.3">
      <c r="A39" s="2">
        <v>44501</v>
      </c>
      <c r="B39" s="8">
        <f>VLOOKUP(A39,'Решение 1'!A46:G57,3,0)</f>
        <v>3021.8761721258097</v>
      </c>
      <c r="C39" s="52">
        <f>VLOOKUP(A39,'Решение 1'!A46:G57,7,0)</f>
        <v>23242.126958708282</v>
      </c>
      <c r="D39" s="8">
        <f>D38*$B$13+E39</f>
        <v>497.16252348492981</v>
      </c>
      <c r="E39" s="46">
        <v>69.999831148145773</v>
      </c>
      <c r="F39" s="53">
        <f t="shared" si="0"/>
        <v>427.16269233678406</v>
      </c>
      <c r="G39" s="8">
        <f t="shared" si="1"/>
        <v>26908.61048500684</v>
      </c>
      <c r="H39" s="8">
        <f t="shared" si="2"/>
        <v>13443101.448618708</v>
      </c>
    </row>
    <row r="40" spans="1:8" x14ac:dyDescent="0.3">
      <c r="A40" s="2">
        <v>44531</v>
      </c>
      <c r="B40" s="8">
        <f>VLOOKUP(A40,'Решение 1'!A47:G58,3,0)</f>
        <v>3378.3245881084231</v>
      </c>
      <c r="C40" s="52">
        <f>VLOOKUP(A40,'Решение 1'!A47:G58,7,0)</f>
        <v>25654.185169190798</v>
      </c>
      <c r="D40" s="8">
        <f t="shared" si="3"/>
        <v>539.93949252933351</v>
      </c>
      <c r="E40" s="46">
        <v>69.826096752602609</v>
      </c>
      <c r="F40" s="53">
        <f t="shared" si="0"/>
        <v>470.1133957767309</v>
      </c>
      <c r="G40" s="8">
        <f t="shared" si="1"/>
        <v>29067.220784876074</v>
      </c>
      <c r="H40" s="8">
        <f t="shared" si="2"/>
        <v>11648812.113936169</v>
      </c>
    </row>
    <row r="41" spans="1:8" x14ac:dyDescent="0.3">
      <c r="A41" s="2">
        <v>44562</v>
      </c>
      <c r="B41" s="8">
        <f>VLOOKUP(A41,'Решение 1'!A48:G59,3,0)</f>
        <v>3401.4196927404682</v>
      </c>
      <c r="C41" s="52">
        <f>VLOOKUP(A41,'Решение 1'!A48:G59,7,0)</f>
        <v>22182.474753239698</v>
      </c>
      <c r="D41" s="8">
        <f t="shared" si="3"/>
        <v>580.56302970475645</v>
      </c>
      <c r="E41" s="46">
        <v>70.000031979880504</v>
      </c>
      <c r="F41" s="53">
        <f t="shared" si="0"/>
        <v>510.56299772487591</v>
      </c>
      <c r="G41" s="8">
        <f t="shared" si="1"/>
        <v>31125.733441188167</v>
      </c>
      <c r="H41" s="8">
        <f t="shared" si="2"/>
        <v>79981875.959565789</v>
      </c>
    </row>
    <row r="42" spans="1:8" x14ac:dyDescent="0.3">
      <c r="A42" s="2">
        <v>44593</v>
      </c>
      <c r="B42" s="8">
        <f>VLOOKUP(A42,'Решение 1'!A49:G60,3,0)</f>
        <v>3726.501221733904</v>
      </c>
      <c r="C42" s="52">
        <f>VLOOKUP(A42,'Решение 1'!A49:G60,7,0)</f>
        <v>28858.098769328102</v>
      </c>
      <c r="D42" s="8">
        <f>D41*$B$13+E42</f>
        <v>618.97626494681003</v>
      </c>
      <c r="E42" s="46">
        <v>69.999935347816688</v>
      </c>
      <c r="F42" s="53">
        <f t="shared" si="0"/>
        <v>548.97632959899329</v>
      </c>
      <c r="G42" s="8">
        <f t="shared" si="1"/>
        <v>33068.083010819239</v>
      </c>
      <c r="H42" s="8">
        <f t="shared" si="2"/>
        <v>17723967.313603699</v>
      </c>
    </row>
    <row r="43" spans="1:8" x14ac:dyDescent="0.3">
      <c r="A43" s="2">
        <v>44621</v>
      </c>
      <c r="B43" s="8">
        <f>VLOOKUP(A43,'Решение 1'!A50:G61,3,0)</f>
        <v>4159.189278355323</v>
      </c>
      <c r="C43" s="52">
        <f>VLOOKUP(A43,'Решение 1'!A50:G61,7,0)</f>
        <v>31761.412694601779</v>
      </c>
      <c r="D43" s="8">
        <f t="shared" si="3"/>
        <v>655.29968546410748</v>
      </c>
      <c r="E43" s="46">
        <v>70.000069999099622</v>
      </c>
      <c r="F43" s="53">
        <f t="shared" si="0"/>
        <v>585.29961546500783</v>
      </c>
      <c r="G43" s="8">
        <f t="shared" si="1"/>
        <v>34904.767665885913</v>
      </c>
      <c r="H43" s="8">
        <f t="shared" si="2"/>
        <v>9880680.4754966795</v>
      </c>
    </row>
    <row r="44" spans="1:8" x14ac:dyDescent="0.3">
      <c r="A44" s="2">
        <v>44652</v>
      </c>
      <c r="B44" s="8">
        <f>VLOOKUP(A44,'Решение 1'!A51:G62,3,0)</f>
        <v>4453.0631263920295</v>
      </c>
      <c r="C44" s="52">
        <f>VLOOKUP(A44,'Решение 1'!A51:G62,7,0)</f>
        <v>33828.789424290684</v>
      </c>
      <c r="D44" s="8">
        <f t="shared" si="3"/>
        <v>662.0466645395428</v>
      </c>
      <c r="E44" s="46">
        <v>42.39987735709451</v>
      </c>
      <c r="F44" s="53">
        <f t="shared" si="0"/>
        <v>619.64678718244829</v>
      </c>
      <c r="G44" s="8">
        <f t="shared" si="1"/>
        <v>34548.129221050069</v>
      </c>
      <c r="H44" s="8">
        <f t="shared" si="2"/>
        <v>517449.74320183275</v>
      </c>
    </row>
    <row r="46" spans="1:8" x14ac:dyDescent="0.3">
      <c r="D46" t="s">
        <v>43</v>
      </c>
      <c r="E46" s="8">
        <f>MAX(E33:E44)</f>
        <v>70.000069999099622</v>
      </c>
      <c r="F46" s="8"/>
      <c r="G46" t="s">
        <v>42</v>
      </c>
      <c r="H46" s="8">
        <f>SUM(H33:H44)</f>
        <v>347412586.47401655</v>
      </c>
    </row>
    <row r="47" spans="1:8" x14ac:dyDescent="0.3">
      <c r="E47" s="8"/>
      <c r="F47" s="8"/>
    </row>
    <row r="48" spans="1:8" x14ac:dyDescent="0.3">
      <c r="D48" s="3"/>
    </row>
    <row r="49" spans="1:8" x14ac:dyDescent="0.3">
      <c r="A49" s="2"/>
      <c r="B49" s="8"/>
      <c r="C49" s="8"/>
      <c r="D49" s="8"/>
      <c r="E49" s="8"/>
      <c r="F49" s="8"/>
      <c r="G49" s="8"/>
      <c r="H49" s="8"/>
    </row>
    <row r="50" spans="1:8" x14ac:dyDescent="0.3">
      <c r="A50" s="2"/>
      <c r="B50" s="8"/>
      <c r="C50" s="8"/>
      <c r="D50" s="8"/>
      <c r="E50" s="8"/>
      <c r="F50" s="8"/>
      <c r="G50" s="8"/>
      <c r="H50" s="8"/>
    </row>
    <row r="51" spans="1:8" x14ac:dyDescent="0.3">
      <c r="A51" s="2"/>
      <c r="B51" s="8"/>
      <c r="C51" s="8"/>
      <c r="D51" s="8"/>
      <c r="E51" s="8"/>
      <c r="F51" s="8"/>
      <c r="G51" s="8"/>
      <c r="H51" s="8"/>
    </row>
    <row r="52" spans="1:8" x14ac:dyDescent="0.3">
      <c r="A52" s="2"/>
      <c r="B52" s="8"/>
      <c r="C52" s="8"/>
      <c r="D52" s="8"/>
      <c r="E52" s="8"/>
      <c r="F52" s="8"/>
      <c r="G52" s="8"/>
      <c r="H52" s="8"/>
    </row>
    <row r="53" spans="1:8" x14ac:dyDescent="0.3">
      <c r="A53" s="2"/>
      <c r="B53" s="8"/>
      <c r="C53" s="8"/>
      <c r="D53" s="8"/>
      <c r="E53" s="8"/>
      <c r="F53" s="8"/>
      <c r="G53" s="8"/>
      <c r="H53" s="8"/>
    </row>
    <row r="54" spans="1:8" x14ac:dyDescent="0.3">
      <c r="A54" s="2"/>
      <c r="B54" s="8"/>
      <c r="C54" s="8"/>
      <c r="D54" s="8"/>
      <c r="E54" s="8"/>
      <c r="F54" s="8"/>
      <c r="G54" s="8"/>
      <c r="H54" s="8"/>
    </row>
    <row r="55" spans="1:8" x14ac:dyDescent="0.3">
      <c r="A55" s="2"/>
      <c r="B55" s="8"/>
      <c r="C55" s="8"/>
      <c r="D55" s="8"/>
      <c r="E55" s="8"/>
      <c r="F55" s="8"/>
      <c r="G55" s="8"/>
      <c r="H55" s="8"/>
    </row>
    <row r="56" spans="1:8" x14ac:dyDescent="0.3">
      <c r="A56" s="2"/>
      <c r="B56" s="8"/>
      <c r="C56" s="8"/>
      <c r="D56" s="8"/>
      <c r="E56" s="8"/>
      <c r="F56" s="8"/>
      <c r="G56" s="8"/>
      <c r="H56" s="8"/>
    </row>
    <row r="57" spans="1:8" x14ac:dyDescent="0.3">
      <c r="A57" s="2"/>
      <c r="B57" s="8"/>
      <c r="C57" s="8"/>
      <c r="D57" s="8"/>
      <c r="E57" s="8"/>
      <c r="F57" s="8"/>
      <c r="G57" s="8"/>
      <c r="H57" s="8"/>
    </row>
    <row r="58" spans="1:8" x14ac:dyDescent="0.3">
      <c r="A58" s="2"/>
      <c r="B58" s="8"/>
      <c r="C58" s="8"/>
      <c r="D58" s="8"/>
      <c r="E58" s="8"/>
      <c r="F58" s="8"/>
      <c r="G58" s="8"/>
      <c r="H58" s="8"/>
    </row>
    <row r="59" spans="1:8" x14ac:dyDescent="0.3">
      <c r="A59" s="2"/>
      <c r="B59" s="8"/>
      <c r="C59" s="8"/>
      <c r="D59" s="8"/>
      <c r="E59" s="8"/>
      <c r="F59" s="8"/>
      <c r="G59" s="8"/>
      <c r="H59" s="8"/>
    </row>
    <row r="60" spans="1:8" x14ac:dyDescent="0.3">
      <c r="A60" s="2"/>
      <c r="B60" s="8"/>
      <c r="C60" s="8"/>
      <c r="D60" s="8"/>
      <c r="E60" s="8"/>
      <c r="F60" s="8"/>
      <c r="G60" s="8"/>
      <c r="H6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 1</vt:lpstr>
      <vt:lpstr>Решение 2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Sysoev</dc:creator>
  <cp:lastModifiedBy>Ганна</cp:lastModifiedBy>
  <dcterms:created xsi:type="dcterms:W3CDTF">2021-07-07T20:35:57Z</dcterms:created>
  <dcterms:modified xsi:type="dcterms:W3CDTF">2023-11-13T13:23:26Z</dcterms:modified>
</cp:coreProperties>
</file>