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Escritorio\PYTHON\Rony\PROYECTO_WAREXPERT\"/>
    </mc:Choice>
  </mc:AlternateContent>
  <xr:revisionPtr revIDLastSave="0" documentId="8_{5E4D0B4E-2593-421D-BB5D-C880A037B8AB}" xr6:coauthVersionLast="47" xr6:coauthVersionMax="47" xr10:uidLastSave="{00000000-0000-0000-0000-000000000000}"/>
  <bookViews>
    <workbookView xWindow="0" yWindow="0" windowWidth="23040" windowHeight="12240" xr2:uid="{00000000-000D-0000-FFFF-FFFF00000000}"/>
  </bookViews>
  <sheets>
    <sheet name="Lista_de_Precios_REPUESTOSRONY 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404" i="1" l="1"/>
  <c r="C11402" i="1"/>
  <c r="B11402" i="1"/>
  <c r="C11400" i="1"/>
  <c r="B11400" i="1"/>
  <c r="C11399" i="1"/>
  <c r="B11399" i="1"/>
  <c r="C11398" i="1"/>
  <c r="B11398" i="1"/>
  <c r="C11397" i="1"/>
  <c r="B11397" i="1"/>
  <c r="C11395" i="1"/>
  <c r="B11395" i="1"/>
  <c r="C11393" i="1"/>
  <c r="B11393" i="1"/>
  <c r="C11390" i="1"/>
  <c r="B11390" i="1"/>
  <c r="C11389" i="1"/>
  <c r="C11387" i="1"/>
  <c r="B11387" i="1"/>
  <c r="C11386" i="1"/>
  <c r="B11386" i="1"/>
  <c r="C11385" i="1"/>
  <c r="B11385" i="1"/>
  <c r="C11384" i="1"/>
  <c r="B11384" i="1"/>
  <c r="C11383" i="1"/>
  <c r="B11381" i="1"/>
  <c r="C11380" i="1"/>
  <c r="B11380" i="1"/>
  <c r="C11379" i="1"/>
  <c r="B11379" i="1"/>
  <c r="C11378" i="1"/>
  <c r="B11378" i="1"/>
  <c r="C11377" i="1"/>
  <c r="B11377" i="1"/>
  <c r="C11376" i="1"/>
  <c r="B11376" i="1"/>
  <c r="C11375" i="1"/>
  <c r="B11375" i="1"/>
  <c r="C11374" i="1"/>
  <c r="B11374" i="1"/>
  <c r="C11373" i="1"/>
  <c r="B11373" i="1"/>
  <c r="C11372" i="1"/>
  <c r="B11372" i="1"/>
  <c r="C11371" i="1"/>
  <c r="B11371" i="1"/>
  <c r="C11369" i="1"/>
  <c r="B11369" i="1"/>
  <c r="C11368" i="1"/>
  <c r="B11368" i="1"/>
  <c r="C11367" i="1"/>
  <c r="B11367" i="1"/>
  <c r="C11366" i="1"/>
  <c r="B11366" i="1"/>
  <c r="C11364" i="1"/>
  <c r="B11364" i="1"/>
  <c r="C11363" i="1"/>
  <c r="B11363" i="1"/>
  <c r="C11360" i="1"/>
  <c r="B11360" i="1"/>
  <c r="C11359" i="1"/>
  <c r="B11359" i="1"/>
  <c r="C11358" i="1"/>
  <c r="B11358" i="1"/>
  <c r="C11357" i="1"/>
  <c r="B11357" i="1"/>
  <c r="C11356" i="1"/>
  <c r="B11356" i="1"/>
  <c r="C11355" i="1"/>
  <c r="B11355" i="1"/>
  <c r="C11354" i="1"/>
  <c r="B11354" i="1"/>
  <c r="C11353" i="1"/>
  <c r="B11353" i="1"/>
  <c r="C11352" i="1"/>
  <c r="B11352" i="1"/>
  <c r="C11351" i="1"/>
  <c r="B11351" i="1"/>
  <c r="C11350" i="1"/>
  <c r="B11350" i="1"/>
  <c r="C11348" i="1"/>
  <c r="B11348" i="1"/>
  <c r="C11347" i="1"/>
  <c r="B11347" i="1"/>
  <c r="C11346" i="1"/>
  <c r="B11346" i="1"/>
  <c r="C11345" i="1"/>
  <c r="B11345" i="1"/>
  <c r="C11344" i="1"/>
  <c r="B11344" i="1"/>
  <c r="C11343" i="1"/>
  <c r="B11343" i="1"/>
  <c r="C11342" i="1"/>
  <c r="B11342" i="1"/>
  <c r="C11340" i="1"/>
  <c r="B11340" i="1"/>
  <c r="C11339" i="1"/>
  <c r="B11339" i="1"/>
  <c r="C11338" i="1"/>
  <c r="B11338" i="1"/>
  <c r="C11337" i="1"/>
  <c r="B11337" i="1"/>
  <c r="C11336" i="1"/>
  <c r="B11336" i="1"/>
  <c r="C11335" i="1"/>
  <c r="B11335" i="1"/>
  <c r="C11334" i="1"/>
  <c r="B11334" i="1"/>
  <c r="C11333" i="1"/>
  <c r="B11333" i="1"/>
  <c r="C11332" i="1"/>
  <c r="B11332" i="1"/>
  <c r="C11330" i="1"/>
  <c r="B11330" i="1"/>
  <c r="C11328" i="1"/>
  <c r="B11328" i="1"/>
  <c r="C11327" i="1"/>
  <c r="B11327" i="1"/>
  <c r="C11326" i="1"/>
  <c r="B11326" i="1"/>
  <c r="C11325" i="1"/>
  <c r="B11325" i="1"/>
  <c r="C11324" i="1"/>
  <c r="B11324" i="1"/>
  <c r="C11323" i="1"/>
  <c r="B11323" i="1"/>
  <c r="C11322" i="1"/>
  <c r="B11322" i="1"/>
  <c r="C11321" i="1"/>
  <c r="B11321" i="1"/>
  <c r="C11320" i="1"/>
  <c r="B11320" i="1"/>
  <c r="C11319" i="1"/>
  <c r="B11319" i="1"/>
  <c r="C11318" i="1"/>
  <c r="B11318" i="1"/>
  <c r="C11317" i="1"/>
  <c r="B11317" i="1"/>
  <c r="C11316" i="1"/>
  <c r="B11316" i="1"/>
  <c r="C11315" i="1"/>
  <c r="B11315" i="1"/>
  <c r="C11314" i="1"/>
  <c r="B11314" i="1"/>
  <c r="C11313" i="1"/>
  <c r="B11313" i="1"/>
  <c r="C11312" i="1"/>
  <c r="B11312" i="1"/>
  <c r="C11311" i="1"/>
  <c r="B11311" i="1"/>
  <c r="C11310" i="1"/>
  <c r="B11310" i="1"/>
  <c r="C11309" i="1"/>
  <c r="B11309" i="1"/>
  <c r="C11308" i="1"/>
  <c r="B11308" i="1"/>
  <c r="C11306" i="1"/>
  <c r="B11306" i="1"/>
  <c r="C11305" i="1"/>
  <c r="B11305" i="1"/>
  <c r="C11304" i="1"/>
  <c r="B11304" i="1"/>
  <c r="C11303" i="1"/>
  <c r="B11303" i="1"/>
  <c r="C11302" i="1"/>
  <c r="B11302" i="1"/>
  <c r="C11301" i="1"/>
  <c r="B11301" i="1"/>
  <c r="C11300" i="1"/>
  <c r="B11300" i="1"/>
  <c r="C11299" i="1"/>
  <c r="B11299" i="1"/>
  <c r="C11298" i="1"/>
  <c r="B11298" i="1"/>
  <c r="C11297" i="1"/>
  <c r="B11297" i="1"/>
  <c r="C11296" i="1"/>
  <c r="B11296" i="1"/>
  <c r="C11294" i="1"/>
  <c r="B11294" i="1"/>
  <c r="C11293" i="1"/>
  <c r="B11293" i="1"/>
  <c r="C11292" i="1"/>
  <c r="B11292" i="1"/>
  <c r="C11291" i="1"/>
  <c r="B11291" i="1"/>
  <c r="C11290" i="1"/>
  <c r="B11290" i="1"/>
  <c r="C11289" i="1"/>
  <c r="B11289" i="1"/>
  <c r="C11288" i="1"/>
  <c r="B11288" i="1"/>
  <c r="C11287" i="1"/>
  <c r="B11287" i="1"/>
  <c r="C11286" i="1"/>
  <c r="B11286" i="1"/>
  <c r="C11285" i="1"/>
  <c r="B11285" i="1"/>
  <c r="C11284" i="1"/>
  <c r="B11284" i="1"/>
  <c r="C11283" i="1"/>
  <c r="B11283" i="1"/>
  <c r="C11282" i="1"/>
  <c r="B11282" i="1"/>
  <c r="C11281" i="1"/>
  <c r="B11281" i="1"/>
  <c r="C11280" i="1"/>
  <c r="B11280" i="1"/>
  <c r="C11279" i="1"/>
  <c r="B11279" i="1"/>
  <c r="C11278" i="1"/>
  <c r="B11278" i="1"/>
  <c r="C11277" i="1"/>
  <c r="B11277" i="1"/>
  <c r="C11276" i="1"/>
  <c r="B11276" i="1"/>
  <c r="C11275" i="1"/>
  <c r="B11275" i="1"/>
  <c r="C11274" i="1"/>
  <c r="B11274" i="1"/>
  <c r="C11273" i="1"/>
  <c r="B11273" i="1"/>
  <c r="C11272" i="1"/>
  <c r="B11272" i="1"/>
  <c r="C11271" i="1"/>
  <c r="B11271" i="1"/>
  <c r="C11270" i="1"/>
  <c r="B11270" i="1"/>
  <c r="C11269" i="1"/>
  <c r="B11269" i="1"/>
  <c r="C11268" i="1"/>
  <c r="B11268" i="1"/>
  <c r="C11267" i="1"/>
  <c r="B11267" i="1"/>
  <c r="C11266" i="1"/>
  <c r="B11266" i="1"/>
  <c r="C11265" i="1"/>
  <c r="B11265" i="1"/>
  <c r="C11264" i="1"/>
  <c r="B11264" i="1"/>
  <c r="C11263" i="1"/>
  <c r="B11263" i="1"/>
  <c r="C11262" i="1"/>
  <c r="B11262" i="1"/>
  <c r="C11261" i="1"/>
  <c r="B11261" i="1"/>
  <c r="C11260" i="1"/>
  <c r="B11260" i="1"/>
  <c r="C11259" i="1"/>
  <c r="B11259" i="1"/>
  <c r="C11258" i="1"/>
  <c r="B11258" i="1"/>
  <c r="C11257" i="1"/>
  <c r="B11257" i="1"/>
  <c r="C11256" i="1"/>
  <c r="B11256" i="1"/>
  <c r="C11255" i="1"/>
  <c r="B11255" i="1"/>
  <c r="C11254" i="1"/>
  <c r="B11254" i="1"/>
  <c r="C11251" i="1"/>
  <c r="C11250" i="1"/>
  <c r="B11250" i="1"/>
  <c r="C11249" i="1"/>
  <c r="B11249" i="1"/>
  <c r="C11248" i="1"/>
  <c r="B11248" i="1"/>
  <c r="C11246" i="1"/>
  <c r="B11246" i="1"/>
  <c r="C11245" i="1"/>
  <c r="B11245" i="1"/>
  <c r="C11244" i="1"/>
  <c r="B11244" i="1"/>
  <c r="C11243" i="1"/>
  <c r="B11243" i="1"/>
  <c r="C11242" i="1"/>
  <c r="B11242" i="1"/>
  <c r="C11241" i="1"/>
  <c r="B11241" i="1"/>
  <c r="C11240" i="1"/>
  <c r="B11240" i="1"/>
  <c r="C11239" i="1"/>
  <c r="B11239" i="1"/>
  <c r="C11238" i="1"/>
  <c r="B11238" i="1"/>
  <c r="C11237" i="1"/>
  <c r="B11237" i="1"/>
  <c r="C11236" i="1"/>
  <c r="B11236" i="1"/>
  <c r="C11234" i="1"/>
  <c r="B11234" i="1"/>
  <c r="C11233" i="1"/>
  <c r="B11233" i="1"/>
  <c r="C11232" i="1"/>
  <c r="B11232" i="1"/>
  <c r="C11231" i="1"/>
  <c r="B11231" i="1"/>
  <c r="C11230" i="1"/>
  <c r="B11230" i="1"/>
  <c r="C11229" i="1"/>
  <c r="B11229" i="1"/>
  <c r="C11228" i="1"/>
  <c r="B11228" i="1"/>
  <c r="C11227" i="1"/>
  <c r="B11227" i="1"/>
  <c r="C11226" i="1"/>
  <c r="B11226" i="1"/>
  <c r="C11225" i="1"/>
  <c r="B11225" i="1"/>
  <c r="C11224" i="1"/>
  <c r="B11224" i="1"/>
  <c r="C11223" i="1"/>
  <c r="B11223" i="1"/>
  <c r="C11222" i="1"/>
  <c r="B11222" i="1"/>
  <c r="C11221" i="1"/>
  <c r="B11221" i="1"/>
  <c r="C11220" i="1"/>
  <c r="B11220" i="1"/>
  <c r="C11219" i="1"/>
  <c r="B11219" i="1"/>
  <c r="C11217" i="1"/>
  <c r="B11217" i="1"/>
  <c r="C11216" i="1"/>
  <c r="B11216" i="1"/>
  <c r="C11215" i="1"/>
  <c r="B11215" i="1"/>
  <c r="C11214" i="1"/>
  <c r="B11214" i="1"/>
  <c r="C11213" i="1"/>
  <c r="B11213" i="1"/>
  <c r="C11212" i="1"/>
  <c r="B11212" i="1"/>
  <c r="C11211" i="1"/>
  <c r="B11211" i="1"/>
  <c r="C11210" i="1"/>
  <c r="B11210" i="1"/>
  <c r="C11209" i="1"/>
  <c r="B11209" i="1"/>
  <c r="C11208" i="1"/>
  <c r="B11208" i="1"/>
  <c r="C11207" i="1"/>
  <c r="B11207" i="1"/>
  <c r="C11206" i="1"/>
  <c r="B11206" i="1"/>
  <c r="C11205" i="1"/>
  <c r="B11205" i="1"/>
  <c r="C11204" i="1"/>
  <c r="B11204" i="1"/>
  <c r="C11203" i="1"/>
  <c r="B11203" i="1"/>
  <c r="C11202" i="1"/>
  <c r="B11202" i="1"/>
  <c r="C11201" i="1"/>
  <c r="B11201" i="1"/>
  <c r="C11200" i="1"/>
  <c r="B11200" i="1"/>
  <c r="C11199" i="1"/>
  <c r="B11199" i="1"/>
  <c r="C11198" i="1"/>
  <c r="B11198" i="1"/>
  <c r="C11197" i="1"/>
  <c r="B11197" i="1"/>
  <c r="C11196" i="1"/>
  <c r="B11196" i="1"/>
  <c r="C11195" i="1"/>
  <c r="B11195" i="1"/>
  <c r="C11194" i="1"/>
  <c r="B11194" i="1"/>
  <c r="C11193" i="1"/>
  <c r="B11193" i="1"/>
  <c r="C11192" i="1"/>
  <c r="B11192" i="1"/>
  <c r="C11191" i="1"/>
  <c r="B11191" i="1"/>
  <c r="C11189" i="1"/>
  <c r="B11189" i="1"/>
  <c r="C11188" i="1"/>
  <c r="B11188" i="1"/>
  <c r="C11187" i="1"/>
  <c r="B11187" i="1"/>
  <c r="C11186" i="1"/>
  <c r="B11186" i="1"/>
  <c r="C11185" i="1"/>
  <c r="B11185" i="1"/>
  <c r="C11184" i="1"/>
  <c r="B11184" i="1"/>
  <c r="C11183" i="1"/>
  <c r="B11183" i="1"/>
  <c r="C11182" i="1"/>
  <c r="B11182" i="1"/>
  <c r="C11181" i="1"/>
  <c r="B11181" i="1"/>
  <c r="C11180" i="1"/>
  <c r="B11180" i="1"/>
  <c r="C11179" i="1"/>
  <c r="B11179" i="1"/>
  <c r="C11178" i="1"/>
  <c r="B11178" i="1"/>
  <c r="C11177" i="1"/>
  <c r="B11177" i="1"/>
  <c r="C11176" i="1"/>
  <c r="B11176" i="1"/>
  <c r="C11175" i="1"/>
  <c r="B11175" i="1"/>
  <c r="C11174" i="1"/>
  <c r="B11174" i="1"/>
  <c r="C11173" i="1"/>
  <c r="B11173" i="1"/>
  <c r="C11172" i="1"/>
  <c r="B11172" i="1"/>
  <c r="C11171" i="1"/>
  <c r="B11171" i="1"/>
  <c r="C11170" i="1"/>
  <c r="B11170" i="1"/>
  <c r="C11169" i="1"/>
  <c r="B11169" i="1"/>
  <c r="C11168" i="1"/>
  <c r="B11168" i="1"/>
  <c r="C11167" i="1"/>
  <c r="B11167" i="1"/>
  <c r="C11166" i="1"/>
  <c r="B11166" i="1"/>
  <c r="C11165" i="1"/>
  <c r="B11165" i="1"/>
  <c r="C11164" i="1"/>
  <c r="B11164" i="1"/>
  <c r="C11163" i="1"/>
  <c r="B11163" i="1"/>
  <c r="C11162" i="1"/>
  <c r="B11162" i="1"/>
  <c r="C11161" i="1"/>
  <c r="B11161" i="1"/>
  <c r="C11160" i="1"/>
  <c r="B11160" i="1"/>
  <c r="C11159" i="1"/>
  <c r="B11159" i="1"/>
  <c r="C11158" i="1"/>
  <c r="B11158" i="1"/>
  <c r="C11157" i="1"/>
  <c r="B11157" i="1"/>
  <c r="C11156" i="1"/>
  <c r="B11156" i="1"/>
  <c r="C11155" i="1"/>
  <c r="B11155" i="1"/>
  <c r="C11154" i="1"/>
  <c r="B11154" i="1"/>
  <c r="C11153" i="1"/>
  <c r="B11153" i="1"/>
  <c r="C11152" i="1"/>
  <c r="B11152" i="1"/>
  <c r="C11149" i="1"/>
  <c r="B11149" i="1"/>
  <c r="C11148" i="1"/>
  <c r="B11148" i="1"/>
  <c r="C11147" i="1"/>
  <c r="B11147" i="1"/>
  <c r="C11146" i="1"/>
  <c r="B11146" i="1"/>
  <c r="C11145" i="1"/>
  <c r="B11145" i="1"/>
  <c r="C11144" i="1"/>
  <c r="B11144" i="1"/>
  <c r="C11142" i="1"/>
  <c r="C11141" i="1"/>
  <c r="B11141" i="1"/>
  <c r="C11140" i="1"/>
  <c r="B11140" i="1"/>
  <c r="C11139" i="1"/>
  <c r="C11138" i="1"/>
  <c r="B11138" i="1"/>
  <c r="C11137" i="1"/>
  <c r="B11137" i="1"/>
  <c r="C11136" i="1"/>
  <c r="B11136" i="1"/>
  <c r="C11135" i="1"/>
  <c r="B11135" i="1"/>
  <c r="C11134" i="1"/>
  <c r="B11134" i="1"/>
  <c r="C11133" i="1"/>
  <c r="B11133" i="1"/>
  <c r="C11132" i="1"/>
  <c r="B11132" i="1"/>
  <c r="C11131" i="1"/>
  <c r="B11131" i="1"/>
  <c r="C11130" i="1"/>
  <c r="B11130" i="1"/>
  <c r="C11129" i="1"/>
  <c r="B11129" i="1"/>
  <c r="C11128" i="1"/>
  <c r="B11128" i="1"/>
  <c r="C11127" i="1"/>
  <c r="B11127" i="1"/>
  <c r="C11126" i="1"/>
  <c r="B11126" i="1"/>
  <c r="C11125" i="1"/>
  <c r="B11125" i="1"/>
  <c r="C11124" i="1"/>
  <c r="B11124" i="1"/>
  <c r="C11123" i="1"/>
  <c r="B11123" i="1"/>
  <c r="C11122" i="1"/>
  <c r="B11122" i="1"/>
  <c r="C11121" i="1"/>
  <c r="B11121" i="1"/>
  <c r="C11120" i="1"/>
  <c r="B11120" i="1"/>
  <c r="C11119" i="1"/>
  <c r="B11119" i="1"/>
  <c r="C11118" i="1"/>
  <c r="B11118" i="1"/>
  <c r="C11117" i="1"/>
  <c r="B11117" i="1"/>
  <c r="C11116" i="1"/>
  <c r="B11116" i="1"/>
  <c r="C11115" i="1"/>
  <c r="B11115" i="1"/>
  <c r="C11112" i="1"/>
  <c r="B11112" i="1"/>
  <c r="C11111" i="1"/>
  <c r="B11111" i="1"/>
  <c r="C11110" i="1"/>
  <c r="B11110" i="1"/>
  <c r="C11109" i="1"/>
  <c r="B11109" i="1"/>
  <c r="C11108" i="1"/>
  <c r="B11108" i="1"/>
  <c r="C11107" i="1"/>
  <c r="C11106" i="1"/>
  <c r="B11106" i="1"/>
  <c r="C11105" i="1"/>
  <c r="B11105" i="1"/>
  <c r="B11102" i="1"/>
  <c r="C11101" i="1"/>
  <c r="B11101" i="1"/>
  <c r="C11100" i="1"/>
  <c r="B11100" i="1"/>
  <c r="C11098" i="1"/>
  <c r="B11098" i="1"/>
  <c r="C11097" i="1"/>
  <c r="B11097" i="1"/>
  <c r="C11095" i="1"/>
  <c r="B11095" i="1"/>
  <c r="C11094" i="1"/>
  <c r="B11094" i="1"/>
  <c r="C11093" i="1"/>
  <c r="B11093" i="1"/>
  <c r="C11092" i="1"/>
  <c r="B11092" i="1"/>
  <c r="C11091" i="1"/>
  <c r="B11091" i="1"/>
  <c r="C11090" i="1"/>
  <c r="B11090" i="1"/>
  <c r="C11089" i="1"/>
  <c r="B11089" i="1"/>
  <c r="C11087" i="1"/>
  <c r="B11087" i="1"/>
  <c r="C11086" i="1"/>
  <c r="B11086" i="1"/>
  <c r="C11085" i="1"/>
  <c r="B11085" i="1"/>
  <c r="C11083" i="1"/>
  <c r="B11083" i="1"/>
  <c r="C11082" i="1"/>
  <c r="B11082" i="1"/>
  <c r="C11081" i="1"/>
  <c r="B11081" i="1"/>
  <c r="C11080" i="1"/>
  <c r="B11080" i="1"/>
  <c r="C11079" i="1"/>
  <c r="B11079" i="1"/>
  <c r="C11078" i="1"/>
  <c r="B11078" i="1"/>
  <c r="C11077" i="1"/>
  <c r="B11077" i="1"/>
  <c r="C11076" i="1"/>
  <c r="B11076" i="1"/>
  <c r="C11075" i="1"/>
  <c r="B11075" i="1"/>
  <c r="C11074" i="1"/>
  <c r="B11074" i="1"/>
  <c r="C11073" i="1"/>
  <c r="B11073" i="1"/>
  <c r="C11072" i="1"/>
  <c r="C11071" i="1"/>
  <c r="C11070" i="1"/>
  <c r="B11070" i="1"/>
  <c r="C11069" i="1"/>
  <c r="B11069" i="1"/>
  <c r="C11066" i="1"/>
  <c r="C11065" i="1"/>
  <c r="B11065" i="1"/>
  <c r="C11062" i="1"/>
  <c r="B11062" i="1"/>
  <c r="C11058" i="1"/>
  <c r="B11058" i="1"/>
  <c r="C11056" i="1"/>
  <c r="B11056" i="1"/>
  <c r="C11054" i="1"/>
  <c r="B11054" i="1"/>
  <c r="C11051" i="1"/>
  <c r="B11051" i="1"/>
  <c r="C11050" i="1"/>
  <c r="B11050" i="1"/>
  <c r="C11049" i="1"/>
  <c r="B11049" i="1"/>
  <c r="C11047" i="1"/>
  <c r="C11046" i="1"/>
  <c r="B11046" i="1"/>
  <c r="C11045" i="1"/>
  <c r="B11045" i="1"/>
  <c r="C11043" i="1"/>
  <c r="B11043" i="1"/>
  <c r="C11041" i="1"/>
  <c r="B11041" i="1"/>
  <c r="C11040" i="1"/>
  <c r="B11040" i="1"/>
  <c r="C11038" i="1"/>
  <c r="B11038" i="1"/>
  <c r="C11037" i="1"/>
  <c r="B11037" i="1"/>
  <c r="C11036" i="1"/>
  <c r="B11036" i="1"/>
  <c r="C11035" i="1"/>
  <c r="B11035" i="1"/>
  <c r="C11034" i="1"/>
  <c r="C11033" i="1"/>
  <c r="B11033" i="1"/>
  <c r="C11030" i="1"/>
  <c r="B11030" i="1"/>
  <c r="C11027" i="1"/>
  <c r="B11027" i="1"/>
  <c r="C11024" i="1"/>
  <c r="B11024" i="1"/>
  <c r="C11022" i="1"/>
  <c r="B11022" i="1"/>
  <c r="C11021" i="1"/>
  <c r="B11021" i="1"/>
  <c r="C11020" i="1"/>
  <c r="B11020" i="1"/>
  <c r="C11019" i="1"/>
  <c r="B11019" i="1"/>
  <c r="C11018" i="1"/>
  <c r="B11018" i="1"/>
  <c r="C11016" i="1"/>
  <c r="B11016" i="1"/>
  <c r="C11014" i="1"/>
  <c r="B11014" i="1"/>
  <c r="C11013" i="1"/>
  <c r="B11013" i="1"/>
  <c r="C11012" i="1"/>
  <c r="B11012" i="1"/>
  <c r="C11011" i="1"/>
  <c r="B11011" i="1"/>
  <c r="C11010" i="1"/>
  <c r="B11010" i="1"/>
  <c r="C11005" i="1"/>
  <c r="B11005" i="1"/>
  <c r="C11004" i="1"/>
  <c r="B11004" i="1"/>
  <c r="C11003" i="1"/>
  <c r="C11002" i="1"/>
  <c r="B11002" i="1"/>
  <c r="C11001" i="1"/>
  <c r="B11001" i="1"/>
  <c r="C11000" i="1"/>
  <c r="B11000" i="1"/>
  <c r="C10999" i="1"/>
  <c r="B10999" i="1"/>
  <c r="C10998" i="1"/>
  <c r="B10998" i="1"/>
  <c r="C10996" i="1"/>
  <c r="B10996" i="1"/>
  <c r="C10993" i="1"/>
  <c r="B10993" i="1"/>
  <c r="C10992" i="1"/>
  <c r="B10992" i="1"/>
  <c r="C10991" i="1"/>
  <c r="B10991" i="1"/>
  <c r="C10990" i="1"/>
  <c r="B10990" i="1"/>
  <c r="C10989" i="1"/>
  <c r="B10989" i="1"/>
  <c r="C10988" i="1"/>
  <c r="B10988" i="1"/>
  <c r="C10987" i="1"/>
  <c r="C10986" i="1"/>
  <c r="B10986" i="1"/>
  <c r="C10984" i="1"/>
  <c r="B10984" i="1"/>
  <c r="C10983" i="1"/>
  <c r="B10983" i="1"/>
  <c r="C10982" i="1"/>
  <c r="B10982" i="1"/>
  <c r="C10981" i="1"/>
  <c r="B10981" i="1"/>
  <c r="C10980" i="1"/>
  <c r="B10980" i="1"/>
  <c r="C10979" i="1"/>
  <c r="B10979" i="1"/>
  <c r="C10978" i="1"/>
  <c r="B10978" i="1"/>
  <c r="C10977" i="1"/>
  <c r="B10977" i="1"/>
  <c r="C10976" i="1"/>
  <c r="B10976" i="1"/>
  <c r="C10975" i="1"/>
  <c r="B10975" i="1"/>
  <c r="C10974" i="1"/>
  <c r="B10974" i="1"/>
  <c r="C10972" i="1"/>
  <c r="B10972" i="1"/>
  <c r="C10971" i="1"/>
  <c r="B10971" i="1"/>
  <c r="C10970" i="1"/>
  <c r="B10970" i="1"/>
  <c r="C10969" i="1"/>
  <c r="B10969" i="1"/>
  <c r="C10968" i="1"/>
  <c r="B10968" i="1"/>
  <c r="C10967" i="1"/>
  <c r="B10967" i="1"/>
  <c r="C10966" i="1"/>
  <c r="B10966" i="1"/>
  <c r="C10965" i="1"/>
  <c r="B10965" i="1"/>
  <c r="C10964" i="1"/>
  <c r="B10964" i="1"/>
  <c r="C10963" i="1"/>
  <c r="B10963" i="1"/>
  <c r="C10962" i="1"/>
  <c r="B10962" i="1"/>
  <c r="C10961" i="1"/>
  <c r="B10961" i="1"/>
  <c r="C10960" i="1"/>
  <c r="B10960" i="1"/>
  <c r="C10959" i="1"/>
  <c r="B10959" i="1"/>
  <c r="C10958" i="1"/>
  <c r="B10958" i="1"/>
  <c r="C10957" i="1"/>
  <c r="B10957" i="1"/>
  <c r="C10956" i="1"/>
  <c r="B10956" i="1"/>
  <c r="C10955" i="1"/>
  <c r="B10955" i="1"/>
  <c r="C10954" i="1"/>
  <c r="B10954" i="1"/>
  <c r="C10953" i="1"/>
  <c r="B10953" i="1"/>
  <c r="C10952" i="1"/>
  <c r="B10952" i="1"/>
  <c r="C10951" i="1"/>
  <c r="B10951" i="1"/>
  <c r="C10950" i="1"/>
  <c r="B10950" i="1"/>
  <c r="C10949" i="1"/>
  <c r="B10949" i="1"/>
  <c r="C10948" i="1"/>
  <c r="B10948" i="1"/>
  <c r="C10947" i="1"/>
  <c r="B10947" i="1"/>
  <c r="C10946" i="1"/>
  <c r="B10946" i="1"/>
  <c r="C10945" i="1"/>
  <c r="B10945" i="1"/>
  <c r="C10944" i="1"/>
  <c r="B10944" i="1"/>
  <c r="C10943" i="1"/>
  <c r="B10943" i="1"/>
  <c r="C10942" i="1"/>
  <c r="B10942" i="1"/>
  <c r="C10941" i="1"/>
  <c r="B10941" i="1"/>
  <c r="C10940" i="1"/>
  <c r="B10940" i="1"/>
  <c r="C10939" i="1"/>
  <c r="B10939" i="1"/>
  <c r="C10938" i="1"/>
  <c r="B10938" i="1"/>
  <c r="C10937" i="1"/>
  <c r="B10937" i="1"/>
  <c r="C10936" i="1"/>
  <c r="B10936" i="1"/>
  <c r="C10935" i="1"/>
  <c r="B10935" i="1"/>
  <c r="C10934" i="1"/>
  <c r="B10934" i="1"/>
  <c r="C10933" i="1"/>
  <c r="B10933" i="1"/>
  <c r="C10932" i="1"/>
  <c r="B10932" i="1"/>
  <c r="C10931" i="1"/>
  <c r="B10931" i="1"/>
  <c r="C10930" i="1"/>
  <c r="B10930" i="1"/>
  <c r="C10929" i="1"/>
  <c r="B10929" i="1"/>
  <c r="C10928" i="1"/>
  <c r="B10928" i="1"/>
  <c r="C10927" i="1"/>
  <c r="B10927" i="1"/>
  <c r="C10926" i="1"/>
  <c r="B10926" i="1"/>
  <c r="C10925" i="1"/>
  <c r="B10925" i="1"/>
  <c r="C10924" i="1"/>
  <c r="B10924" i="1"/>
  <c r="C10923" i="1"/>
  <c r="B10923" i="1"/>
  <c r="C10922" i="1"/>
  <c r="B10922" i="1"/>
  <c r="C10921" i="1"/>
  <c r="B10921" i="1"/>
  <c r="C10920" i="1"/>
  <c r="B10920" i="1"/>
  <c r="C10919" i="1"/>
  <c r="B10919" i="1"/>
  <c r="C10918" i="1"/>
  <c r="B10918" i="1"/>
  <c r="C10917" i="1"/>
  <c r="B10917" i="1"/>
  <c r="C10916" i="1"/>
  <c r="B10916" i="1"/>
  <c r="C10914" i="1"/>
  <c r="B10914" i="1"/>
  <c r="C10912" i="1"/>
  <c r="B10912" i="1"/>
  <c r="C10907" i="1"/>
  <c r="B10907" i="1"/>
  <c r="C10905" i="1"/>
  <c r="B10905" i="1"/>
  <c r="C10904" i="1"/>
  <c r="B10904" i="1"/>
  <c r="C10903" i="1"/>
  <c r="B10903" i="1"/>
  <c r="C10902" i="1"/>
  <c r="B10902" i="1"/>
  <c r="C10901" i="1"/>
  <c r="B10901" i="1"/>
  <c r="C10900" i="1"/>
  <c r="B10900" i="1"/>
  <c r="C10899" i="1"/>
  <c r="B10899" i="1"/>
  <c r="C10898" i="1"/>
  <c r="B10898" i="1"/>
  <c r="C10897" i="1"/>
  <c r="B10897" i="1"/>
  <c r="C10896" i="1"/>
  <c r="B10896" i="1"/>
  <c r="C10895" i="1"/>
  <c r="B10895" i="1"/>
  <c r="C10894" i="1"/>
  <c r="B10894" i="1"/>
  <c r="C10893" i="1"/>
  <c r="B10893" i="1"/>
  <c r="C10892" i="1"/>
  <c r="B10892" i="1"/>
  <c r="C10891" i="1"/>
  <c r="B10891" i="1"/>
  <c r="C10890" i="1"/>
  <c r="B10890" i="1"/>
  <c r="C10889" i="1"/>
  <c r="B10889" i="1"/>
  <c r="C10888" i="1"/>
  <c r="B10888" i="1"/>
  <c r="C10886" i="1"/>
  <c r="B10886" i="1"/>
  <c r="C10885" i="1"/>
  <c r="B10885" i="1"/>
  <c r="C10884" i="1"/>
  <c r="B10884" i="1"/>
  <c r="C10883" i="1"/>
  <c r="B10883" i="1"/>
  <c r="C10882" i="1"/>
  <c r="B10882" i="1"/>
  <c r="C10881" i="1"/>
  <c r="B10881" i="1"/>
  <c r="C10879" i="1"/>
  <c r="B10879" i="1"/>
  <c r="C10878" i="1"/>
  <c r="B10878" i="1"/>
  <c r="C10877" i="1"/>
  <c r="B10877" i="1"/>
  <c r="C10876" i="1"/>
  <c r="B10876" i="1"/>
  <c r="C10875" i="1"/>
  <c r="B10875" i="1"/>
  <c r="C10874" i="1"/>
  <c r="B10874" i="1"/>
  <c r="C10873" i="1"/>
  <c r="B10873" i="1"/>
  <c r="C10872" i="1"/>
  <c r="B10872" i="1"/>
  <c r="C10871" i="1"/>
  <c r="B10871" i="1"/>
  <c r="C10870" i="1"/>
  <c r="B10870" i="1"/>
  <c r="C10869" i="1"/>
  <c r="B10869" i="1"/>
  <c r="C10868" i="1"/>
  <c r="B10868" i="1"/>
  <c r="C10866" i="1"/>
  <c r="B10866" i="1"/>
  <c r="C10865" i="1"/>
  <c r="B10865" i="1"/>
  <c r="B10863" i="1"/>
  <c r="C10861" i="1"/>
  <c r="B10861" i="1"/>
  <c r="C10858" i="1"/>
  <c r="B10858" i="1"/>
  <c r="C10857" i="1"/>
  <c r="B10857" i="1"/>
  <c r="C10856" i="1"/>
  <c r="B10856" i="1"/>
  <c r="C10855" i="1"/>
  <c r="B10855" i="1"/>
  <c r="C10854" i="1"/>
  <c r="B10854" i="1"/>
  <c r="C10852" i="1"/>
  <c r="B10852" i="1"/>
  <c r="C10848" i="1"/>
  <c r="B10848" i="1"/>
  <c r="C10847" i="1"/>
  <c r="B10847" i="1"/>
  <c r="C10846" i="1"/>
  <c r="B10846" i="1"/>
  <c r="C10845" i="1"/>
  <c r="B10845" i="1"/>
  <c r="C10844" i="1"/>
  <c r="B10844" i="1"/>
  <c r="C10843" i="1"/>
  <c r="C10842" i="1"/>
  <c r="B10842" i="1"/>
  <c r="C10841" i="1"/>
  <c r="B10841" i="1"/>
  <c r="C10840" i="1"/>
  <c r="B10840" i="1"/>
  <c r="C10839" i="1"/>
  <c r="B10839" i="1"/>
  <c r="C10838" i="1"/>
  <c r="B10838" i="1"/>
  <c r="C10837" i="1"/>
  <c r="B10837" i="1"/>
  <c r="C10836" i="1"/>
  <c r="B10836" i="1"/>
  <c r="C10835" i="1"/>
  <c r="B10835" i="1"/>
  <c r="C10834" i="1"/>
  <c r="B10834" i="1"/>
  <c r="C10833" i="1"/>
  <c r="B10833" i="1"/>
  <c r="C10832" i="1"/>
  <c r="B10832" i="1"/>
  <c r="C10831" i="1"/>
  <c r="B10831" i="1"/>
  <c r="C10830" i="1"/>
  <c r="B10830" i="1"/>
  <c r="C10828" i="1"/>
  <c r="B10828" i="1"/>
  <c r="C10827" i="1"/>
  <c r="B10827" i="1"/>
  <c r="C10826" i="1"/>
  <c r="B10826" i="1"/>
  <c r="C10825" i="1"/>
  <c r="B10825" i="1"/>
  <c r="C10824" i="1"/>
  <c r="B10824" i="1"/>
  <c r="C10823" i="1"/>
  <c r="B10823" i="1"/>
  <c r="C10822" i="1"/>
  <c r="B10822" i="1"/>
  <c r="C10821" i="1"/>
  <c r="B10821" i="1"/>
  <c r="C10820" i="1"/>
  <c r="B10820" i="1"/>
  <c r="C10819" i="1"/>
  <c r="B10819" i="1"/>
  <c r="C10818" i="1"/>
  <c r="B10818" i="1"/>
  <c r="C10817" i="1"/>
  <c r="B10817" i="1"/>
  <c r="C10816" i="1"/>
  <c r="B10816" i="1"/>
  <c r="C10815" i="1"/>
  <c r="B10815" i="1"/>
  <c r="C10814" i="1"/>
  <c r="B10814" i="1"/>
  <c r="C10813" i="1"/>
  <c r="B10813" i="1"/>
  <c r="C10811" i="1"/>
  <c r="B10811" i="1"/>
  <c r="C10810" i="1"/>
  <c r="B10810" i="1"/>
  <c r="C10808" i="1"/>
  <c r="B10808" i="1"/>
  <c r="C10807" i="1"/>
  <c r="B10807" i="1"/>
  <c r="C10805" i="1"/>
  <c r="B10805" i="1"/>
  <c r="C10804" i="1"/>
  <c r="B10804" i="1"/>
  <c r="C10803" i="1"/>
  <c r="B10803" i="1"/>
  <c r="C10802" i="1"/>
  <c r="B10802" i="1"/>
  <c r="C10801" i="1"/>
  <c r="B10801" i="1"/>
  <c r="C10800" i="1"/>
  <c r="B10800" i="1"/>
  <c r="C10799" i="1"/>
  <c r="B10799" i="1"/>
  <c r="C10797" i="1"/>
  <c r="B10797" i="1"/>
  <c r="C10796" i="1"/>
  <c r="B10796" i="1"/>
  <c r="C10795" i="1"/>
  <c r="B10795" i="1"/>
  <c r="C10794" i="1"/>
  <c r="B10794" i="1"/>
  <c r="C10793" i="1"/>
  <c r="B10793" i="1"/>
  <c r="C10792" i="1"/>
  <c r="B10792" i="1"/>
  <c r="C10791" i="1"/>
  <c r="B10791" i="1"/>
  <c r="C10790" i="1"/>
  <c r="B10790" i="1"/>
  <c r="C10789" i="1"/>
  <c r="B10789" i="1"/>
  <c r="C10788" i="1"/>
  <c r="B10788" i="1"/>
  <c r="C10787" i="1"/>
  <c r="B10787" i="1"/>
  <c r="C10786" i="1"/>
  <c r="B10786" i="1"/>
  <c r="C10785" i="1"/>
  <c r="B10785" i="1"/>
  <c r="C10784" i="1"/>
  <c r="B10784" i="1"/>
  <c r="C10782" i="1"/>
  <c r="B10782" i="1"/>
  <c r="B10781" i="1"/>
  <c r="C10780" i="1"/>
  <c r="B10780" i="1"/>
  <c r="C10778" i="1"/>
  <c r="B10778" i="1"/>
  <c r="B10777" i="1"/>
  <c r="C10776" i="1"/>
  <c r="B10776" i="1"/>
  <c r="C10775" i="1"/>
  <c r="B10775" i="1"/>
  <c r="C10773" i="1"/>
  <c r="B10773" i="1"/>
  <c r="C10772" i="1"/>
  <c r="B10772" i="1"/>
  <c r="C10771" i="1"/>
  <c r="B10771" i="1"/>
  <c r="B10770" i="1"/>
  <c r="C10769" i="1"/>
  <c r="B10769" i="1"/>
  <c r="C10768" i="1"/>
  <c r="B10768" i="1"/>
  <c r="C10767" i="1"/>
  <c r="B10767" i="1"/>
  <c r="C10766" i="1"/>
  <c r="B10766" i="1"/>
  <c r="C10765" i="1"/>
  <c r="B10765" i="1"/>
  <c r="C10764" i="1"/>
  <c r="B10764" i="1"/>
  <c r="C10761" i="1"/>
  <c r="B10761" i="1"/>
  <c r="C10760" i="1"/>
  <c r="C10759" i="1"/>
  <c r="B10759" i="1"/>
  <c r="C10758" i="1"/>
  <c r="B10758" i="1"/>
  <c r="C10757" i="1"/>
  <c r="B10757" i="1"/>
  <c r="C10756" i="1"/>
  <c r="C10755" i="1"/>
  <c r="B10755" i="1"/>
  <c r="B10754" i="1"/>
  <c r="C10753" i="1"/>
  <c r="B10753" i="1"/>
  <c r="C10752" i="1"/>
  <c r="B10752" i="1"/>
  <c r="C10751" i="1"/>
  <c r="B10751" i="1"/>
  <c r="C10750" i="1"/>
  <c r="B10750" i="1"/>
  <c r="C10749" i="1"/>
  <c r="B10749" i="1"/>
  <c r="C10748" i="1"/>
  <c r="B10748" i="1"/>
  <c r="C10747" i="1"/>
  <c r="B10747" i="1"/>
  <c r="C10745" i="1"/>
  <c r="B10745" i="1"/>
  <c r="C10744" i="1"/>
  <c r="B10744" i="1"/>
  <c r="C10743" i="1"/>
  <c r="B10743" i="1"/>
  <c r="B10742" i="1"/>
  <c r="C10741" i="1"/>
  <c r="B10741" i="1"/>
  <c r="C10740" i="1"/>
  <c r="B10740" i="1"/>
  <c r="C10739" i="1"/>
  <c r="B10739" i="1"/>
  <c r="C10738" i="1"/>
  <c r="B10738" i="1"/>
  <c r="C10736" i="1"/>
  <c r="B10736" i="1"/>
  <c r="C10735" i="1"/>
  <c r="B10735" i="1"/>
  <c r="C10734" i="1"/>
  <c r="B10734" i="1"/>
  <c r="C10733" i="1"/>
  <c r="B10733" i="1"/>
  <c r="C10732" i="1"/>
  <c r="B10732" i="1"/>
  <c r="C10731" i="1"/>
  <c r="B10731" i="1"/>
  <c r="C10730" i="1"/>
  <c r="B10730" i="1"/>
  <c r="C10729" i="1"/>
  <c r="B10729" i="1"/>
  <c r="C10728" i="1"/>
  <c r="B10728" i="1"/>
  <c r="C10727" i="1"/>
  <c r="B10727" i="1"/>
  <c r="C10726" i="1"/>
  <c r="B10726" i="1"/>
  <c r="C10725" i="1"/>
  <c r="B10725" i="1"/>
  <c r="C10724" i="1"/>
  <c r="B10724" i="1"/>
  <c r="C10723" i="1"/>
  <c r="C10721" i="1"/>
  <c r="C10719" i="1"/>
  <c r="C10718" i="1"/>
  <c r="C10715" i="1"/>
  <c r="C10714" i="1"/>
  <c r="C10712" i="1"/>
  <c r="C10711" i="1"/>
  <c r="C10710" i="1"/>
  <c r="C10709" i="1"/>
  <c r="B10706" i="1"/>
  <c r="C10703" i="1"/>
  <c r="B10703" i="1"/>
  <c r="C10702" i="1"/>
  <c r="B10702" i="1"/>
  <c r="C10701" i="1"/>
  <c r="B10701" i="1"/>
  <c r="C10700" i="1"/>
  <c r="B10700" i="1"/>
  <c r="B10699" i="1"/>
  <c r="B10698" i="1"/>
  <c r="C10697" i="1"/>
  <c r="B10697" i="1"/>
  <c r="C10696" i="1"/>
  <c r="B10696" i="1"/>
  <c r="C10693" i="1"/>
  <c r="B10693" i="1"/>
  <c r="C10692" i="1"/>
  <c r="B10692" i="1"/>
  <c r="C10685" i="1"/>
  <c r="B10685" i="1"/>
  <c r="B10684" i="1"/>
  <c r="C10683" i="1"/>
  <c r="B10683" i="1"/>
  <c r="C10682" i="1"/>
  <c r="B10682" i="1"/>
  <c r="C10681" i="1"/>
  <c r="B10681" i="1"/>
  <c r="C10680" i="1"/>
  <c r="B10680" i="1"/>
  <c r="C10679" i="1"/>
  <c r="B10679" i="1"/>
  <c r="C10678" i="1"/>
  <c r="B10678" i="1"/>
  <c r="C10677" i="1"/>
  <c r="B10677" i="1"/>
  <c r="C10676" i="1"/>
  <c r="B10676" i="1"/>
  <c r="C10675" i="1"/>
  <c r="B10675" i="1"/>
  <c r="C10674" i="1"/>
  <c r="B10674" i="1"/>
  <c r="C10672" i="1"/>
  <c r="B10672" i="1"/>
  <c r="C10671" i="1"/>
  <c r="B10671" i="1"/>
  <c r="C10670" i="1"/>
  <c r="B10670" i="1"/>
  <c r="C10668" i="1"/>
  <c r="B10668" i="1"/>
  <c r="C10667" i="1"/>
  <c r="B10667" i="1"/>
  <c r="C10665" i="1"/>
  <c r="B10665" i="1"/>
  <c r="C10664" i="1"/>
  <c r="B10664" i="1"/>
  <c r="C10663" i="1"/>
  <c r="B10663" i="1"/>
  <c r="C10662" i="1"/>
  <c r="B10662" i="1"/>
  <c r="C10661" i="1"/>
  <c r="B10661" i="1"/>
  <c r="C10660" i="1"/>
  <c r="B10660" i="1"/>
  <c r="C10659" i="1"/>
  <c r="B10659" i="1"/>
  <c r="C10658" i="1"/>
  <c r="B10658" i="1"/>
  <c r="C10657" i="1"/>
  <c r="B10657" i="1"/>
  <c r="C10656" i="1"/>
  <c r="B10656" i="1"/>
  <c r="C10655" i="1"/>
  <c r="B10655" i="1"/>
  <c r="C10653" i="1"/>
  <c r="B10653" i="1"/>
  <c r="C10652" i="1"/>
  <c r="B10652" i="1"/>
  <c r="C10651" i="1"/>
  <c r="B10651" i="1"/>
  <c r="C10650" i="1"/>
  <c r="B10650" i="1"/>
  <c r="C10649" i="1"/>
  <c r="B10649" i="1"/>
  <c r="C10648" i="1"/>
  <c r="B10648" i="1"/>
  <c r="C10647" i="1"/>
  <c r="B10647" i="1"/>
  <c r="C10646" i="1"/>
  <c r="B10646" i="1"/>
  <c r="C10645" i="1"/>
  <c r="B10645" i="1"/>
  <c r="C10644" i="1"/>
  <c r="B10644" i="1"/>
  <c r="C10643" i="1"/>
  <c r="B10643" i="1"/>
  <c r="C10642" i="1"/>
  <c r="B10642" i="1"/>
  <c r="C10641" i="1"/>
  <c r="B10641" i="1"/>
  <c r="C10640" i="1"/>
  <c r="B10640" i="1"/>
  <c r="C10639" i="1"/>
  <c r="B10639" i="1"/>
  <c r="C10638" i="1"/>
  <c r="B10638" i="1"/>
  <c r="C10637" i="1"/>
  <c r="B10637" i="1"/>
  <c r="C10636" i="1"/>
  <c r="B10636" i="1"/>
  <c r="C10635" i="1"/>
  <c r="B10635" i="1"/>
  <c r="C10634" i="1"/>
  <c r="B10634" i="1"/>
  <c r="C10633" i="1"/>
  <c r="B10633" i="1"/>
  <c r="C10632" i="1"/>
  <c r="B10632" i="1"/>
  <c r="C10631" i="1"/>
  <c r="B10631" i="1"/>
  <c r="C10630" i="1"/>
  <c r="B10630" i="1"/>
  <c r="C10629" i="1"/>
  <c r="B10629" i="1"/>
  <c r="C10628" i="1"/>
  <c r="B10628" i="1"/>
  <c r="C10627" i="1"/>
  <c r="B10627" i="1"/>
  <c r="C10626" i="1"/>
  <c r="B10626" i="1"/>
  <c r="C10625" i="1"/>
  <c r="B10625" i="1"/>
  <c r="C10623" i="1"/>
  <c r="B10623" i="1"/>
  <c r="C10622" i="1"/>
  <c r="B10622" i="1"/>
  <c r="C10621" i="1"/>
  <c r="B10621" i="1"/>
  <c r="C10620" i="1"/>
  <c r="B10620" i="1"/>
  <c r="C10619" i="1"/>
  <c r="B10619" i="1"/>
  <c r="C10618" i="1"/>
  <c r="B10618" i="1"/>
  <c r="C10617" i="1"/>
  <c r="B10617" i="1"/>
  <c r="C10616" i="1"/>
  <c r="B10616" i="1"/>
  <c r="C10615" i="1"/>
  <c r="B10615" i="1"/>
  <c r="C10614" i="1"/>
  <c r="B10614" i="1"/>
  <c r="C10613" i="1"/>
  <c r="B10613" i="1"/>
  <c r="C10612" i="1"/>
  <c r="B10612" i="1"/>
  <c r="C10611" i="1"/>
  <c r="B10611" i="1"/>
  <c r="C10610" i="1"/>
  <c r="B10610" i="1"/>
  <c r="C10609" i="1"/>
  <c r="B10609" i="1"/>
  <c r="C10608" i="1"/>
  <c r="B10608" i="1"/>
  <c r="C10607" i="1"/>
  <c r="B10607" i="1"/>
  <c r="C10606" i="1"/>
  <c r="B10606" i="1"/>
  <c r="C10605" i="1"/>
  <c r="B10605" i="1"/>
  <c r="C10604" i="1"/>
  <c r="B10604" i="1"/>
  <c r="C10603" i="1"/>
  <c r="B10603" i="1"/>
  <c r="C10602" i="1"/>
  <c r="B10602" i="1"/>
  <c r="C10601" i="1"/>
  <c r="B10601" i="1"/>
  <c r="C10600" i="1"/>
  <c r="C10599" i="1"/>
  <c r="B10599" i="1"/>
  <c r="C10598" i="1"/>
  <c r="B10598" i="1"/>
  <c r="C10597" i="1"/>
  <c r="B10597" i="1"/>
  <c r="C10595" i="1"/>
  <c r="B10595" i="1"/>
  <c r="C10594" i="1"/>
  <c r="B10594" i="1"/>
  <c r="C10592" i="1"/>
  <c r="B10592" i="1"/>
  <c r="C10591" i="1"/>
  <c r="B10591" i="1"/>
  <c r="C10590" i="1"/>
  <c r="B10590" i="1"/>
  <c r="C10589" i="1"/>
  <c r="B10589" i="1"/>
  <c r="C10587" i="1"/>
  <c r="B10587" i="1"/>
  <c r="C10586" i="1"/>
  <c r="B10586" i="1"/>
  <c r="C10585" i="1"/>
  <c r="B10585" i="1"/>
  <c r="C10584" i="1"/>
  <c r="B10584" i="1"/>
  <c r="C10583" i="1"/>
  <c r="B10583" i="1"/>
  <c r="C10582" i="1"/>
  <c r="B10582" i="1"/>
  <c r="C10581" i="1"/>
  <c r="B10581" i="1"/>
  <c r="C10580" i="1"/>
  <c r="B10580" i="1"/>
  <c r="C10578" i="1"/>
  <c r="B10578" i="1"/>
  <c r="C10577" i="1"/>
  <c r="B10577" i="1"/>
  <c r="C10576" i="1"/>
  <c r="B10576" i="1"/>
  <c r="C10575" i="1"/>
  <c r="B10575" i="1"/>
  <c r="C10574" i="1"/>
  <c r="B10574" i="1"/>
  <c r="C10573" i="1"/>
  <c r="B10573" i="1"/>
  <c r="C10572" i="1"/>
  <c r="B10572" i="1"/>
  <c r="C10571" i="1"/>
  <c r="B10571" i="1"/>
  <c r="C10570" i="1"/>
  <c r="B10570" i="1"/>
  <c r="C10569" i="1"/>
  <c r="B10569" i="1"/>
  <c r="C10568" i="1"/>
  <c r="B10568" i="1"/>
  <c r="C10567" i="1"/>
  <c r="B10567" i="1"/>
  <c r="C10566" i="1"/>
  <c r="B10566" i="1"/>
  <c r="C10565" i="1"/>
  <c r="B10565" i="1"/>
  <c r="C10564" i="1"/>
  <c r="B10564" i="1"/>
  <c r="C10563" i="1"/>
  <c r="B10563" i="1"/>
  <c r="C10562" i="1"/>
  <c r="B10562" i="1"/>
  <c r="C10561" i="1"/>
  <c r="B10561" i="1"/>
  <c r="C10560" i="1"/>
  <c r="B10560" i="1"/>
  <c r="C10559" i="1"/>
  <c r="B10559" i="1"/>
  <c r="C10558" i="1"/>
  <c r="B10558" i="1"/>
  <c r="C10557" i="1"/>
  <c r="B10557" i="1"/>
  <c r="C10556" i="1"/>
  <c r="B10556" i="1"/>
  <c r="C10555" i="1"/>
  <c r="B10555" i="1"/>
  <c r="C10554" i="1"/>
  <c r="B10554" i="1"/>
  <c r="C10553" i="1"/>
  <c r="B10553" i="1"/>
  <c r="C10552" i="1"/>
  <c r="B10552" i="1"/>
  <c r="C10551" i="1"/>
  <c r="B10551" i="1"/>
  <c r="C10550" i="1"/>
  <c r="B10550" i="1"/>
  <c r="C10549" i="1"/>
  <c r="B10549" i="1"/>
  <c r="C10548" i="1"/>
  <c r="B10548" i="1"/>
  <c r="C10547" i="1"/>
  <c r="B10547" i="1"/>
  <c r="C10546" i="1"/>
  <c r="B10546" i="1"/>
  <c r="B10545" i="1"/>
  <c r="C10544" i="1"/>
  <c r="B10544" i="1"/>
  <c r="C10543" i="1"/>
  <c r="B10543" i="1"/>
  <c r="C10542" i="1"/>
  <c r="B10542" i="1"/>
  <c r="B10540" i="1"/>
  <c r="C10539" i="1"/>
  <c r="C10538" i="1"/>
  <c r="B10538" i="1"/>
  <c r="B10537" i="1"/>
  <c r="C10536" i="1"/>
  <c r="B10536" i="1"/>
  <c r="C10535" i="1"/>
  <c r="B10535" i="1"/>
  <c r="C10534" i="1"/>
  <c r="B10534" i="1"/>
  <c r="B10533" i="1"/>
  <c r="C10532" i="1"/>
  <c r="B10532" i="1"/>
  <c r="C10531" i="1"/>
  <c r="B10531" i="1"/>
  <c r="C10530" i="1"/>
  <c r="B10530" i="1"/>
  <c r="C10529" i="1"/>
  <c r="B10529" i="1"/>
  <c r="C10528" i="1"/>
  <c r="B10528" i="1"/>
  <c r="C10527" i="1"/>
  <c r="B10527" i="1"/>
  <c r="C10526" i="1"/>
  <c r="B10526" i="1"/>
  <c r="C10525" i="1"/>
  <c r="B10525" i="1"/>
  <c r="C10524" i="1"/>
  <c r="B10524" i="1"/>
  <c r="C10523" i="1"/>
  <c r="B10523" i="1"/>
  <c r="C10522" i="1"/>
  <c r="B10522" i="1"/>
  <c r="C10521" i="1"/>
  <c r="B10521" i="1"/>
  <c r="C10520" i="1"/>
  <c r="B10520" i="1"/>
  <c r="C10518" i="1"/>
  <c r="B10518" i="1"/>
  <c r="C10517" i="1"/>
  <c r="B10517" i="1"/>
  <c r="C10516" i="1"/>
  <c r="B10516" i="1"/>
  <c r="C10515" i="1"/>
  <c r="B10515" i="1"/>
  <c r="C10514" i="1"/>
  <c r="B10514" i="1"/>
  <c r="C10513" i="1"/>
  <c r="C10512" i="1"/>
  <c r="B10512" i="1"/>
  <c r="C10511" i="1"/>
  <c r="B10511" i="1"/>
  <c r="C10510" i="1"/>
  <c r="B10510" i="1"/>
  <c r="C10509" i="1"/>
  <c r="B10509" i="1"/>
  <c r="C10508" i="1"/>
  <c r="B10508" i="1"/>
  <c r="C10507" i="1"/>
  <c r="B10507" i="1"/>
  <c r="C10505" i="1"/>
  <c r="B10505" i="1"/>
  <c r="C10504" i="1"/>
  <c r="B10504" i="1"/>
  <c r="C10502" i="1"/>
  <c r="B10502" i="1"/>
  <c r="C10501" i="1"/>
  <c r="B10501" i="1"/>
  <c r="C10500" i="1"/>
  <c r="B10500" i="1"/>
  <c r="C10499" i="1"/>
  <c r="B10499" i="1"/>
  <c r="C10497" i="1"/>
  <c r="B10497" i="1"/>
  <c r="C10496" i="1"/>
  <c r="B10496" i="1"/>
  <c r="C10495" i="1"/>
  <c r="B10495" i="1"/>
  <c r="C10493" i="1"/>
  <c r="B10493" i="1"/>
  <c r="C10492" i="1"/>
  <c r="B10492" i="1"/>
  <c r="C10491" i="1"/>
  <c r="B10491" i="1"/>
  <c r="C10490" i="1"/>
  <c r="B10490" i="1"/>
  <c r="C10489" i="1"/>
  <c r="B10489" i="1"/>
  <c r="C10488" i="1"/>
  <c r="B10488" i="1"/>
  <c r="C10487" i="1"/>
  <c r="B10487" i="1"/>
  <c r="C10486" i="1"/>
  <c r="B10486" i="1"/>
  <c r="C10485" i="1"/>
  <c r="B10485" i="1"/>
  <c r="C10484" i="1"/>
  <c r="B10484" i="1"/>
  <c r="C10483" i="1"/>
  <c r="B10483" i="1"/>
  <c r="C10482" i="1"/>
  <c r="B10482" i="1"/>
  <c r="C10481" i="1"/>
  <c r="B10481" i="1"/>
  <c r="C10480" i="1"/>
  <c r="B10480" i="1"/>
  <c r="C10479" i="1"/>
  <c r="B10479" i="1"/>
  <c r="C10478" i="1"/>
  <c r="B10478" i="1"/>
  <c r="C10477" i="1"/>
  <c r="B10477" i="1"/>
  <c r="C10476" i="1"/>
  <c r="B10476" i="1"/>
  <c r="C10475" i="1"/>
  <c r="B10475" i="1"/>
  <c r="C10474" i="1"/>
  <c r="B10474" i="1"/>
  <c r="C10473" i="1"/>
  <c r="B10473" i="1"/>
  <c r="C10472" i="1"/>
  <c r="B10472" i="1"/>
  <c r="C10471" i="1"/>
  <c r="B10471" i="1"/>
  <c r="C10470" i="1"/>
  <c r="B10470" i="1"/>
  <c r="C10469" i="1"/>
  <c r="B10469" i="1"/>
  <c r="C10468" i="1"/>
  <c r="B10468" i="1"/>
  <c r="C10467" i="1"/>
  <c r="B10467" i="1"/>
  <c r="C10466" i="1"/>
  <c r="B10466" i="1"/>
  <c r="C10465" i="1"/>
  <c r="B10465" i="1"/>
  <c r="C10464" i="1"/>
  <c r="B10464" i="1"/>
  <c r="C10463" i="1"/>
  <c r="B10463" i="1"/>
  <c r="C10462" i="1"/>
  <c r="B10462" i="1"/>
  <c r="C10461" i="1"/>
  <c r="B10461" i="1"/>
  <c r="C10460" i="1"/>
  <c r="B10460" i="1"/>
  <c r="C10459" i="1"/>
  <c r="B10459" i="1"/>
  <c r="C10458" i="1"/>
  <c r="B10458" i="1"/>
  <c r="C10457" i="1"/>
  <c r="B10457" i="1"/>
  <c r="C10456" i="1"/>
  <c r="B10456" i="1"/>
  <c r="C10455" i="1"/>
  <c r="B10455" i="1"/>
  <c r="C10454" i="1"/>
  <c r="B10454" i="1"/>
  <c r="C10453" i="1"/>
  <c r="B10453" i="1"/>
  <c r="C10452" i="1"/>
  <c r="B10452" i="1"/>
  <c r="C10450" i="1"/>
  <c r="B10450" i="1"/>
  <c r="C10449" i="1"/>
  <c r="B10449" i="1"/>
  <c r="C10448" i="1"/>
  <c r="B10448" i="1"/>
  <c r="C10447" i="1"/>
  <c r="B10447" i="1"/>
  <c r="C10446" i="1"/>
  <c r="B10446" i="1"/>
  <c r="C10444" i="1"/>
  <c r="B10444" i="1"/>
  <c r="C10443" i="1"/>
  <c r="B10443" i="1"/>
  <c r="C10442" i="1"/>
  <c r="B10442" i="1"/>
  <c r="C10441" i="1"/>
  <c r="B10441" i="1"/>
  <c r="C10439" i="1"/>
  <c r="B10439" i="1"/>
  <c r="C10438" i="1"/>
  <c r="B10438" i="1"/>
  <c r="C10437" i="1"/>
  <c r="B10437" i="1"/>
  <c r="C10436" i="1"/>
  <c r="B10436" i="1"/>
  <c r="C10435" i="1"/>
  <c r="B10435" i="1"/>
  <c r="C10434" i="1"/>
  <c r="B10434" i="1"/>
  <c r="C10433" i="1"/>
  <c r="B10433" i="1"/>
  <c r="C10432" i="1"/>
  <c r="B10432" i="1"/>
  <c r="C10431" i="1"/>
  <c r="B10431" i="1"/>
  <c r="C10430" i="1"/>
  <c r="B10430" i="1"/>
  <c r="C10429" i="1"/>
  <c r="B10429" i="1"/>
  <c r="C10428" i="1"/>
  <c r="B10428" i="1"/>
  <c r="C10424" i="1"/>
  <c r="B10424" i="1"/>
  <c r="C10423" i="1"/>
  <c r="B10423" i="1"/>
  <c r="C10422" i="1"/>
  <c r="B10422" i="1"/>
  <c r="C10421" i="1"/>
  <c r="B10421" i="1"/>
  <c r="C10420" i="1"/>
  <c r="B10420" i="1"/>
  <c r="C10419" i="1"/>
  <c r="B10419" i="1"/>
  <c r="C10418" i="1"/>
  <c r="B10418" i="1"/>
  <c r="C10417" i="1"/>
  <c r="B10417" i="1"/>
  <c r="C10416" i="1"/>
  <c r="B10416" i="1"/>
  <c r="C10415" i="1"/>
  <c r="B10415" i="1"/>
  <c r="C10414" i="1"/>
  <c r="B10414" i="1"/>
  <c r="C10413" i="1"/>
  <c r="B10413" i="1"/>
  <c r="C10411" i="1"/>
  <c r="B10411" i="1"/>
  <c r="C10408" i="1"/>
  <c r="B10408" i="1"/>
  <c r="C10407" i="1"/>
  <c r="B10407" i="1"/>
  <c r="C10405" i="1"/>
  <c r="B10405" i="1"/>
  <c r="C10404" i="1"/>
  <c r="B10404" i="1"/>
  <c r="C10403" i="1"/>
  <c r="B10403" i="1"/>
  <c r="C10401" i="1"/>
  <c r="B10401" i="1"/>
  <c r="C10400" i="1"/>
  <c r="B10400" i="1"/>
  <c r="C10399" i="1"/>
  <c r="B10399" i="1"/>
  <c r="C10398" i="1"/>
  <c r="B10398" i="1"/>
  <c r="C10397" i="1"/>
  <c r="B10397" i="1"/>
  <c r="C10396" i="1"/>
  <c r="B10396" i="1"/>
  <c r="C10395" i="1"/>
  <c r="B10395" i="1"/>
  <c r="C10394" i="1"/>
  <c r="B10394" i="1"/>
  <c r="C10393" i="1"/>
  <c r="B10393" i="1"/>
  <c r="C10392" i="1"/>
  <c r="B10392" i="1"/>
  <c r="C10390" i="1"/>
  <c r="B10390" i="1"/>
  <c r="C10388" i="1"/>
  <c r="B10388" i="1"/>
  <c r="C10387" i="1"/>
  <c r="B10387" i="1"/>
  <c r="C10386" i="1"/>
  <c r="B10386" i="1"/>
  <c r="C10384" i="1"/>
  <c r="B10384" i="1"/>
  <c r="C10383" i="1"/>
  <c r="B10383" i="1"/>
  <c r="C10382" i="1"/>
  <c r="B10382" i="1"/>
  <c r="C10381" i="1"/>
  <c r="B10381" i="1"/>
  <c r="C10380" i="1"/>
  <c r="C10379" i="1"/>
  <c r="B10379" i="1"/>
  <c r="C10378" i="1"/>
  <c r="B10378" i="1"/>
  <c r="C10377" i="1"/>
  <c r="B10377" i="1"/>
  <c r="C10376" i="1"/>
  <c r="B10376" i="1"/>
  <c r="C10375" i="1"/>
  <c r="B10375" i="1"/>
  <c r="C10374" i="1"/>
  <c r="B10374" i="1"/>
  <c r="C10373" i="1"/>
  <c r="B10373" i="1"/>
  <c r="C10372" i="1"/>
  <c r="B10372" i="1"/>
  <c r="C10371" i="1"/>
  <c r="B10371" i="1"/>
  <c r="C10370" i="1"/>
  <c r="B10370" i="1"/>
  <c r="C10369" i="1"/>
  <c r="B10369" i="1"/>
  <c r="C10368" i="1"/>
  <c r="B10368" i="1"/>
  <c r="C10367" i="1"/>
  <c r="B10367" i="1"/>
  <c r="C10366" i="1"/>
  <c r="B10366" i="1"/>
  <c r="C10365" i="1"/>
  <c r="B10365" i="1"/>
  <c r="C10364" i="1"/>
  <c r="B10364" i="1"/>
  <c r="C10363" i="1"/>
  <c r="B10363" i="1"/>
  <c r="C10362" i="1"/>
  <c r="B10362" i="1"/>
  <c r="C10361" i="1"/>
  <c r="B10361" i="1"/>
  <c r="C10360" i="1"/>
  <c r="B10360" i="1"/>
  <c r="C10359" i="1"/>
  <c r="B10359" i="1"/>
  <c r="C10358" i="1"/>
  <c r="B10358" i="1"/>
  <c r="C10357" i="1"/>
  <c r="B10357" i="1"/>
  <c r="C10356" i="1"/>
  <c r="B10356" i="1"/>
  <c r="C10355" i="1"/>
  <c r="B10355" i="1"/>
  <c r="C10354" i="1"/>
  <c r="B10354" i="1"/>
  <c r="C10353" i="1"/>
  <c r="B10353" i="1"/>
  <c r="C10352" i="1"/>
  <c r="B10352" i="1"/>
  <c r="C10351" i="1"/>
  <c r="B10351" i="1"/>
  <c r="C10350" i="1"/>
  <c r="B10350" i="1"/>
  <c r="C10348" i="1"/>
  <c r="B10348" i="1"/>
  <c r="C10347" i="1"/>
  <c r="B10347" i="1"/>
  <c r="C10346" i="1"/>
  <c r="B10346" i="1"/>
  <c r="C10345" i="1"/>
  <c r="B10345" i="1"/>
  <c r="C10344" i="1"/>
  <c r="B10344" i="1"/>
  <c r="C10343" i="1"/>
  <c r="B10343" i="1"/>
  <c r="C10342" i="1"/>
  <c r="B10342" i="1"/>
  <c r="C10341" i="1"/>
  <c r="C10339" i="1"/>
  <c r="B10339" i="1"/>
  <c r="C10338" i="1"/>
  <c r="B10338" i="1"/>
  <c r="C10337" i="1"/>
  <c r="B10337" i="1"/>
  <c r="C10336" i="1"/>
  <c r="B10336" i="1"/>
  <c r="C10335" i="1"/>
  <c r="B10335" i="1"/>
  <c r="C10334" i="1"/>
  <c r="B10334" i="1"/>
  <c r="C10333" i="1"/>
  <c r="B10333" i="1"/>
  <c r="C10332" i="1"/>
  <c r="B10332" i="1"/>
  <c r="C10331" i="1"/>
  <c r="B10331" i="1"/>
  <c r="C10330" i="1"/>
  <c r="B10330" i="1"/>
  <c r="C10329" i="1"/>
  <c r="B10329" i="1"/>
  <c r="C10328" i="1"/>
  <c r="B10328" i="1"/>
  <c r="C10327" i="1"/>
  <c r="B10327" i="1"/>
  <c r="C10326" i="1"/>
  <c r="B10326" i="1"/>
  <c r="C10325" i="1"/>
  <c r="B10325" i="1"/>
  <c r="C10324" i="1"/>
  <c r="B10324" i="1"/>
  <c r="C10323" i="1"/>
  <c r="B10323" i="1"/>
  <c r="C10321" i="1"/>
  <c r="B10321" i="1"/>
  <c r="C10320" i="1"/>
  <c r="B10320" i="1"/>
  <c r="C10319" i="1"/>
  <c r="B10319" i="1"/>
  <c r="C10318" i="1"/>
  <c r="B10318" i="1"/>
  <c r="C10317" i="1"/>
  <c r="B10317" i="1"/>
  <c r="C10315" i="1"/>
  <c r="B10315" i="1"/>
  <c r="C10314" i="1"/>
  <c r="B10314" i="1"/>
  <c r="C10313" i="1"/>
  <c r="B10313" i="1"/>
  <c r="C10312" i="1"/>
  <c r="B10312" i="1"/>
  <c r="C10311" i="1"/>
  <c r="B10311" i="1"/>
  <c r="C10310" i="1"/>
  <c r="B10310" i="1"/>
  <c r="C10309" i="1"/>
  <c r="B10309" i="1"/>
  <c r="C10306" i="1"/>
  <c r="B10306" i="1"/>
  <c r="C10305" i="1"/>
  <c r="C10304" i="1"/>
  <c r="B10304" i="1"/>
  <c r="C10303" i="1"/>
  <c r="B10303" i="1"/>
  <c r="C10302" i="1"/>
  <c r="B10302" i="1"/>
  <c r="C10301" i="1"/>
  <c r="B10301" i="1"/>
  <c r="C10300" i="1"/>
  <c r="B10300" i="1"/>
  <c r="C10299" i="1"/>
  <c r="B10299" i="1"/>
  <c r="C10298" i="1"/>
  <c r="B10298" i="1"/>
  <c r="C10297" i="1"/>
  <c r="B10297" i="1"/>
  <c r="C10296" i="1"/>
  <c r="B10296" i="1"/>
  <c r="C10295" i="1"/>
  <c r="B10295" i="1"/>
  <c r="C10294" i="1"/>
  <c r="B10294" i="1"/>
  <c r="C10293" i="1"/>
  <c r="B10293" i="1"/>
  <c r="C10292" i="1"/>
  <c r="B10292" i="1"/>
  <c r="C10291" i="1"/>
  <c r="B10291" i="1"/>
  <c r="C10290" i="1"/>
  <c r="B10290" i="1"/>
  <c r="C10289" i="1"/>
  <c r="B10289" i="1"/>
  <c r="C10288" i="1"/>
  <c r="B10288" i="1"/>
  <c r="C10287" i="1"/>
  <c r="B10287" i="1"/>
  <c r="C10286" i="1"/>
  <c r="B10286" i="1"/>
  <c r="C10285" i="1"/>
  <c r="B10285" i="1"/>
  <c r="C10284" i="1"/>
  <c r="B10284" i="1"/>
  <c r="C10283" i="1"/>
  <c r="B10283" i="1"/>
  <c r="C10282" i="1"/>
  <c r="B10282" i="1"/>
  <c r="C10281" i="1"/>
  <c r="B10281" i="1"/>
  <c r="C10280" i="1"/>
  <c r="B10280" i="1"/>
  <c r="C10279" i="1"/>
  <c r="B10279" i="1"/>
  <c r="C10278" i="1"/>
  <c r="B10278" i="1"/>
  <c r="C10277" i="1"/>
  <c r="C10276" i="1"/>
  <c r="B10276" i="1"/>
  <c r="C10275" i="1"/>
  <c r="B10275" i="1"/>
  <c r="C10274" i="1"/>
  <c r="B10274" i="1"/>
  <c r="C10273" i="1"/>
  <c r="B10273" i="1"/>
  <c r="C10272" i="1"/>
  <c r="B10272" i="1"/>
  <c r="C10271" i="1"/>
  <c r="B10271" i="1"/>
  <c r="C10270" i="1"/>
  <c r="B10270" i="1"/>
  <c r="C10269" i="1"/>
  <c r="B10269" i="1"/>
  <c r="C10267" i="1"/>
  <c r="B10267" i="1"/>
  <c r="C10266" i="1"/>
  <c r="B10266" i="1"/>
  <c r="C10265" i="1"/>
  <c r="B10265" i="1"/>
  <c r="C10264" i="1"/>
  <c r="B10264" i="1"/>
  <c r="C10263" i="1"/>
  <c r="B10263" i="1"/>
  <c r="C10262" i="1"/>
  <c r="B10262" i="1"/>
  <c r="C10261" i="1"/>
  <c r="B10261" i="1"/>
  <c r="C10260" i="1"/>
  <c r="B10260" i="1"/>
  <c r="C10259" i="1"/>
  <c r="B10259" i="1"/>
  <c r="C10258" i="1"/>
  <c r="B10258" i="1"/>
  <c r="C10257" i="1"/>
  <c r="B10257" i="1"/>
  <c r="C10256" i="1"/>
  <c r="B10256" i="1"/>
  <c r="C10255" i="1"/>
  <c r="B10255" i="1"/>
  <c r="C10254" i="1"/>
  <c r="B10254" i="1"/>
  <c r="C10253" i="1"/>
  <c r="B10253" i="1"/>
  <c r="C10252" i="1"/>
  <c r="B10252" i="1"/>
  <c r="C10251" i="1"/>
  <c r="B10251" i="1"/>
  <c r="C10250" i="1"/>
  <c r="B10250" i="1"/>
  <c r="C10249" i="1"/>
  <c r="B10249" i="1"/>
  <c r="C10248" i="1"/>
  <c r="B10248" i="1"/>
  <c r="C10247" i="1"/>
  <c r="B10247" i="1"/>
  <c r="C10246" i="1"/>
  <c r="B10246" i="1"/>
  <c r="C10244" i="1"/>
  <c r="B10244" i="1"/>
  <c r="C10243" i="1"/>
  <c r="B10243" i="1"/>
  <c r="C10242" i="1"/>
  <c r="B10242" i="1"/>
  <c r="C10241" i="1"/>
  <c r="B10241" i="1"/>
  <c r="C10240" i="1"/>
  <c r="B10240" i="1"/>
  <c r="C10239" i="1"/>
  <c r="B10239" i="1"/>
  <c r="C10238" i="1"/>
  <c r="B10238" i="1"/>
  <c r="C10237" i="1"/>
  <c r="B10237" i="1"/>
  <c r="C10236" i="1"/>
  <c r="B10236" i="1"/>
  <c r="C10235" i="1"/>
  <c r="B10235" i="1"/>
  <c r="C10234" i="1"/>
  <c r="B10234" i="1"/>
  <c r="C10233" i="1"/>
  <c r="B10233" i="1"/>
  <c r="C10232" i="1"/>
  <c r="B10232" i="1"/>
  <c r="C10231" i="1"/>
  <c r="B10231" i="1"/>
  <c r="C10230" i="1"/>
  <c r="B10230" i="1"/>
  <c r="C10229" i="1"/>
  <c r="B10229" i="1"/>
  <c r="C10228" i="1"/>
  <c r="B10228" i="1"/>
  <c r="C10227" i="1"/>
  <c r="B10227" i="1"/>
  <c r="C10226" i="1"/>
  <c r="B10226" i="1"/>
  <c r="C10225" i="1"/>
  <c r="B10225" i="1"/>
  <c r="C10224" i="1"/>
  <c r="B10224" i="1"/>
  <c r="C10223" i="1"/>
  <c r="B10223" i="1"/>
  <c r="C10222" i="1"/>
  <c r="B10222" i="1"/>
  <c r="C10221" i="1"/>
  <c r="B10221" i="1"/>
  <c r="C10220" i="1"/>
  <c r="B10220" i="1"/>
  <c r="C10219" i="1"/>
  <c r="B10219" i="1"/>
  <c r="C10218" i="1"/>
  <c r="B10218" i="1"/>
  <c r="C10217" i="1"/>
  <c r="B10217" i="1"/>
  <c r="C10216" i="1"/>
  <c r="B10216" i="1"/>
  <c r="C10215" i="1"/>
  <c r="B10215" i="1"/>
  <c r="C10214" i="1"/>
  <c r="B10214" i="1"/>
  <c r="C10213" i="1"/>
  <c r="B10213" i="1"/>
  <c r="C10212" i="1"/>
  <c r="B10212" i="1"/>
  <c r="C10210" i="1"/>
  <c r="B10210" i="1"/>
  <c r="C10209" i="1"/>
  <c r="B10209" i="1"/>
  <c r="C10208" i="1"/>
  <c r="B10208" i="1"/>
  <c r="C10207" i="1"/>
  <c r="B10207" i="1"/>
  <c r="C10206" i="1"/>
  <c r="B10206" i="1"/>
  <c r="C10205" i="1"/>
  <c r="B10205" i="1"/>
  <c r="C10204" i="1"/>
  <c r="B10204" i="1"/>
  <c r="C10203" i="1"/>
  <c r="B10203" i="1"/>
  <c r="C10202" i="1"/>
  <c r="C10200" i="1"/>
  <c r="B10200" i="1"/>
  <c r="C10199" i="1"/>
  <c r="B10199" i="1"/>
  <c r="C10198" i="1"/>
  <c r="B10198" i="1"/>
  <c r="C10197" i="1"/>
  <c r="B10197" i="1"/>
  <c r="C10196" i="1"/>
  <c r="B10196" i="1"/>
  <c r="C10195" i="1"/>
  <c r="B10195" i="1"/>
  <c r="C10194" i="1"/>
  <c r="B10194" i="1"/>
  <c r="C10193" i="1"/>
  <c r="B10193" i="1"/>
  <c r="C10192" i="1"/>
  <c r="B10192" i="1"/>
  <c r="C10191" i="1"/>
  <c r="B10191" i="1"/>
  <c r="C10190" i="1"/>
  <c r="B10190" i="1"/>
  <c r="C10189" i="1"/>
  <c r="B10189" i="1"/>
  <c r="C10188" i="1"/>
  <c r="B10188" i="1"/>
  <c r="C10187" i="1"/>
  <c r="B10187" i="1"/>
  <c r="C10186" i="1"/>
  <c r="B10186" i="1"/>
  <c r="C10185" i="1"/>
  <c r="B10185" i="1"/>
  <c r="C10184" i="1"/>
  <c r="B10184" i="1"/>
  <c r="C10183" i="1"/>
  <c r="B10183" i="1"/>
  <c r="C10182" i="1"/>
  <c r="B10182" i="1"/>
  <c r="C10180" i="1"/>
  <c r="B10180" i="1"/>
  <c r="C10178" i="1"/>
  <c r="B10178" i="1"/>
  <c r="C10177" i="1"/>
  <c r="B10177" i="1"/>
  <c r="C10176" i="1"/>
  <c r="B10176" i="1"/>
  <c r="C10175" i="1"/>
  <c r="B10175" i="1"/>
  <c r="C10173" i="1"/>
  <c r="B10173" i="1"/>
  <c r="C10172" i="1"/>
  <c r="B10172" i="1"/>
  <c r="C10171" i="1"/>
  <c r="B10171" i="1"/>
  <c r="C10170" i="1"/>
  <c r="B10170" i="1"/>
  <c r="C10169" i="1"/>
  <c r="B10169" i="1"/>
  <c r="C10168" i="1"/>
  <c r="B10168" i="1"/>
  <c r="C10167" i="1"/>
  <c r="B10167" i="1"/>
  <c r="C10166" i="1"/>
  <c r="B10166" i="1"/>
  <c r="C10165" i="1"/>
  <c r="B10165" i="1"/>
  <c r="C10164" i="1"/>
  <c r="B10164" i="1"/>
  <c r="C10163" i="1"/>
  <c r="B10163" i="1"/>
  <c r="C10161" i="1"/>
  <c r="B10161" i="1"/>
  <c r="C10160" i="1"/>
  <c r="B10160" i="1"/>
  <c r="C10159" i="1"/>
  <c r="B10159" i="1"/>
  <c r="C10158" i="1"/>
  <c r="B10158" i="1"/>
  <c r="C10156" i="1"/>
  <c r="B10156" i="1"/>
  <c r="C10155" i="1"/>
  <c r="B10155" i="1"/>
  <c r="C10154" i="1"/>
  <c r="B10154" i="1"/>
  <c r="C10153" i="1"/>
  <c r="B10153" i="1"/>
  <c r="C10152" i="1"/>
  <c r="B10152" i="1"/>
  <c r="C10150" i="1"/>
  <c r="B10150" i="1"/>
  <c r="C10149" i="1"/>
  <c r="B10149" i="1"/>
  <c r="C10148" i="1"/>
  <c r="C10147" i="1"/>
  <c r="B10147" i="1"/>
  <c r="C10146" i="1"/>
  <c r="B10146" i="1"/>
  <c r="C10145" i="1"/>
  <c r="B10145" i="1"/>
  <c r="C10144" i="1"/>
  <c r="B10144" i="1"/>
  <c r="C10143" i="1"/>
  <c r="B10143" i="1"/>
  <c r="C10142" i="1"/>
  <c r="B10142" i="1"/>
  <c r="C10141" i="1"/>
  <c r="B10141" i="1"/>
  <c r="C10140" i="1"/>
  <c r="B10140" i="1"/>
  <c r="C10139" i="1"/>
  <c r="B10139" i="1"/>
  <c r="C10138" i="1"/>
  <c r="B10138" i="1"/>
  <c r="C10137" i="1"/>
  <c r="B10137" i="1"/>
  <c r="C10136" i="1"/>
  <c r="B10136" i="1"/>
  <c r="C10134" i="1"/>
  <c r="B10134" i="1"/>
  <c r="C10133" i="1"/>
  <c r="B10133" i="1"/>
  <c r="C10132" i="1"/>
  <c r="B10132" i="1"/>
  <c r="C10131" i="1"/>
  <c r="B10131" i="1"/>
  <c r="C10130" i="1"/>
  <c r="B10130" i="1"/>
  <c r="C10129" i="1"/>
  <c r="B10129" i="1"/>
  <c r="C10128" i="1"/>
  <c r="B10128" i="1"/>
  <c r="C10127" i="1"/>
  <c r="B10127" i="1"/>
  <c r="C10126" i="1"/>
  <c r="B10126" i="1"/>
  <c r="C10125" i="1"/>
  <c r="B10125" i="1"/>
  <c r="C10124" i="1"/>
  <c r="B10124" i="1"/>
  <c r="C10123" i="1"/>
  <c r="B10123" i="1"/>
  <c r="C10122" i="1"/>
  <c r="B10122" i="1"/>
  <c r="C10121" i="1"/>
  <c r="B10121" i="1"/>
  <c r="C10120" i="1"/>
  <c r="B10120" i="1"/>
  <c r="C10119" i="1"/>
  <c r="B10119" i="1"/>
  <c r="C10118" i="1"/>
  <c r="B10118" i="1"/>
  <c r="C10117" i="1"/>
  <c r="B10117" i="1"/>
  <c r="C10116" i="1"/>
  <c r="B10116" i="1"/>
  <c r="C10115" i="1"/>
  <c r="B10115" i="1"/>
  <c r="C10114" i="1"/>
  <c r="B10114" i="1"/>
  <c r="C10113" i="1"/>
  <c r="B10113" i="1"/>
  <c r="C10112" i="1"/>
  <c r="B10112" i="1"/>
  <c r="C10111" i="1"/>
  <c r="B10111" i="1"/>
  <c r="C10110" i="1"/>
  <c r="B10110" i="1"/>
  <c r="C10109" i="1"/>
  <c r="B10109" i="1"/>
  <c r="C10108" i="1"/>
  <c r="B10108" i="1"/>
  <c r="C10107" i="1"/>
  <c r="B10107" i="1"/>
  <c r="C10106" i="1"/>
  <c r="B10106" i="1"/>
  <c r="C10104" i="1"/>
  <c r="B10104" i="1"/>
  <c r="C10103" i="1"/>
  <c r="B10103" i="1"/>
  <c r="C10102" i="1"/>
  <c r="B10102" i="1"/>
  <c r="C10101" i="1"/>
  <c r="B10101" i="1"/>
  <c r="C10100" i="1"/>
  <c r="B10100" i="1"/>
  <c r="C10099" i="1"/>
  <c r="B10099" i="1"/>
  <c r="C10098" i="1"/>
  <c r="B10098" i="1"/>
  <c r="C10097" i="1"/>
  <c r="B10097" i="1"/>
  <c r="C10096" i="1"/>
  <c r="B10096" i="1"/>
  <c r="C10095" i="1"/>
  <c r="B10095" i="1"/>
  <c r="C10094" i="1"/>
  <c r="B10094" i="1"/>
  <c r="C10093" i="1"/>
  <c r="B10093" i="1"/>
  <c r="C10092" i="1"/>
  <c r="B10092" i="1"/>
  <c r="C10091" i="1"/>
  <c r="B10091" i="1"/>
  <c r="C10090" i="1"/>
  <c r="B10090" i="1"/>
  <c r="C10089" i="1"/>
  <c r="B10089" i="1"/>
  <c r="C10088" i="1"/>
  <c r="B10088" i="1"/>
  <c r="C10087" i="1"/>
  <c r="B10087" i="1"/>
  <c r="C10086" i="1"/>
  <c r="B10086" i="1"/>
  <c r="C10085" i="1"/>
  <c r="B10085" i="1"/>
  <c r="C10084" i="1"/>
  <c r="B10084" i="1"/>
  <c r="C10083" i="1"/>
  <c r="B10083" i="1"/>
  <c r="C10082" i="1"/>
  <c r="B10082" i="1"/>
  <c r="C10081" i="1"/>
  <c r="B10081" i="1"/>
  <c r="C10080" i="1"/>
  <c r="B10080" i="1"/>
  <c r="C10079" i="1"/>
  <c r="B10079" i="1"/>
  <c r="C10077" i="1"/>
  <c r="B10077" i="1"/>
  <c r="C10076" i="1"/>
  <c r="B10076" i="1"/>
  <c r="C10075" i="1"/>
  <c r="B10075" i="1"/>
  <c r="C10074" i="1"/>
  <c r="B10074" i="1"/>
  <c r="C10073" i="1"/>
  <c r="B10073" i="1"/>
  <c r="C10072" i="1"/>
  <c r="B10072" i="1"/>
  <c r="C10071" i="1"/>
  <c r="B10071" i="1"/>
  <c r="C10070" i="1"/>
  <c r="B10070" i="1"/>
  <c r="C10069" i="1"/>
  <c r="B10069" i="1"/>
  <c r="C10068" i="1"/>
  <c r="B10068" i="1"/>
  <c r="C10067" i="1"/>
  <c r="B10067" i="1"/>
  <c r="C10066" i="1"/>
  <c r="B10066" i="1"/>
  <c r="C10065" i="1"/>
  <c r="B10065" i="1"/>
  <c r="C10064" i="1"/>
  <c r="B10064" i="1"/>
  <c r="C10063" i="1"/>
  <c r="B10063" i="1"/>
  <c r="C10062" i="1"/>
  <c r="B10062" i="1"/>
  <c r="C10061" i="1"/>
  <c r="B10061" i="1"/>
  <c r="C10060" i="1"/>
  <c r="B10060" i="1"/>
  <c r="C10059" i="1"/>
  <c r="B10059" i="1"/>
  <c r="C10058" i="1"/>
  <c r="B10058" i="1"/>
  <c r="C10057" i="1"/>
  <c r="B10057" i="1"/>
  <c r="C10056" i="1"/>
  <c r="B10056" i="1"/>
  <c r="C10055" i="1"/>
  <c r="B10055" i="1"/>
  <c r="C10054" i="1"/>
  <c r="B10054" i="1"/>
  <c r="C10053" i="1"/>
  <c r="B10053" i="1"/>
  <c r="C10052" i="1"/>
  <c r="B10052" i="1"/>
  <c r="C10051" i="1"/>
  <c r="B10051" i="1"/>
  <c r="C10050" i="1"/>
  <c r="B10050" i="1"/>
  <c r="C10049" i="1"/>
  <c r="B10049" i="1"/>
  <c r="C10048" i="1"/>
  <c r="B10048" i="1"/>
  <c r="C10047" i="1"/>
  <c r="B10047" i="1"/>
  <c r="C10046" i="1"/>
  <c r="B10046" i="1"/>
  <c r="C10045" i="1"/>
  <c r="B10045" i="1"/>
  <c r="C10044" i="1"/>
  <c r="B10044" i="1"/>
  <c r="C10043" i="1"/>
  <c r="B10043" i="1"/>
  <c r="C10042" i="1"/>
  <c r="B10042" i="1"/>
  <c r="C10041" i="1"/>
  <c r="B10041" i="1"/>
  <c r="C10040" i="1"/>
  <c r="B10040" i="1"/>
  <c r="C10039" i="1"/>
  <c r="B10039" i="1"/>
  <c r="C10038" i="1"/>
  <c r="B10038" i="1"/>
  <c r="C10037" i="1"/>
  <c r="B10037" i="1"/>
  <c r="C10036" i="1"/>
  <c r="B10036" i="1"/>
  <c r="C10035" i="1"/>
  <c r="B10035" i="1"/>
  <c r="C10034" i="1"/>
  <c r="B10034" i="1"/>
  <c r="C10033" i="1"/>
  <c r="B10033" i="1"/>
  <c r="C10032" i="1"/>
  <c r="B10032" i="1"/>
  <c r="C10031" i="1"/>
  <c r="B10031" i="1"/>
  <c r="C10030" i="1"/>
  <c r="B10030" i="1"/>
  <c r="C10029" i="1"/>
  <c r="B10029" i="1"/>
  <c r="C10028" i="1"/>
  <c r="B10028" i="1"/>
  <c r="C10027" i="1"/>
  <c r="B10027" i="1"/>
  <c r="C10026" i="1"/>
  <c r="B10026" i="1"/>
  <c r="C10025" i="1"/>
  <c r="B10025" i="1"/>
  <c r="C10024" i="1"/>
  <c r="B10024" i="1"/>
  <c r="C10023" i="1"/>
  <c r="B10023" i="1"/>
  <c r="C10022" i="1"/>
  <c r="B10022" i="1"/>
  <c r="C10021" i="1"/>
  <c r="B10021" i="1"/>
  <c r="C10020" i="1"/>
  <c r="B10020" i="1"/>
  <c r="C10019" i="1"/>
  <c r="B10019" i="1"/>
  <c r="C10018" i="1"/>
  <c r="B10018" i="1"/>
  <c r="C10017" i="1"/>
  <c r="B10017" i="1"/>
  <c r="C10016" i="1"/>
  <c r="B10016" i="1"/>
  <c r="C10015" i="1"/>
  <c r="B10015" i="1"/>
  <c r="C10013" i="1"/>
  <c r="B10013" i="1"/>
  <c r="C10012" i="1"/>
  <c r="B10012" i="1"/>
  <c r="C10011" i="1"/>
  <c r="B10011" i="1"/>
  <c r="C10010" i="1"/>
  <c r="B10010" i="1"/>
  <c r="C10009" i="1"/>
  <c r="B10009" i="1"/>
  <c r="C10008" i="1"/>
  <c r="B10008" i="1"/>
  <c r="C10007" i="1"/>
  <c r="B10007" i="1"/>
  <c r="C10006" i="1"/>
  <c r="B10006" i="1"/>
  <c r="C10005" i="1"/>
  <c r="B10005" i="1"/>
  <c r="C10004" i="1"/>
  <c r="B10004" i="1"/>
  <c r="C10003" i="1"/>
  <c r="B10003" i="1"/>
  <c r="C10002" i="1"/>
  <c r="B10002" i="1"/>
  <c r="C10001" i="1"/>
  <c r="B10001" i="1"/>
  <c r="C10000" i="1"/>
  <c r="B10000" i="1"/>
  <c r="C9999" i="1"/>
  <c r="B9999" i="1"/>
  <c r="C9998" i="1"/>
  <c r="B9998" i="1"/>
  <c r="C9997" i="1"/>
  <c r="B9997" i="1"/>
  <c r="C9996" i="1"/>
  <c r="B9996" i="1"/>
  <c r="C9995" i="1"/>
  <c r="B9995" i="1"/>
  <c r="C9993" i="1"/>
  <c r="B9993" i="1"/>
  <c r="C9992" i="1"/>
  <c r="C9991" i="1"/>
  <c r="B9991" i="1"/>
  <c r="C9990" i="1"/>
  <c r="B9990" i="1"/>
  <c r="C9989" i="1"/>
  <c r="B9989" i="1"/>
  <c r="C9988" i="1"/>
  <c r="B9988" i="1"/>
  <c r="C9987" i="1"/>
  <c r="B9987" i="1"/>
  <c r="C9986" i="1"/>
  <c r="B9986" i="1"/>
  <c r="C9985" i="1"/>
  <c r="B9985" i="1"/>
  <c r="C9984" i="1"/>
  <c r="B9984" i="1"/>
  <c r="C9983" i="1"/>
  <c r="B9983" i="1"/>
  <c r="C9981" i="1"/>
  <c r="B9981" i="1"/>
  <c r="C9980" i="1"/>
  <c r="B9980" i="1"/>
  <c r="C9979" i="1"/>
  <c r="B9979" i="1"/>
  <c r="C9978" i="1"/>
  <c r="B9978" i="1"/>
  <c r="C9977" i="1"/>
  <c r="B9977" i="1"/>
  <c r="C9976" i="1"/>
  <c r="B9976" i="1"/>
  <c r="C9975" i="1"/>
  <c r="B9975" i="1"/>
  <c r="C9974" i="1"/>
  <c r="B9974" i="1"/>
  <c r="C9973" i="1"/>
  <c r="B9973" i="1"/>
  <c r="C9972" i="1"/>
  <c r="B9972" i="1"/>
  <c r="C9971" i="1"/>
  <c r="B9971" i="1"/>
  <c r="C9970" i="1"/>
  <c r="B9970" i="1"/>
  <c r="C9969" i="1"/>
  <c r="B9969" i="1"/>
  <c r="C9968" i="1"/>
  <c r="B9968" i="1"/>
  <c r="C9967" i="1"/>
  <c r="B9967" i="1"/>
  <c r="C9966" i="1"/>
  <c r="B9966" i="1"/>
  <c r="C9965" i="1"/>
  <c r="B9965" i="1"/>
  <c r="C9964" i="1"/>
  <c r="B9964" i="1"/>
  <c r="C9963" i="1"/>
  <c r="B9963" i="1"/>
  <c r="C9962" i="1"/>
  <c r="B9962" i="1"/>
  <c r="C9961" i="1"/>
  <c r="B9961" i="1"/>
  <c r="C9960" i="1"/>
  <c r="B9960" i="1"/>
  <c r="C9959" i="1"/>
  <c r="B9959" i="1"/>
  <c r="C9958" i="1"/>
  <c r="B9958" i="1"/>
  <c r="C9957" i="1"/>
  <c r="B9957" i="1"/>
  <c r="C9956" i="1"/>
  <c r="B9956" i="1"/>
  <c r="C9955" i="1"/>
  <c r="B9955" i="1"/>
  <c r="C9954" i="1"/>
  <c r="B9954" i="1"/>
  <c r="C9953" i="1"/>
  <c r="B9953" i="1"/>
  <c r="C9952" i="1"/>
  <c r="B9952" i="1"/>
  <c r="C9951" i="1"/>
  <c r="B9951" i="1"/>
  <c r="C9950" i="1"/>
  <c r="B9950" i="1"/>
  <c r="C9949" i="1"/>
  <c r="B9949" i="1"/>
  <c r="C9948" i="1"/>
  <c r="B9948" i="1"/>
  <c r="C9947" i="1"/>
  <c r="B9947" i="1"/>
  <c r="C9946" i="1"/>
  <c r="B9946" i="1"/>
  <c r="C9944" i="1"/>
  <c r="B9944" i="1"/>
  <c r="C9943" i="1"/>
  <c r="B9943" i="1"/>
  <c r="C9942" i="1"/>
  <c r="B9942" i="1"/>
  <c r="C9941" i="1"/>
  <c r="B9941" i="1"/>
  <c r="C9940" i="1"/>
  <c r="B9940" i="1"/>
  <c r="C9939" i="1"/>
  <c r="B9939" i="1"/>
  <c r="C9938" i="1"/>
  <c r="B9938" i="1"/>
  <c r="C9937" i="1"/>
  <c r="B9937" i="1"/>
  <c r="C9936" i="1"/>
  <c r="B9936" i="1"/>
  <c r="C9935" i="1"/>
  <c r="B9935" i="1"/>
  <c r="C9934" i="1"/>
  <c r="B9934" i="1"/>
  <c r="C9933" i="1"/>
  <c r="B9933" i="1"/>
  <c r="C9932" i="1"/>
  <c r="B9932" i="1"/>
  <c r="C9931" i="1"/>
  <c r="B9931" i="1"/>
  <c r="C9930" i="1"/>
  <c r="B9930" i="1"/>
  <c r="C9929" i="1"/>
  <c r="B9929" i="1"/>
  <c r="C9928" i="1"/>
  <c r="B9928" i="1"/>
  <c r="C9927" i="1"/>
  <c r="B9927" i="1"/>
  <c r="C9926" i="1"/>
  <c r="B9926" i="1"/>
  <c r="C9925" i="1"/>
  <c r="B9925" i="1"/>
  <c r="C9923" i="1"/>
  <c r="B9923" i="1"/>
  <c r="C9922" i="1"/>
  <c r="B9922" i="1"/>
  <c r="C9921" i="1"/>
  <c r="B9921" i="1"/>
  <c r="C9920" i="1"/>
  <c r="B9920" i="1"/>
  <c r="C9919" i="1"/>
  <c r="B9919" i="1"/>
  <c r="C9918" i="1"/>
  <c r="B9918" i="1"/>
  <c r="C9917" i="1"/>
  <c r="B9917" i="1"/>
  <c r="C9916" i="1"/>
  <c r="B9916" i="1"/>
  <c r="C9915" i="1"/>
  <c r="B9915" i="1"/>
  <c r="C9914" i="1"/>
  <c r="B9914" i="1"/>
  <c r="C9913" i="1"/>
  <c r="B9913" i="1"/>
  <c r="C9912" i="1"/>
  <c r="B9912" i="1"/>
  <c r="C9911" i="1"/>
  <c r="B9911" i="1"/>
  <c r="C9910" i="1"/>
  <c r="B9910" i="1"/>
  <c r="C9909" i="1"/>
  <c r="B9909" i="1"/>
  <c r="C9908" i="1"/>
  <c r="B9908" i="1"/>
  <c r="C9907" i="1"/>
  <c r="B9907" i="1"/>
  <c r="C9906" i="1"/>
  <c r="B9906" i="1"/>
  <c r="C9905" i="1"/>
  <c r="B9905" i="1"/>
  <c r="C9904" i="1"/>
  <c r="B9904" i="1"/>
  <c r="C9903" i="1"/>
  <c r="B9903" i="1"/>
  <c r="C9902" i="1"/>
  <c r="B9902" i="1"/>
  <c r="C9901" i="1"/>
  <c r="B9901" i="1"/>
  <c r="C9900" i="1"/>
  <c r="B9900" i="1"/>
  <c r="C9898" i="1"/>
  <c r="B9898" i="1"/>
  <c r="C9897" i="1"/>
  <c r="B9897" i="1"/>
  <c r="C9896" i="1"/>
  <c r="B9896" i="1"/>
  <c r="C9895" i="1"/>
  <c r="B9895" i="1"/>
  <c r="C9894" i="1"/>
  <c r="B9894" i="1"/>
  <c r="C9893" i="1"/>
  <c r="B9893" i="1"/>
  <c r="C9891" i="1"/>
  <c r="B9891" i="1"/>
  <c r="C9890" i="1"/>
  <c r="B9890" i="1"/>
  <c r="C9889" i="1"/>
  <c r="B9889" i="1"/>
  <c r="C9888" i="1"/>
  <c r="B9888" i="1"/>
  <c r="C9887" i="1"/>
  <c r="B9887" i="1"/>
  <c r="C9886" i="1"/>
  <c r="B9886" i="1"/>
  <c r="C9885" i="1"/>
  <c r="B9885" i="1"/>
  <c r="C9884" i="1"/>
  <c r="B9884" i="1"/>
  <c r="C9883" i="1"/>
  <c r="B9883" i="1"/>
  <c r="C9882" i="1"/>
  <c r="B9882" i="1"/>
  <c r="C9881" i="1"/>
  <c r="B9881" i="1"/>
  <c r="C9880" i="1"/>
  <c r="B9880" i="1"/>
  <c r="C9879" i="1"/>
  <c r="B9879" i="1"/>
  <c r="C9878" i="1"/>
  <c r="B9878" i="1"/>
  <c r="C9877" i="1"/>
  <c r="B9877" i="1"/>
  <c r="C9876" i="1"/>
  <c r="B9876" i="1"/>
  <c r="C9875" i="1"/>
  <c r="B9875" i="1"/>
  <c r="C9874" i="1"/>
  <c r="B9874" i="1"/>
  <c r="C9873" i="1"/>
  <c r="B9873" i="1"/>
  <c r="C9872" i="1"/>
  <c r="B9872" i="1"/>
  <c r="C9871" i="1"/>
  <c r="B9871" i="1"/>
  <c r="C9870" i="1"/>
  <c r="B9870" i="1"/>
  <c r="C9869" i="1"/>
  <c r="B9869" i="1"/>
  <c r="C9868" i="1"/>
  <c r="B9868" i="1"/>
  <c r="C9867" i="1"/>
  <c r="B9867" i="1"/>
  <c r="C9866" i="1"/>
  <c r="B9866" i="1"/>
  <c r="C9865" i="1"/>
  <c r="B9865" i="1"/>
  <c r="C9864" i="1"/>
  <c r="B9864" i="1"/>
  <c r="C9863" i="1"/>
  <c r="B9863" i="1"/>
  <c r="C9862" i="1"/>
  <c r="B9862" i="1"/>
  <c r="C9861" i="1"/>
  <c r="B9861" i="1"/>
  <c r="C9860" i="1"/>
  <c r="B9860" i="1"/>
  <c r="C9859" i="1"/>
  <c r="B9859" i="1"/>
  <c r="C9858" i="1"/>
  <c r="B9858" i="1"/>
  <c r="C9857" i="1"/>
  <c r="B9857" i="1"/>
  <c r="C9856" i="1"/>
  <c r="B9856" i="1"/>
  <c r="C9855" i="1"/>
  <c r="B9855" i="1"/>
  <c r="C9854" i="1"/>
  <c r="B9854" i="1"/>
  <c r="C9853" i="1"/>
  <c r="B9853" i="1"/>
  <c r="C9852" i="1"/>
  <c r="B9852" i="1"/>
  <c r="C9851" i="1"/>
  <c r="B9851" i="1"/>
  <c r="C9850" i="1"/>
  <c r="B9850" i="1"/>
  <c r="C9849" i="1"/>
  <c r="B9849" i="1"/>
  <c r="C9848" i="1"/>
  <c r="B9848" i="1"/>
  <c r="C9847" i="1"/>
  <c r="B9847" i="1"/>
  <c r="C9846" i="1"/>
  <c r="B9846" i="1"/>
  <c r="C9845" i="1"/>
  <c r="B9845" i="1"/>
  <c r="C9844" i="1"/>
  <c r="B9844" i="1"/>
  <c r="C9843" i="1"/>
  <c r="B9843" i="1"/>
  <c r="C9842" i="1"/>
  <c r="B9842" i="1"/>
  <c r="C9841" i="1"/>
  <c r="B9841" i="1"/>
  <c r="C9840" i="1"/>
  <c r="B9840" i="1"/>
  <c r="C9839" i="1"/>
  <c r="B9839" i="1"/>
  <c r="C9838" i="1"/>
  <c r="B9838" i="1"/>
  <c r="C9837" i="1"/>
  <c r="B9837" i="1"/>
  <c r="C9836" i="1"/>
  <c r="B9836" i="1"/>
  <c r="C9835" i="1"/>
  <c r="B9835" i="1"/>
  <c r="C9834" i="1"/>
  <c r="B9834" i="1"/>
  <c r="C9833" i="1"/>
  <c r="B9833" i="1"/>
  <c r="C9832" i="1"/>
  <c r="B9832" i="1"/>
  <c r="C9831" i="1"/>
  <c r="B9831" i="1"/>
  <c r="C9830" i="1"/>
  <c r="B9830" i="1"/>
  <c r="C9829" i="1"/>
  <c r="B9829" i="1"/>
  <c r="C9828" i="1"/>
  <c r="B9828" i="1"/>
  <c r="C9827" i="1"/>
  <c r="B9827" i="1"/>
  <c r="C9826" i="1"/>
  <c r="B9826" i="1"/>
  <c r="C9825" i="1"/>
  <c r="B9825" i="1"/>
  <c r="C9824" i="1"/>
  <c r="B9824" i="1"/>
  <c r="C9823" i="1"/>
  <c r="B9823" i="1"/>
  <c r="C9822" i="1"/>
  <c r="B9822" i="1"/>
  <c r="C9821" i="1"/>
  <c r="B9821" i="1"/>
  <c r="C9820" i="1"/>
  <c r="B9820" i="1"/>
  <c r="C9819" i="1"/>
  <c r="B9819" i="1"/>
  <c r="C9818" i="1"/>
  <c r="B9818" i="1"/>
  <c r="C9817" i="1"/>
  <c r="B9817" i="1"/>
  <c r="C9816" i="1"/>
  <c r="B9816" i="1"/>
  <c r="C9815" i="1"/>
  <c r="B9815" i="1"/>
  <c r="C9814" i="1"/>
  <c r="B9814" i="1"/>
  <c r="C9813" i="1"/>
  <c r="B9813" i="1"/>
  <c r="C9810" i="1"/>
  <c r="B9810" i="1"/>
  <c r="C9809" i="1"/>
  <c r="B9809" i="1"/>
  <c r="C9808" i="1"/>
  <c r="B9808" i="1"/>
  <c r="C9807" i="1"/>
  <c r="B9807" i="1"/>
  <c r="C9806" i="1"/>
  <c r="B9806" i="1"/>
  <c r="C9805" i="1"/>
  <c r="B9805" i="1"/>
  <c r="C9804" i="1"/>
  <c r="B9804" i="1"/>
  <c r="C9803" i="1"/>
  <c r="B9803" i="1"/>
  <c r="C9802" i="1"/>
  <c r="B9802" i="1"/>
  <c r="C9801" i="1"/>
  <c r="B9801" i="1"/>
  <c r="C9800" i="1"/>
  <c r="B9800" i="1"/>
  <c r="C9799" i="1"/>
  <c r="B9799" i="1"/>
  <c r="C9798" i="1"/>
  <c r="B9798" i="1"/>
  <c r="C9797" i="1"/>
  <c r="B9797" i="1"/>
  <c r="C9796" i="1"/>
  <c r="B9796" i="1"/>
  <c r="C9795" i="1"/>
  <c r="B9795" i="1"/>
  <c r="C9794" i="1"/>
  <c r="B9794" i="1"/>
  <c r="C9793" i="1"/>
  <c r="B9793" i="1"/>
  <c r="C9792" i="1"/>
  <c r="B9792" i="1"/>
  <c r="C9791" i="1"/>
  <c r="B9791" i="1"/>
  <c r="C9790" i="1"/>
  <c r="B9790" i="1"/>
  <c r="C9789" i="1"/>
  <c r="B9789" i="1"/>
  <c r="C9788" i="1"/>
  <c r="B9788" i="1"/>
  <c r="C9787" i="1"/>
  <c r="B9787" i="1"/>
  <c r="C9786" i="1"/>
  <c r="B9786" i="1"/>
  <c r="C9784" i="1"/>
  <c r="B9784" i="1"/>
  <c r="C9783" i="1"/>
  <c r="B9783" i="1"/>
  <c r="C9782" i="1"/>
  <c r="B9782" i="1"/>
  <c r="C9781" i="1"/>
  <c r="B9781" i="1"/>
  <c r="C9780" i="1"/>
  <c r="B9780" i="1"/>
  <c r="C9779" i="1"/>
  <c r="B9779" i="1"/>
  <c r="C9778" i="1"/>
  <c r="B9778" i="1"/>
  <c r="C9777" i="1"/>
  <c r="B9777" i="1"/>
  <c r="C9776" i="1"/>
  <c r="B9776" i="1"/>
  <c r="C9775" i="1"/>
  <c r="B9775" i="1"/>
  <c r="C9774" i="1"/>
  <c r="B9774" i="1"/>
  <c r="C9773" i="1"/>
  <c r="B9773" i="1"/>
  <c r="C9772" i="1"/>
  <c r="B9772" i="1"/>
  <c r="C9771" i="1"/>
  <c r="B9771" i="1"/>
  <c r="C9770" i="1"/>
  <c r="B9770" i="1"/>
  <c r="C9769" i="1"/>
  <c r="B9769" i="1"/>
  <c r="C9768" i="1"/>
  <c r="B9768" i="1"/>
  <c r="C9767" i="1"/>
  <c r="B9767" i="1"/>
  <c r="C9766" i="1"/>
  <c r="B9766" i="1"/>
  <c r="C9765" i="1"/>
  <c r="B9765" i="1"/>
  <c r="C9764" i="1"/>
  <c r="B9764" i="1"/>
  <c r="C9763" i="1"/>
  <c r="B9763" i="1"/>
  <c r="C9762" i="1"/>
  <c r="B9762" i="1"/>
  <c r="C9761" i="1"/>
  <c r="B9761" i="1"/>
  <c r="C9760" i="1"/>
  <c r="B9760" i="1"/>
  <c r="C9759" i="1"/>
  <c r="B9759" i="1"/>
  <c r="C9758" i="1"/>
  <c r="B9758" i="1"/>
  <c r="C9757" i="1"/>
  <c r="B9757" i="1"/>
  <c r="C9756" i="1"/>
  <c r="B9756" i="1"/>
  <c r="C9755" i="1"/>
  <c r="B9755" i="1"/>
  <c r="C9754" i="1"/>
  <c r="B9754" i="1"/>
  <c r="C9753" i="1"/>
  <c r="B9753" i="1"/>
  <c r="C9752" i="1"/>
  <c r="B9752" i="1"/>
  <c r="C9751" i="1"/>
  <c r="B9751" i="1"/>
  <c r="C9750" i="1"/>
  <c r="B9750" i="1"/>
  <c r="C9749" i="1"/>
  <c r="B9749" i="1"/>
  <c r="C9748" i="1"/>
  <c r="B9748" i="1"/>
  <c r="C9747" i="1"/>
  <c r="B9747" i="1"/>
  <c r="C9746" i="1"/>
  <c r="B9746" i="1"/>
  <c r="C9745" i="1"/>
  <c r="B9745" i="1"/>
  <c r="C9744" i="1"/>
  <c r="B9744" i="1"/>
  <c r="C9743" i="1"/>
  <c r="B9743" i="1"/>
  <c r="C9742" i="1"/>
  <c r="B9742" i="1"/>
  <c r="C9741" i="1"/>
  <c r="B9741" i="1"/>
  <c r="C9740" i="1"/>
  <c r="B9740" i="1"/>
  <c r="C9738" i="1"/>
  <c r="B9738" i="1"/>
  <c r="C9737" i="1"/>
  <c r="B9737" i="1"/>
  <c r="C9736" i="1"/>
  <c r="B9736" i="1"/>
  <c r="C9735" i="1"/>
  <c r="B9735" i="1"/>
  <c r="C9734" i="1"/>
  <c r="B9734" i="1"/>
  <c r="C9733" i="1"/>
  <c r="B9733" i="1"/>
  <c r="C9732" i="1"/>
  <c r="B9732" i="1"/>
  <c r="C9731" i="1"/>
  <c r="B9731" i="1"/>
  <c r="C9730" i="1"/>
  <c r="B9730" i="1"/>
  <c r="C9729" i="1"/>
  <c r="B9729" i="1"/>
  <c r="C9728" i="1"/>
  <c r="B9728" i="1"/>
  <c r="C9727" i="1"/>
  <c r="B9727" i="1"/>
  <c r="C9726" i="1"/>
  <c r="B9726" i="1"/>
  <c r="C9725" i="1"/>
  <c r="B9725" i="1"/>
  <c r="C9724" i="1"/>
  <c r="B9724" i="1"/>
  <c r="C9723" i="1"/>
  <c r="B9723" i="1"/>
  <c r="C9722" i="1"/>
  <c r="B9722" i="1"/>
  <c r="C9721" i="1"/>
  <c r="B9721" i="1"/>
  <c r="C9720" i="1"/>
  <c r="B9720" i="1"/>
  <c r="C9719" i="1"/>
  <c r="B9719" i="1"/>
  <c r="C9718" i="1"/>
  <c r="B9718" i="1"/>
  <c r="C9717" i="1"/>
  <c r="B9717" i="1"/>
  <c r="C9716" i="1"/>
  <c r="B9716" i="1"/>
  <c r="C9715" i="1"/>
  <c r="B9715" i="1"/>
  <c r="C9714" i="1"/>
  <c r="B9714" i="1"/>
  <c r="C9713" i="1"/>
  <c r="B9713" i="1"/>
  <c r="C9712" i="1"/>
  <c r="B9712" i="1"/>
  <c r="C9711" i="1"/>
  <c r="B9711" i="1"/>
  <c r="C9710" i="1"/>
  <c r="B9710" i="1"/>
  <c r="C9709" i="1"/>
  <c r="B9709" i="1"/>
  <c r="C9708" i="1"/>
  <c r="B9708" i="1"/>
  <c r="C9707" i="1"/>
  <c r="B9707" i="1"/>
  <c r="C9706" i="1"/>
  <c r="B9706" i="1"/>
  <c r="C9705" i="1"/>
  <c r="B9705" i="1"/>
  <c r="C9704" i="1"/>
  <c r="B9704" i="1"/>
  <c r="C9703" i="1"/>
  <c r="B9703" i="1"/>
  <c r="C9702" i="1"/>
  <c r="B9702" i="1"/>
  <c r="C9701" i="1"/>
  <c r="B9701" i="1"/>
  <c r="C9700" i="1"/>
  <c r="B9700" i="1"/>
  <c r="C9699" i="1"/>
  <c r="B9699" i="1"/>
  <c r="C9698" i="1"/>
  <c r="B9698" i="1"/>
  <c r="C9697" i="1"/>
  <c r="B9697" i="1"/>
  <c r="C9696" i="1"/>
  <c r="B9696" i="1"/>
  <c r="C9695" i="1"/>
  <c r="B9695" i="1"/>
  <c r="B9694" i="1"/>
  <c r="C9693" i="1"/>
  <c r="B9693" i="1"/>
  <c r="C9692" i="1"/>
  <c r="B9692" i="1"/>
  <c r="C9691" i="1"/>
  <c r="B9691" i="1"/>
  <c r="C9690" i="1"/>
  <c r="B9690" i="1"/>
  <c r="C9689" i="1"/>
  <c r="B9689" i="1"/>
  <c r="C9687" i="1"/>
  <c r="B9687" i="1"/>
  <c r="C9686" i="1"/>
  <c r="B9686" i="1"/>
  <c r="C9685" i="1"/>
  <c r="B9685" i="1"/>
  <c r="C9684" i="1"/>
  <c r="B9684" i="1"/>
  <c r="C9683" i="1"/>
  <c r="B9683" i="1"/>
  <c r="C9682" i="1"/>
  <c r="B9682" i="1"/>
  <c r="C9681" i="1"/>
  <c r="B9681" i="1"/>
  <c r="C9680" i="1"/>
  <c r="B9680" i="1"/>
  <c r="C9679" i="1"/>
  <c r="B9679" i="1"/>
  <c r="C9678" i="1"/>
  <c r="B9678" i="1"/>
  <c r="C9677" i="1"/>
  <c r="B9677" i="1"/>
  <c r="C9676" i="1"/>
  <c r="B9676" i="1"/>
  <c r="C9675" i="1"/>
  <c r="B9675" i="1"/>
  <c r="C9674" i="1"/>
  <c r="B9674" i="1"/>
  <c r="C9673" i="1"/>
  <c r="B9673" i="1"/>
  <c r="C9672" i="1"/>
  <c r="B9672" i="1"/>
  <c r="C9671" i="1"/>
  <c r="B9671" i="1"/>
  <c r="C9669" i="1"/>
  <c r="B9669" i="1"/>
  <c r="C9668" i="1"/>
  <c r="B9668" i="1"/>
  <c r="C9667" i="1"/>
  <c r="B9667" i="1"/>
  <c r="C9666" i="1"/>
  <c r="B9666" i="1"/>
  <c r="C9665" i="1"/>
  <c r="B9665" i="1"/>
  <c r="C9664" i="1"/>
  <c r="B9664" i="1"/>
  <c r="C9663" i="1"/>
  <c r="B9663" i="1"/>
  <c r="C9662" i="1"/>
  <c r="B9662" i="1"/>
  <c r="C9661" i="1"/>
  <c r="B9661" i="1"/>
  <c r="C9660" i="1"/>
  <c r="B9660" i="1"/>
  <c r="C9659" i="1"/>
  <c r="B9659" i="1"/>
  <c r="C9658" i="1"/>
  <c r="B9658" i="1"/>
  <c r="C9657" i="1"/>
  <c r="B9657" i="1"/>
  <c r="C9656" i="1"/>
  <c r="B9656" i="1"/>
  <c r="C9655" i="1"/>
  <c r="B9655" i="1"/>
  <c r="C9654" i="1"/>
  <c r="B9654" i="1"/>
  <c r="C9653" i="1"/>
  <c r="B9653" i="1"/>
  <c r="C9652" i="1"/>
  <c r="B9652" i="1"/>
  <c r="C9651" i="1"/>
  <c r="B9651" i="1"/>
  <c r="C9650" i="1"/>
  <c r="B9650" i="1"/>
  <c r="C9649" i="1"/>
  <c r="B9649" i="1"/>
  <c r="C9648" i="1"/>
  <c r="B9648" i="1"/>
  <c r="C9647" i="1"/>
  <c r="B9647" i="1"/>
  <c r="C9646" i="1"/>
  <c r="B9646" i="1"/>
  <c r="C9645" i="1"/>
  <c r="B9645" i="1"/>
  <c r="C9644" i="1"/>
  <c r="B9644" i="1"/>
  <c r="C9643" i="1"/>
  <c r="B9643" i="1"/>
  <c r="C9642" i="1"/>
  <c r="B9642" i="1"/>
  <c r="C9641" i="1"/>
  <c r="B9641" i="1"/>
  <c r="C9640" i="1"/>
  <c r="B9640" i="1"/>
  <c r="C9639" i="1"/>
  <c r="B9639" i="1"/>
  <c r="C9638" i="1"/>
  <c r="B9638" i="1"/>
  <c r="C9636" i="1"/>
  <c r="B9636" i="1"/>
  <c r="C9635" i="1"/>
  <c r="B9635" i="1"/>
  <c r="C9634" i="1"/>
  <c r="B9634" i="1"/>
  <c r="C9633" i="1"/>
  <c r="B9633" i="1"/>
  <c r="C9631" i="1"/>
  <c r="B9631" i="1"/>
  <c r="C9630" i="1"/>
  <c r="B9630" i="1"/>
  <c r="C9629" i="1"/>
  <c r="B9629" i="1"/>
  <c r="C9628" i="1"/>
  <c r="B9628" i="1"/>
  <c r="C9627" i="1"/>
  <c r="B9627" i="1"/>
  <c r="C9626" i="1"/>
  <c r="B9626" i="1"/>
  <c r="C9625" i="1"/>
  <c r="B9625" i="1"/>
  <c r="C9624" i="1"/>
  <c r="B9624" i="1"/>
  <c r="C9623" i="1"/>
  <c r="B9623" i="1"/>
  <c r="C9622" i="1"/>
  <c r="B9622" i="1"/>
  <c r="C9621" i="1"/>
  <c r="B9621" i="1"/>
  <c r="C9620" i="1"/>
  <c r="B9620" i="1"/>
  <c r="C9619" i="1"/>
  <c r="B9619" i="1"/>
  <c r="C9618" i="1"/>
  <c r="B9618" i="1"/>
  <c r="C9616" i="1"/>
  <c r="B9616" i="1"/>
  <c r="C9615" i="1"/>
  <c r="B9615" i="1"/>
  <c r="C9614" i="1"/>
  <c r="B9614" i="1"/>
  <c r="C9613" i="1"/>
  <c r="C9612" i="1"/>
  <c r="C9609" i="1"/>
  <c r="B9609" i="1"/>
  <c r="C9607" i="1"/>
  <c r="B9607" i="1"/>
  <c r="C9605" i="1"/>
  <c r="C9600" i="1"/>
  <c r="C9597" i="1"/>
  <c r="C9596" i="1"/>
  <c r="B9596" i="1"/>
  <c r="C9593" i="1"/>
  <c r="B9593" i="1"/>
  <c r="C9585" i="1"/>
  <c r="B9585" i="1"/>
  <c r="C9577" i="1"/>
  <c r="C9575" i="1"/>
  <c r="C9572" i="1"/>
  <c r="B9572" i="1"/>
  <c r="C9567" i="1"/>
  <c r="B9567" i="1"/>
  <c r="C9566" i="1"/>
  <c r="B9566" i="1"/>
  <c r="C9565" i="1"/>
  <c r="B9565" i="1"/>
  <c r="C9564" i="1"/>
  <c r="B9564" i="1"/>
  <c r="C9563" i="1"/>
  <c r="B9563" i="1"/>
  <c r="C9562" i="1"/>
  <c r="B9562" i="1"/>
  <c r="C9561" i="1"/>
  <c r="B9561" i="1"/>
  <c r="C9558" i="1"/>
  <c r="B9558" i="1"/>
  <c r="C9557" i="1"/>
  <c r="B9557" i="1"/>
  <c r="C9556" i="1"/>
  <c r="B9556" i="1"/>
  <c r="B9555" i="1"/>
  <c r="C9553" i="1"/>
  <c r="C9552" i="1"/>
  <c r="B9552" i="1"/>
  <c r="C9551" i="1"/>
  <c r="B9551" i="1"/>
  <c r="C9550" i="1"/>
  <c r="B9550" i="1"/>
  <c r="C9549" i="1"/>
  <c r="B9549" i="1"/>
  <c r="C9548" i="1"/>
  <c r="B9548" i="1"/>
  <c r="C9547" i="1"/>
  <c r="B9547" i="1"/>
  <c r="C9546" i="1"/>
  <c r="B9546" i="1"/>
  <c r="B9545" i="1"/>
  <c r="C9544" i="1"/>
  <c r="B9544" i="1"/>
  <c r="C9543" i="1"/>
  <c r="B9543" i="1"/>
  <c r="C9542" i="1"/>
  <c r="B9542" i="1"/>
  <c r="C9541" i="1"/>
  <c r="B9541" i="1"/>
  <c r="C9540" i="1"/>
  <c r="B9540" i="1"/>
  <c r="C9539" i="1"/>
  <c r="B9539" i="1"/>
  <c r="C9538" i="1"/>
  <c r="B9538" i="1"/>
  <c r="C9537" i="1"/>
  <c r="C9536" i="1"/>
  <c r="B9536" i="1"/>
  <c r="C9535" i="1"/>
  <c r="B9535" i="1"/>
  <c r="C9534" i="1"/>
  <c r="B9534" i="1"/>
  <c r="C9533" i="1"/>
  <c r="B9533" i="1"/>
  <c r="C9532" i="1"/>
  <c r="B9532" i="1"/>
  <c r="C9531" i="1"/>
  <c r="B9531" i="1"/>
  <c r="C9530" i="1"/>
  <c r="B9530" i="1"/>
  <c r="C9529" i="1"/>
  <c r="B9529" i="1"/>
  <c r="C9528" i="1"/>
  <c r="B9528" i="1"/>
  <c r="C9527" i="1"/>
  <c r="B9527" i="1"/>
  <c r="C9526" i="1"/>
  <c r="B9526" i="1"/>
  <c r="C9525" i="1"/>
  <c r="B9525" i="1"/>
  <c r="C9524" i="1"/>
  <c r="B9524" i="1"/>
  <c r="C9523" i="1"/>
  <c r="B9523" i="1"/>
  <c r="C9522" i="1"/>
  <c r="B9522" i="1"/>
  <c r="C9521" i="1"/>
  <c r="B9521" i="1"/>
  <c r="C9520" i="1"/>
  <c r="B9520" i="1"/>
  <c r="C9519" i="1"/>
  <c r="B9519" i="1"/>
  <c r="B9517" i="1"/>
  <c r="C9516" i="1"/>
  <c r="B9516" i="1"/>
  <c r="B9515" i="1"/>
  <c r="C9514" i="1"/>
  <c r="B9514" i="1"/>
  <c r="B9513" i="1"/>
  <c r="C9512" i="1"/>
  <c r="B9512" i="1"/>
  <c r="C9511" i="1"/>
  <c r="B9511" i="1"/>
  <c r="C9510" i="1"/>
  <c r="B9510" i="1"/>
  <c r="C9509" i="1"/>
  <c r="B9509" i="1"/>
  <c r="B9507" i="1"/>
  <c r="C9504" i="1"/>
  <c r="B9504" i="1"/>
  <c r="C9503" i="1"/>
  <c r="B9503" i="1"/>
  <c r="C9500" i="1"/>
  <c r="B9500" i="1"/>
  <c r="B9499" i="1"/>
  <c r="C9498" i="1"/>
  <c r="B9498" i="1"/>
  <c r="C9497" i="1"/>
  <c r="B9497" i="1"/>
  <c r="C9496" i="1"/>
  <c r="B9496" i="1"/>
  <c r="C9495" i="1"/>
  <c r="B9495" i="1"/>
  <c r="C9492" i="1"/>
  <c r="B9492" i="1"/>
  <c r="C9491" i="1"/>
  <c r="B9491" i="1"/>
  <c r="C9490" i="1"/>
  <c r="B9490" i="1"/>
  <c r="C9489" i="1"/>
  <c r="B9489" i="1"/>
  <c r="C9488" i="1"/>
  <c r="B9488" i="1"/>
  <c r="C9486" i="1"/>
  <c r="B9486" i="1"/>
  <c r="C9485" i="1"/>
  <c r="B9485" i="1"/>
  <c r="C9484" i="1"/>
  <c r="B9484" i="1"/>
  <c r="B9483" i="1"/>
  <c r="C9482" i="1"/>
  <c r="B9482" i="1"/>
  <c r="C9481" i="1"/>
  <c r="B9481" i="1"/>
  <c r="C9480" i="1"/>
  <c r="B9480" i="1"/>
  <c r="C9479" i="1"/>
  <c r="B9479" i="1"/>
  <c r="C9478" i="1"/>
  <c r="B9478" i="1"/>
  <c r="C9477" i="1"/>
  <c r="B9477" i="1"/>
  <c r="C9476" i="1"/>
  <c r="B9476" i="1"/>
  <c r="C9475" i="1"/>
  <c r="C9474" i="1"/>
  <c r="B9474" i="1"/>
  <c r="C9472" i="1"/>
  <c r="B9472" i="1"/>
  <c r="C9470" i="1"/>
  <c r="C9469" i="1"/>
  <c r="B9469" i="1"/>
  <c r="C9468" i="1"/>
  <c r="B9468" i="1"/>
  <c r="C9466" i="1"/>
  <c r="B9466" i="1"/>
  <c r="C9465" i="1"/>
  <c r="B9465" i="1"/>
  <c r="C9464" i="1"/>
  <c r="B9464" i="1"/>
  <c r="C9463" i="1"/>
  <c r="B9463" i="1"/>
  <c r="B9461" i="1"/>
  <c r="C9458" i="1"/>
  <c r="B9458" i="1"/>
  <c r="C9457" i="1"/>
  <c r="B9457" i="1"/>
  <c r="C9456" i="1"/>
  <c r="C9455" i="1"/>
  <c r="B9455" i="1"/>
  <c r="C9454" i="1"/>
  <c r="B9454" i="1"/>
  <c r="C9453" i="1"/>
  <c r="C9452" i="1"/>
  <c r="B9452" i="1"/>
  <c r="C9451" i="1"/>
  <c r="B9451" i="1"/>
  <c r="C9450" i="1"/>
  <c r="B9450" i="1"/>
  <c r="C9449" i="1"/>
  <c r="B9449" i="1"/>
  <c r="C9448" i="1"/>
  <c r="B9448" i="1"/>
  <c r="C9447" i="1"/>
  <c r="B9447" i="1"/>
  <c r="C9446" i="1"/>
  <c r="B9446" i="1"/>
  <c r="C9445" i="1"/>
  <c r="B9445" i="1"/>
  <c r="C9444" i="1"/>
  <c r="B9444" i="1"/>
  <c r="C9442" i="1"/>
  <c r="B9442" i="1"/>
  <c r="C9440" i="1"/>
  <c r="B9440" i="1"/>
  <c r="C9439" i="1"/>
  <c r="B9439" i="1"/>
  <c r="C9438" i="1"/>
  <c r="B9438" i="1"/>
  <c r="C9437" i="1"/>
  <c r="B9437" i="1"/>
  <c r="C9436" i="1"/>
  <c r="B9436" i="1"/>
  <c r="C9435" i="1"/>
  <c r="B9435" i="1"/>
  <c r="C9434" i="1"/>
  <c r="B9434" i="1"/>
  <c r="C9433" i="1"/>
  <c r="B9433" i="1"/>
  <c r="C9432" i="1"/>
  <c r="B9432" i="1"/>
  <c r="C9429" i="1"/>
  <c r="B9429" i="1"/>
  <c r="C9428" i="1"/>
  <c r="B9428" i="1"/>
  <c r="C9427" i="1"/>
  <c r="B9427" i="1"/>
  <c r="C9426" i="1"/>
  <c r="B9426" i="1"/>
  <c r="C9425" i="1"/>
  <c r="B9425" i="1"/>
  <c r="C9423" i="1"/>
  <c r="B9423" i="1"/>
  <c r="B9422" i="1"/>
  <c r="C9421" i="1"/>
  <c r="B9421" i="1"/>
  <c r="C9420" i="1"/>
  <c r="B9420" i="1"/>
  <c r="C9419" i="1"/>
  <c r="B9419" i="1"/>
  <c r="C9417" i="1"/>
  <c r="C9416" i="1"/>
  <c r="B9416" i="1"/>
  <c r="C9415" i="1"/>
  <c r="C9414" i="1"/>
  <c r="B9414" i="1"/>
  <c r="C9413" i="1"/>
  <c r="B9413" i="1"/>
  <c r="C9412" i="1"/>
  <c r="B9412" i="1"/>
  <c r="C9411" i="1"/>
  <c r="B9411" i="1"/>
  <c r="C9410" i="1"/>
  <c r="B9410" i="1"/>
  <c r="C9409" i="1"/>
  <c r="C9408" i="1"/>
  <c r="B9408" i="1"/>
  <c r="C9407" i="1"/>
  <c r="B9407" i="1"/>
  <c r="C9406" i="1"/>
  <c r="B9406" i="1"/>
  <c r="C9405" i="1"/>
  <c r="B9405" i="1"/>
  <c r="C9404" i="1"/>
  <c r="B9404" i="1"/>
  <c r="C9403" i="1"/>
  <c r="B9403" i="1"/>
  <c r="C9402" i="1"/>
  <c r="B9402" i="1"/>
  <c r="C9401" i="1"/>
  <c r="B9401" i="1"/>
  <c r="B9400" i="1"/>
  <c r="C9399" i="1"/>
  <c r="B9399" i="1"/>
  <c r="C9398" i="1"/>
  <c r="B9398" i="1"/>
  <c r="C9397" i="1"/>
  <c r="B9397" i="1"/>
  <c r="C9396" i="1"/>
  <c r="B9396" i="1"/>
  <c r="C9395" i="1"/>
  <c r="B9395" i="1"/>
  <c r="C9394" i="1"/>
  <c r="B9394" i="1"/>
  <c r="C9393" i="1"/>
  <c r="B9393" i="1"/>
  <c r="C9392" i="1"/>
  <c r="B9392" i="1"/>
  <c r="C9390" i="1"/>
  <c r="B9390" i="1"/>
  <c r="C9389" i="1"/>
  <c r="B9389" i="1"/>
  <c r="C9388" i="1"/>
  <c r="B9388" i="1"/>
  <c r="C9387" i="1"/>
  <c r="B9387" i="1"/>
  <c r="C9386" i="1"/>
  <c r="C9385" i="1"/>
  <c r="B9385" i="1"/>
  <c r="C9384" i="1"/>
  <c r="B9384" i="1"/>
  <c r="C9383" i="1"/>
  <c r="B9383" i="1"/>
  <c r="C9381" i="1"/>
  <c r="C9380" i="1"/>
  <c r="B9380" i="1"/>
  <c r="C9379" i="1"/>
  <c r="B9379" i="1"/>
  <c r="C9378" i="1"/>
  <c r="B9378" i="1"/>
  <c r="C9375" i="1"/>
  <c r="B9375" i="1"/>
  <c r="C9373" i="1"/>
  <c r="B9373" i="1"/>
  <c r="C9372" i="1"/>
  <c r="B9372" i="1"/>
  <c r="C9370" i="1"/>
  <c r="B9370" i="1"/>
  <c r="C9368" i="1"/>
  <c r="B9368" i="1"/>
  <c r="C9367" i="1"/>
  <c r="B9367" i="1"/>
  <c r="C9366" i="1"/>
  <c r="B9366" i="1"/>
  <c r="C9365" i="1"/>
  <c r="B9365" i="1"/>
  <c r="C9364" i="1"/>
  <c r="B9364" i="1"/>
  <c r="C9363" i="1"/>
  <c r="B9363" i="1"/>
  <c r="C9362" i="1"/>
  <c r="B9362" i="1"/>
  <c r="C9361" i="1"/>
  <c r="B9361" i="1"/>
  <c r="C9359" i="1"/>
  <c r="B9359" i="1"/>
  <c r="C9358" i="1"/>
  <c r="B9358" i="1"/>
  <c r="C9357" i="1"/>
  <c r="B9357" i="1"/>
  <c r="C9356" i="1"/>
  <c r="B9356" i="1"/>
  <c r="C9355" i="1"/>
  <c r="B9355" i="1"/>
  <c r="C9354" i="1"/>
  <c r="B9354" i="1"/>
  <c r="C9352" i="1"/>
  <c r="B9352" i="1"/>
  <c r="C9351" i="1"/>
  <c r="C9349" i="1"/>
  <c r="B9349" i="1"/>
  <c r="C9348" i="1"/>
  <c r="B9348" i="1"/>
  <c r="C9344" i="1"/>
  <c r="B9344" i="1"/>
  <c r="C9343" i="1"/>
  <c r="B9343" i="1"/>
  <c r="C9342" i="1"/>
  <c r="B9342" i="1"/>
  <c r="C9341" i="1"/>
  <c r="B9341" i="1"/>
  <c r="C9340" i="1"/>
  <c r="B9340" i="1"/>
  <c r="C9338" i="1"/>
  <c r="B9338" i="1"/>
  <c r="C9337" i="1"/>
  <c r="B9337" i="1"/>
  <c r="C9336" i="1"/>
  <c r="B9336" i="1"/>
  <c r="C9335" i="1"/>
  <c r="B9335" i="1"/>
  <c r="C9334" i="1"/>
  <c r="B9334" i="1"/>
  <c r="C9332" i="1"/>
  <c r="B9332" i="1"/>
  <c r="C9331" i="1"/>
  <c r="B9331" i="1"/>
  <c r="C9329" i="1"/>
  <c r="B9329" i="1"/>
  <c r="C9328" i="1"/>
  <c r="B9328" i="1"/>
  <c r="C9327" i="1"/>
  <c r="B9327" i="1"/>
  <c r="C9326" i="1"/>
  <c r="B9326" i="1"/>
  <c r="C9325" i="1"/>
  <c r="B9325" i="1"/>
  <c r="C9324" i="1"/>
  <c r="B9324" i="1"/>
  <c r="C9323" i="1"/>
  <c r="B9323" i="1"/>
  <c r="C9322" i="1"/>
  <c r="B9322" i="1"/>
  <c r="C9321" i="1"/>
  <c r="B9321" i="1"/>
  <c r="C9319" i="1"/>
  <c r="B9319" i="1"/>
  <c r="C9318" i="1"/>
  <c r="B9318" i="1"/>
  <c r="C9314" i="1"/>
  <c r="B9314" i="1"/>
  <c r="C9313" i="1"/>
  <c r="B9313" i="1"/>
  <c r="C9312" i="1"/>
  <c r="B9312" i="1"/>
  <c r="C9311" i="1"/>
  <c r="B9311" i="1"/>
  <c r="C9310" i="1"/>
  <c r="B9310" i="1"/>
  <c r="C9309" i="1"/>
  <c r="B9309" i="1"/>
  <c r="C9308" i="1"/>
  <c r="B9308" i="1"/>
  <c r="C9307" i="1"/>
  <c r="B9307" i="1"/>
  <c r="C9306" i="1"/>
  <c r="B9306" i="1"/>
  <c r="C9302" i="1"/>
  <c r="B9302" i="1"/>
  <c r="C9301" i="1"/>
  <c r="B9301" i="1"/>
  <c r="C9300" i="1"/>
  <c r="B9300" i="1"/>
  <c r="C9299" i="1"/>
  <c r="B9299" i="1"/>
  <c r="C9298" i="1"/>
  <c r="B9298" i="1"/>
  <c r="C9297" i="1"/>
  <c r="B9297" i="1"/>
  <c r="C9294" i="1"/>
  <c r="B9294" i="1"/>
  <c r="C9293" i="1"/>
  <c r="B9293" i="1"/>
  <c r="C9292" i="1"/>
  <c r="B9292" i="1"/>
  <c r="C9291" i="1"/>
  <c r="B9291" i="1"/>
  <c r="C9290" i="1"/>
  <c r="B9290" i="1"/>
  <c r="C9289" i="1"/>
  <c r="B9289" i="1"/>
  <c r="C9288" i="1"/>
  <c r="B9288" i="1"/>
  <c r="C9287" i="1"/>
  <c r="B9287" i="1"/>
  <c r="C9286" i="1"/>
  <c r="B9286" i="1"/>
  <c r="C9285" i="1"/>
  <c r="B9285" i="1"/>
  <c r="C9284" i="1"/>
  <c r="B9284" i="1"/>
  <c r="C9282" i="1"/>
  <c r="B9282" i="1"/>
  <c r="C9281" i="1"/>
  <c r="B9281" i="1"/>
  <c r="C9280" i="1"/>
  <c r="B9280" i="1"/>
  <c r="C9279" i="1"/>
  <c r="B9279" i="1"/>
  <c r="C9278" i="1"/>
  <c r="B9278" i="1"/>
  <c r="C9277" i="1"/>
  <c r="B9277" i="1"/>
  <c r="C9276" i="1"/>
  <c r="B9276" i="1"/>
  <c r="C9274" i="1"/>
  <c r="B9274" i="1"/>
  <c r="C9273" i="1"/>
  <c r="B9273" i="1"/>
  <c r="C9271" i="1"/>
  <c r="B9271" i="1"/>
  <c r="C9270" i="1"/>
  <c r="B9270" i="1"/>
  <c r="C9269" i="1"/>
  <c r="B9269" i="1"/>
  <c r="C9268" i="1"/>
  <c r="B9268" i="1"/>
  <c r="C9267" i="1"/>
  <c r="B9267" i="1"/>
  <c r="C9266" i="1"/>
  <c r="C9265" i="1"/>
  <c r="B9265" i="1"/>
  <c r="C9264" i="1"/>
  <c r="B9264" i="1"/>
  <c r="C9263" i="1"/>
  <c r="B9263" i="1"/>
  <c r="C9262" i="1"/>
  <c r="B9262" i="1"/>
  <c r="C9261" i="1"/>
  <c r="B9261" i="1"/>
  <c r="C9259" i="1"/>
  <c r="B9259" i="1"/>
  <c r="C9258" i="1"/>
  <c r="B9258" i="1"/>
  <c r="C9257" i="1"/>
  <c r="B9257" i="1"/>
  <c r="C9256" i="1"/>
  <c r="C9255" i="1"/>
  <c r="B9255" i="1"/>
  <c r="C9254" i="1"/>
  <c r="B9254" i="1"/>
  <c r="C9253" i="1"/>
  <c r="B9253" i="1"/>
  <c r="C9250" i="1"/>
  <c r="B9250" i="1"/>
  <c r="C9249" i="1"/>
  <c r="B9249" i="1"/>
  <c r="C9248" i="1"/>
  <c r="B9248" i="1"/>
  <c r="C9247" i="1"/>
  <c r="B9247" i="1"/>
  <c r="C9245" i="1"/>
  <c r="B9245" i="1"/>
  <c r="C9243" i="1"/>
  <c r="B9243" i="1"/>
  <c r="C9242" i="1"/>
  <c r="B9242" i="1"/>
  <c r="C9241" i="1"/>
  <c r="B9241" i="1"/>
  <c r="B9234" i="1"/>
  <c r="C9233" i="1"/>
  <c r="B9233" i="1"/>
  <c r="C9232" i="1"/>
  <c r="B9232" i="1"/>
  <c r="C9231" i="1"/>
  <c r="C9230" i="1"/>
  <c r="B9230" i="1"/>
  <c r="C9229" i="1"/>
  <c r="B9229" i="1"/>
  <c r="C9228" i="1"/>
  <c r="B9228" i="1"/>
  <c r="C9227" i="1"/>
  <c r="B9227" i="1"/>
  <c r="C9225" i="1"/>
  <c r="B9225" i="1"/>
  <c r="C9224" i="1"/>
  <c r="B9224" i="1"/>
  <c r="C9223" i="1"/>
  <c r="B9223" i="1"/>
  <c r="C9222" i="1"/>
  <c r="B9222" i="1"/>
  <c r="C9221" i="1"/>
  <c r="B9221" i="1"/>
  <c r="C9220" i="1"/>
  <c r="B9220" i="1"/>
  <c r="C9219" i="1"/>
  <c r="B9219" i="1"/>
  <c r="C9218" i="1"/>
  <c r="B9218" i="1"/>
  <c r="C9217" i="1"/>
  <c r="B9217" i="1"/>
  <c r="C9216" i="1"/>
  <c r="B9216" i="1"/>
  <c r="C9215" i="1"/>
  <c r="B9215" i="1"/>
  <c r="C9214" i="1"/>
  <c r="B9214" i="1"/>
  <c r="C9213" i="1"/>
  <c r="B9213" i="1"/>
  <c r="C9212" i="1"/>
  <c r="B9212" i="1"/>
  <c r="C9211" i="1"/>
  <c r="B9211" i="1"/>
  <c r="C9210" i="1"/>
  <c r="B9210" i="1"/>
  <c r="C9209" i="1"/>
  <c r="B9209" i="1"/>
  <c r="C9208" i="1"/>
  <c r="B9208" i="1"/>
  <c r="C9207" i="1"/>
  <c r="B9207" i="1"/>
  <c r="C9206" i="1"/>
  <c r="B9206" i="1"/>
  <c r="C9205" i="1"/>
  <c r="B9205" i="1"/>
  <c r="C9204" i="1"/>
  <c r="B9204" i="1"/>
  <c r="C9203" i="1"/>
  <c r="B9203" i="1"/>
  <c r="C9202" i="1"/>
  <c r="B9202" i="1"/>
  <c r="C9201" i="1"/>
  <c r="B9201" i="1"/>
  <c r="C9200" i="1"/>
  <c r="B9200" i="1"/>
  <c r="C9199" i="1"/>
  <c r="B9199" i="1"/>
  <c r="C9198" i="1"/>
  <c r="B9198" i="1"/>
  <c r="C9197" i="1"/>
  <c r="B9197" i="1"/>
  <c r="C9196" i="1"/>
  <c r="B9196" i="1"/>
  <c r="C9195" i="1"/>
  <c r="B9195" i="1"/>
  <c r="C9194" i="1"/>
  <c r="B9194" i="1"/>
  <c r="C9193" i="1"/>
  <c r="B9193" i="1"/>
  <c r="C9192" i="1"/>
  <c r="B9192" i="1"/>
  <c r="C9191" i="1"/>
  <c r="B9191" i="1"/>
  <c r="C9190" i="1"/>
  <c r="B9190" i="1"/>
  <c r="C9189" i="1"/>
  <c r="B9189" i="1"/>
  <c r="C9188" i="1"/>
  <c r="B9188" i="1"/>
  <c r="C9187" i="1"/>
  <c r="B9187" i="1"/>
  <c r="C9186" i="1"/>
  <c r="B9186" i="1"/>
  <c r="C9185" i="1"/>
  <c r="B9185" i="1"/>
  <c r="C9184" i="1"/>
  <c r="B9184" i="1"/>
  <c r="C9183" i="1"/>
  <c r="B9183" i="1"/>
  <c r="C9182" i="1"/>
  <c r="B9182" i="1"/>
  <c r="C9181" i="1"/>
  <c r="B9181" i="1"/>
  <c r="C9180" i="1"/>
  <c r="B9180" i="1"/>
  <c r="C9179" i="1"/>
  <c r="B9179" i="1"/>
  <c r="C9178" i="1"/>
  <c r="B9178" i="1"/>
  <c r="C9177" i="1"/>
  <c r="B9177" i="1"/>
  <c r="C9176" i="1"/>
  <c r="B9176" i="1"/>
  <c r="C9175" i="1"/>
  <c r="B9175" i="1"/>
  <c r="C9174" i="1"/>
  <c r="B9174" i="1"/>
  <c r="C9173" i="1"/>
  <c r="B9173" i="1"/>
  <c r="C9172" i="1"/>
  <c r="B9172" i="1"/>
  <c r="C9171" i="1"/>
  <c r="B9171" i="1"/>
  <c r="C9170" i="1"/>
  <c r="B9170" i="1"/>
  <c r="C9169" i="1"/>
  <c r="B9169" i="1"/>
  <c r="C9168" i="1"/>
  <c r="B9168" i="1"/>
  <c r="C9167" i="1"/>
  <c r="B9167" i="1"/>
  <c r="C9166" i="1"/>
  <c r="B9166" i="1"/>
  <c r="C9165" i="1"/>
  <c r="B9165" i="1"/>
  <c r="C9164" i="1"/>
  <c r="B9164" i="1"/>
  <c r="C9163" i="1"/>
  <c r="B9163" i="1"/>
  <c r="C9162" i="1"/>
  <c r="B9162" i="1"/>
  <c r="C9161" i="1"/>
  <c r="B9161" i="1"/>
  <c r="C9160" i="1"/>
  <c r="B9160" i="1"/>
  <c r="C9158" i="1"/>
  <c r="B9158" i="1"/>
  <c r="C9157" i="1"/>
  <c r="B9157" i="1"/>
  <c r="C9156" i="1"/>
  <c r="B9156" i="1"/>
  <c r="C9155" i="1"/>
  <c r="B9155" i="1"/>
  <c r="C9154" i="1"/>
  <c r="B9154" i="1"/>
  <c r="C9153" i="1"/>
  <c r="B9153" i="1"/>
  <c r="C9152" i="1"/>
  <c r="B9152" i="1"/>
  <c r="C9151" i="1"/>
  <c r="B9151" i="1"/>
  <c r="C9150" i="1"/>
  <c r="B9150" i="1"/>
  <c r="C9149" i="1"/>
  <c r="B9149" i="1"/>
  <c r="C9148" i="1"/>
  <c r="B9148" i="1"/>
  <c r="C9147" i="1"/>
  <c r="B9147" i="1"/>
  <c r="C9146" i="1"/>
  <c r="B9146" i="1"/>
  <c r="C9145" i="1"/>
  <c r="B9145" i="1"/>
  <c r="C9144" i="1"/>
  <c r="B9144" i="1"/>
  <c r="C9143" i="1"/>
  <c r="B9143" i="1"/>
  <c r="C9142" i="1"/>
  <c r="B9142" i="1"/>
  <c r="C9141" i="1"/>
  <c r="B9141" i="1"/>
  <c r="C9140" i="1"/>
  <c r="B9140" i="1"/>
  <c r="C9139" i="1"/>
  <c r="B9139" i="1"/>
  <c r="C9138" i="1"/>
  <c r="B9138" i="1"/>
  <c r="C9137" i="1"/>
  <c r="B9137" i="1"/>
  <c r="C9136" i="1"/>
  <c r="B9136" i="1"/>
  <c r="C9135" i="1"/>
  <c r="B9135" i="1"/>
  <c r="C9134" i="1"/>
  <c r="B9134" i="1"/>
  <c r="C9133" i="1"/>
  <c r="B9133" i="1"/>
  <c r="C9132" i="1"/>
  <c r="B9132" i="1"/>
  <c r="C9131" i="1"/>
  <c r="B9131" i="1"/>
  <c r="C9130" i="1"/>
  <c r="B9130" i="1"/>
  <c r="C9129" i="1"/>
  <c r="B9129" i="1"/>
  <c r="C9128" i="1"/>
  <c r="B9128" i="1"/>
  <c r="C9127" i="1"/>
  <c r="B9127" i="1"/>
  <c r="C9126" i="1"/>
  <c r="B9126" i="1"/>
  <c r="C9125" i="1"/>
  <c r="B9125" i="1"/>
  <c r="C9124" i="1"/>
  <c r="B9124" i="1"/>
  <c r="C9123" i="1"/>
  <c r="B9123" i="1"/>
  <c r="C9122" i="1"/>
  <c r="B9122" i="1"/>
  <c r="C9121" i="1"/>
  <c r="B9121" i="1"/>
  <c r="C9120" i="1"/>
  <c r="B9120" i="1"/>
  <c r="C9119" i="1"/>
  <c r="B9119" i="1"/>
  <c r="C9118" i="1"/>
  <c r="B9118" i="1"/>
  <c r="C9117" i="1"/>
  <c r="B9117" i="1"/>
  <c r="C9116" i="1"/>
  <c r="B9116" i="1"/>
  <c r="C9115" i="1"/>
  <c r="B9115" i="1"/>
  <c r="C9114" i="1"/>
  <c r="B9114" i="1"/>
  <c r="C9113" i="1"/>
  <c r="B9113" i="1"/>
  <c r="C9112" i="1"/>
  <c r="B9112" i="1"/>
  <c r="C9111" i="1"/>
  <c r="B9111" i="1"/>
  <c r="C9110" i="1"/>
  <c r="B9110" i="1"/>
  <c r="C9109" i="1"/>
  <c r="B9109" i="1"/>
  <c r="C9107" i="1"/>
  <c r="B9107" i="1"/>
  <c r="C9106" i="1"/>
  <c r="B9106" i="1"/>
  <c r="C9105" i="1"/>
  <c r="B9105" i="1"/>
  <c r="C9104" i="1"/>
  <c r="B9104" i="1"/>
  <c r="C9103" i="1"/>
  <c r="B9103" i="1"/>
  <c r="C9102" i="1"/>
  <c r="B9102" i="1"/>
  <c r="C9101" i="1"/>
  <c r="B9101" i="1"/>
  <c r="C9100" i="1"/>
  <c r="B9100" i="1"/>
  <c r="C9099" i="1"/>
  <c r="B9099" i="1"/>
  <c r="C9098" i="1"/>
  <c r="B9098" i="1"/>
  <c r="C9097" i="1"/>
  <c r="B9097" i="1"/>
  <c r="C9096" i="1"/>
  <c r="B9096" i="1"/>
  <c r="C9095" i="1"/>
  <c r="B9095" i="1"/>
  <c r="C9094" i="1"/>
  <c r="B9094" i="1"/>
  <c r="C9093" i="1"/>
  <c r="B9093" i="1"/>
  <c r="C9092" i="1"/>
  <c r="B9092" i="1"/>
  <c r="C9091" i="1"/>
  <c r="B9091" i="1"/>
  <c r="C9090" i="1"/>
  <c r="B9090" i="1"/>
  <c r="C9089" i="1"/>
  <c r="B9089" i="1"/>
  <c r="C9088" i="1"/>
  <c r="B9088" i="1"/>
  <c r="C9087" i="1"/>
  <c r="B9087" i="1"/>
  <c r="C9086" i="1"/>
  <c r="B9086" i="1"/>
  <c r="C9085" i="1"/>
  <c r="B9085" i="1"/>
  <c r="C9084" i="1"/>
  <c r="B9084" i="1"/>
  <c r="C9083" i="1"/>
  <c r="B9083" i="1"/>
  <c r="C9082" i="1"/>
  <c r="B9082" i="1"/>
  <c r="C9081" i="1"/>
  <c r="B9081" i="1"/>
  <c r="C9080" i="1"/>
  <c r="B9080" i="1"/>
  <c r="C9079" i="1"/>
  <c r="B9079" i="1"/>
  <c r="C9078" i="1"/>
  <c r="B9078" i="1"/>
  <c r="C9077" i="1"/>
  <c r="B9077" i="1"/>
  <c r="C9076" i="1"/>
  <c r="B9076" i="1"/>
  <c r="C9075" i="1"/>
  <c r="B9075" i="1"/>
  <c r="C9074" i="1"/>
  <c r="B9074" i="1"/>
  <c r="C9073" i="1"/>
  <c r="B9073" i="1"/>
  <c r="C9072" i="1"/>
  <c r="B9072" i="1"/>
  <c r="C9071" i="1"/>
  <c r="B9071" i="1"/>
  <c r="C9070" i="1"/>
  <c r="B9070" i="1"/>
  <c r="C9069" i="1"/>
  <c r="B9069" i="1"/>
  <c r="C9068" i="1"/>
  <c r="B9068" i="1"/>
  <c r="C9067" i="1"/>
  <c r="B9067" i="1"/>
  <c r="C9066" i="1"/>
  <c r="B9066" i="1"/>
  <c r="C9065" i="1"/>
  <c r="B9065" i="1"/>
  <c r="C9064" i="1"/>
  <c r="B9064" i="1"/>
  <c r="C9063" i="1"/>
  <c r="C9062" i="1"/>
  <c r="B9062" i="1"/>
  <c r="C9061" i="1"/>
  <c r="B9061" i="1"/>
  <c r="C9059" i="1"/>
  <c r="B9059" i="1"/>
  <c r="C9058" i="1"/>
  <c r="C9057" i="1"/>
  <c r="B9057" i="1"/>
  <c r="C9055" i="1"/>
  <c r="B9055" i="1"/>
  <c r="C9054" i="1"/>
  <c r="B9054" i="1"/>
  <c r="C9053" i="1"/>
  <c r="B9053" i="1"/>
  <c r="C9052" i="1"/>
  <c r="B9052" i="1"/>
  <c r="C9051" i="1"/>
  <c r="B9051" i="1"/>
  <c r="C9050" i="1"/>
  <c r="B9050" i="1"/>
  <c r="C9048" i="1"/>
  <c r="B9048" i="1"/>
  <c r="C9047" i="1"/>
  <c r="B9047" i="1"/>
  <c r="C9040" i="1"/>
  <c r="B9040" i="1"/>
  <c r="C9038" i="1"/>
  <c r="B9038" i="1"/>
  <c r="C9037" i="1"/>
  <c r="B9037" i="1"/>
  <c r="C9036" i="1"/>
  <c r="B9036" i="1"/>
  <c r="C9035" i="1"/>
  <c r="B9035" i="1"/>
  <c r="C9034" i="1"/>
  <c r="B9034" i="1"/>
  <c r="C9033" i="1"/>
  <c r="B9033" i="1"/>
  <c r="B9032" i="1"/>
  <c r="C9031" i="1"/>
  <c r="B9031" i="1"/>
  <c r="C9030" i="1"/>
  <c r="B9030" i="1"/>
  <c r="C9029" i="1"/>
  <c r="B9029" i="1"/>
  <c r="C9028" i="1"/>
  <c r="B9028" i="1"/>
  <c r="C9027" i="1"/>
  <c r="B9027" i="1"/>
  <c r="C9025" i="1"/>
  <c r="B9025" i="1"/>
  <c r="C9024" i="1"/>
  <c r="B9024" i="1"/>
  <c r="C9023" i="1"/>
  <c r="B9023" i="1"/>
  <c r="C9022" i="1"/>
  <c r="B9022" i="1"/>
  <c r="C9021" i="1"/>
  <c r="C9020" i="1"/>
  <c r="B9020" i="1"/>
  <c r="C9019" i="1"/>
  <c r="B9019" i="1"/>
  <c r="C9018" i="1"/>
  <c r="B9018" i="1"/>
  <c r="C9017" i="1"/>
  <c r="B9017" i="1"/>
  <c r="C9015" i="1"/>
  <c r="B9015" i="1"/>
  <c r="C9014" i="1"/>
  <c r="B9014" i="1"/>
  <c r="C9013" i="1"/>
  <c r="B9013" i="1"/>
  <c r="C9012" i="1"/>
  <c r="B9012" i="1"/>
  <c r="C9011" i="1"/>
  <c r="B9011" i="1"/>
  <c r="C9010" i="1"/>
  <c r="B9010" i="1"/>
  <c r="C9009" i="1"/>
  <c r="B9009" i="1"/>
  <c r="C9008" i="1"/>
  <c r="B9008" i="1"/>
  <c r="C9007" i="1"/>
  <c r="B9007" i="1"/>
  <c r="C9006" i="1"/>
  <c r="B9006" i="1"/>
  <c r="C9005" i="1"/>
  <c r="B9005" i="1"/>
  <c r="C9004" i="1"/>
  <c r="B9004" i="1"/>
  <c r="C9003" i="1"/>
  <c r="B9003" i="1"/>
  <c r="C9001" i="1"/>
  <c r="B9001" i="1"/>
  <c r="C9000" i="1"/>
  <c r="B9000" i="1"/>
  <c r="C8999" i="1"/>
  <c r="B8999" i="1"/>
  <c r="C8998" i="1"/>
  <c r="B8998" i="1"/>
  <c r="C8997" i="1"/>
  <c r="B8997" i="1"/>
  <c r="C8996" i="1"/>
  <c r="B8996" i="1"/>
  <c r="C8995" i="1"/>
  <c r="B8995" i="1"/>
  <c r="C8994" i="1"/>
  <c r="B8994" i="1"/>
  <c r="C8992" i="1"/>
  <c r="B8992" i="1"/>
  <c r="C8991" i="1"/>
  <c r="B8991" i="1"/>
  <c r="C8990" i="1"/>
  <c r="B8990" i="1"/>
  <c r="C8989" i="1"/>
  <c r="B8989" i="1"/>
  <c r="C8988" i="1"/>
  <c r="B8988" i="1"/>
  <c r="C8987" i="1"/>
  <c r="B8987" i="1"/>
  <c r="C8986" i="1"/>
  <c r="B8986" i="1"/>
  <c r="B8984" i="1"/>
  <c r="B8983" i="1"/>
  <c r="C8982" i="1"/>
  <c r="B8982" i="1"/>
  <c r="C8980" i="1"/>
  <c r="B8980" i="1"/>
  <c r="C8977" i="1"/>
  <c r="B8977" i="1"/>
  <c r="C8976" i="1"/>
  <c r="B8976" i="1"/>
  <c r="C8975" i="1"/>
  <c r="B8975" i="1"/>
  <c r="C8973" i="1"/>
  <c r="B8973" i="1"/>
  <c r="C8970" i="1"/>
  <c r="B8970" i="1"/>
  <c r="C8969" i="1"/>
  <c r="B8969" i="1"/>
  <c r="C8968" i="1"/>
  <c r="B8968" i="1"/>
  <c r="C8967" i="1"/>
  <c r="B8967" i="1"/>
  <c r="B8966" i="1"/>
  <c r="C8965" i="1"/>
  <c r="B8965" i="1"/>
  <c r="C8964" i="1"/>
  <c r="B8964" i="1"/>
  <c r="C8963" i="1"/>
  <c r="B8963" i="1"/>
  <c r="C8962" i="1"/>
  <c r="B8962" i="1"/>
  <c r="C8961" i="1"/>
  <c r="B8961" i="1"/>
  <c r="C8960" i="1"/>
  <c r="B8960" i="1"/>
  <c r="C8957" i="1"/>
  <c r="B8957" i="1"/>
  <c r="C8953" i="1"/>
  <c r="B8953" i="1"/>
  <c r="C8948" i="1"/>
  <c r="B8948" i="1"/>
  <c r="C8946" i="1"/>
  <c r="B8946" i="1"/>
  <c r="B8942" i="1"/>
  <c r="C8939" i="1"/>
  <c r="C8937" i="1"/>
  <c r="B8937" i="1"/>
  <c r="C8931" i="1"/>
  <c r="B8931" i="1"/>
  <c r="C8925" i="1"/>
  <c r="B8925" i="1"/>
  <c r="C8924" i="1"/>
  <c r="B8924" i="1"/>
  <c r="C8922" i="1"/>
  <c r="B8922" i="1"/>
  <c r="C8921" i="1"/>
  <c r="B8921" i="1"/>
  <c r="C8915" i="1"/>
  <c r="B8915" i="1"/>
  <c r="C8914" i="1"/>
  <c r="B8914" i="1"/>
  <c r="C8913" i="1"/>
  <c r="B8913" i="1"/>
  <c r="C8911" i="1"/>
  <c r="B8911" i="1"/>
  <c r="B8908" i="1"/>
  <c r="C8907" i="1"/>
  <c r="B8907" i="1"/>
  <c r="C8906" i="1"/>
  <c r="B8906" i="1"/>
  <c r="B8901" i="1"/>
  <c r="C8897" i="1"/>
  <c r="B8897" i="1"/>
  <c r="C8891" i="1"/>
  <c r="B8891" i="1"/>
  <c r="C8890" i="1"/>
  <c r="B8890" i="1"/>
  <c r="C8889" i="1"/>
  <c r="C8886" i="1"/>
  <c r="B8886" i="1"/>
  <c r="B8882" i="1"/>
  <c r="C8881" i="1"/>
  <c r="B8881" i="1"/>
  <c r="C8875" i="1"/>
  <c r="B8875" i="1"/>
  <c r="C8872" i="1"/>
  <c r="B8872" i="1"/>
  <c r="C8871" i="1"/>
  <c r="B8871" i="1"/>
  <c r="C8868" i="1"/>
  <c r="B8868" i="1"/>
  <c r="C8866" i="1"/>
  <c r="B8866" i="1"/>
  <c r="C8865" i="1"/>
  <c r="B8865" i="1"/>
  <c r="C8864" i="1"/>
  <c r="B8864" i="1"/>
  <c r="C8863" i="1"/>
  <c r="B8863" i="1"/>
  <c r="C8862" i="1"/>
  <c r="B8862" i="1"/>
  <c r="C8861" i="1"/>
  <c r="B8861" i="1"/>
  <c r="C8860" i="1"/>
  <c r="B8860" i="1"/>
  <c r="C8859" i="1"/>
  <c r="B8859" i="1"/>
  <c r="C8858" i="1"/>
  <c r="C8856" i="1"/>
  <c r="B8856" i="1"/>
  <c r="C8854" i="1"/>
  <c r="B8854" i="1"/>
  <c r="C8851" i="1"/>
  <c r="B8851" i="1"/>
  <c r="B8849" i="1"/>
  <c r="B8848" i="1"/>
  <c r="C8847" i="1"/>
  <c r="B8847" i="1"/>
  <c r="C8846" i="1"/>
  <c r="B8846" i="1"/>
  <c r="B8843" i="1"/>
  <c r="C8842" i="1"/>
  <c r="B8842" i="1"/>
  <c r="C8841" i="1"/>
  <c r="B8841" i="1"/>
  <c r="C8839" i="1"/>
  <c r="B8839" i="1"/>
  <c r="C8832" i="1"/>
  <c r="B8832" i="1"/>
  <c r="C8828" i="1"/>
  <c r="B8828" i="1"/>
  <c r="C8827" i="1"/>
  <c r="B8827" i="1"/>
  <c r="C8825" i="1"/>
  <c r="B8825" i="1"/>
  <c r="C8824" i="1"/>
  <c r="B8824" i="1"/>
  <c r="C8820" i="1"/>
  <c r="B8820" i="1"/>
  <c r="C8817" i="1"/>
  <c r="B8817" i="1"/>
  <c r="B8814" i="1"/>
  <c r="C8813" i="1"/>
  <c r="B8813" i="1"/>
  <c r="C8805" i="1"/>
  <c r="B8805" i="1"/>
  <c r="C8802" i="1"/>
  <c r="B8802" i="1"/>
  <c r="C8797" i="1"/>
  <c r="B8797" i="1"/>
  <c r="C8791" i="1"/>
  <c r="B8791" i="1"/>
  <c r="C8790" i="1"/>
  <c r="B8790" i="1"/>
  <c r="C8788" i="1"/>
  <c r="B8788" i="1"/>
  <c r="C8784" i="1"/>
  <c r="B8784" i="1"/>
  <c r="C8783" i="1"/>
  <c r="B8783" i="1"/>
  <c r="C8779" i="1"/>
  <c r="B8779" i="1"/>
  <c r="C8775" i="1"/>
  <c r="B8775" i="1"/>
  <c r="C8767" i="1"/>
  <c r="B8767" i="1"/>
  <c r="C8764" i="1"/>
  <c r="B8764" i="1"/>
  <c r="C8763" i="1"/>
  <c r="B8763" i="1"/>
  <c r="C8760" i="1"/>
  <c r="B8760" i="1"/>
  <c r="C8758" i="1"/>
  <c r="B8758" i="1"/>
  <c r="C8756" i="1"/>
  <c r="B8756" i="1"/>
  <c r="C8755" i="1"/>
  <c r="B8755" i="1"/>
  <c r="C8754" i="1"/>
  <c r="B8754" i="1"/>
  <c r="C8753" i="1"/>
  <c r="B8753" i="1"/>
  <c r="C8750" i="1"/>
  <c r="B8750" i="1"/>
  <c r="C8749" i="1"/>
  <c r="B8749" i="1"/>
  <c r="C8748" i="1"/>
  <c r="B8748" i="1"/>
  <c r="C8747" i="1"/>
  <c r="B8747" i="1"/>
  <c r="C8746" i="1"/>
  <c r="B8746" i="1"/>
  <c r="C8744" i="1"/>
  <c r="B8744" i="1"/>
  <c r="C8743" i="1"/>
  <c r="B8743" i="1"/>
  <c r="C8742" i="1"/>
  <c r="B8742" i="1"/>
  <c r="C8740" i="1"/>
  <c r="B8740" i="1"/>
  <c r="C8739" i="1"/>
  <c r="B8739" i="1"/>
  <c r="C8737" i="1"/>
  <c r="C8734" i="1"/>
  <c r="B8734" i="1"/>
  <c r="C8731" i="1"/>
  <c r="B8731" i="1"/>
  <c r="C8727" i="1"/>
  <c r="B8727" i="1"/>
  <c r="C8726" i="1"/>
  <c r="B8726" i="1"/>
  <c r="C8724" i="1"/>
  <c r="B8724" i="1"/>
  <c r="B8723" i="1"/>
  <c r="C8722" i="1"/>
  <c r="B8722" i="1"/>
  <c r="B8719" i="1"/>
  <c r="C8718" i="1"/>
  <c r="B8718" i="1"/>
  <c r="C8715" i="1"/>
  <c r="B8715" i="1"/>
  <c r="C8714" i="1"/>
  <c r="B8714" i="1"/>
  <c r="C8712" i="1"/>
  <c r="B8712" i="1"/>
  <c r="C8711" i="1"/>
  <c r="B8711" i="1"/>
  <c r="C8710" i="1"/>
  <c r="B8710" i="1"/>
  <c r="C8709" i="1"/>
  <c r="B8709" i="1"/>
  <c r="C8708" i="1"/>
  <c r="B8708" i="1"/>
  <c r="C8703" i="1"/>
  <c r="B8703" i="1"/>
  <c r="C8699" i="1"/>
  <c r="B8699" i="1"/>
  <c r="C8698" i="1"/>
  <c r="B8698" i="1"/>
  <c r="C8694" i="1"/>
  <c r="B8694" i="1"/>
  <c r="C8692" i="1"/>
  <c r="B8692" i="1"/>
  <c r="C8691" i="1"/>
  <c r="B8691" i="1"/>
  <c r="C8690" i="1"/>
  <c r="B8690" i="1"/>
  <c r="C8689" i="1"/>
  <c r="B8689" i="1"/>
  <c r="C8687" i="1"/>
  <c r="B8687" i="1"/>
  <c r="B8686" i="1"/>
  <c r="C8685" i="1"/>
  <c r="B8685" i="1"/>
  <c r="C8684" i="1"/>
  <c r="B8684" i="1"/>
  <c r="C8683" i="1"/>
  <c r="B8683" i="1"/>
  <c r="C8682" i="1"/>
  <c r="C8681" i="1"/>
  <c r="B8681" i="1"/>
  <c r="C8680" i="1"/>
  <c r="B8680" i="1"/>
  <c r="C8679" i="1"/>
  <c r="C8677" i="1"/>
  <c r="C8675" i="1"/>
  <c r="C8667" i="1"/>
  <c r="B8667" i="1"/>
  <c r="C8666" i="1"/>
  <c r="B8666" i="1"/>
  <c r="C8665" i="1"/>
  <c r="B8665" i="1"/>
  <c r="C8663" i="1"/>
  <c r="B8663" i="1"/>
  <c r="C8662" i="1"/>
  <c r="B8662" i="1"/>
  <c r="C8659" i="1"/>
  <c r="B8659" i="1"/>
  <c r="C8657" i="1"/>
  <c r="B8657" i="1"/>
  <c r="C8655" i="1"/>
  <c r="B8655" i="1"/>
  <c r="C8654" i="1"/>
  <c r="B8654" i="1"/>
  <c r="C8652" i="1"/>
  <c r="B8652" i="1"/>
  <c r="C8649" i="1"/>
  <c r="B8649" i="1"/>
  <c r="C8648" i="1"/>
  <c r="B8648" i="1"/>
  <c r="C8646" i="1"/>
  <c r="B8646" i="1"/>
  <c r="C8640" i="1"/>
  <c r="B8640" i="1"/>
  <c r="C8638" i="1"/>
  <c r="B8638" i="1"/>
  <c r="C8637" i="1"/>
  <c r="B8637" i="1"/>
  <c r="C8636" i="1"/>
  <c r="B8636" i="1"/>
  <c r="C8634" i="1"/>
  <c r="B8634" i="1"/>
  <c r="C8633" i="1"/>
  <c r="B8633" i="1"/>
  <c r="C8632" i="1"/>
  <c r="B8632" i="1"/>
  <c r="C8631" i="1"/>
  <c r="B8631" i="1"/>
  <c r="C8626" i="1"/>
  <c r="B8626" i="1"/>
  <c r="C8625" i="1"/>
  <c r="B8625" i="1"/>
  <c r="C8624" i="1"/>
  <c r="B8624" i="1"/>
  <c r="C8623" i="1"/>
  <c r="B8623" i="1"/>
  <c r="C8620" i="1"/>
  <c r="B8620" i="1"/>
  <c r="C8619" i="1"/>
  <c r="B8619" i="1"/>
  <c r="C8618" i="1"/>
  <c r="B8618" i="1"/>
  <c r="C8616" i="1"/>
  <c r="B8616" i="1"/>
  <c r="C8613" i="1"/>
  <c r="B8613" i="1"/>
  <c r="C8612" i="1"/>
  <c r="B8612" i="1"/>
  <c r="C8608" i="1"/>
  <c r="B8608" i="1"/>
  <c r="C8607" i="1"/>
  <c r="B8607" i="1"/>
  <c r="C8606" i="1"/>
  <c r="B8606" i="1"/>
  <c r="C8605" i="1"/>
  <c r="B8605" i="1"/>
  <c r="C8604" i="1"/>
  <c r="B8604" i="1"/>
  <c r="C8603" i="1"/>
  <c r="B8603" i="1"/>
  <c r="C8602" i="1"/>
  <c r="B8602" i="1"/>
  <c r="C8601" i="1"/>
  <c r="B8601" i="1"/>
  <c r="B8598" i="1"/>
  <c r="C8596" i="1"/>
  <c r="B8596" i="1"/>
  <c r="B8595" i="1"/>
  <c r="C8594" i="1"/>
  <c r="B8594" i="1"/>
  <c r="C8592" i="1"/>
  <c r="B8592" i="1"/>
  <c r="C8591" i="1"/>
  <c r="B8591" i="1"/>
  <c r="C8590" i="1"/>
  <c r="B8590" i="1"/>
  <c r="C8588" i="1"/>
  <c r="B8588" i="1"/>
  <c r="C8587" i="1"/>
  <c r="B8587" i="1"/>
  <c r="C8586" i="1"/>
  <c r="B8586" i="1"/>
  <c r="C8585" i="1"/>
  <c r="B8585" i="1"/>
  <c r="C8584" i="1"/>
  <c r="B8584" i="1"/>
  <c r="C8583" i="1"/>
  <c r="B8583" i="1"/>
  <c r="C8582" i="1"/>
  <c r="B8582" i="1"/>
  <c r="B8581" i="1"/>
  <c r="C8580" i="1"/>
  <c r="B8580" i="1"/>
  <c r="C8578" i="1"/>
  <c r="B8578" i="1"/>
  <c r="C8576" i="1"/>
  <c r="B8576" i="1"/>
  <c r="C8575" i="1"/>
  <c r="B8575" i="1"/>
  <c r="C8574" i="1"/>
  <c r="B8574" i="1"/>
  <c r="C8573" i="1"/>
  <c r="B8573" i="1"/>
  <c r="C8572" i="1"/>
  <c r="B8572" i="1"/>
  <c r="C8571" i="1"/>
  <c r="B8571" i="1"/>
  <c r="C8569" i="1"/>
  <c r="B8569" i="1"/>
  <c r="C8568" i="1"/>
  <c r="B8568" i="1"/>
  <c r="C8566" i="1"/>
  <c r="B8566" i="1"/>
  <c r="C8565" i="1"/>
  <c r="B8565" i="1"/>
  <c r="C8562" i="1"/>
  <c r="B8562" i="1"/>
  <c r="C8561" i="1"/>
  <c r="B8561" i="1"/>
  <c r="C8560" i="1"/>
  <c r="B8560" i="1"/>
  <c r="C8559" i="1"/>
  <c r="B8559" i="1"/>
  <c r="C8557" i="1"/>
  <c r="B8557" i="1"/>
  <c r="C8555" i="1"/>
  <c r="B8555" i="1"/>
  <c r="C8554" i="1"/>
  <c r="B8554" i="1"/>
  <c r="C8553" i="1"/>
  <c r="B8553" i="1"/>
  <c r="C8552" i="1"/>
  <c r="B8552" i="1"/>
  <c r="C8551" i="1"/>
  <c r="B8551" i="1"/>
  <c r="C8549" i="1"/>
  <c r="B8549" i="1"/>
  <c r="C8548" i="1"/>
  <c r="B8548" i="1"/>
  <c r="C8547" i="1"/>
  <c r="B8547" i="1"/>
  <c r="C8546" i="1"/>
  <c r="B8546" i="1"/>
  <c r="C8545" i="1"/>
  <c r="B8545" i="1"/>
  <c r="C8544" i="1"/>
  <c r="B8544" i="1"/>
  <c r="C8542" i="1"/>
  <c r="B8542" i="1"/>
  <c r="C8541" i="1"/>
  <c r="B8541" i="1"/>
  <c r="C8540" i="1"/>
  <c r="B8540" i="1"/>
  <c r="C8539" i="1"/>
  <c r="B8539" i="1"/>
  <c r="C8538" i="1"/>
  <c r="B8538" i="1"/>
  <c r="C8537" i="1"/>
  <c r="B8537" i="1"/>
  <c r="C8535" i="1"/>
  <c r="B8535" i="1"/>
  <c r="C8534" i="1"/>
  <c r="B8534" i="1"/>
  <c r="C8533" i="1"/>
  <c r="B8533" i="1"/>
  <c r="C8532" i="1"/>
  <c r="B8532" i="1"/>
  <c r="C8531" i="1"/>
  <c r="C8530" i="1"/>
  <c r="B8530" i="1"/>
  <c r="C8529" i="1"/>
  <c r="B8529" i="1"/>
  <c r="C8528" i="1"/>
  <c r="B8528" i="1"/>
  <c r="C8526" i="1"/>
  <c r="B8526" i="1"/>
  <c r="C8525" i="1"/>
  <c r="B8525" i="1"/>
  <c r="C8524" i="1"/>
  <c r="B8524" i="1"/>
  <c r="C8519" i="1"/>
  <c r="B8519" i="1"/>
  <c r="C8517" i="1"/>
  <c r="B8517" i="1"/>
  <c r="C8516" i="1"/>
  <c r="B8516" i="1"/>
  <c r="C8514" i="1"/>
  <c r="B8514" i="1"/>
  <c r="C8513" i="1"/>
  <c r="B8513" i="1"/>
  <c r="C8510" i="1"/>
  <c r="B8510" i="1"/>
  <c r="C8509" i="1"/>
  <c r="B8509" i="1"/>
  <c r="C8505" i="1"/>
  <c r="B8505" i="1"/>
  <c r="C8504" i="1"/>
  <c r="B8504" i="1"/>
  <c r="C8502" i="1"/>
  <c r="B8502" i="1"/>
  <c r="C8501" i="1"/>
  <c r="B8501" i="1"/>
  <c r="C8500" i="1"/>
  <c r="B8500" i="1"/>
  <c r="C8498" i="1"/>
  <c r="B8498" i="1"/>
  <c r="C8497" i="1"/>
  <c r="B8497" i="1"/>
  <c r="C8496" i="1"/>
  <c r="B8496" i="1"/>
  <c r="C8495" i="1"/>
  <c r="B8495" i="1"/>
  <c r="C8494" i="1"/>
  <c r="B8494" i="1"/>
  <c r="C8493" i="1"/>
  <c r="B8493" i="1"/>
  <c r="C8490" i="1"/>
  <c r="B8490" i="1"/>
  <c r="C8489" i="1"/>
  <c r="B8489" i="1"/>
  <c r="C8487" i="1"/>
  <c r="B8487" i="1"/>
  <c r="C8486" i="1"/>
  <c r="B8486" i="1"/>
  <c r="C8485" i="1"/>
  <c r="B8485" i="1"/>
  <c r="C8483" i="1"/>
  <c r="B8483" i="1"/>
  <c r="C8482" i="1"/>
  <c r="B8482" i="1"/>
  <c r="C8481" i="1"/>
  <c r="B8481" i="1"/>
  <c r="B8480" i="1"/>
  <c r="C8479" i="1"/>
  <c r="B8479" i="1"/>
  <c r="C8478" i="1"/>
  <c r="B8478" i="1"/>
  <c r="C8477" i="1"/>
  <c r="B8477" i="1"/>
  <c r="C8476" i="1"/>
  <c r="B8476" i="1"/>
  <c r="C8475" i="1"/>
  <c r="B8475" i="1"/>
  <c r="C8473" i="1"/>
  <c r="B8473" i="1"/>
  <c r="C8472" i="1"/>
  <c r="B8472" i="1"/>
  <c r="C8471" i="1"/>
  <c r="B8471" i="1"/>
  <c r="C8470" i="1"/>
  <c r="B8470" i="1"/>
  <c r="C8469" i="1"/>
  <c r="B8469" i="1"/>
  <c r="C8468" i="1"/>
  <c r="B8468" i="1"/>
  <c r="C8466" i="1"/>
  <c r="B8466" i="1"/>
  <c r="C8465" i="1"/>
  <c r="B8465" i="1"/>
  <c r="C8464" i="1"/>
  <c r="B8464" i="1"/>
  <c r="C8462" i="1"/>
  <c r="B8462" i="1"/>
  <c r="C8461" i="1"/>
  <c r="B8461" i="1"/>
  <c r="C8460" i="1"/>
  <c r="B8459" i="1"/>
  <c r="C8458" i="1"/>
  <c r="C8457" i="1"/>
  <c r="C8456" i="1"/>
  <c r="C8455" i="1"/>
  <c r="C8454" i="1"/>
  <c r="B8454" i="1"/>
  <c r="C8453" i="1"/>
  <c r="B8453" i="1"/>
  <c r="C8452" i="1"/>
  <c r="B8452" i="1"/>
  <c r="C8450" i="1"/>
  <c r="B8450" i="1"/>
  <c r="C8449" i="1"/>
  <c r="B8449" i="1"/>
  <c r="C8447" i="1"/>
  <c r="B8447" i="1"/>
  <c r="C8446" i="1"/>
  <c r="B8446" i="1"/>
  <c r="C8443" i="1"/>
  <c r="B8443" i="1"/>
  <c r="C8440" i="1"/>
  <c r="B8440" i="1"/>
  <c r="C8439" i="1"/>
  <c r="B8439" i="1"/>
  <c r="C8437" i="1"/>
  <c r="B8437" i="1"/>
  <c r="C8432" i="1"/>
  <c r="B8432" i="1"/>
  <c r="B8431" i="1"/>
  <c r="C8430" i="1"/>
  <c r="B8430" i="1"/>
  <c r="C8429" i="1"/>
  <c r="B8429" i="1"/>
  <c r="C8428" i="1"/>
  <c r="B8428" i="1"/>
  <c r="C8421" i="1"/>
  <c r="B8421" i="1"/>
  <c r="C8420" i="1"/>
  <c r="B8420" i="1"/>
  <c r="C8417" i="1"/>
  <c r="B8417" i="1"/>
  <c r="C8412" i="1"/>
  <c r="B8412" i="1"/>
  <c r="C8409" i="1"/>
  <c r="B8409" i="1"/>
  <c r="C8408" i="1"/>
  <c r="B8408" i="1"/>
  <c r="C8407" i="1"/>
  <c r="B8407" i="1"/>
  <c r="C8404" i="1"/>
  <c r="B8404" i="1"/>
  <c r="C8402" i="1"/>
  <c r="B8402" i="1"/>
  <c r="C8401" i="1"/>
  <c r="B8401" i="1"/>
  <c r="C8400" i="1"/>
  <c r="B8400" i="1"/>
  <c r="C8399" i="1"/>
  <c r="B8399" i="1"/>
  <c r="C8398" i="1"/>
  <c r="B8398" i="1"/>
  <c r="C8397" i="1"/>
  <c r="B8397" i="1"/>
  <c r="C8396" i="1"/>
  <c r="B8396" i="1"/>
  <c r="C8395" i="1"/>
  <c r="B8395" i="1"/>
  <c r="C8394" i="1"/>
  <c r="B8394" i="1"/>
  <c r="C8393" i="1"/>
  <c r="B8393" i="1"/>
  <c r="C8390" i="1"/>
  <c r="B8390" i="1"/>
  <c r="C8388" i="1"/>
  <c r="B8388" i="1"/>
  <c r="C8385" i="1"/>
  <c r="B8385" i="1"/>
  <c r="C8384" i="1"/>
  <c r="B8384" i="1"/>
  <c r="C8383" i="1"/>
  <c r="B8383" i="1"/>
  <c r="C8382" i="1"/>
  <c r="B8382" i="1"/>
  <c r="C8381" i="1"/>
  <c r="B8381" i="1"/>
  <c r="C8379" i="1"/>
  <c r="B8379" i="1"/>
  <c r="C8378" i="1"/>
  <c r="B8378" i="1"/>
  <c r="C8376" i="1"/>
  <c r="B8376" i="1"/>
  <c r="C8374" i="1"/>
  <c r="B8374" i="1"/>
  <c r="C8371" i="1"/>
  <c r="B8371" i="1"/>
  <c r="C8370" i="1"/>
  <c r="B8370" i="1"/>
  <c r="C8369" i="1"/>
  <c r="B8369" i="1"/>
  <c r="C8368" i="1"/>
  <c r="B8368" i="1"/>
  <c r="C8367" i="1"/>
  <c r="B8367" i="1"/>
  <c r="C8366" i="1"/>
  <c r="B8366" i="1"/>
  <c r="C8365" i="1"/>
  <c r="B8365" i="1"/>
  <c r="C8364" i="1"/>
  <c r="B8364" i="1"/>
  <c r="C8363" i="1"/>
  <c r="B8363" i="1"/>
  <c r="C8360" i="1"/>
  <c r="B8360" i="1"/>
  <c r="C8359" i="1"/>
  <c r="B8359" i="1"/>
  <c r="C8358" i="1"/>
  <c r="B8358" i="1"/>
  <c r="C8357" i="1"/>
  <c r="B8357" i="1"/>
  <c r="C8355" i="1"/>
  <c r="B8355" i="1"/>
  <c r="C8354" i="1"/>
  <c r="B8354" i="1"/>
  <c r="B8353" i="1"/>
  <c r="C8348" i="1"/>
  <c r="B8348" i="1"/>
  <c r="C8347" i="1"/>
  <c r="B8347" i="1"/>
  <c r="C8342" i="1"/>
  <c r="B8342" i="1"/>
  <c r="C8341" i="1"/>
  <c r="B8341" i="1"/>
  <c r="C8340" i="1"/>
  <c r="C8339" i="1"/>
  <c r="B8339" i="1"/>
  <c r="C8338" i="1"/>
  <c r="B8338" i="1"/>
  <c r="B8337" i="1"/>
  <c r="C8336" i="1"/>
  <c r="B8336" i="1"/>
  <c r="C8334" i="1"/>
  <c r="B8334" i="1"/>
  <c r="C8331" i="1"/>
  <c r="B8331" i="1"/>
  <c r="C8330" i="1"/>
  <c r="B8330" i="1"/>
  <c r="C8328" i="1"/>
  <c r="B8328" i="1"/>
  <c r="C8327" i="1"/>
  <c r="B8327" i="1"/>
  <c r="C8326" i="1"/>
  <c r="B8326" i="1"/>
  <c r="C8325" i="1"/>
  <c r="B8325" i="1"/>
  <c r="C8322" i="1"/>
  <c r="C8319" i="1"/>
  <c r="B8319" i="1"/>
  <c r="C8318" i="1"/>
  <c r="C8317" i="1"/>
  <c r="B8317" i="1"/>
  <c r="C8316" i="1"/>
  <c r="B8316" i="1"/>
  <c r="C8312" i="1"/>
  <c r="B8312" i="1"/>
  <c r="C8310" i="1"/>
  <c r="B8310" i="1"/>
  <c r="C8309" i="1"/>
  <c r="B8309" i="1"/>
  <c r="C8307" i="1"/>
  <c r="B8307" i="1"/>
  <c r="C8306" i="1"/>
  <c r="B8306" i="1"/>
  <c r="C8305" i="1"/>
  <c r="B8305" i="1"/>
  <c r="C8303" i="1"/>
  <c r="B8303" i="1"/>
  <c r="C8302" i="1"/>
  <c r="B8302" i="1"/>
  <c r="C8299" i="1"/>
  <c r="B8299" i="1"/>
  <c r="C8297" i="1"/>
  <c r="B8297" i="1"/>
  <c r="C8296" i="1"/>
  <c r="B8296" i="1"/>
  <c r="C8295" i="1"/>
  <c r="B8295" i="1"/>
  <c r="C8294" i="1"/>
  <c r="B8294" i="1"/>
  <c r="C8293" i="1"/>
  <c r="B8293" i="1"/>
  <c r="C8292" i="1"/>
  <c r="B8292" i="1"/>
  <c r="C8291" i="1"/>
  <c r="B8291" i="1"/>
  <c r="C8290" i="1"/>
  <c r="B8290" i="1"/>
  <c r="C8289" i="1"/>
  <c r="B8289" i="1"/>
  <c r="C8288" i="1"/>
  <c r="B8288" i="1"/>
  <c r="C8285" i="1"/>
  <c r="B8285" i="1"/>
  <c r="C8284" i="1"/>
  <c r="B8284" i="1"/>
  <c r="C8283" i="1"/>
  <c r="B8283" i="1"/>
  <c r="C8282" i="1"/>
  <c r="B8282" i="1"/>
  <c r="C8281" i="1"/>
  <c r="B8281" i="1"/>
  <c r="C8280" i="1"/>
  <c r="B8280" i="1"/>
  <c r="C8275" i="1"/>
  <c r="B8275" i="1"/>
  <c r="C8274" i="1"/>
  <c r="B8274" i="1"/>
  <c r="C8273" i="1"/>
  <c r="B8273" i="1"/>
  <c r="C8272" i="1"/>
  <c r="B8272" i="1"/>
  <c r="C8271" i="1"/>
  <c r="B8271" i="1"/>
  <c r="C8270" i="1"/>
  <c r="B8270" i="1"/>
  <c r="C8269" i="1"/>
  <c r="C8267" i="1"/>
  <c r="B8267" i="1"/>
  <c r="C8266" i="1"/>
  <c r="B8266" i="1"/>
  <c r="C8265" i="1"/>
  <c r="B8265" i="1"/>
  <c r="C8264" i="1"/>
  <c r="B8264" i="1"/>
  <c r="C8263" i="1"/>
  <c r="B8263" i="1"/>
  <c r="C8262" i="1"/>
  <c r="B8262" i="1"/>
  <c r="C8261" i="1"/>
  <c r="B8261" i="1"/>
  <c r="C8260" i="1"/>
  <c r="B8260" i="1"/>
  <c r="C8259" i="1"/>
  <c r="B8259" i="1"/>
  <c r="C8258" i="1"/>
  <c r="B8258" i="1"/>
  <c r="C8256" i="1"/>
  <c r="B8256" i="1"/>
  <c r="C8255" i="1"/>
  <c r="C8254" i="1"/>
  <c r="B8254" i="1"/>
  <c r="C8253" i="1"/>
  <c r="B8253" i="1"/>
  <c r="C8250" i="1"/>
  <c r="B8250" i="1"/>
  <c r="C8249" i="1"/>
  <c r="B8249" i="1"/>
  <c r="C8248" i="1"/>
  <c r="B8248" i="1"/>
  <c r="C8246" i="1"/>
  <c r="B8246" i="1"/>
  <c r="C8245" i="1"/>
  <c r="B8245" i="1"/>
  <c r="C8244" i="1"/>
  <c r="B8244" i="1"/>
  <c r="C8243" i="1"/>
  <c r="B8243" i="1"/>
  <c r="C8242" i="1"/>
  <c r="B8242" i="1"/>
  <c r="C8241" i="1"/>
  <c r="B8241" i="1"/>
  <c r="C8240" i="1"/>
  <c r="B8240" i="1"/>
  <c r="C8238" i="1"/>
  <c r="B8238" i="1"/>
  <c r="C8236" i="1"/>
  <c r="B8236" i="1"/>
  <c r="C8235" i="1"/>
  <c r="B8235" i="1"/>
  <c r="C8234" i="1"/>
  <c r="B8234" i="1"/>
  <c r="C8233" i="1"/>
  <c r="B8233" i="1"/>
  <c r="C8231" i="1"/>
  <c r="B8231" i="1"/>
  <c r="C8229" i="1"/>
  <c r="B8229" i="1"/>
  <c r="C8226" i="1"/>
  <c r="B8226" i="1"/>
  <c r="C8225" i="1"/>
  <c r="B8225" i="1"/>
  <c r="C8224" i="1"/>
  <c r="B8224" i="1"/>
  <c r="C8222" i="1"/>
  <c r="B8222" i="1"/>
  <c r="C8221" i="1"/>
  <c r="B8221" i="1"/>
  <c r="C8219" i="1"/>
  <c r="B8219" i="1"/>
  <c r="C8218" i="1"/>
  <c r="B8218" i="1"/>
  <c r="C8217" i="1"/>
  <c r="B8217" i="1"/>
  <c r="C8215" i="1"/>
  <c r="B8215" i="1"/>
  <c r="C8214" i="1"/>
  <c r="B8214" i="1"/>
  <c r="C8213" i="1"/>
  <c r="B8213" i="1"/>
  <c r="C8212" i="1"/>
  <c r="B8212" i="1"/>
  <c r="C8211" i="1"/>
  <c r="B8211" i="1"/>
  <c r="C8210" i="1"/>
  <c r="C8209" i="1"/>
  <c r="C8208" i="1"/>
  <c r="C8207" i="1"/>
  <c r="B8207" i="1"/>
  <c r="C8206" i="1"/>
  <c r="B8206" i="1"/>
  <c r="C8205" i="1"/>
  <c r="B8205" i="1"/>
  <c r="C8204" i="1"/>
  <c r="B8204" i="1"/>
  <c r="C8203" i="1"/>
  <c r="B8203" i="1"/>
  <c r="C8202" i="1"/>
  <c r="B8202" i="1"/>
  <c r="C8201" i="1"/>
  <c r="B8201" i="1"/>
  <c r="C8200" i="1"/>
  <c r="B8200" i="1"/>
  <c r="C8199" i="1"/>
  <c r="B8199" i="1"/>
  <c r="C8198" i="1"/>
  <c r="B8198" i="1"/>
  <c r="C8197" i="1"/>
  <c r="B8197" i="1"/>
  <c r="C8196" i="1"/>
  <c r="B8196" i="1"/>
  <c r="C8195" i="1"/>
  <c r="B8195" i="1"/>
  <c r="C8194" i="1"/>
  <c r="B8194" i="1"/>
  <c r="C8193" i="1"/>
  <c r="B8193" i="1"/>
  <c r="C8192" i="1"/>
  <c r="B8192" i="1"/>
  <c r="C8191" i="1"/>
  <c r="B8191" i="1"/>
  <c r="C8190" i="1"/>
  <c r="B8190" i="1"/>
  <c r="C8188" i="1"/>
  <c r="B8188" i="1"/>
  <c r="C8187" i="1"/>
  <c r="B8187" i="1"/>
  <c r="C8186" i="1"/>
  <c r="B8186" i="1"/>
  <c r="C8185" i="1"/>
  <c r="B8185" i="1"/>
  <c r="C8184" i="1"/>
  <c r="B8184" i="1"/>
  <c r="C8183" i="1"/>
  <c r="B8183" i="1"/>
  <c r="C8182" i="1"/>
  <c r="B8182" i="1"/>
  <c r="C8181" i="1"/>
  <c r="B8181" i="1"/>
  <c r="C8180" i="1"/>
  <c r="B8180" i="1"/>
  <c r="C8179" i="1"/>
  <c r="B8179" i="1"/>
  <c r="C8178" i="1"/>
  <c r="B8178" i="1"/>
  <c r="C8177" i="1"/>
  <c r="B8177" i="1"/>
  <c r="C8176" i="1"/>
  <c r="B8176" i="1"/>
  <c r="C8175" i="1"/>
  <c r="B8175" i="1"/>
  <c r="C8173" i="1"/>
  <c r="B8173" i="1"/>
  <c r="C8172" i="1"/>
  <c r="B8172" i="1"/>
  <c r="C8171" i="1"/>
  <c r="B8171" i="1"/>
  <c r="C8170" i="1"/>
  <c r="B8170" i="1"/>
  <c r="C8169" i="1"/>
  <c r="B8169" i="1"/>
  <c r="C8168" i="1"/>
  <c r="B8168" i="1"/>
  <c r="C8167" i="1"/>
  <c r="B8167" i="1"/>
  <c r="C8166" i="1"/>
  <c r="B8166" i="1"/>
  <c r="C8165" i="1"/>
  <c r="B8165" i="1"/>
  <c r="C8164" i="1"/>
  <c r="B8164" i="1"/>
  <c r="C8163" i="1"/>
  <c r="B8163" i="1"/>
  <c r="C8162" i="1"/>
  <c r="B8162" i="1"/>
  <c r="C8161" i="1"/>
  <c r="B8161" i="1"/>
  <c r="C8160" i="1"/>
  <c r="B8160" i="1"/>
  <c r="C8158" i="1"/>
  <c r="B8158" i="1"/>
  <c r="C8157" i="1"/>
  <c r="B8157" i="1"/>
  <c r="C8156" i="1"/>
  <c r="B8156" i="1"/>
  <c r="C8155" i="1"/>
  <c r="B8155" i="1"/>
  <c r="C8154" i="1"/>
  <c r="B8154" i="1"/>
  <c r="C8153" i="1"/>
  <c r="B8153" i="1"/>
  <c r="C8152" i="1"/>
  <c r="B8152" i="1"/>
  <c r="C8151" i="1"/>
  <c r="B8151" i="1"/>
  <c r="C8150" i="1"/>
  <c r="B8150" i="1"/>
  <c r="C8149" i="1"/>
  <c r="B8149" i="1"/>
  <c r="C8148" i="1"/>
  <c r="B8148" i="1"/>
  <c r="C8147" i="1"/>
  <c r="B8147" i="1"/>
  <c r="C8146" i="1"/>
  <c r="B8146" i="1"/>
  <c r="C8145" i="1"/>
  <c r="B8145" i="1"/>
  <c r="C8144" i="1"/>
  <c r="B8144" i="1"/>
  <c r="C8143" i="1"/>
  <c r="B8143" i="1"/>
  <c r="C8141" i="1"/>
  <c r="B8141" i="1"/>
  <c r="C8140" i="1"/>
  <c r="B8140" i="1"/>
  <c r="C8139" i="1"/>
  <c r="B8139" i="1"/>
  <c r="C8138" i="1"/>
  <c r="B8138" i="1"/>
  <c r="C8137" i="1"/>
  <c r="B8137" i="1"/>
  <c r="C8136" i="1"/>
  <c r="B8136" i="1"/>
  <c r="C8135" i="1"/>
  <c r="B8135" i="1"/>
  <c r="C8134" i="1"/>
  <c r="B8134" i="1"/>
  <c r="C8133" i="1"/>
  <c r="B8133" i="1"/>
  <c r="C8132" i="1"/>
  <c r="B8132" i="1"/>
  <c r="C8131" i="1"/>
  <c r="B8131" i="1"/>
  <c r="C8130" i="1"/>
  <c r="B8130" i="1"/>
  <c r="C8129" i="1"/>
  <c r="B8129" i="1"/>
  <c r="B8128" i="1"/>
  <c r="C8127" i="1"/>
  <c r="B8127" i="1"/>
  <c r="C8126" i="1"/>
  <c r="B8126" i="1"/>
  <c r="C8125" i="1"/>
  <c r="B8125" i="1"/>
  <c r="C8124" i="1"/>
  <c r="B8124" i="1"/>
  <c r="C8123" i="1"/>
  <c r="B8123" i="1"/>
  <c r="C8122" i="1"/>
  <c r="B8122" i="1"/>
  <c r="C8120" i="1"/>
  <c r="B8120" i="1"/>
  <c r="C8119" i="1"/>
  <c r="B8119" i="1"/>
  <c r="C8118" i="1"/>
  <c r="B8118" i="1"/>
  <c r="C8117" i="1"/>
  <c r="C8116" i="1"/>
  <c r="B8116" i="1"/>
  <c r="C8115" i="1"/>
  <c r="B8115" i="1"/>
  <c r="C8114" i="1"/>
  <c r="B8114" i="1"/>
  <c r="C8113" i="1"/>
  <c r="C8112" i="1"/>
  <c r="C8111" i="1"/>
  <c r="C8110" i="1"/>
  <c r="C8108" i="1"/>
  <c r="B8108" i="1"/>
  <c r="C8107" i="1"/>
  <c r="B8107" i="1"/>
  <c r="C8106" i="1"/>
  <c r="B8106" i="1"/>
  <c r="C8103" i="1"/>
  <c r="C8102" i="1"/>
  <c r="B8102" i="1"/>
  <c r="C8101" i="1"/>
  <c r="B8101" i="1"/>
  <c r="C8099" i="1"/>
  <c r="B8099" i="1"/>
  <c r="C8098" i="1"/>
  <c r="B8098" i="1"/>
  <c r="C8096" i="1"/>
  <c r="B8096" i="1"/>
  <c r="C8095" i="1"/>
  <c r="B8095" i="1"/>
  <c r="B8094" i="1"/>
  <c r="C8093" i="1"/>
  <c r="B8093" i="1"/>
  <c r="C8092" i="1"/>
  <c r="B8092" i="1"/>
  <c r="C8091" i="1"/>
  <c r="B8091" i="1"/>
  <c r="C8090" i="1"/>
  <c r="B8090" i="1"/>
  <c r="C8089" i="1"/>
  <c r="B8089" i="1"/>
  <c r="C8088" i="1"/>
  <c r="B8088" i="1"/>
  <c r="C8087" i="1"/>
  <c r="B8087" i="1"/>
  <c r="C8086" i="1"/>
  <c r="B8086" i="1"/>
  <c r="C8085" i="1"/>
  <c r="B8085" i="1"/>
  <c r="C8084" i="1"/>
  <c r="B8084" i="1"/>
  <c r="C8083" i="1"/>
  <c r="B8083" i="1"/>
  <c r="C8082" i="1"/>
  <c r="B8082" i="1"/>
  <c r="C8081" i="1"/>
  <c r="B8081" i="1"/>
  <c r="C8080" i="1"/>
  <c r="B8080" i="1"/>
  <c r="C8079" i="1"/>
  <c r="B8079" i="1"/>
  <c r="C8078" i="1"/>
  <c r="B8078" i="1"/>
  <c r="C8077" i="1"/>
  <c r="B8077" i="1"/>
  <c r="C8075" i="1"/>
  <c r="B8075" i="1"/>
  <c r="B8074" i="1"/>
  <c r="C8073" i="1"/>
  <c r="B8073" i="1"/>
  <c r="C8072" i="1"/>
  <c r="B8072" i="1"/>
  <c r="C8070" i="1"/>
  <c r="B8070" i="1"/>
  <c r="C8069" i="1"/>
  <c r="B8069" i="1"/>
  <c r="C8068" i="1"/>
  <c r="B8068" i="1"/>
  <c r="C8067" i="1"/>
  <c r="B8067" i="1"/>
  <c r="C8065" i="1"/>
  <c r="B8065" i="1"/>
  <c r="C8060" i="1"/>
  <c r="B8060" i="1"/>
  <c r="B8059" i="1"/>
  <c r="C8058" i="1"/>
  <c r="C8054" i="1"/>
  <c r="B8054" i="1"/>
  <c r="C8053" i="1"/>
  <c r="B8053" i="1"/>
  <c r="C8052" i="1"/>
  <c r="B8052" i="1"/>
  <c r="C8050" i="1"/>
  <c r="B8050" i="1"/>
  <c r="C8049" i="1"/>
  <c r="B8049" i="1"/>
  <c r="C8047" i="1"/>
  <c r="B8047" i="1"/>
  <c r="C8046" i="1"/>
  <c r="B8046" i="1"/>
  <c r="B8044" i="1"/>
  <c r="C8043" i="1"/>
  <c r="B8043" i="1"/>
  <c r="C8041" i="1"/>
  <c r="B8041" i="1"/>
  <c r="C8039" i="1"/>
  <c r="B8039" i="1"/>
  <c r="C8038" i="1"/>
  <c r="B8038" i="1"/>
  <c r="C8035" i="1"/>
  <c r="B8035" i="1"/>
  <c r="C8034" i="1"/>
  <c r="C8031" i="1"/>
  <c r="B8031" i="1"/>
  <c r="C8030" i="1"/>
  <c r="B8030" i="1"/>
  <c r="C8029" i="1"/>
  <c r="B8029" i="1"/>
  <c r="C8022" i="1"/>
  <c r="B8022" i="1"/>
  <c r="C8019" i="1"/>
  <c r="B8019" i="1"/>
  <c r="C8018" i="1"/>
  <c r="B8018" i="1"/>
  <c r="C8017" i="1"/>
  <c r="B8017" i="1"/>
  <c r="C8016" i="1"/>
  <c r="B8016" i="1"/>
  <c r="C8015" i="1"/>
  <c r="B8015" i="1"/>
  <c r="C8014" i="1"/>
  <c r="B8014" i="1"/>
  <c r="C8012" i="1"/>
  <c r="B8012" i="1"/>
  <c r="C8011" i="1"/>
  <c r="B8011" i="1"/>
  <c r="C8007" i="1"/>
  <c r="C8006" i="1"/>
  <c r="B8006" i="1"/>
  <c r="C8005" i="1"/>
  <c r="B8005" i="1"/>
  <c r="C8004" i="1"/>
  <c r="B8004" i="1"/>
  <c r="C8002" i="1"/>
  <c r="B8002" i="1"/>
  <c r="C8001" i="1"/>
  <c r="B8001" i="1"/>
  <c r="C7999" i="1"/>
  <c r="B7999" i="1"/>
  <c r="C7998" i="1"/>
  <c r="B7998" i="1"/>
  <c r="C7997" i="1"/>
  <c r="B7997" i="1"/>
  <c r="B7996" i="1"/>
  <c r="B7995" i="1"/>
  <c r="B7994" i="1"/>
  <c r="C7993" i="1"/>
  <c r="B7993" i="1"/>
  <c r="C7992" i="1"/>
  <c r="B7992" i="1"/>
  <c r="C7991" i="1"/>
  <c r="B7991" i="1"/>
  <c r="C7990" i="1"/>
  <c r="B7990" i="1"/>
  <c r="C7989" i="1"/>
  <c r="B7989" i="1"/>
  <c r="C7988" i="1"/>
  <c r="B7988" i="1"/>
  <c r="C7987" i="1"/>
  <c r="B7987" i="1"/>
  <c r="C7985" i="1"/>
  <c r="B7985" i="1"/>
  <c r="C7984" i="1"/>
  <c r="B7984" i="1"/>
  <c r="C7983" i="1"/>
  <c r="B7983" i="1"/>
  <c r="C7982" i="1"/>
  <c r="B7982" i="1"/>
  <c r="C7979" i="1"/>
  <c r="B7979" i="1"/>
  <c r="C7978" i="1"/>
  <c r="B7978" i="1"/>
  <c r="C7977" i="1"/>
  <c r="B7977" i="1"/>
  <c r="C7976" i="1"/>
  <c r="B7976" i="1"/>
  <c r="C7975" i="1"/>
  <c r="B7975" i="1"/>
  <c r="C7973" i="1"/>
  <c r="B7973" i="1"/>
  <c r="C7970" i="1"/>
  <c r="B7970" i="1"/>
  <c r="C7954" i="1"/>
  <c r="B7954" i="1"/>
  <c r="C7953" i="1"/>
  <c r="B7953" i="1"/>
  <c r="C7952" i="1"/>
  <c r="B7952" i="1"/>
  <c r="C7949" i="1"/>
  <c r="B7949" i="1"/>
  <c r="C7948" i="1"/>
  <c r="B7948" i="1"/>
  <c r="C7946" i="1"/>
  <c r="B7946" i="1"/>
  <c r="C7941" i="1"/>
  <c r="B7941" i="1"/>
  <c r="C7940" i="1"/>
  <c r="B7940" i="1"/>
  <c r="C7939" i="1"/>
  <c r="B7939" i="1"/>
  <c r="C7938" i="1"/>
  <c r="B7938" i="1"/>
  <c r="C7937" i="1"/>
  <c r="B7937" i="1"/>
  <c r="C7936" i="1"/>
  <c r="B7936" i="1"/>
  <c r="B7933" i="1"/>
  <c r="C7932" i="1"/>
  <c r="B7932" i="1"/>
  <c r="C7931" i="1"/>
  <c r="B7931" i="1"/>
  <c r="B7930" i="1"/>
  <c r="C7927" i="1"/>
  <c r="B7927" i="1"/>
  <c r="C7926" i="1"/>
  <c r="B7926" i="1"/>
  <c r="C7925" i="1"/>
  <c r="B7925" i="1"/>
  <c r="C7923" i="1"/>
  <c r="B7923" i="1"/>
  <c r="C7922" i="1"/>
  <c r="B7922" i="1"/>
  <c r="C7921" i="1"/>
  <c r="B7921" i="1"/>
  <c r="C7920" i="1"/>
  <c r="B7920" i="1"/>
  <c r="C7919" i="1"/>
  <c r="B7919" i="1"/>
  <c r="C7918" i="1"/>
  <c r="B7918" i="1"/>
  <c r="C7917" i="1"/>
  <c r="B7917" i="1"/>
  <c r="B7916" i="1"/>
  <c r="C7915" i="1"/>
  <c r="B7915" i="1"/>
  <c r="B7913" i="1"/>
  <c r="B7911" i="1"/>
  <c r="C7910" i="1"/>
  <c r="C7909" i="1"/>
  <c r="B7909" i="1"/>
  <c r="C7908" i="1"/>
  <c r="B7908" i="1"/>
  <c r="C7907" i="1"/>
  <c r="B7907" i="1"/>
  <c r="B7905" i="1"/>
  <c r="C7904" i="1"/>
  <c r="B7904" i="1"/>
  <c r="C7902" i="1"/>
  <c r="B7902" i="1"/>
  <c r="B7901" i="1"/>
  <c r="C7899" i="1"/>
  <c r="B7899" i="1"/>
  <c r="C7898" i="1"/>
  <c r="B7898" i="1"/>
  <c r="C7897" i="1"/>
  <c r="B7897" i="1"/>
  <c r="C7896" i="1"/>
  <c r="B7896" i="1"/>
  <c r="C7893" i="1"/>
  <c r="B7893" i="1"/>
  <c r="C7892" i="1"/>
  <c r="B7892" i="1"/>
  <c r="C7891" i="1"/>
  <c r="B7891" i="1"/>
  <c r="C7890" i="1"/>
  <c r="B7890" i="1"/>
  <c r="B7889" i="1"/>
  <c r="C7888" i="1"/>
  <c r="B7888" i="1"/>
  <c r="C7887" i="1"/>
  <c r="B7887" i="1"/>
  <c r="B7886" i="1"/>
  <c r="C7885" i="1"/>
  <c r="B7885" i="1"/>
  <c r="B7884" i="1"/>
  <c r="C7883" i="1"/>
  <c r="B7883" i="1"/>
  <c r="C7882" i="1"/>
  <c r="B7882" i="1"/>
  <c r="C7881" i="1"/>
  <c r="B7881" i="1"/>
  <c r="C7880" i="1"/>
  <c r="B7880" i="1"/>
  <c r="C7878" i="1"/>
  <c r="B7878" i="1"/>
  <c r="C7877" i="1"/>
  <c r="B7877" i="1"/>
  <c r="C7876" i="1"/>
  <c r="B7876" i="1"/>
  <c r="B7875" i="1"/>
  <c r="C7874" i="1"/>
  <c r="B7874" i="1"/>
  <c r="C7873" i="1"/>
  <c r="B7873" i="1"/>
  <c r="C7871" i="1"/>
  <c r="B7871" i="1"/>
  <c r="C7870" i="1"/>
  <c r="B7870" i="1"/>
  <c r="C7869" i="1"/>
  <c r="B7869" i="1"/>
  <c r="B7868" i="1"/>
  <c r="C7867" i="1"/>
  <c r="C7866" i="1"/>
  <c r="B7866" i="1"/>
  <c r="B7865" i="1"/>
  <c r="C7864" i="1"/>
  <c r="B7864" i="1"/>
  <c r="C7863" i="1"/>
  <c r="B7863" i="1"/>
  <c r="B7860" i="1"/>
  <c r="C7859" i="1"/>
  <c r="B7859" i="1"/>
  <c r="C7858" i="1"/>
  <c r="B7858" i="1"/>
  <c r="C7857" i="1"/>
  <c r="B7857" i="1"/>
  <c r="C7856" i="1"/>
  <c r="B7856" i="1"/>
  <c r="C7855" i="1"/>
  <c r="B7855" i="1"/>
  <c r="C7854" i="1"/>
  <c r="B7854" i="1"/>
  <c r="C7853" i="1"/>
  <c r="B7853" i="1"/>
  <c r="C7852" i="1"/>
  <c r="B7852" i="1"/>
  <c r="C7851" i="1"/>
  <c r="C7850" i="1"/>
  <c r="B7850" i="1"/>
  <c r="C7849" i="1"/>
  <c r="B7849" i="1"/>
  <c r="C7848" i="1"/>
  <c r="B7848" i="1"/>
  <c r="C7847" i="1"/>
  <c r="B7847" i="1"/>
  <c r="C7846" i="1"/>
  <c r="B7846" i="1"/>
  <c r="C7845" i="1"/>
  <c r="B7845" i="1"/>
  <c r="C7844" i="1"/>
  <c r="B7844" i="1"/>
  <c r="C7843" i="1"/>
  <c r="B7843" i="1"/>
  <c r="C7842" i="1"/>
  <c r="B7842" i="1"/>
  <c r="C7841" i="1"/>
  <c r="C7840" i="1"/>
  <c r="B7840" i="1"/>
  <c r="C7839" i="1"/>
  <c r="C7838" i="1"/>
  <c r="B7838" i="1"/>
  <c r="C7837" i="1"/>
  <c r="B7837" i="1"/>
  <c r="C7832" i="1"/>
  <c r="B7832" i="1"/>
  <c r="C7831" i="1"/>
  <c r="B7831" i="1"/>
  <c r="C7830" i="1"/>
  <c r="B7830" i="1"/>
  <c r="C7829" i="1"/>
  <c r="B7829" i="1"/>
  <c r="C7828" i="1"/>
  <c r="B7828" i="1"/>
  <c r="C7826" i="1"/>
  <c r="B7826" i="1"/>
  <c r="C7825" i="1"/>
  <c r="B7825" i="1"/>
  <c r="C7824" i="1"/>
  <c r="B7824" i="1"/>
  <c r="C7823" i="1"/>
  <c r="B7823" i="1"/>
  <c r="C7822" i="1"/>
  <c r="B7822" i="1"/>
  <c r="C7821" i="1"/>
  <c r="B7821" i="1"/>
  <c r="C7820" i="1"/>
  <c r="B7820" i="1"/>
  <c r="C7819" i="1"/>
  <c r="B7819" i="1"/>
  <c r="C7816" i="1"/>
  <c r="B7816" i="1"/>
  <c r="C7814" i="1"/>
  <c r="B7814" i="1"/>
  <c r="C7812" i="1"/>
  <c r="B7812" i="1"/>
  <c r="C7811" i="1"/>
  <c r="B7811" i="1"/>
  <c r="C7810" i="1"/>
  <c r="B7809" i="1"/>
  <c r="C7808" i="1"/>
  <c r="B7808" i="1"/>
  <c r="C7807" i="1"/>
  <c r="B7807" i="1"/>
  <c r="C7806" i="1"/>
  <c r="B7806" i="1"/>
  <c r="C7805" i="1"/>
  <c r="B7805" i="1"/>
  <c r="C7804" i="1"/>
  <c r="B7804" i="1"/>
  <c r="C7803" i="1"/>
  <c r="B7803" i="1"/>
  <c r="C7802" i="1"/>
  <c r="B7802" i="1"/>
  <c r="C7801" i="1"/>
  <c r="B7801" i="1"/>
  <c r="C7800" i="1"/>
  <c r="B7800" i="1"/>
  <c r="C7799" i="1"/>
  <c r="B7799" i="1"/>
  <c r="C7798" i="1"/>
  <c r="B7798" i="1"/>
  <c r="C7797" i="1"/>
  <c r="B7797" i="1"/>
  <c r="C7796" i="1"/>
  <c r="B7796" i="1"/>
  <c r="C7795" i="1"/>
  <c r="B7795" i="1"/>
  <c r="C7794" i="1"/>
  <c r="B7794" i="1"/>
  <c r="C7793" i="1"/>
  <c r="B7793" i="1"/>
  <c r="C7791" i="1"/>
  <c r="B7791" i="1"/>
  <c r="C7790" i="1"/>
  <c r="B7790" i="1"/>
  <c r="C7789" i="1"/>
  <c r="B7789" i="1"/>
  <c r="C7788" i="1"/>
  <c r="B7788" i="1"/>
  <c r="C7787" i="1"/>
  <c r="B7787" i="1"/>
  <c r="C7786" i="1"/>
  <c r="B7786" i="1"/>
  <c r="C7785" i="1"/>
  <c r="B7785" i="1"/>
  <c r="C7784" i="1"/>
  <c r="B7784" i="1"/>
  <c r="C7782" i="1"/>
  <c r="B7782" i="1"/>
  <c r="C7781" i="1"/>
  <c r="B7781" i="1"/>
  <c r="C7780" i="1"/>
  <c r="B7780" i="1"/>
  <c r="C7779" i="1"/>
  <c r="B7779" i="1"/>
  <c r="C7778" i="1"/>
  <c r="B7778" i="1"/>
  <c r="C7777" i="1"/>
  <c r="B7777" i="1"/>
  <c r="C7774" i="1"/>
  <c r="B7774" i="1"/>
  <c r="C7773" i="1"/>
  <c r="B7773" i="1"/>
  <c r="C7771" i="1"/>
  <c r="B7771" i="1"/>
  <c r="C7770" i="1"/>
  <c r="B7770" i="1"/>
  <c r="C7768" i="1"/>
  <c r="B7768" i="1"/>
  <c r="C7767" i="1"/>
  <c r="B7767" i="1"/>
  <c r="C7766" i="1"/>
  <c r="B7766" i="1"/>
  <c r="C7765" i="1"/>
  <c r="B7765" i="1"/>
  <c r="C7764" i="1"/>
  <c r="B7764" i="1"/>
  <c r="C7763" i="1"/>
  <c r="B7763" i="1"/>
  <c r="C7762" i="1"/>
  <c r="B7762" i="1"/>
  <c r="C7761" i="1"/>
  <c r="B7761" i="1"/>
  <c r="C7760" i="1"/>
  <c r="B7760" i="1"/>
  <c r="C7759" i="1"/>
  <c r="B7759" i="1"/>
  <c r="C7757" i="1"/>
  <c r="B7757" i="1"/>
  <c r="C7756" i="1"/>
  <c r="B7756" i="1"/>
  <c r="C7755" i="1"/>
  <c r="B7755" i="1"/>
  <c r="C7751" i="1"/>
  <c r="B7751" i="1"/>
  <c r="C7750" i="1"/>
  <c r="B7750" i="1"/>
  <c r="C7749" i="1"/>
  <c r="B7749" i="1"/>
  <c r="C7748" i="1"/>
  <c r="B7748" i="1"/>
  <c r="C7747" i="1"/>
  <c r="B7747" i="1"/>
  <c r="C7746" i="1"/>
  <c r="B7746" i="1"/>
  <c r="C7745" i="1"/>
  <c r="C7743" i="1"/>
  <c r="B7743" i="1"/>
  <c r="C7742" i="1"/>
  <c r="B7742" i="1"/>
  <c r="C7740" i="1"/>
  <c r="B7740" i="1"/>
  <c r="C7739" i="1"/>
  <c r="B7739" i="1"/>
  <c r="C7738" i="1"/>
  <c r="B7738" i="1"/>
  <c r="C7737" i="1"/>
  <c r="B7737" i="1"/>
  <c r="C7736" i="1"/>
  <c r="B7736" i="1"/>
  <c r="C7733" i="1"/>
  <c r="B7733" i="1"/>
  <c r="C7732" i="1"/>
  <c r="B7732" i="1"/>
  <c r="C7731" i="1"/>
  <c r="B7731" i="1"/>
  <c r="C7730" i="1"/>
  <c r="B7730" i="1"/>
  <c r="C7728" i="1"/>
  <c r="B7728" i="1"/>
  <c r="C7727" i="1"/>
  <c r="B7727" i="1"/>
  <c r="C7725" i="1"/>
  <c r="B7725" i="1"/>
  <c r="C7724" i="1"/>
  <c r="B7724" i="1"/>
  <c r="C7722" i="1"/>
  <c r="B7722" i="1"/>
  <c r="C7721" i="1"/>
  <c r="B7721" i="1"/>
  <c r="C7720" i="1"/>
  <c r="B7720" i="1"/>
  <c r="C7718" i="1"/>
  <c r="B7718" i="1"/>
  <c r="C7717" i="1"/>
  <c r="B7717" i="1"/>
  <c r="C7716" i="1"/>
  <c r="B7716" i="1"/>
  <c r="C7715" i="1"/>
  <c r="B7715" i="1"/>
  <c r="C7714" i="1"/>
  <c r="B7714" i="1"/>
  <c r="C7713" i="1"/>
  <c r="B7713" i="1"/>
  <c r="C7712" i="1"/>
  <c r="B7712" i="1"/>
  <c r="C7711" i="1"/>
  <c r="B7711" i="1"/>
  <c r="C7709" i="1"/>
  <c r="B7709" i="1"/>
  <c r="C7708" i="1"/>
  <c r="B7708" i="1"/>
  <c r="C7707" i="1"/>
  <c r="B7707" i="1"/>
  <c r="C7706" i="1"/>
  <c r="B7706" i="1"/>
  <c r="C7705" i="1"/>
  <c r="B7705" i="1"/>
  <c r="C7704" i="1"/>
  <c r="B7704" i="1"/>
  <c r="C7703" i="1"/>
  <c r="B7703" i="1"/>
  <c r="C7702" i="1"/>
  <c r="B7702" i="1"/>
  <c r="C7700" i="1"/>
  <c r="B7700" i="1"/>
  <c r="C7699" i="1"/>
  <c r="B7699" i="1"/>
  <c r="C7698" i="1"/>
  <c r="B7698" i="1"/>
  <c r="C7697" i="1"/>
  <c r="B7697" i="1"/>
  <c r="C7695" i="1"/>
  <c r="B7695" i="1"/>
  <c r="C7694" i="1"/>
  <c r="B7694" i="1"/>
  <c r="C7693" i="1"/>
  <c r="B7693" i="1"/>
  <c r="C7692" i="1"/>
  <c r="B7692" i="1"/>
  <c r="C7691" i="1"/>
  <c r="B7691" i="1"/>
  <c r="C7690" i="1"/>
  <c r="B7690" i="1"/>
  <c r="C7689" i="1"/>
  <c r="B7689" i="1"/>
  <c r="C7688" i="1"/>
  <c r="B7688" i="1"/>
  <c r="C7687" i="1"/>
  <c r="B7687" i="1"/>
  <c r="C7686" i="1"/>
  <c r="B7686" i="1"/>
  <c r="C7685" i="1"/>
  <c r="B7685" i="1"/>
  <c r="C7684" i="1"/>
  <c r="B7684" i="1"/>
  <c r="C7683" i="1"/>
  <c r="B7683" i="1"/>
  <c r="C7682" i="1"/>
  <c r="B7682" i="1"/>
  <c r="C7681" i="1"/>
  <c r="B7681" i="1"/>
  <c r="C7679" i="1"/>
  <c r="B7679" i="1"/>
  <c r="C7678" i="1"/>
  <c r="B7678" i="1"/>
  <c r="C7677" i="1"/>
  <c r="B7677" i="1"/>
  <c r="C7676" i="1"/>
  <c r="B7676" i="1"/>
  <c r="C7675" i="1"/>
  <c r="B7675" i="1"/>
  <c r="C7674" i="1"/>
  <c r="B7674" i="1"/>
  <c r="C7673" i="1"/>
  <c r="B7673" i="1"/>
  <c r="C7672" i="1"/>
  <c r="B7672" i="1"/>
  <c r="C7671" i="1"/>
  <c r="B7671" i="1"/>
  <c r="C7670" i="1"/>
  <c r="B7670" i="1"/>
  <c r="C7669" i="1"/>
  <c r="B7669" i="1"/>
  <c r="C7668" i="1"/>
  <c r="B7668" i="1"/>
  <c r="C7667" i="1"/>
  <c r="B7667" i="1"/>
  <c r="C7666" i="1"/>
  <c r="B7666" i="1"/>
  <c r="C7665" i="1"/>
  <c r="B7665" i="1"/>
  <c r="C7664" i="1"/>
  <c r="B7664" i="1"/>
  <c r="C7663" i="1"/>
  <c r="B7663" i="1"/>
  <c r="C7658" i="1"/>
  <c r="B7658" i="1"/>
  <c r="C7657" i="1"/>
  <c r="B7657" i="1"/>
  <c r="C7656" i="1"/>
  <c r="B7656" i="1"/>
  <c r="C7653" i="1"/>
  <c r="B7653" i="1"/>
  <c r="C7652" i="1"/>
  <c r="B7652" i="1"/>
  <c r="C7650" i="1"/>
  <c r="B7650" i="1"/>
  <c r="C7649" i="1"/>
  <c r="B7649" i="1"/>
  <c r="C7648" i="1"/>
  <c r="B7648" i="1"/>
  <c r="C7647" i="1"/>
  <c r="B7647" i="1"/>
  <c r="C7646" i="1"/>
  <c r="B7646" i="1"/>
  <c r="C7645" i="1"/>
  <c r="B7645" i="1"/>
  <c r="C7644" i="1"/>
  <c r="B7644" i="1"/>
  <c r="C7643" i="1"/>
  <c r="B7643" i="1"/>
  <c r="C7642" i="1"/>
  <c r="B7642" i="1"/>
  <c r="C7641" i="1"/>
  <c r="B7641" i="1"/>
  <c r="C7640" i="1"/>
  <c r="B7640" i="1"/>
  <c r="C7639" i="1"/>
  <c r="B7639" i="1"/>
  <c r="C7638" i="1"/>
  <c r="B7638" i="1"/>
  <c r="C7637" i="1"/>
  <c r="B7637" i="1"/>
  <c r="C7636" i="1"/>
  <c r="B7636" i="1"/>
  <c r="C7635" i="1"/>
  <c r="B7635" i="1"/>
  <c r="C7634" i="1"/>
  <c r="B7634" i="1"/>
  <c r="C7633" i="1"/>
  <c r="B7633" i="1"/>
  <c r="C7632" i="1"/>
  <c r="B7632" i="1"/>
  <c r="C7631" i="1"/>
  <c r="B7631" i="1"/>
  <c r="C7630" i="1"/>
  <c r="B7630" i="1"/>
  <c r="C7629" i="1"/>
  <c r="B7629" i="1"/>
  <c r="C7628" i="1"/>
  <c r="B7628" i="1"/>
  <c r="C7627" i="1"/>
  <c r="B7627" i="1"/>
  <c r="C7626" i="1"/>
  <c r="B7626" i="1"/>
  <c r="C7624" i="1"/>
  <c r="B7624" i="1"/>
  <c r="C7623" i="1"/>
  <c r="B7623" i="1"/>
  <c r="C7622" i="1"/>
  <c r="B7622" i="1"/>
  <c r="C7621" i="1"/>
  <c r="B7621" i="1"/>
  <c r="C7620" i="1"/>
  <c r="B7620" i="1"/>
  <c r="C7619" i="1"/>
  <c r="B7619" i="1"/>
  <c r="C7618" i="1"/>
  <c r="B7618" i="1"/>
  <c r="C7617" i="1"/>
  <c r="B7617" i="1"/>
  <c r="C7615" i="1"/>
  <c r="B7615" i="1"/>
  <c r="C7614" i="1"/>
  <c r="B7614" i="1"/>
  <c r="C7613" i="1"/>
  <c r="B7613" i="1"/>
  <c r="C7611" i="1"/>
  <c r="B7611" i="1"/>
  <c r="C7610" i="1"/>
  <c r="B7610" i="1"/>
  <c r="C7608" i="1"/>
  <c r="B7608" i="1"/>
  <c r="C7606" i="1"/>
  <c r="B7606" i="1"/>
  <c r="C7605" i="1"/>
  <c r="B7605" i="1"/>
  <c r="C7604" i="1"/>
  <c r="C7603" i="1"/>
  <c r="B7603" i="1"/>
  <c r="C7602" i="1"/>
  <c r="B7602" i="1"/>
  <c r="C7597" i="1"/>
  <c r="B7597" i="1"/>
  <c r="C7596" i="1"/>
  <c r="B7596" i="1"/>
  <c r="C7595" i="1"/>
  <c r="B7595" i="1"/>
  <c r="C7594" i="1"/>
  <c r="B7594" i="1"/>
  <c r="C7593" i="1"/>
  <c r="B7593" i="1"/>
  <c r="C7592" i="1"/>
  <c r="B7592" i="1"/>
  <c r="C7591" i="1"/>
  <c r="B7591" i="1"/>
  <c r="C7590" i="1"/>
  <c r="B7590" i="1"/>
  <c r="C7589" i="1"/>
  <c r="B7589" i="1"/>
  <c r="C7588" i="1"/>
  <c r="B7588" i="1"/>
  <c r="C7587" i="1"/>
  <c r="B7587" i="1"/>
  <c r="C7586" i="1"/>
  <c r="B7586" i="1"/>
  <c r="C7585" i="1"/>
  <c r="B7585" i="1"/>
  <c r="C7584" i="1"/>
  <c r="B7584" i="1"/>
  <c r="C7583" i="1"/>
  <c r="B7583" i="1"/>
  <c r="C7582" i="1"/>
  <c r="B7582" i="1"/>
  <c r="C7581" i="1"/>
  <c r="B7581" i="1"/>
  <c r="C7580" i="1"/>
  <c r="B7580" i="1"/>
  <c r="C7579" i="1"/>
  <c r="B7579" i="1"/>
  <c r="C7578" i="1"/>
  <c r="B7578" i="1"/>
  <c r="C7577" i="1"/>
  <c r="B7577" i="1"/>
  <c r="C7576" i="1"/>
  <c r="B7576" i="1"/>
  <c r="C7574" i="1"/>
  <c r="B7574" i="1"/>
  <c r="C7573" i="1"/>
  <c r="B7573" i="1"/>
  <c r="C7572" i="1"/>
  <c r="B7572" i="1"/>
  <c r="C7571" i="1"/>
  <c r="B7571" i="1"/>
  <c r="C7570" i="1"/>
  <c r="B7570" i="1"/>
  <c r="C7569" i="1"/>
  <c r="B7569" i="1"/>
  <c r="C7568" i="1"/>
  <c r="B7568" i="1"/>
  <c r="C7567" i="1"/>
  <c r="B7567" i="1"/>
  <c r="C7566" i="1"/>
  <c r="B7566" i="1"/>
  <c r="C7565" i="1"/>
  <c r="B7565" i="1"/>
  <c r="C7564" i="1"/>
  <c r="B7564" i="1"/>
  <c r="C7563" i="1"/>
  <c r="B7563" i="1"/>
  <c r="C7562" i="1"/>
  <c r="B7562" i="1"/>
  <c r="C7560" i="1"/>
  <c r="B7560" i="1"/>
  <c r="C7559" i="1"/>
  <c r="B7559" i="1"/>
  <c r="C7558" i="1"/>
  <c r="B7558" i="1"/>
  <c r="C7557" i="1"/>
  <c r="B7557" i="1"/>
  <c r="C7556" i="1"/>
  <c r="C7555" i="1"/>
  <c r="B7555" i="1"/>
  <c r="C7554" i="1"/>
  <c r="B7554" i="1"/>
  <c r="C7553" i="1"/>
  <c r="B7553" i="1"/>
  <c r="C7552" i="1"/>
  <c r="B7552" i="1"/>
  <c r="C7551" i="1"/>
  <c r="B7551" i="1"/>
  <c r="C7550" i="1"/>
  <c r="B7550" i="1"/>
  <c r="C7548" i="1"/>
  <c r="C7547" i="1"/>
  <c r="B7547" i="1"/>
  <c r="C7546" i="1"/>
  <c r="B7546" i="1"/>
  <c r="C7545" i="1"/>
  <c r="B7545" i="1"/>
  <c r="B7544" i="1"/>
  <c r="C7543" i="1"/>
  <c r="B7543" i="1"/>
  <c r="C7542" i="1"/>
  <c r="B7542" i="1"/>
  <c r="C7541" i="1"/>
  <c r="B7541" i="1"/>
  <c r="C7539" i="1"/>
  <c r="B7539" i="1"/>
  <c r="C7538" i="1"/>
  <c r="B7538" i="1"/>
  <c r="C7537" i="1"/>
  <c r="B7537" i="1"/>
  <c r="C7535" i="1"/>
  <c r="B7535" i="1"/>
  <c r="C7534" i="1"/>
  <c r="B7534" i="1"/>
  <c r="C7533" i="1"/>
  <c r="B7533" i="1"/>
  <c r="C7531" i="1"/>
  <c r="B7531" i="1"/>
  <c r="C7530" i="1"/>
  <c r="B7530" i="1"/>
  <c r="C7529" i="1"/>
  <c r="B7529" i="1"/>
  <c r="C7527" i="1"/>
  <c r="B7527" i="1"/>
  <c r="C7525" i="1"/>
  <c r="B7525" i="1"/>
  <c r="C7524" i="1"/>
  <c r="B7524" i="1"/>
  <c r="C7523" i="1"/>
  <c r="B7523" i="1"/>
  <c r="C7522" i="1"/>
  <c r="B7522" i="1"/>
  <c r="C7521" i="1"/>
  <c r="B7521" i="1"/>
  <c r="C7520" i="1"/>
  <c r="B7520" i="1"/>
  <c r="C7519" i="1"/>
  <c r="B7519" i="1"/>
  <c r="C7518" i="1"/>
  <c r="B7518" i="1"/>
  <c r="C7517" i="1"/>
  <c r="B7517" i="1"/>
  <c r="C7516" i="1"/>
  <c r="B7516" i="1"/>
  <c r="C7515" i="1"/>
  <c r="B7515" i="1"/>
  <c r="C7513" i="1"/>
  <c r="B7513" i="1"/>
  <c r="C7512" i="1"/>
  <c r="B7512" i="1"/>
  <c r="C7511" i="1"/>
  <c r="B7511" i="1"/>
  <c r="C7510" i="1"/>
  <c r="B7510" i="1"/>
  <c r="C7509" i="1"/>
  <c r="B7509" i="1"/>
  <c r="C7508" i="1"/>
  <c r="B7508" i="1"/>
  <c r="C7507" i="1"/>
  <c r="B7507" i="1"/>
  <c r="C7506" i="1"/>
  <c r="B7506" i="1"/>
  <c r="C7505" i="1"/>
  <c r="B7505" i="1"/>
  <c r="C7504" i="1"/>
  <c r="B7504" i="1"/>
  <c r="C7503" i="1"/>
  <c r="B7503" i="1"/>
  <c r="C7502" i="1"/>
  <c r="B7502" i="1"/>
  <c r="C7501" i="1"/>
  <c r="B7501" i="1"/>
  <c r="C7500" i="1"/>
  <c r="B7500" i="1"/>
  <c r="C7498" i="1"/>
  <c r="B7498" i="1"/>
  <c r="C7497" i="1"/>
  <c r="B7497" i="1"/>
  <c r="C7496" i="1"/>
  <c r="B7496" i="1"/>
  <c r="C7495" i="1"/>
  <c r="B7495" i="1"/>
  <c r="C7494" i="1"/>
  <c r="C7493" i="1"/>
  <c r="C7492" i="1"/>
  <c r="C7491" i="1"/>
  <c r="B7491" i="1"/>
  <c r="C7489" i="1"/>
  <c r="B7489" i="1"/>
  <c r="C7487" i="1"/>
  <c r="B7487" i="1"/>
  <c r="C7485" i="1"/>
  <c r="B7485" i="1"/>
  <c r="C7484" i="1"/>
  <c r="B7484" i="1"/>
  <c r="C7483" i="1"/>
  <c r="B7483" i="1"/>
  <c r="C7482" i="1"/>
  <c r="B7482" i="1"/>
  <c r="C7481" i="1"/>
  <c r="B7481" i="1"/>
  <c r="C7480" i="1"/>
  <c r="B7480" i="1"/>
  <c r="C7478" i="1"/>
  <c r="B7478" i="1"/>
  <c r="C7477" i="1"/>
  <c r="B7477" i="1"/>
  <c r="C7476" i="1"/>
  <c r="B7476" i="1"/>
  <c r="C7475" i="1"/>
  <c r="B7475" i="1"/>
  <c r="C7474" i="1"/>
  <c r="B7474" i="1"/>
  <c r="C7473" i="1"/>
  <c r="B7473" i="1"/>
  <c r="C7471" i="1"/>
  <c r="B7471" i="1"/>
  <c r="C7470" i="1"/>
  <c r="B7470" i="1"/>
  <c r="C7469" i="1"/>
  <c r="B7469" i="1"/>
  <c r="C7468" i="1"/>
  <c r="B7468" i="1"/>
  <c r="C7467" i="1"/>
  <c r="B7467" i="1"/>
  <c r="C7466" i="1"/>
  <c r="B7466" i="1"/>
  <c r="C7465" i="1"/>
  <c r="B7465" i="1"/>
  <c r="C7464" i="1"/>
  <c r="B7464" i="1"/>
  <c r="C7462" i="1"/>
  <c r="B7462" i="1"/>
  <c r="C7458" i="1"/>
  <c r="B7458" i="1"/>
  <c r="C7457" i="1"/>
  <c r="B7457" i="1"/>
  <c r="C7456" i="1"/>
  <c r="B7456" i="1"/>
  <c r="C7455" i="1"/>
  <c r="B7455" i="1"/>
  <c r="C7454" i="1"/>
  <c r="B7454" i="1"/>
  <c r="C7453" i="1"/>
  <c r="B7453" i="1"/>
  <c r="C7452" i="1"/>
  <c r="B7452" i="1"/>
  <c r="C7451" i="1"/>
  <c r="B7451" i="1"/>
  <c r="C7450" i="1"/>
  <c r="B7450" i="1"/>
  <c r="C7449" i="1"/>
  <c r="B7449" i="1"/>
  <c r="C7448" i="1"/>
  <c r="B7448" i="1"/>
  <c r="C7446" i="1"/>
  <c r="B7446" i="1"/>
  <c r="C7444" i="1"/>
  <c r="B7444" i="1"/>
  <c r="C7443" i="1"/>
  <c r="B7443" i="1"/>
  <c r="C7442" i="1"/>
  <c r="B7442" i="1"/>
  <c r="C7441" i="1"/>
  <c r="B7441" i="1"/>
  <c r="C7440" i="1"/>
  <c r="B7440" i="1"/>
  <c r="C7438" i="1"/>
  <c r="B7438" i="1"/>
  <c r="B7437" i="1"/>
  <c r="C7436" i="1"/>
  <c r="B7436" i="1"/>
  <c r="C7435" i="1"/>
  <c r="B7435" i="1"/>
  <c r="C7434" i="1"/>
  <c r="B7434" i="1"/>
  <c r="C7433" i="1"/>
  <c r="B7433" i="1"/>
  <c r="C7430" i="1"/>
  <c r="B7430" i="1"/>
  <c r="C7429" i="1"/>
  <c r="B7429" i="1"/>
  <c r="C7427" i="1"/>
  <c r="B7427" i="1"/>
  <c r="C7426" i="1"/>
  <c r="B7426" i="1"/>
  <c r="C7425" i="1"/>
  <c r="B7425" i="1"/>
  <c r="C7424" i="1"/>
  <c r="B7424" i="1"/>
  <c r="C7423" i="1"/>
  <c r="B7423" i="1"/>
  <c r="C7422" i="1"/>
  <c r="B7422" i="1"/>
  <c r="C7421" i="1"/>
  <c r="B7421" i="1"/>
  <c r="C7420" i="1"/>
  <c r="B7420" i="1"/>
  <c r="C7419" i="1"/>
  <c r="B7419" i="1"/>
  <c r="C7418" i="1"/>
  <c r="B7418" i="1"/>
  <c r="C7417" i="1"/>
  <c r="B7417" i="1"/>
  <c r="C7416" i="1"/>
  <c r="B7416" i="1"/>
  <c r="C7415" i="1"/>
  <c r="B7415" i="1"/>
  <c r="C7414" i="1"/>
  <c r="B7414" i="1"/>
  <c r="C7413" i="1"/>
  <c r="B7413" i="1"/>
  <c r="C7412" i="1"/>
  <c r="B7412" i="1"/>
  <c r="C7411" i="1"/>
  <c r="B7411" i="1"/>
  <c r="C7410" i="1"/>
  <c r="B7410" i="1"/>
  <c r="C7409" i="1"/>
  <c r="B7409" i="1"/>
  <c r="C7408" i="1"/>
  <c r="B7408" i="1"/>
  <c r="C7403" i="1"/>
  <c r="B7403" i="1"/>
  <c r="C7396" i="1"/>
  <c r="B7396" i="1"/>
  <c r="C7391" i="1"/>
  <c r="B7391" i="1"/>
  <c r="C7390" i="1"/>
  <c r="B7390" i="1"/>
  <c r="C7385" i="1"/>
  <c r="B7385" i="1"/>
  <c r="C7381" i="1"/>
  <c r="B7381" i="1"/>
  <c r="C7380" i="1"/>
  <c r="B7380" i="1"/>
  <c r="C7379" i="1"/>
  <c r="B7379" i="1"/>
  <c r="C7375" i="1"/>
  <c r="B7375" i="1"/>
  <c r="C7374" i="1"/>
  <c r="B7374" i="1"/>
  <c r="C7373" i="1"/>
  <c r="B7373" i="1"/>
  <c r="C7370" i="1"/>
  <c r="B7370" i="1"/>
  <c r="C7369" i="1"/>
  <c r="B7369" i="1"/>
  <c r="C7368" i="1"/>
  <c r="B7368" i="1"/>
  <c r="C7367" i="1"/>
  <c r="B7367" i="1"/>
  <c r="C7366" i="1"/>
  <c r="B7366" i="1"/>
  <c r="C7365" i="1"/>
  <c r="B7365" i="1"/>
  <c r="C7364" i="1"/>
  <c r="B7364" i="1"/>
  <c r="C7363" i="1"/>
  <c r="B7363" i="1"/>
  <c r="C7361" i="1"/>
  <c r="B7361" i="1"/>
  <c r="C7360" i="1"/>
  <c r="B7360" i="1"/>
  <c r="C7358" i="1"/>
  <c r="B7358" i="1"/>
  <c r="C7355" i="1"/>
  <c r="B7355" i="1"/>
  <c r="C7354" i="1"/>
  <c r="B7354" i="1"/>
  <c r="C7353" i="1"/>
  <c r="B7353" i="1"/>
  <c r="C7352" i="1"/>
  <c r="B7352" i="1"/>
  <c r="C7348" i="1"/>
  <c r="B7348" i="1"/>
  <c r="C7347" i="1"/>
  <c r="C7344" i="1"/>
  <c r="B7344" i="1"/>
  <c r="C7342" i="1"/>
  <c r="B7342" i="1"/>
  <c r="C7339" i="1"/>
  <c r="B7339" i="1"/>
  <c r="C7337" i="1"/>
  <c r="B7337" i="1"/>
  <c r="C7333" i="1"/>
  <c r="B7333" i="1"/>
  <c r="C7331" i="1"/>
  <c r="B7331" i="1"/>
  <c r="C7329" i="1"/>
  <c r="B7329" i="1"/>
  <c r="C7325" i="1"/>
  <c r="B7325" i="1"/>
  <c r="C7324" i="1"/>
  <c r="B7324" i="1"/>
  <c r="C7319" i="1"/>
  <c r="B7319" i="1"/>
  <c r="C7317" i="1"/>
  <c r="B7317" i="1"/>
  <c r="C7316" i="1"/>
  <c r="B7316" i="1"/>
  <c r="C7314" i="1"/>
  <c r="B7314" i="1"/>
  <c r="C7313" i="1"/>
  <c r="B7313" i="1"/>
  <c r="C7311" i="1"/>
  <c r="B7311" i="1"/>
  <c r="C7309" i="1"/>
  <c r="B7309" i="1"/>
  <c r="C7308" i="1"/>
  <c r="B7308" i="1"/>
  <c r="C7307" i="1"/>
  <c r="B7307" i="1"/>
  <c r="C7306" i="1"/>
  <c r="B7306" i="1"/>
  <c r="C7305" i="1"/>
  <c r="B7305" i="1"/>
  <c r="C7304" i="1"/>
  <c r="B7304" i="1"/>
  <c r="C7303" i="1"/>
  <c r="B7303" i="1"/>
  <c r="C7302" i="1"/>
  <c r="B7302" i="1"/>
  <c r="C7301" i="1"/>
  <c r="B7301" i="1"/>
  <c r="C7300" i="1"/>
  <c r="B7300" i="1"/>
  <c r="C7299" i="1"/>
  <c r="B7299" i="1"/>
  <c r="C7298" i="1"/>
  <c r="B7298" i="1"/>
  <c r="C7297" i="1"/>
  <c r="B7297" i="1"/>
  <c r="C7296" i="1"/>
  <c r="B7296" i="1"/>
  <c r="C7295" i="1"/>
  <c r="B7295" i="1"/>
  <c r="C7292" i="1"/>
  <c r="B7292" i="1"/>
  <c r="C7288" i="1"/>
  <c r="B7288" i="1"/>
  <c r="C7287" i="1"/>
  <c r="B7287" i="1"/>
  <c r="C7284" i="1"/>
  <c r="B7284" i="1"/>
  <c r="C7283" i="1"/>
  <c r="B7283" i="1"/>
  <c r="C7282" i="1"/>
  <c r="B7282" i="1"/>
  <c r="C7281" i="1"/>
  <c r="B7281" i="1"/>
  <c r="C7280" i="1"/>
  <c r="B7280" i="1"/>
  <c r="C7279" i="1"/>
  <c r="B7279" i="1"/>
  <c r="C7278" i="1"/>
  <c r="B7278" i="1"/>
  <c r="C7277" i="1"/>
  <c r="B7277" i="1"/>
  <c r="C7276" i="1"/>
  <c r="B7276" i="1"/>
  <c r="C7275" i="1"/>
  <c r="B7275" i="1"/>
  <c r="C7274" i="1"/>
  <c r="C7273" i="1"/>
  <c r="B7273" i="1"/>
  <c r="C7272" i="1"/>
  <c r="B7272" i="1"/>
  <c r="C7271" i="1"/>
  <c r="B7271" i="1"/>
  <c r="C7270" i="1"/>
  <c r="B7270" i="1"/>
  <c r="C7269" i="1"/>
  <c r="B7269" i="1"/>
  <c r="C7268" i="1"/>
  <c r="B7268" i="1"/>
  <c r="C7267" i="1"/>
  <c r="B7267" i="1"/>
  <c r="C7266" i="1"/>
  <c r="B7266" i="1"/>
  <c r="C7265" i="1"/>
  <c r="B7265" i="1"/>
  <c r="C7264" i="1"/>
  <c r="B7264" i="1"/>
  <c r="C7263" i="1"/>
  <c r="B7263" i="1"/>
  <c r="C7262" i="1"/>
  <c r="B7262" i="1"/>
  <c r="C7261" i="1"/>
  <c r="B7261" i="1"/>
  <c r="C7260" i="1"/>
  <c r="B7260" i="1"/>
  <c r="C7259" i="1"/>
  <c r="B7259" i="1"/>
  <c r="C7258" i="1"/>
  <c r="B7258" i="1"/>
  <c r="C7257" i="1"/>
  <c r="B7257" i="1"/>
  <c r="C7256" i="1"/>
  <c r="B7256" i="1"/>
  <c r="C7253" i="1"/>
  <c r="B7253" i="1"/>
  <c r="C7252" i="1"/>
  <c r="B7252" i="1"/>
  <c r="C7250" i="1"/>
  <c r="B7250" i="1"/>
  <c r="C7249" i="1"/>
  <c r="B7249" i="1"/>
  <c r="C7248" i="1"/>
  <c r="B7248" i="1"/>
  <c r="C7247" i="1"/>
  <c r="B7247" i="1"/>
  <c r="C7246" i="1"/>
  <c r="B7246" i="1"/>
  <c r="C7245" i="1"/>
  <c r="B7245" i="1"/>
  <c r="C7243" i="1"/>
  <c r="B7243" i="1"/>
  <c r="C7241" i="1"/>
  <c r="B7241" i="1"/>
  <c r="C7240" i="1"/>
  <c r="B7240" i="1"/>
  <c r="C7239" i="1"/>
  <c r="B7239" i="1"/>
  <c r="C7238" i="1"/>
  <c r="B7238" i="1"/>
  <c r="C7237" i="1"/>
  <c r="B7237" i="1"/>
  <c r="C7236" i="1"/>
  <c r="B7236" i="1"/>
  <c r="C7235" i="1"/>
  <c r="B7235" i="1"/>
  <c r="C7234" i="1"/>
  <c r="B7234" i="1"/>
  <c r="C7233" i="1"/>
  <c r="B7233" i="1"/>
  <c r="C7229" i="1"/>
  <c r="B7229" i="1"/>
  <c r="C7228" i="1"/>
  <c r="B7228" i="1"/>
  <c r="C7227" i="1"/>
  <c r="B7227" i="1"/>
  <c r="C7226" i="1"/>
  <c r="B7226" i="1"/>
  <c r="C7225" i="1"/>
  <c r="B7225" i="1"/>
  <c r="C7224" i="1"/>
  <c r="B7224" i="1"/>
  <c r="C7223" i="1"/>
  <c r="B7223" i="1"/>
  <c r="C7222" i="1"/>
  <c r="B7222" i="1"/>
  <c r="C7221" i="1"/>
  <c r="B7221" i="1"/>
  <c r="C7220" i="1"/>
  <c r="B7220" i="1"/>
  <c r="C7219" i="1"/>
  <c r="B7219" i="1"/>
  <c r="C7218" i="1"/>
  <c r="B7218" i="1"/>
  <c r="C7217" i="1"/>
  <c r="B7217" i="1"/>
  <c r="C7216" i="1"/>
  <c r="B7216" i="1"/>
  <c r="C7215" i="1"/>
  <c r="B7215" i="1"/>
  <c r="C7214" i="1"/>
  <c r="B7214" i="1"/>
  <c r="C7213" i="1"/>
  <c r="B7213" i="1"/>
  <c r="C7212" i="1"/>
  <c r="B7212" i="1"/>
  <c r="C7211" i="1"/>
  <c r="B7211" i="1"/>
  <c r="C7210" i="1"/>
  <c r="B7210" i="1"/>
  <c r="C7209" i="1"/>
  <c r="B7209" i="1"/>
  <c r="C7208" i="1"/>
  <c r="B7208" i="1"/>
  <c r="C7207" i="1"/>
  <c r="B7207" i="1"/>
  <c r="C7206" i="1"/>
  <c r="B7206" i="1"/>
  <c r="C7205" i="1"/>
  <c r="B7205" i="1"/>
  <c r="C7204" i="1"/>
  <c r="B7204" i="1"/>
  <c r="C7203" i="1"/>
  <c r="B7203" i="1"/>
  <c r="C7202" i="1"/>
  <c r="B7202" i="1"/>
  <c r="C7201" i="1"/>
  <c r="B7201" i="1"/>
  <c r="C7200" i="1"/>
  <c r="B7200" i="1"/>
  <c r="C7199" i="1"/>
  <c r="B7199" i="1"/>
  <c r="C7198" i="1"/>
  <c r="B7198" i="1"/>
  <c r="C7196" i="1"/>
  <c r="B7196" i="1"/>
  <c r="C7194" i="1"/>
  <c r="B7194" i="1"/>
  <c r="C7193" i="1"/>
  <c r="B7193" i="1"/>
  <c r="C7192" i="1"/>
  <c r="B7192" i="1"/>
  <c r="C7190" i="1"/>
  <c r="B7190" i="1"/>
  <c r="C7189" i="1"/>
  <c r="B7189" i="1"/>
  <c r="C7188" i="1"/>
  <c r="B7188" i="1"/>
  <c r="C7187" i="1"/>
  <c r="B7187" i="1"/>
  <c r="C7186" i="1"/>
  <c r="B7186" i="1"/>
  <c r="C7185" i="1"/>
  <c r="B7185" i="1"/>
  <c r="C7184" i="1"/>
  <c r="B7184" i="1"/>
  <c r="C7183" i="1"/>
  <c r="B7183" i="1"/>
  <c r="C7182" i="1"/>
  <c r="B7182" i="1"/>
  <c r="C7181" i="1"/>
  <c r="B7181" i="1"/>
  <c r="B7180" i="1"/>
  <c r="C7178" i="1"/>
  <c r="B7178" i="1"/>
  <c r="C7177" i="1"/>
  <c r="B7177" i="1"/>
  <c r="C7176" i="1"/>
  <c r="B7176" i="1"/>
  <c r="C7175" i="1"/>
  <c r="B7175" i="1"/>
  <c r="C7174" i="1"/>
  <c r="B7174" i="1"/>
  <c r="C7173" i="1"/>
  <c r="B7173" i="1"/>
  <c r="C7172" i="1"/>
  <c r="B7172" i="1"/>
  <c r="C7171" i="1"/>
  <c r="B7171" i="1"/>
  <c r="C7170" i="1"/>
  <c r="B7170" i="1"/>
  <c r="C7169" i="1"/>
  <c r="B7169" i="1"/>
  <c r="C7168" i="1"/>
  <c r="B7168" i="1"/>
  <c r="C7167" i="1"/>
  <c r="B7167" i="1"/>
  <c r="C7166" i="1"/>
  <c r="B7166" i="1"/>
  <c r="C7165" i="1"/>
  <c r="B7165" i="1"/>
  <c r="C7164" i="1"/>
  <c r="B7164" i="1"/>
  <c r="C7163" i="1"/>
  <c r="B7163" i="1"/>
  <c r="C7161" i="1"/>
  <c r="B7161" i="1"/>
  <c r="C7160" i="1"/>
  <c r="B7160" i="1"/>
  <c r="C7159" i="1"/>
  <c r="B7159" i="1"/>
  <c r="C7158" i="1"/>
  <c r="B7158" i="1"/>
  <c r="C7157" i="1"/>
  <c r="B7157" i="1"/>
  <c r="C7156" i="1"/>
  <c r="B7156" i="1"/>
  <c r="C7155" i="1"/>
  <c r="B7155" i="1"/>
  <c r="C7154" i="1"/>
  <c r="B7154" i="1"/>
  <c r="C7152" i="1"/>
  <c r="B7152" i="1"/>
  <c r="C7151" i="1"/>
  <c r="B7151" i="1"/>
  <c r="C7150" i="1"/>
  <c r="B7150" i="1"/>
  <c r="C7149" i="1"/>
  <c r="B7149" i="1"/>
  <c r="C7148" i="1"/>
  <c r="B7148" i="1"/>
  <c r="C7147" i="1"/>
  <c r="B7147" i="1"/>
  <c r="C7145" i="1"/>
  <c r="B7145" i="1"/>
  <c r="C7144" i="1"/>
  <c r="B7144" i="1"/>
  <c r="C7143" i="1"/>
  <c r="B7143" i="1"/>
  <c r="C7142" i="1"/>
  <c r="B7142" i="1"/>
  <c r="C7141" i="1"/>
  <c r="B7141" i="1"/>
  <c r="C7140" i="1"/>
  <c r="B7140" i="1"/>
  <c r="C7139" i="1"/>
  <c r="B7139" i="1"/>
  <c r="C7138" i="1"/>
  <c r="B7138" i="1"/>
  <c r="C7137" i="1"/>
  <c r="B7137" i="1"/>
  <c r="C7136" i="1"/>
  <c r="B7136" i="1"/>
  <c r="C7135" i="1"/>
  <c r="B7135" i="1"/>
  <c r="C7134" i="1"/>
  <c r="B7134" i="1"/>
  <c r="C7133" i="1"/>
  <c r="B7133" i="1"/>
  <c r="C7132" i="1"/>
  <c r="B7132" i="1"/>
  <c r="C7131" i="1"/>
  <c r="B7131" i="1"/>
  <c r="C7129" i="1"/>
  <c r="B7129" i="1"/>
  <c r="C7128" i="1"/>
  <c r="B7128" i="1"/>
  <c r="C7127" i="1"/>
  <c r="B7127" i="1"/>
  <c r="C7126" i="1"/>
  <c r="B7126" i="1"/>
  <c r="C7125" i="1"/>
  <c r="B7125" i="1"/>
  <c r="C7124" i="1"/>
  <c r="B7124" i="1"/>
  <c r="C7123" i="1"/>
  <c r="B7123" i="1"/>
  <c r="C7122" i="1"/>
  <c r="B7122" i="1"/>
  <c r="C7117" i="1"/>
  <c r="B7117" i="1"/>
  <c r="C7114" i="1"/>
  <c r="B7114" i="1"/>
  <c r="C7113" i="1"/>
  <c r="B7113" i="1"/>
  <c r="C7112" i="1"/>
  <c r="B7112" i="1"/>
  <c r="C7111" i="1"/>
  <c r="B7111" i="1"/>
  <c r="C7110" i="1"/>
  <c r="B7110" i="1"/>
  <c r="C7109" i="1"/>
  <c r="B7109" i="1"/>
  <c r="C7108" i="1"/>
  <c r="B7108" i="1"/>
  <c r="C7107" i="1"/>
  <c r="B7107" i="1"/>
  <c r="C7105" i="1"/>
  <c r="B7105" i="1"/>
  <c r="C7104" i="1"/>
  <c r="B7104" i="1"/>
  <c r="C7103" i="1"/>
  <c r="B7103" i="1"/>
  <c r="C7102" i="1"/>
  <c r="B7102" i="1"/>
  <c r="C7101" i="1"/>
  <c r="B7101" i="1"/>
  <c r="C7100" i="1"/>
  <c r="B7100" i="1"/>
  <c r="C7099" i="1"/>
  <c r="B7099" i="1"/>
  <c r="C7098" i="1"/>
  <c r="B7098" i="1"/>
  <c r="C7097" i="1"/>
  <c r="B7097" i="1"/>
  <c r="C7096" i="1"/>
  <c r="B7096" i="1"/>
  <c r="C7095" i="1"/>
  <c r="B7095" i="1"/>
  <c r="C7094" i="1"/>
  <c r="B7094" i="1"/>
  <c r="C7093" i="1"/>
  <c r="B7093" i="1"/>
  <c r="C7090" i="1"/>
  <c r="B7090" i="1"/>
  <c r="C7087" i="1"/>
  <c r="B7087" i="1"/>
  <c r="B7086" i="1"/>
  <c r="C7084" i="1"/>
  <c r="B7084" i="1"/>
  <c r="C7082" i="1"/>
  <c r="B7082" i="1"/>
  <c r="C7080" i="1"/>
  <c r="B7080" i="1"/>
  <c r="C7079" i="1"/>
  <c r="B7079" i="1"/>
  <c r="C7077" i="1"/>
  <c r="B7077" i="1"/>
  <c r="C7076" i="1"/>
  <c r="B7076" i="1"/>
  <c r="C7075" i="1"/>
  <c r="B7075" i="1"/>
  <c r="C7074" i="1"/>
  <c r="C7073" i="1"/>
  <c r="B7073" i="1"/>
  <c r="C7072" i="1"/>
  <c r="B7072" i="1"/>
  <c r="C7071" i="1"/>
  <c r="B7071" i="1"/>
  <c r="C7070" i="1"/>
  <c r="B7070" i="1"/>
  <c r="C7069" i="1"/>
  <c r="B7069" i="1"/>
  <c r="C7067" i="1"/>
  <c r="B7067" i="1"/>
  <c r="C7064" i="1"/>
  <c r="B7064" i="1"/>
  <c r="C7063" i="1"/>
  <c r="B7063" i="1"/>
  <c r="C7062" i="1"/>
  <c r="B7062" i="1"/>
  <c r="C7061" i="1"/>
  <c r="B7061" i="1"/>
  <c r="C7060" i="1"/>
  <c r="B7060" i="1"/>
  <c r="C7059" i="1"/>
  <c r="B7059" i="1"/>
  <c r="C7058" i="1"/>
  <c r="B7058" i="1"/>
  <c r="C7055" i="1"/>
  <c r="B7055" i="1"/>
  <c r="C7054" i="1"/>
  <c r="B7054" i="1"/>
  <c r="C7053" i="1"/>
  <c r="B7053" i="1"/>
  <c r="C7052" i="1"/>
  <c r="B7052" i="1"/>
  <c r="C7051" i="1"/>
  <c r="B7051" i="1"/>
  <c r="C7049" i="1"/>
  <c r="B7049" i="1"/>
  <c r="C7048" i="1"/>
  <c r="B7048" i="1"/>
  <c r="C7047" i="1"/>
  <c r="B7047" i="1"/>
  <c r="C7046" i="1"/>
  <c r="B7046" i="1"/>
  <c r="C7045" i="1"/>
  <c r="B7045" i="1"/>
  <c r="C7044" i="1"/>
  <c r="B7044" i="1"/>
  <c r="C7043" i="1"/>
  <c r="B7043" i="1"/>
  <c r="C7042" i="1"/>
  <c r="B7042" i="1"/>
  <c r="C7041" i="1"/>
  <c r="B7041" i="1"/>
  <c r="C7040" i="1"/>
  <c r="B7040" i="1"/>
  <c r="C7039" i="1"/>
  <c r="B7039" i="1"/>
  <c r="C7038" i="1"/>
  <c r="B7038" i="1"/>
  <c r="C7037" i="1"/>
  <c r="B7037" i="1"/>
  <c r="C7036" i="1"/>
  <c r="B7036" i="1"/>
  <c r="C7035" i="1"/>
  <c r="B7035" i="1"/>
  <c r="C7033" i="1"/>
  <c r="B7033" i="1"/>
  <c r="C7032" i="1"/>
  <c r="B7032" i="1"/>
  <c r="C7031" i="1"/>
  <c r="B7031" i="1"/>
  <c r="C7030" i="1"/>
  <c r="B7030" i="1"/>
  <c r="C7028" i="1"/>
  <c r="B7028" i="1"/>
  <c r="C7027" i="1"/>
  <c r="B7027" i="1"/>
  <c r="C7026" i="1"/>
  <c r="B7026" i="1"/>
  <c r="C7025" i="1"/>
  <c r="B7025" i="1"/>
  <c r="C7024" i="1"/>
  <c r="B7024" i="1"/>
  <c r="C7023" i="1"/>
  <c r="B7023" i="1"/>
  <c r="C7022" i="1"/>
  <c r="B7022" i="1"/>
  <c r="C7021" i="1"/>
  <c r="B7021" i="1"/>
  <c r="C7020" i="1"/>
  <c r="B7020" i="1"/>
  <c r="C7019" i="1"/>
  <c r="B7019" i="1"/>
  <c r="C7018" i="1"/>
  <c r="B7018" i="1"/>
  <c r="C7017" i="1"/>
  <c r="B7017" i="1"/>
  <c r="C7016" i="1"/>
  <c r="B7016" i="1"/>
  <c r="C7015" i="1"/>
  <c r="B7015" i="1"/>
  <c r="C7014" i="1"/>
  <c r="B7014" i="1"/>
  <c r="C7013" i="1"/>
  <c r="B7013" i="1"/>
  <c r="C7012" i="1"/>
  <c r="B7012" i="1"/>
  <c r="C7011" i="1"/>
  <c r="B7011" i="1"/>
  <c r="C7010" i="1"/>
  <c r="B7010" i="1"/>
  <c r="C7009" i="1"/>
  <c r="B7009" i="1"/>
  <c r="C7008" i="1"/>
  <c r="B7008" i="1"/>
  <c r="C7007" i="1"/>
  <c r="B7007" i="1"/>
  <c r="C7006" i="1"/>
  <c r="B7006" i="1"/>
  <c r="C7005" i="1"/>
  <c r="B7005" i="1"/>
  <c r="C7003" i="1"/>
  <c r="B7003" i="1"/>
  <c r="C7002" i="1"/>
  <c r="B7002" i="1"/>
  <c r="C7001" i="1"/>
  <c r="B7001" i="1"/>
  <c r="C7000" i="1"/>
  <c r="B7000" i="1"/>
  <c r="C6999" i="1"/>
  <c r="B6999" i="1"/>
  <c r="C6998" i="1"/>
  <c r="B6998" i="1"/>
  <c r="C6997" i="1"/>
  <c r="B6997" i="1"/>
  <c r="C6996" i="1"/>
  <c r="B6996" i="1"/>
  <c r="C6995" i="1"/>
  <c r="B6995" i="1"/>
  <c r="C6994" i="1"/>
  <c r="B6994" i="1"/>
  <c r="C6991" i="1"/>
  <c r="B6991" i="1"/>
  <c r="C6990" i="1"/>
  <c r="B6990" i="1"/>
  <c r="C6989" i="1"/>
  <c r="B6989" i="1"/>
  <c r="C6988" i="1"/>
  <c r="B6988" i="1"/>
  <c r="C6987" i="1"/>
  <c r="B6987" i="1"/>
  <c r="C6986" i="1"/>
  <c r="B6986" i="1"/>
  <c r="C6985" i="1"/>
  <c r="B6985" i="1"/>
  <c r="C6984" i="1"/>
  <c r="B6984" i="1"/>
  <c r="C6983" i="1"/>
  <c r="B6983" i="1"/>
  <c r="C6982" i="1"/>
  <c r="B6982" i="1"/>
  <c r="C6981" i="1"/>
  <c r="B6981" i="1"/>
  <c r="C6980" i="1"/>
  <c r="B6980" i="1"/>
  <c r="C6979" i="1"/>
  <c r="B6979" i="1"/>
  <c r="C6978" i="1"/>
  <c r="B6978" i="1"/>
  <c r="C6977" i="1"/>
  <c r="B6977" i="1"/>
  <c r="C6976" i="1"/>
  <c r="B6976" i="1"/>
  <c r="C6975" i="1"/>
  <c r="B6975" i="1"/>
  <c r="C6974" i="1"/>
  <c r="B6974" i="1"/>
  <c r="C6973" i="1"/>
  <c r="B6973" i="1"/>
  <c r="C6972" i="1"/>
  <c r="B6972" i="1"/>
  <c r="C6971" i="1"/>
  <c r="B6971" i="1"/>
  <c r="C6970" i="1"/>
  <c r="B6970" i="1"/>
  <c r="C6969" i="1"/>
  <c r="B6969" i="1"/>
  <c r="C6968" i="1"/>
  <c r="B6968" i="1"/>
  <c r="C6967" i="1"/>
  <c r="B6967" i="1"/>
  <c r="C6966" i="1"/>
  <c r="B6966" i="1"/>
  <c r="C6965" i="1"/>
  <c r="B6965" i="1"/>
  <c r="C6964" i="1"/>
  <c r="B6964" i="1"/>
  <c r="C6963" i="1"/>
  <c r="B6963" i="1"/>
  <c r="C6962" i="1"/>
  <c r="B6962" i="1"/>
  <c r="C6960" i="1"/>
  <c r="B6960" i="1"/>
  <c r="C6959" i="1"/>
  <c r="B6959" i="1"/>
  <c r="C6958" i="1"/>
  <c r="B6958" i="1"/>
  <c r="C6957" i="1"/>
  <c r="B6957" i="1"/>
  <c r="C6956" i="1"/>
  <c r="B6956" i="1"/>
  <c r="C6955" i="1"/>
  <c r="B6955" i="1"/>
  <c r="C6954" i="1"/>
  <c r="B6954" i="1"/>
  <c r="C6953" i="1"/>
  <c r="B6953" i="1"/>
  <c r="C6952" i="1"/>
  <c r="B6952" i="1"/>
  <c r="C6951" i="1"/>
  <c r="B6951" i="1"/>
  <c r="C6949" i="1"/>
  <c r="B6949" i="1"/>
  <c r="C6948" i="1"/>
  <c r="B6948" i="1"/>
  <c r="C6947" i="1"/>
  <c r="B6947" i="1"/>
  <c r="C6945" i="1"/>
  <c r="B6945" i="1"/>
  <c r="C6944" i="1"/>
  <c r="B6944" i="1"/>
  <c r="C6943" i="1"/>
  <c r="B6943" i="1"/>
  <c r="C6942" i="1"/>
  <c r="B6942" i="1"/>
  <c r="C6940" i="1"/>
  <c r="B6940" i="1"/>
  <c r="C6939" i="1"/>
  <c r="B6939" i="1"/>
  <c r="C6938" i="1"/>
  <c r="B6938" i="1"/>
  <c r="C6937" i="1"/>
  <c r="B6937" i="1"/>
  <c r="C6936" i="1"/>
  <c r="B6936" i="1"/>
  <c r="C6935" i="1"/>
  <c r="B6935" i="1"/>
  <c r="C6934" i="1"/>
  <c r="B6934" i="1"/>
  <c r="C6933" i="1"/>
  <c r="B6933" i="1"/>
  <c r="C6932" i="1"/>
  <c r="B6932" i="1"/>
  <c r="C6931" i="1"/>
  <c r="B6931" i="1"/>
  <c r="C6930" i="1"/>
  <c r="B6930" i="1"/>
  <c r="C6929" i="1"/>
  <c r="B6929" i="1"/>
  <c r="C6928" i="1"/>
  <c r="B6928" i="1"/>
  <c r="C6927" i="1"/>
  <c r="B6927" i="1"/>
  <c r="C6926" i="1"/>
  <c r="B6926" i="1"/>
  <c r="C6925" i="1"/>
  <c r="B6925" i="1"/>
  <c r="C6924" i="1"/>
  <c r="B6924" i="1"/>
  <c r="C6923" i="1"/>
  <c r="B6923" i="1"/>
  <c r="C6922" i="1"/>
  <c r="B6922" i="1"/>
  <c r="C6921" i="1"/>
  <c r="B6921" i="1"/>
  <c r="C6920" i="1"/>
  <c r="B6920" i="1"/>
  <c r="C6919" i="1"/>
  <c r="B6919" i="1"/>
  <c r="C6918" i="1"/>
  <c r="B6918" i="1"/>
  <c r="C6916" i="1"/>
  <c r="B6916" i="1"/>
  <c r="C6915" i="1"/>
  <c r="B6915" i="1"/>
  <c r="C6914" i="1"/>
  <c r="B6914" i="1"/>
  <c r="C6913" i="1"/>
  <c r="B6913" i="1"/>
  <c r="C6912" i="1"/>
  <c r="B6912" i="1"/>
  <c r="C6910" i="1"/>
  <c r="B6910" i="1"/>
  <c r="C6909" i="1"/>
  <c r="B6909" i="1"/>
  <c r="C6907" i="1"/>
  <c r="B6907" i="1"/>
  <c r="C6906" i="1"/>
  <c r="B6906" i="1"/>
  <c r="C6905" i="1"/>
  <c r="B6905" i="1"/>
  <c r="C6904" i="1"/>
  <c r="B6904" i="1"/>
  <c r="C6903" i="1"/>
  <c r="B6903" i="1"/>
  <c r="C6902" i="1"/>
  <c r="B6902" i="1"/>
  <c r="C6901" i="1"/>
  <c r="B6901" i="1"/>
  <c r="C6900" i="1"/>
  <c r="B6900" i="1"/>
  <c r="C6898" i="1"/>
  <c r="B6898" i="1"/>
  <c r="C6897" i="1"/>
  <c r="B6897" i="1"/>
  <c r="C6896" i="1"/>
  <c r="B6896" i="1"/>
  <c r="C6895" i="1"/>
  <c r="B6895" i="1"/>
  <c r="C6894" i="1"/>
  <c r="B6894" i="1"/>
  <c r="C6893" i="1"/>
  <c r="B6893" i="1"/>
  <c r="C6892" i="1"/>
  <c r="B6892" i="1"/>
  <c r="C6890" i="1"/>
  <c r="B6890" i="1"/>
  <c r="C6889" i="1"/>
  <c r="B6889" i="1"/>
  <c r="C6888" i="1"/>
  <c r="B6888" i="1"/>
  <c r="C6885" i="1"/>
  <c r="B6885" i="1"/>
  <c r="C6884" i="1"/>
  <c r="B6884" i="1"/>
  <c r="C6883" i="1"/>
  <c r="C6882" i="1"/>
  <c r="B6882" i="1"/>
  <c r="C6881" i="1"/>
  <c r="B6881" i="1"/>
  <c r="C6880" i="1"/>
  <c r="B6880" i="1"/>
  <c r="C6879" i="1"/>
  <c r="B6879" i="1"/>
  <c r="C6878" i="1"/>
  <c r="B6878" i="1"/>
  <c r="C6877" i="1"/>
  <c r="B6877" i="1"/>
  <c r="C6876" i="1"/>
  <c r="B6876" i="1"/>
  <c r="C6875" i="1"/>
  <c r="B6875" i="1"/>
  <c r="C6874" i="1"/>
  <c r="B6874" i="1"/>
  <c r="C6873" i="1"/>
  <c r="B6873" i="1"/>
  <c r="C6872" i="1"/>
  <c r="B6872" i="1"/>
  <c r="C6871" i="1"/>
  <c r="B6871" i="1"/>
  <c r="C6870" i="1"/>
  <c r="B6870" i="1"/>
  <c r="C6869" i="1"/>
  <c r="B6869" i="1"/>
  <c r="C6868" i="1"/>
  <c r="B6868" i="1"/>
  <c r="C6867" i="1"/>
  <c r="B6867" i="1"/>
  <c r="C6866" i="1"/>
  <c r="B6866" i="1"/>
  <c r="C6864" i="1"/>
  <c r="B6864" i="1"/>
  <c r="C6863" i="1"/>
  <c r="B6863" i="1"/>
  <c r="C6862" i="1"/>
  <c r="B6862" i="1"/>
  <c r="C6861" i="1"/>
  <c r="B6861" i="1"/>
  <c r="B6860" i="1"/>
  <c r="C6859" i="1"/>
  <c r="B6859" i="1"/>
  <c r="C6858" i="1"/>
  <c r="B6858" i="1"/>
  <c r="C6857" i="1"/>
  <c r="B6857" i="1"/>
  <c r="C6856" i="1"/>
  <c r="B6856" i="1"/>
  <c r="C6855" i="1"/>
  <c r="B6855" i="1"/>
  <c r="C6854" i="1"/>
  <c r="B6854" i="1"/>
  <c r="C6853" i="1"/>
  <c r="B6853" i="1"/>
  <c r="C6851" i="1"/>
  <c r="B6851" i="1"/>
  <c r="C6849" i="1"/>
  <c r="B6849" i="1"/>
  <c r="C6848" i="1"/>
  <c r="B6848" i="1"/>
  <c r="C6847" i="1"/>
  <c r="B6847" i="1"/>
  <c r="C6846" i="1"/>
  <c r="B6846" i="1"/>
  <c r="C6845" i="1"/>
  <c r="B6845" i="1"/>
  <c r="C6844" i="1"/>
  <c r="B6844" i="1"/>
  <c r="C6843" i="1"/>
  <c r="B6843" i="1"/>
  <c r="C6842" i="1"/>
  <c r="B6842" i="1"/>
  <c r="C6841" i="1"/>
  <c r="B6841" i="1"/>
  <c r="C6840" i="1"/>
  <c r="B6840" i="1"/>
  <c r="C6839" i="1"/>
  <c r="B6839" i="1"/>
  <c r="C6838" i="1"/>
  <c r="B6838" i="1"/>
  <c r="C6837" i="1"/>
  <c r="B6837" i="1"/>
  <c r="C6836" i="1"/>
  <c r="B6836" i="1"/>
  <c r="C6835" i="1"/>
  <c r="B6835" i="1"/>
  <c r="C6834" i="1"/>
  <c r="B6834" i="1"/>
  <c r="C6832" i="1"/>
  <c r="B6832" i="1"/>
  <c r="C6831" i="1"/>
  <c r="B6831" i="1"/>
  <c r="C6830" i="1"/>
  <c r="B6830" i="1"/>
  <c r="C6829" i="1"/>
  <c r="B6829" i="1"/>
  <c r="C6828" i="1"/>
  <c r="B6828" i="1"/>
  <c r="C6827" i="1"/>
  <c r="B6827" i="1"/>
  <c r="C6825" i="1"/>
  <c r="B6825" i="1"/>
  <c r="C6824" i="1"/>
  <c r="B6824" i="1"/>
  <c r="C6823" i="1"/>
  <c r="B6823" i="1"/>
  <c r="C6822" i="1"/>
  <c r="B6822" i="1"/>
  <c r="C6820" i="1"/>
  <c r="B6820" i="1"/>
  <c r="C6819" i="1"/>
  <c r="B6819" i="1"/>
  <c r="C6818" i="1"/>
  <c r="B6818" i="1"/>
  <c r="C6817" i="1"/>
  <c r="B6817" i="1"/>
  <c r="C6816" i="1"/>
  <c r="B6816" i="1"/>
  <c r="C6815" i="1"/>
  <c r="B6815" i="1"/>
  <c r="C6814" i="1"/>
  <c r="B6814" i="1"/>
  <c r="C6813" i="1"/>
  <c r="B6813" i="1"/>
  <c r="C6812" i="1"/>
  <c r="B6812" i="1"/>
  <c r="C6811" i="1"/>
  <c r="B6811" i="1"/>
  <c r="C6810" i="1"/>
  <c r="B6810" i="1"/>
  <c r="C6809" i="1"/>
  <c r="B6809" i="1"/>
  <c r="C6808" i="1"/>
  <c r="B6808" i="1"/>
  <c r="C6806" i="1"/>
  <c r="B6806" i="1"/>
  <c r="C6805" i="1"/>
  <c r="B6805" i="1"/>
  <c r="C6804" i="1"/>
  <c r="B6804" i="1"/>
  <c r="C6803" i="1"/>
  <c r="B6803" i="1"/>
  <c r="C6802" i="1"/>
  <c r="B6802" i="1"/>
  <c r="C6801" i="1"/>
  <c r="B6801" i="1"/>
  <c r="C6800" i="1"/>
  <c r="B6800" i="1"/>
  <c r="C6799" i="1"/>
  <c r="B6799" i="1"/>
  <c r="C6798" i="1"/>
  <c r="B6798" i="1"/>
  <c r="C6797" i="1"/>
  <c r="B6797" i="1"/>
  <c r="C6796" i="1"/>
  <c r="B6796" i="1"/>
  <c r="C6795" i="1"/>
  <c r="B6795" i="1"/>
  <c r="C6794" i="1"/>
  <c r="B6794" i="1"/>
  <c r="C6792" i="1"/>
  <c r="B6792" i="1"/>
  <c r="C6791" i="1"/>
  <c r="B6791" i="1"/>
  <c r="C6789" i="1"/>
  <c r="B6789" i="1"/>
  <c r="C6788" i="1"/>
  <c r="B6788" i="1"/>
  <c r="C6787" i="1"/>
  <c r="B6787" i="1"/>
  <c r="C6786" i="1"/>
  <c r="B6786" i="1"/>
  <c r="C6785" i="1"/>
  <c r="B6785" i="1"/>
  <c r="C6784" i="1"/>
  <c r="B6784" i="1"/>
  <c r="C6783" i="1"/>
  <c r="B6783" i="1"/>
  <c r="C6782" i="1"/>
  <c r="B6782" i="1"/>
  <c r="C6781" i="1"/>
  <c r="B6781" i="1"/>
  <c r="C6780" i="1"/>
  <c r="B6780" i="1"/>
  <c r="C6779" i="1"/>
  <c r="B6779" i="1"/>
  <c r="C6777" i="1"/>
  <c r="B6777" i="1"/>
  <c r="C6776" i="1"/>
  <c r="B6776" i="1"/>
  <c r="C6775" i="1"/>
  <c r="B6775" i="1"/>
  <c r="C6774" i="1"/>
  <c r="B6774" i="1"/>
  <c r="C6773" i="1"/>
  <c r="B6773" i="1"/>
  <c r="C6772" i="1"/>
  <c r="B6772" i="1"/>
  <c r="C6771" i="1"/>
  <c r="B6771" i="1"/>
  <c r="C6770" i="1"/>
  <c r="B6770" i="1"/>
  <c r="C6769" i="1"/>
  <c r="B6769" i="1"/>
  <c r="C6768" i="1"/>
  <c r="B6768" i="1"/>
  <c r="C6767" i="1"/>
  <c r="B6767" i="1"/>
  <c r="C6766" i="1"/>
  <c r="B6766" i="1"/>
  <c r="C6765" i="1"/>
  <c r="B6765" i="1"/>
  <c r="C6764" i="1"/>
  <c r="B6764" i="1"/>
  <c r="C6763" i="1"/>
  <c r="B6763" i="1"/>
  <c r="C6762" i="1"/>
  <c r="B6762" i="1"/>
  <c r="C6761" i="1"/>
  <c r="B6761" i="1"/>
  <c r="C6760" i="1"/>
  <c r="B6760" i="1"/>
  <c r="C6759" i="1"/>
  <c r="B6759" i="1"/>
  <c r="C6758" i="1"/>
  <c r="B6758" i="1"/>
  <c r="C6757" i="1"/>
  <c r="B6757" i="1"/>
  <c r="C6756" i="1"/>
  <c r="B6756" i="1"/>
  <c r="C6755" i="1"/>
  <c r="B6755" i="1"/>
  <c r="C6754" i="1"/>
  <c r="B6754" i="1"/>
  <c r="C6753" i="1"/>
  <c r="B6753" i="1"/>
  <c r="C6752" i="1"/>
  <c r="B6752" i="1"/>
  <c r="C6751" i="1"/>
  <c r="B6751" i="1"/>
  <c r="C6750" i="1"/>
  <c r="B6750" i="1"/>
  <c r="C6749" i="1"/>
  <c r="B6749" i="1"/>
  <c r="C6748" i="1"/>
  <c r="B6748" i="1"/>
  <c r="C6747" i="1"/>
  <c r="B6747" i="1"/>
  <c r="C6746" i="1"/>
  <c r="B6746" i="1"/>
  <c r="C6744" i="1"/>
  <c r="B6744" i="1"/>
  <c r="C6742" i="1"/>
  <c r="B6742" i="1"/>
  <c r="C6741" i="1"/>
  <c r="B6741" i="1"/>
  <c r="C6740" i="1"/>
  <c r="B6740" i="1"/>
  <c r="C6739" i="1"/>
  <c r="B6739" i="1"/>
  <c r="C6737" i="1"/>
  <c r="B6737" i="1"/>
  <c r="C6736" i="1"/>
  <c r="B6736" i="1"/>
  <c r="C6735" i="1"/>
  <c r="B6735" i="1"/>
  <c r="C6734" i="1"/>
  <c r="B6734" i="1"/>
  <c r="C6733" i="1"/>
  <c r="B6733" i="1"/>
  <c r="C6732" i="1"/>
  <c r="B6732" i="1"/>
  <c r="C6731" i="1"/>
  <c r="B6731" i="1"/>
  <c r="C6730" i="1"/>
  <c r="B6730" i="1"/>
  <c r="C6729" i="1"/>
  <c r="B6729" i="1"/>
  <c r="C6728" i="1"/>
  <c r="B6728" i="1"/>
  <c r="C6727" i="1"/>
  <c r="B6727" i="1"/>
  <c r="C6726" i="1"/>
  <c r="B6726" i="1"/>
  <c r="C6725" i="1"/>
  <c r="B6725" i="1"/>
  <c r="C6724" i="1"/>
  <c r="B6724" i="1"/>
  <c r="C6723" i="1"/>
  <c r="B6723" i="1"/>
  <c r="C6722" i="1"/>
  <c r="B6722" i="1"/>
  <c r="C6721" i="1"/>
  <c r="B6721" i="1"/>
  <c r="C6720" i="1"/>
  <c r="B6720" i="1"/>
  <c r="C6719" i="1"/>
  <c r="B6719" i="1"/>
  <c r="C6717" i="1"/>
  <c r="B6717" i="1"/>
  <c r="C6716" i="1"/>
  <c r="B6716" i="1"/>
  <c r="C6715" i="1"/>
  <c r="B6715" i="1"/>
  <c r="C6714" i="1"/>
  <c r="B6714" i="1"/>
  <c r="C6713" i="1"/>
  <c r="B6713" i="1"/>
  <c r="C6712" i="1"/>
  <c r="B6712" i="1"/>
  <c r="C6711" i="1"/>
  <c r="B6711" i="1"/>
  <c r="C6710" i="1"/>
  <c r="B6710" i="1"/>
  <c r="C6709" i="1"/>
  <c r="B6709" i="1"/>
  <c r="C6708" i="1"/>
  <c r="B6708" i="1"/>
  <c r="C6707" i="1"/>
  <c r="B6707" i="1"/>
  <c r="C6706" i="1"/>
  <c r="B6706" i="1"/>
  <c r="C6705" i="1"/>
  <c r="B6705" i="1"/>
  <c r="C6704" i="1"/>
  <c r="B6704" i="1"/>
  <c r="C6703" i="1"/>
  <c r="B6703" i="1"/>
  <c r="C6702" i="1"/>
  <c r="B6702" i="1"/>
  <c r="C6701" i="1"/>
  <c r="B6701" i="1"/>
  <c r="C6700" i="1"/>
  <c r="B6700" i="1"/>
  <c r="C6699" i="1"/>
  <c r="B6699" i="1"/>
  <c r="C6698" i="1"/>
  <c r="B6698" i="1"/>
  <c r="C6697" i="1"/>
  <c r="B6697" i="1"/>
  <c r="C6696" i="1"/>
  <c r="B6696" i="1"/>
  <c r="C6695" i="1"/>
  <c r="B6695" i="1"/>
  <c r="C6694" i="1"/>
  <c r="B6694" i="1"/>
  <c r="C6693" i="1"/>
  <c r="B6693" i="1"/>
  <c r="C6692" i="1"/>
  <c r="B6692" i="1"/>
  <c r="C6690" i="1"/>
  <c r="B6690" i="1"/>
  <c r="C6689" i="1"/>
  <c r="B6689" i="1"/>
  <c r="C6688" i="1"/>
  <c r="B6688" i="1"/>
  <c r="C6687" i="1"/>
  <c r="B6687" i="1"/>
  <c r="C6686" i="1"/>
  <c r="B6686" i="1"/>
  <c r="C6685" i="1"/>
  <c r="B6685" i="1"/>
  <c r="C6684" i="1"/>
  <c r="B6684" i="1"/>
  <c r="C6683" i="1"/>
  <c r="B6683" i="1"/>
  <c r="C6682" i="1"/>
  <c r="B6682" i="1"/>
  <c r="C6681" i="1"/>
  <c r="B6681" i="1"/>
  <c r="C6680" i="1"/>
  <c r="B6680" i="1"/>
  <c r="C6679" i="1"/>
  <c r="B6679" i="1"/>
  <c r="C6678" i="1"/>
  <c r="B6678" i="1"/>
  <c r="C6677" i="1"/>
  <c r="B6677" i="1"/>
  <c r="C6676" i="1"/>
  <c r="B6676" i="1"/>
  <c r="C6675" i="1"/>
  <c r="B6675" i="1"/>
  <c r="C6674" i="1"/>
  <c r="B6674" i="1"/>
  <c r="C6673" i="1"/>
  <c r="B6673" i="1"/>
  <c r="C6672" i="1"/>
  <c r="B6672" i="1"/>
  <c r="C6671" i="1"/>
  <c r="B6671" i="1"/>
  <c r="C6670" i="1"/>
  <c r="B6670" i="1"/>
  <c r="C6669" i="1"/>
  <c r="B6669" i="1"/>
  <c r="C6668" i="1"/>
  <c r="B6668" i="1"/>
  <c r="C6667" i="1"/>
  <c r="B6667" i="1"/>
  <c r="C6666" i="1"/>
  <c r="B6666" i="1"/>
  <c r="C6665" i="1"/>
  <c r="B6665" i="1"/>
  <c r="C6664" i="1"/>
  <c r="B6664" i="1"/>
  <c r="C6663" i="1"/>
  <c r="B6663" i="1"/>
  <c r="C6662" i="1"/>
  <c r="B6662" i="1"/>
  <c r="C6661" i="1"/>
  <c r="B6661" i="1"/>
  <c r="C6660" i="1"/>
  <c r="B6660" i="1"/>
  <c r="C6659" i="1"/>
  <c r="B6659" i="1"/>
  <c r="C6658" i="1"/>
  <c r="B6658" i="1"/>
  <c r="C6657" i="1"/>
  <c r="B6657" i="1"/>
  <c r="C6656" i="1"/>
  <c r="B6656" i="1"/>
  <c r="C6655" i="1"/>
  <c r="B6655" i="1"/>
  <c r="C6654" i="1"/>
  <c r="B6654" i="1"/>
  <c r="C6653" i="1"/>
  <c r="B6653" i="1"/>
  <c r="C6652" i="1"/>
  <c r="B6652" i="1"/>
  <c r="C6651" i="1"/>
  <c r="B6651" i="1"/>
  <c r="C6650" i="1"/>
  <c r="B6650" i="1"/>
  <c r="C6649" i="1"/>
  <c r="B6649" i="1"/>
  <c r="C6648" i="1"/>
  <c r="B6648" i="1"/>
  <c r="C6647" i="1"/>
  <c r="B6647" i="1"/>
  <c r="C6646" i="1"/>
  <c r="B6646" i="1"/>
  <c r="C6645" i="1"/>
  <c r="B6645" i="1"/>
  <c r="C6644" i="1"/>
  <c r="B6644" i="1"/>
  <c r="C6643" i="1"/>
  <c r="B6643" i="1"/>
  <c r="C6642" i="1"/>
  <c r="B6642" i="1"/>
  <c r="C6641" i="1"/>
  <c r="B6641" i="1"/>
  <c r="C6640" i="1"/>
  <c r="B6640" i="1"/>
  <c r="C6639" i="1"/>
  <c r="B6639" i="1"/>
  <c r="C6638" i="1"/>
  <c r="B6638" i="1"/>
  <c r="C6637" i="1"/>
  <c r="B6637" i="1"/>
  <c r="C6635" i="1"/>
  <c r="B6635" i="1"/>
  <c r="C6634" i="1"/>
  <c r="B6634" i="1"/>
  <c r="C6633" i="1"/>
  <c r="B6633" i="1"/>
  <c r="C6631" i="1"/>
  <c r="B6631" i="1"/>
  <c r="C6630" i="1"/>
  <c r="B6630" i="1"/>
  <c r="C6629" i="1"/>
  <c r="B6629" i="1"/>
  <c r="C6628" i="1"/>
  <c r="B6628" i="1"/>
  <c r="C6627" i="1"/>
  <c r="B6627" i="1"/>
  <c r="C6626" i="1"/>
  <c r="B6626" i="1"/>
  <c r="C6625" i="1"/>
  <c r="B6625" i="1"/>
  <c r="C6624" i="1"/>
  <c r="B6624" i="1"/>
  <c r="C6623" i="1"/>
  <c r="B6623" i="1"/>
  <c r="C6621" i="1"/>
  <c r="B6621" i="1"/>
  <c r="C6619" i="1"/>
  <c r="B6619" i="1"/>
  <c r="C6618" i="1"/>
  <c r="B6618" i="1"/>
  <c r="C6617" i="1"/>
  <c r="B6617" i="1"/>
  <c r="B6616" i="1"/>
  <c r="C6615" i="1"/>
  <c r="B6615" i="1"/>
  <c r="C6614" i="1"/>
  <c r="B6614" i="1"/>
  <c r="C6613" i="1"/>
  <c r="B6613" i="1"/>
  <c r="C6611" i="1"/>
  <c r="B6611" i="1"/>
  <c r="C6610" i="1"/>
  <c r="B6610" i="1"/>
  <c r="C6609" i="1"/>
  <c r="B6609" i="1"/>
  <c r="C6608" i="1"/>
  <c r="B6608" i="1"/>
  <c r="C6607" i="1"/>
  <c r="B6607" i="1"/>
  <c r="C6606" i="1"/>
  <c r="B6606" i="1"/>
  <c r="C6605" i="1"/>
  <c r="B6605" i="1"/>
  <c r="C6604" i="1"/>
  <c r="B6604" i="1"/>
  <c r="C6603" i="1"/>
  <c r="B6603" i="1"/>
  <c r="C6602" i="1"/>
  <c r="B6602" i="1"/>
  <c r="C6601" i="1"/>
  <c r="B6601" i="1"/>
  <c r="C6599" i="1"/>
  <c r="B6599" i="1"/>
  <c r="C6598" i="1"/>
  <c r="B6598" i="1"/>
  <c r="C6597" i="1"/>
  <c r="B6597" i="1"/>
  <c r="C6596" i="1"/>
  <c r="B6596" i="1"/>
  <c r="C6594" i="1"/>
  <c r="B6594" i="1"/>
  <c r="C6593" i="1"/>
  <c r="B6593" i="1"/>
  <c r="C6592" i="1"/>
  <c r="B6592" i="1"/>
  <c r="C6590" i="1"/>
  <c r="B6590" i="1"/>
  <c r="C6589" i="1"/>
  <c r="B6589" i="1"/>
  <c r="C6588" i="1"/>
  <c r="B6588" i="1"/>
  <c r="C6587" i="1"/>
  <c r="B6587" i="1"/>
  <c r="C6586" i="1"/>
  <c r="B6586" i="1"/>
  <c r="C6585" i="1"/>
  <c r="B6585" i="1"/>
  <c r="C6584" i="1"/>
  <c r="B6584" i="1"/>
  <c r="C6583" i="1"/>
  <c r="B6583" i="1"/>
  <c r="C6582" i="1"/>
  <c r="B6582" i="1"/>
  <c r="C6581" i="1"/>
  <c r="B6581" i="1"/>
  <c r="C6580" i="1"/>
  <c r="B6580" i="1"/>
  <c r="C6579" i="1"/>
  <c r="B6579" i="1"/>
  <c r="C6578" i="1"/>
  <c r="B6578" i="1"/>
  <c r="C6577" i="1"/>
  <c r="B6577" i="1"/>
  <c r="C6576" i="1"/>
  <c r="B6576" i="1"/>
  <c r="C6575" i="1"/>
  <c r="B6575" i="1"/>
  <c r="C6574" i="1"/>
  <c r="B6574" i="1"/>
  <c r="C6573" i="1"/>
  <c r="B6573" i="1"/>
  <c r="C6572" i="1"/>
  <c r="B6572" i="1"/>
  <c r="C6571" i="1"/>
  <c r="B6571" i="1"/>
  <c r="C6570" i="1"/>
  <c r="B6570" i="1"/>
  <c r="C6569" i="1"/>
  <c r="B6569" i="1"/>
  <c r="C6568" i="1"/>
  <c r="B6568" i="1"/>
  <c r="C6567" i="1"/>
  <c r="B6567" i="1"/>
  <c r="C6566" i="1"/>
  <c r="B6566" i="1"/>
  <c r="C6565" i="1"/>
  <c r="B6565" i="1"/>
  <c r="C6564" i="1"/>
  <c r="B6564" i="1"/>
  <c r="C6563" i="1"/>
  <c r="B6563" i="1"/>
  <c r="C6562" i="1"/>
  <c r="B6562" i="1"/>
  <c r="C6561" i="1"/>
  <c r="B6561" i="1"/>
  <c r="C6560" i="1"/>
  <c r="B6560" i="1"/>
  <c r="C6558" i="1"/>
  <c r="B6558" i="1"/>
  <c r="C6557" i="1"/>
  <c r="B6557" i="1"/>
  <c r="C6556" i="1"/>
  <c r="B6556" i="1"/>
  <c r="C6555" i="1"/>
  <c r="B6555" i="1"/>
  <c r="C6554" i="1"/>
  <c r="B6554" i="1"/>
  <c r="C6553" i="1"/>
  <c r="B6553" i="1"/>
  <c r="C6552" i="1"/>
  <c r="B6552" i="1"/>
  <c r="C6551" i="1"/>
  <c r="B6551" i="1"/>
  <c r="C6550" i="1"/>
  <c r="B6550" i="1"/>
  <c r="C6549" i="1"/>
  <c r="B6549" i="1"/>
  <c r="C6548" i="1"/>
  <c r="B6548" i="1"/>
  <c r="C6547" i="1"/>
  <c r="B6547" i="1"/>
  <c r="C6546" i="1"/>
  <c r="B6546" i="1"/>
  <c r="C6545" i="1"/>
  <c r="B6545" i="1"/>
  <c r="C6544" i="1"/>
  <c r="B6544" i="1"/>
  <c r="C6543" i="1"/>
  <c r="B6543" i="1"/>
  <c r="C6542" i="1"/>
  <c r="B6542" i="1"/>
  <c r="C6541" i="1"/>
  <c r="B6541" i="1"/>
  <c r="C6540" i="1"/>
  <c r="B6540" i="1"/>
  <c r="C6538" i="1"/>
  <c r="B6538" i="1"/>
  <c r="C6537" i="1"/>
  <c r="B6537" i="1"/>
  <c r="C6536" i="1"/>
  <c r="B6536" i="1"/>
  <c r="C6535" i="1"/>
  <c r="B6535" i="1"/>
  <c r="C6534" i="1"/>
  <c r="B6534" i="1"/>
  <c r="C6533" i="1"/>
  <c r="B6533" i="1"/>
  <c r="C6532" i="1"/>
  <c r="B6532" i="1"/>
  <c r="C6531" i="1"/>
  <c r="B6531" i="1"/>
  <c r="C6530" i="1"/>
  <c r="B6530" i="1"/>
  <c r="C6528" i="1"/>
  <c r="B6528" i="1"/>
  <c r="C6527" i="1"/>
  <c r="B6527" i="1"/>
  <c r="C6525" i="1"/>
  <c r="B6525" i="1"/>
  <c r="C6524" i="1"/>
  <c r="B6524" i="1"/>
  <c r="C6523" i="1"/>
  <c r="B6523" i="1"/>
  <c r="C6521" i="1"/>
  <c r="B6521" i="1"/>
  <c r="C6520" i="1"/>
  <c r="B6520" i="1"/>
  <c r="C6519" i="1"/>
  <c r="B6519" i="1"/>
  <c r="C6518" i="1"/>
  <c r="B6518" i="1"/>
  <c r="C6517" i="1"/>
  <c r="B6517" i="1"/>
  <c r="C6516" i="1"/>
  <c r="B6516" i="1"/>
  <c r="C6515" i="1"/>
  <c r="B6515" i="1"/>
  <c r="C6514" i="1"/>
  <c r="B6514" i="1"/>
  <c r="C6513" i="1"/>
  <c r="B6513" i="1"/>
  <c r="C6512" i="1"/>
  <c r="B6512" i="1"/>
  <c r="C6511" i="1"/>
  <c r="B6511" i="1"/>
  <c r="C6510" i="1"/>
  <c r="B6510" i="1"/>
  <c r="C6509" i="1"/>
  <c r="B6509" i="1"/>
  <c r="C6508" i="1"/>
  <c r="B6508" i="1"/>
  <c r="C6507" i="1"/>
  <c r="B6507" i="1"/>
  <c r="C6506" i="1"/>
  <c r="B6506" i="1"/>
  <c r="C6505" i="1"/>
  <c r="B6505" i="1"/>
  <c r="C6504" i="1"/>
  <c r="B6504" i="1"/>
  <c r="C6503" i="1"/>
  <c r="B6503" i="1"/>
  <c r="C6502" i="1"/>
  <c r="B6502" i="1"/>
  <c r="C6501" i="1"/>
  <c r="B6501" i="1"/>
  <c r="C6500" i="1"/>
  <c r="B6500" i="1"/>
  <c r="C6499" i="1"/>
  <c r="B6499" i="1"/>
  <c r="C6498" i="1"/>
  <c r="B6498" i="1"/>
  <c r="C6497" i="1"/>
  <c r="B6497" i="1"/>
  <c r="C6496" i="1"/>
  <c r="B6496" i="1"/>
  <c r="C6495" i="1"/>
  <c r="B6495" i="1"/>
  <c r="C6492" i="1"/>
  <c r="B6492" i="1"/>
  <c r="C6491" i="1"/>
  <c r="B6491" i="1"/>
  <c r="C6490" i="1"/>
  <c r="B6490" i="1"/>
  <c r="C6488" i="1"/>
  <c r="B6488" i="1"/>
  <c r="C6486" i="1"/>
  <c r="B6486" i="1"/>
  <c r="C6482" i="1"/>
  <c r="B6482" i="1"/>
  <c r="C6481" i="1"/>
  <c r="B6481" i="1"/>
  <c r="C6480" i="1"/>
  <c r="B6480" i="1"/>
  <c r="C6479" i="1"/>
  <c r="B6479" i="1"/>
  <c r="C6478" i="1"/>
  <c r="B6478" i="1"/>
  <c r="C6477" i="1"/>
  <c r="B6477" i="1"/>
  <c r="C6476" i="1"/>
  <c r="B6476" i="1"/>
  <c r="C6475" i="1"/>
  <c r="B6475" i="1"/>
  <c r="C6474" i="1"/>
  <c r="B6474" i="1"/>
  <c r="C6473" i="1"/>
  <c r="B6473" i="1"/>
  <c r="C6470" i="1"/>
  <c r="B6470" i="1"/>
  <c r="C6467" i="1"/>
  <c r="B6467" i="1"/>
  <c r="C6466" i="1"/>
  <c r="B6466" i="1"/>
  <c r="C6465" i="1"/>
  <c r="B6465" i="1"/>
  <c r="C6464" i="1"/>
  <c r="B6464" i="1"/>
  <c r="C6463" i="1"/>
  <c r="B6463" i="1"/>
  <c r="C6462" i="1"/>
  <c r="B6462" i="1"/>
  <c r="C6461" i="1"/>
  <c r="B6461" i="1"/>
  <c r="C6460" i="1"/>
  <c r="B6460" i="1"/>
  <c r="C6459" i="1"/>
  <c r="B6459" i="1"/>
  <c r="C6457" i="1"/>
  <c r="B6457" i="1"/>
  <c r="C6455" i="1"/>
  <c r="B6455" i="1"/>
  <c r="C6454" i="1"/>
  <c r="B6454" i="1"/>
  <c r="C6453" i="1"/>
  <c r="B6453" i="1"/>
  <c r="C6451" i="1"/>
  <c r="B6451" i="1"/>
  <c r="C6449" i="1"/>
  <c r="B6449" i="1"/>
  <c r="C6448" i="1"/>
  <c r="B6448" i="1"/>
  <c r="C6447" i="1"/>
  <c r="B6447" i="1"/>
  <c r="C6446" i="1"/>
  <c r="B6446" i="1"/>
  <c r="C6445" i="1"/>
  <c r="B6445" i="1"/>
  <c r="C6444" i="1"/>
  <c r="B6444" i="1"/>
  <c r="C6442" i="1"/>
  <c r="B6442" i="1"/>
  <c r="C6441" i="1"/>
  <c r="B6441" i="1"/>
  <c r="C6439" i="1"/>
  <c r="B6439" i="1"/>
  <c r="C6438" i="1"/>
  <c r="B6438" i="1"/>
  <c r="C6437" i="1"/>
  <c r="B6437" i="1"/>
  <c r="C6436" i="1"/>
  <c r="B6436" i="1"/>
  <c r="C6435" i="1"/>
  <c r="B6435" i="1"/>
  <c r="C6434" i="1"/>
  <c r="B6434" i="1"/>
  <c r="C6433" i="1"/>
  <c r="B6433" i="1"/>
  <c r="C6432" i="1"/>
  <c r="B6432" i="1"/>
  <c r="C6431" i="1"/>
  <c r="B6431" i="1"/>
  <c r="C6430" i="1"/>
  <c r="B6430" i="1"/>
  <c r="C6429" i="1"/>
  <c r="B6429" i="1"/>
  <c r="C6427" i="1"/>
  <c r="B6427" i="1"/>
  <c r="C6425" i="1"/>
  <c r="B6425" i="1"/>
  <c r="C6424" i="1"/>
  <c r="B6424" i="1"/>
  <c r="C6423" i="1"/>
  <c r="B6423" i="1"/>
  <c r="C6422" i="1"/>
  <c r="B6422" i="1"/>
  <c r="C6421" i="1"/>
  <c r="B6421" i="1"/>
  <c r="C6420" i="1"/>
  <c r="B6420" i="1"/>
  <c r="C6419" i="1"/>
  <c r="B6419" i="1"/>
  <c r="C6418" i="1"/>
  <c r="B6418" i="1"/>
  <c r="C6416" i="1"/>
  <c r="B6416" i="1"/>
  <c r="C6415" i="1"/>
  <c r="B6415" i="1"/>
  <c r="C6414" i="1"/>
  <c r="B6414" i="1"/>
  <c r="C6413" i="1"/>
  <c r="B6413" i="1"/>
  <c r="C6411" i="1"/>
  <c r="B6411" i="1"/>
  <c r="C6410" i="1"/>
  <c r="B6410" i="1"/>
  <c r="C6409" i="1"/>
  <c r="B6409" i="1"/>
  <c r="C6408" i="1"/>
  <c r="B6408" i="1"/>
  <c r="C6407" i="1"/>
  <c r="B6407" i="1"/>
  <c r="C6406" i="1"/>
  <c r="B6406" i="1"/>
  <c r="C6405" i="1"/>
  <c r="B6405" i="1"/>
  <c r="C6404" i="1"/>
  <c r="B6404" i="1"/>
  <c r="C6403" i="1"/>
  <c r="B6403" i="1"/>
  <c r="C6402" i="1"/>
  <c r="B6402" i="1"/>
  <c r="C6401" i="1"/>
  <c r="B6401" i="1"/>
  <c r="C6400" i="1"/>
  <c r="B6400" i="1"/>
  <c r="C6399" i="1"/>
  <c r="B6399" i="1"/>
  <c r="C6398" i="1"/>
  <c r="B6398" i="1"/>
  <c r="C6397" i="1"/>
  <c r="B6397" i="1"/>
  <c r="C6396" i="1"/>
  <c r="B6396" i="1"/>
  <c r="C6395" i="1"/>
  <c r="B6395" i="1"/>
  <c r="C6394" i="1"/>
  <c r="B6394" i="1"/>
  <c r="C6393" i="1"/>
  <c r="B6393" i="1"/>
  <c r="C6392" i="1"/>
  <c r="B6392" i="1"/>
  <c r="C6391" i="1"/>
  <c r="B6391" i="1"/>
  <c r="C6389" i="1"/>
  <c r="B6389" i="1"/>
  <c r="C6388" i="1"/>
  <c r="B6388" i="1"/>
  <c r="C6385" i="1"/>
  <c r="B6385" i="1"/>
  <c r="C6383" i="1"/>
  <c r="B6383" i="1"/>
  <c r="C6381" i="1"/>
  <c r="B6381" i="1"/>
  <c r="C6380" i="1"/>
  <c r="B6380" i="1"/>
  <c r="C6379" i="1"/>
  <c r="B6379" i="1"/>
  <c r="C6378" i="1"/>
  <c r="B6378" i="1"/>
  <c r="C6377" i="1"/>
  <c r="B6377" i="1"/>
  <c r="C6376" i="1"/>
  <c r="B6376" i="1"/>
  <c r="C6375" i="1"/>
  <c r="B6375" i="1"/>
  <c r="C6374" i="1"/>
  <c r="B6374" i="1"/>
  <c r="C6373" i="1"/>
  <c r="B6373" i="1"/>
  <c r="C6371" i="1"/>
  <c r="B6371" i="1"/>
  <c r="C6370" i="1"/>
  <c r="B6370" i="1"/>
  <c r="C6369" i="1"/>
  <c r="B6369" i="1"/>
  <c r="C6368" i="1"/>
  <c r="B6368" i="1"/>
  <c r="C6365" i="1"/>
  <c r="B6365" i="1"/>
  <c r="C6364" i="1"/>
  <c r="B6364" i="1"/>
  <c r="C6363" i="1"/>
  <c r="B6363" i="1"/>
  <c r="C6362" i="1"/>
  <c r="B6362" i="1"/>
  <c r="C6361" i="1"/>
  <c r="B6361" i="1"/>
  <c r="C6360" i="1"/>
  <c r="B6360" i="1"/>
  <c r="C6359" i="1"/>
  <c r="B6359" i="1"/>
  <c r="C6358" i="1"/>
  <c r="B6358" i="1"/>
  <c r="C6357" i="1"/>
  <c r="B6357" i="1"/>
  <c r="C6355" i="1"/>
  <c r="B6355" i="1"/>
  <c r="C6352" i="1"/>
  <c r="B6352" i="1"/>
  <c r="C6350" i="1"/>
  <c r="B6350" i="1"/>
  <c r="C6349" i="1"/>
  <c r="B6349" i="1"/>
  <c r="C6346" i="1"/>
  <c r="B6346" i="1"/>
  <c r="C6345" i="1"/>
  <c r="B6345" i="1"/>
  <c r="C6341" i="1"/>
  <c r="B6341" i="1"/>
  <c r="C6340" i="1"/>
  <c r="B6340" i="1"/>
  <c r="C6337" i="1"/>
  <c r="B6337" i="1"/>
  <c r="C6336" i="1"/>
  <c r="B6336" i="1"/>
  <c r="C6335" i="1"/>
  <c r="B6335" i="1"/>
  <c r="C6334" i="1"/>
  <c r="B6334" i="1"/>
  <c r="C6333" i="1"/>
  <c r="B6333" i="1"/>
  <c r="C6332" i="1"/>
  <c r="B6332" i="1"/>
  <c r="C6331" i="1"/>
  <c r="B6331" i="1"/>
  <c r="C6329" i="1"/>
  <c r="B6329" i="1"/>
  <c r="C6328" i="1"/>
  <c r="B6328" i="1"/>
  <c r="C6326" i="1"/>
  <c r="B6326" i="1"/>
  <c r="C6325" i="1"/>
  <c r="B6325" i="1"/>
  <c r="C6324" i="1"/>
  <c r="B6324" i="1"/>
  <c r="C6323" i="1"/>
  <c r="B6323" i="1"/>
  <c r="C6320" i="1"/>
  <c r="B6320" i="1"/>
  <c r="C6319" i="1"/>
  <c r="B6319" i="1"/>
  <c r="C6318" i="1"/>
  <c r="B6318" i="1"/>
  <c r="C6317" i="1"/>
  <c r="B6317" i="1"/>
  <c r="C6316" i="1"/>
  <c r="B6316" i="1"/>
  <c r="C6315" i="1"/>
  <c r="B6315" i="1"/>
  <c r="C6314" i="1"/>
  <c r="B6314" i="1"/>
  <c r="C6313" i="1"/>
  <c r="B6313" i="1"/>
  <c r="C6312" i="1"/>
  <c r="B6312" i="1"/>
  <c r="C6311" i="1"/>
  <c r="B6311" i="1"/>
  <c r="C6310" i="1"/>
  <c r="B6310" i="1"/>
  <c r="C6309" i="1"/>
  <c r="B6309" i="1"/>
  <c r="C6307" i="1"/>
  <c r="B6307" i="1"/>
  <c r="C6306" i="1"/>
  <c r="B6306" i="1"/>
  <c r="C6305" i="1"/>
  <c r="B6305" i="1"/>
  <c r="C6304" i="1"/>
  <c r="B6304" i="1"/>
  <c r="C6303" i="1"/>
  <c r="B6303" i="1"/>
  <c r="C6302" i="1"/>
  <c r="B6302" i="1"/>
  <c r="C6301" i="1"/>
  <c r="B6301" i="1"/>
  <c r="C6300" i="1"/>
  <c r="B6300" i="1"/>
  <c r="C6298" i="1"/>
  <c r="B6298" i="1"/>
  <c r="C6297" i="1"/>
  <c r="B6297" i="1"/>
  <c r="C6296" i="1"/>
  <c r="B6296" i="1"/>
  <c r="C6295" i="1"/>
  <c r="B6295" i="1"/>
  <c r="C6294" i="1"/>
  <c r="B6294" i="1"/>
  <c r="C6292" i="1"/>
  <c r="B6292" i="1"/>
  <c r="C6291" i="1"/>
  <c r="B6291" i="1"/>
  <c r="C6290" i="1"/>
  <c r="B6290" i="1"/>
  <c r="C6289" i="1"/>
  <c r="B6289" i="1"/>
  <c r="C6288" i="1"/>
  <c r="B6288" i="1"/>
  <c r="C6287" i="1"/>
  <c r="B6287" i="1"/>
  <c r="C6286" i="1"/>
  <c r="B6286" i="1"/>
  <c r="C6285" i="1"/>
  <c r="B6285" i="1"/>
  <c r="C6284" i="1"/>
  <c r="B6284" i="1"/>
  <c r="C6283" i="1"/>
  <c r="B6283" i="1"/>
  <c r="C6281" i="1"/>
  <c r="B6281" i="1"/>
  <c r="C6280" i="1"/>
  <c r="B6280" i="1"/>
  <c r="C6279" i="1"/>
  <c r="B6279" i="1"/>
  <c r="C6278" i="1"/>
  <c r="B6278" i="1"/>
  <c r="C6276" i="1"/>
  <c r="B6276" i="1"/>
  <c r="C6275" i="1"/>
  <c r="B6275" i="1"/>
  <c r="C6274" i="1"/>
  <c r="B6274" i="1"/>
  <c r="C6273" i="1"/>
  <c r="B6273" i="1"/>
  <c r="C6272" i="1"/>
  <c r="B6272" i="1"/>
  <c r="C6271" i="1"/>
  <c r="B6271" i="1"/>
  <c r="C6270" i="1"/>
  <c r="B6270" i="1"/>
  <c r="C6269" i="1"/>
  <c r="B6269" i="1"/>
  <c r="C6268" i="1"/>
  <c r="B6268" i="1"/>
  <c r="C6267" i="1"/>
  <c r="B6267" i="1"/>
  <c r="C6266" i="1"/>
  <c r="B6266" i="1"/>
  <c r="C6264" i="1"/>
  <c r="B6264" i="1"/>
  <c r="C6262" i="1"/>
  <c r="B6262" i="1"/>
  <c r="C6261" i="1"/>
  <c r="B6261" i="1"/>
  <c r="C6260" i="1"/>
  <c r="B6260" i="1"/>
  <c r="C6258" i="1"/>
  <c r="B6258" i="1"/>
  <c r="C6257" i="1"/>
  <c r="B6257" i="1"/>
  <c r="C6256" i="1"/>
  <c r="B6256" i="1"/>
  <c r="C6255" i="1"/>
  <c r="B6255" i="1"/>
  <c r="C6254" i="1"/>
  <c r="B6254" i="1"/>
  <c r="C6253" i="1"/>
  <c r="B6253" i="1"/>
  <c r="C6251" i="1"/>
  <c r="B6251" i="1"/>
  <c r="C6250" i="1"/>
  <c r="B6250" i="1"/>
  <c r="C6248" i="1"/>
  <c r="B6248" i="1"/>
  <c r="C6246" i="1"/>
  <c r="B6246" i="1"/>
  <c r="C6245" i="1"/>
  <c r="B6245" i="1"/>
  <c r="C6244" i="1"/>
  <c r="B6244" i="1"/>
  <c r="C6243" i="1"/>
  <c r="B6243" i="1"/>
  <c r="C6242" i="1"/>
  <c r="B6242" i="1"/>
  <c r="C6241" i="1"/>
  <c r="B6241" i="1"/>
  <c r="C6240" i="1"/>
  <c r="B6240" i="1"/>
  <c r="C6239" i="1"/>
  <c r="B6239" i="1"/>
  <c r="C6238" i="1"/>
  <c r="B6238" i="1"/>
  <c r="C6237" i="1"/>
  <c r="B6237" i="1"/>
  <c r="C6236" i="1"/>
  <c r="B6236" i="1"/>
  <c r="C6235" i="1"/>
  <c r="B6235" i="1"/>
  <c r="C6234" i="1"/>
  <c r="B6234" i="1"/>
  <c r="C6233" i="1"/>
  <c r="B6233" i="1"/>
  <c r="C6232" i="1"/>
  <c r="B6232" i="1"/>
  <c r="C6231" i="1"/>
  <c r="B6231" i="1"/>
  <c r="C6230" i="1"/>
  <c r="B6230" i="1"/>
  <c r="C6229" i="1"/>
  <c r="B6229" i="1"/>
  <c r="C6228" i="1"/>
  <c r="B6228" i="1"/>
  <c r="C6227" i="1"/>
  <c r="B6227" i="1"/>
  <c r="C6226" i="1"/>
  <c r="B6226" i="1"/>
  <c r="C6225" i="1"/>
  <c r="B6225" i="1"/>
  <c r="C6224" i="1"/>
  <c r="B6224" i="1"/>
  <c r="C6223" i="1"/>
  <c r="B6223" i="1"/>
  <c r="C6222" i="1"/>
  <c r="B6222" i="1"/>
  <c r="C6221" i="1"/>
  <c r="B6221" i="1"/>
  <c r="C6220" i="1"/>
  <c r="B6220" i="1"/>
  <c r="C6219" i="1"/>
  <c r="B6219" i="1"/>
  <c r="C6218" i="1"/>
  <c r="B6218" i="1"/>
  <c r="C6217" i="1"/>
  <c r="B6217" i="1"/>
  <c r="C6216" i="1"/>
  <c r="B6216" i="1"/>
  <c r="C6215" i="1"/>
  <c r="B6215" i="1"/>
  <c r="C6214" i="1"/>
  <c r="B6214" i="1"/>
  <c r="C6213" i="1"/>
  <c r="B6213" i="1"/>
  <c r="C6212" i="1"/>
  <c r="B6212" i="1"/>
  <c r="C6211" i="1"/>
  <c r="B6211" i="1"/>
  <c r="C6208" i="1"/>
  <c r="B6208" i="1"/>
  <c r="C6207" i="1"/>
  <c r="B6207" i="1"/>
  <c r="C6205" i="1"/>
  <c r="B6205" i="1"/>
  <c r="C6204" i="1"/>
  <c r="B6204" i="1"/>
  <c r="C6202" i="1"/>
  <c r="B6202" i="1"/>
  <c r="C6201" i="1"/>
  <c r="B6201" i="1"/>
  <c r="C6200" i="1"/>
  <c r="B6200" i="1"/>
  <c r="C6199" i="1"/>
  <c r="B6199" i="1"/>
  <c r="C6198" i="1"/>
  <c r="B6198" i="1"/>
  <c r="C6197" i="1"/>
  <c r="B6197" i="1"/>
  <c r="C6196" i="1"/>
  <c r="B6196" i="1"/>
  <c r="C6195" i="1"/>
  <c r="B6195" i="1"/>
  <c r="C6194" i="1"/>
  <c r="B6194" i="1"/>
  <c r="C6193" i="1"/>
  <c r="B6193" i="1"/>
  <c r="C6192" i="1"/>
  <c r="B6192" i="1"/>
  <c r="C6191" i="1"/>
  <c r="B6191" i="1"/>
  <c r="C6190" i="1"/>
  <c r="B6190" i="1"/>
  <c r="C6189" i="1"/>
  <c r="B6189" i="1"/>
  <c r="C6186" i="1"/>
  <c r="B6186" i="1"/>
  <c r="C6185" i="1"/>
  <c r="B6185" i="1"/>
  <c r="C6184" i="1"/>
  <c r="B6184" i="1"/>
  <c r="C6182" i="1"/>
  <c r="B6182" i="1"/>
  <c r="C6181" i="1"/>
  <c r="B6181" i="1"/>
  <c r="B6180" i="1"/>
  <c r="C6179" i="1"/>
  <c r="B6179" i="1"/>
  <c r="C6176" i="1"/>
  <c r="B6176" i="1"/>
  <c r="C6175" i="1"/>
  <c r="B6175" i="1"/>
  <c r="C6174" i="1"/>
  <c r="B6174" i="1"/>
  <c r="C6173" i="1"/>
  <c r="B6173" i="1"/>
  <c r="C6171" i="1"/>
  <c r="B6171" i="1"/>
  <c r="C6170" i="1"/>
  <c r="B6170" i="1"/>
  <c r="C6169" i="1"/>
  <c r="B6169" i="1"/>
  <c r="C6168" i="1"/>
  <c r="B6168" i="1"/>
  <c r="C6167" i="1"/>
  <c r="B6167" i="1"/>
  <c r="C6166" i="1"/>
  <c r="B6166" i="1"/>
  <c r="C6165" i="1"/>
  <c r="B6165" i="1"/>
  <c r="C6164" i="1"/>
  <c r="B6164" i="1"/>
  <c r="C6163" i="1"/>
  <c r="B6163" i="1"/>
  <c r="C6162" i="1"/>
  <c r="B6162" i="1"/>
  <c r="C6161" i="1"/>
  <c r="B6161" i="1"/>
  <c r="C6160" i="1"/>
  <c r="B6160" i="1"/>
  <c r="C6159" i="1"/>
  <c r="B6159" i="1"/>
  <c r="C6157" i="1"/>
  <c r="B6157" i="1"/>
  <c r="C6155" i="1"/>
  <c r="B6155" i="1"/>
  <c r="C6154" i="1"/>
  <c r="B6154" i="1"/>
  <c r="C6153" i="1"/>
  <c r="B6153" i="1"/>
  <c r="C6152" i="1"/>
  <c r="B6152" i="1"/>
  <c r="C6151" i="1"/>
  <c r="B6151" i="1"/>
  <c r="C6150" i="1"/>
  <c r="B6150" i="1"/>
  <c r="C6149" i="1"/>
  <c r="B6149" i="1"/>
  <c r="C6148" i="1"/>
  <c r="B6148" i="1"/>
  <c r="C6145" i="1"/>
  <c r="B6145" i="1"/>
  <c r="C6144" i="1"/>
  <c r="B6144" i="1"/>
  <c r="C6143" i="1"/>
  <c r="B6143" i="1"/>
  <c r="C6142" i="1"/>
  <c r="B6142" i="1"/>
  <c r="C6141" i="1"/>
  <c r="B6141" i="1"/>
  <c r="C6140" i="1"/>
  <c r="B6140" i="1"/>
  <c r="C6139" i="1"/>
  <c r="B6139" i="1"/>
  <c r="C6138" i="1"/>
  <c r="B6138" i="1"/>
  <c r="C6137" i="1"/>
  <c r="B6137" i="1"/>
  <c r="C6136" i="1"/>
  <c r="B6136" i="1"/>
  <c r="C6135" i="1"/>
  <c r="B6135" i="1"/>
  <c r="C6134" i="1"/>
  <c r="B6134" i="1"/>
  <c r="C6133" i="1"/>
  <c r="B6133" i="1"/>
  <c r="C6132" i="1"/>
  <c r="B6132" i="1"/>
  <c r="C6131" i="1"/>
  <c r="B6131" i="1"/>
  <c r="C6130" i="1"/>
  <c r="B6130" i="1"/>
  <c r="C6128" i="1"/>
  <c r="B6128" i="1"/>
  <c r="C6127" i="1"/>
  <c r="B6127" i="1"/>
  <c r="C6126" i="1"/>
  <c r="B6126" i="1"/>
  <c r="C6125" i="1"/>
  <c r="B6125" i="1"/>
  <c r="C6124" i="1"/>
  <c r="B6124" i="1"/>
  <c r="C6123" i="1"/>
  <c r="B6123" i="1"/>
  <c r="C6121" i="1"/>
  <c r="B6121" i="1"/>
  <c r="C6119" i="1"/>
  <c r="B6119" i="1"/>
  <c r="C6118" i="1"/>
  <c r="B6118" i="1"/>
  <c r="C6117" i="1"/>
  <c r="B6117" i="1"/>
  <c r="C6116" i="1"/>
  <c r="B6116" i="1"/>
  <c r="C6115" i="1"/>
  <c r="B6115" i="1"/>
  <c r="C6114" i="1"/>
  <c r="B6114" i="1"/>
  <c r="C6113" i="1"/>
  <c r="B6113" i="1"/>
  <c r="C6112" i="1"/>
  <c r="B6112" i="1"/>
  <c r="C6111" i="1"/>
  <c r="B6111" i="1"/>
  <c r="C6110" i="1"/>
  <c r="B6110" i="1"/>
  <c r="C6109" i="1"/>
  <c r="B6109" i="1"/>
  <c r="C6108" i="1"/>
  <c r="B6108" i="1"/>
  <c r="C6107" i="1"/>
  <c r="B6107" i="1"/>
  <c r="C6106" i="1"/>
  <c r="B6106" i="1"/>
  <c r="C6105" i="1"/>
  <c r="B6105" i="1"/>
  <c r="C6104" i="1"/>
  <c r="B6104" i="1"/>
  <c r="C6103" i="1"/>
  <c r="B6103" i="1"/>
  <c r="C6102" i="1"/>
  <c r="B6102" i="1"/>
  <c r="C6101" i="1"/>
  <c r="B6101" i="1"/>
  <c r="C6100" i="1"/>
  <c r="B6100" i="1"/>
  <c r="C6099" i="1"/>
  <c r="B6099" i="1"/>
  <c r="C6098" i="1"/>
  <c r="B6098" i="1"/>
  <c r="C6097" i="1"/>
  <c r="B6097" i="1"/>
  <c r="C6095" i="1"/>
  <c r="B6095" i="1"/>
  <c r="C6094" i="1"/>
  <c r="B6094" i="1"/>
  <c r="C6093" i="1"/>
  <c r="B6093" i="1"/>
  <c r="C6092" i="1"/>
  <c r="B6092" i="1"/>
  <c r="C6091" i="1"/>
  <c r="B6091" i="1"/>
  <c r="C6090" i="1"/>
  <c r="B6090" i="1"/>
  <c r="B6089" i="1"/>
  <c r="B6087" i="1"/>
  <c r="C6086" i="1"/>
  <c r="B6086" i="1"/>
  <c r="C6085" i="1"/>
  <c r="B6085" i="1"/>
  <c r="C6084" i="1"/>
  <c r="B6084" i="1"/>
  <c r="C6083" i="1"/>
  <c r="B6083" i="1"/>
  <c r="C6082" i="1"/>
  <c r="B6082" i="1"/>
  <c r="C6081" i="1"/>
  <c r="B6081" i="1"/>
  <c r="C6079" i="1"/>
  <c r="B6079" i="1"/>
  <c r="C6078" i="1"/>
  <c r="B6078" i="1"/>
  <c r="C6077" i="1"/>
  <c r="B6077" i="1"/>
  <c r="C6076" i="1"/>
  <c r="B6076" i="1"/>
  <c r="C6075" i="1"/>
  <c r="B6075" i="1"/>
  <c r="C6074" i="1"/>
  <c r="B6074" i="1"/>
  <c r="C6073" i="1"/>
  <c r="B6073" i="1"/>
  <c r="C6072" i="1"/>
  <c r="B6072" i="1"/>
  <c r="C6071" i="1"/>
  <c r="B6071" i="1"/>
  <c r="C6070" i="1"/>
  <c r="B6070" i="1"/>
  <c r="C6069" i="1"/>
  <c r="B6069" i="1"/>
  <c r="C6068" i="1"/>
  <c r="B6068" i="1"/>
  <c r="C6067" i="1"/>
  <c r="B6067" i="1"/>
  <c r="C6066" i="1"/>
  <c r="B6066" i="1"/>
  <c r="C6065" i="1"/>
  <c r="B6065" i="1"/>
  <c r="C6064" i="1"/>
  <c r="B6064" i="1"/>
  <c r="C6063" i="1"/>
  <c r="B6063" i="1"/>
  <c r="C6062" i="1"/>
  <c r="B6062" i="1"/>
  <c r="C6061" i="1"/>
  <c r="B6061" i="1"/>
  <c r="C6060" i="1"/>
  <c r="B6060" i="1"/>
  <c r="C6059" i="1"/>
  <c r="B6059" i="1"/>
  <c r="C6058" i="1"/>
  <c r="B6058" i="1"/>
  <c r="C6057" i="1"/>
  <c r="B6057" i="1"/>
  <c r="C6056" i="1"/>
  <c r="B6056" i="1"/>
  <c r="C6055" i="1"/>
  <c r="B6055" i="1"/>
  <c r="C6054" i="1"/>
  <c r="B6054" i="1"/>
  <c r="C6053" i="1"/>
  <c r="B6053" i="1"/>
  <c r="C6052" i="1"/>
  <c r="B6052" i="1"/>
  <c r="C6051" i="1"/>
  <c r="B6051" i="1"/>
  <c r="C6050" i="1"/>
  <c r="B6050" i="1"/>
  <c r="C6049" i="1"/>
  <c r="B6049" i="1"/>
  <c r="C6048" i="1"/>
  <c r="B6048" i="1"/>
  <c r="C6047" i="1"/>
  <c r="B6047" i="1"/>
  <c r="C6046" i="1"/>
  <c r="B6046" i="1"/>
  <c r="C6045" i="1"/>
  <c r="B6045" i="1"/>
  <c r="C6044" i="1"/>
  <c r="B6044" i="1"/>
  <c r="C6043" i="1"/>
  <c r="B6043" i="1"/>
  <c r="C6042" i="1"/>
  <c r="B6042" i="1"/>
  <c r="C6041" i="1"/>
  <c r="B6041" i="1"/>
  <c r="C6040" i="1"/>
  <c r="B6040" i="1"/>
  <c r="C6039" i="1"/>
  <c r="B6039" i="1"/>
  <c r="C6038" i="1"/>
  <c r="B6038" i="1"/>
  <c r="C6037" i="1"/>
  <c r="B6037" i="1"/>
  <c r="C6036" i="1"/>
  <c r="B6036" i="1"/>
  <c r="C6035" i="1"/>
  <c r="B6035" i="1"/>
  <c r="C6034" i="1"/>
  <c r="B6034" i="1"/>
  <c r="C6033" i="1"/>
  <c r="B6033" i="1"/>
  <c r="C6032" i="1"/>
  <c r="B6032" i="1"/>
  <c r="C6031" i="1"/>
  <c r="B6031" i="1"/>
  <c r="B6030" i="1"/>
  <c r="C6029" i="1"/>
  <c r="B6029" i="1"/>
  <c r="C6028" i="1"/>
  <c r="B6028" i="1"/>
  <c r="C6027" i="1"/>
  <c r="B6027" i="1"/>
  <c r="C6026" i="1"/>
  <c r="B6026" i="1"/>
  <c r="C6025" i="1"/>
  <c r="B6025" i="1"/>
  <c r="C6024" i="1"/>
  <c r="B6024" i="1"/>
  <c r="C6023" i="1"/>
  <c r="B6023" i="1"/>
  <c r="C6022" i="1"/>
  <c r="B6022" i="1"/>
  <c r="C6020" i="1"/>
  <c r="B6020" i="1"/>
  <c r="C6019" i="1"/>
  <c r="B6019" i="1"/>
  <c r="C6018" i="1"/>
  <c r="B6018" i="1"/>
  <c r="C6017" i="1"/>
  <c r="B6017" i="1"/>
  <c r="C6016" i="1"/>
  <c r="B6016" i="1"/>
  <c r="C6015" i="1"/>
  <c r="B6015" i="1"/>
  <c r="C6014" i="1"/>
  <c r="B6014" i="1"/>
  <c r="C6013" i="1"/>
  <c r="B6013" i="1"/>
  <c r="C6012" i="1"/>
  <c r="B6012" i="1"/>
  <c r="C6011" i="1"/>
  <c r="B6011" i="1"/>
  <c r="C6010" i="1"/>
  <c r="B6010" i="1"/>
  <c r="C6009" i="1"/>
  <c r="B6009" i="1"/>
  <c r="C6008" i="1"/>
  <c r="B6008" i="1"/>
  <c r="C6007" i="1"/>
  <c r="B6007" i="1"/>
  <c r="C6006" i="1"/>
  <c r="B6006" i="1"/>
  <c r="C6005" i="1"/>
  <c r="B6005" i="1"/>
  <c r="C6004" i="1"/>
  <c r="B6004" i="1"/>
  <c r="C6003" i="1"/>
  <c r="B6003" i="1"/>
  <c r="C6002" i="1"/>
  <c r="B6002" i="1"/>
  <c r="C6000" i="1"/>
  <c r="B6000" i="1"/>
  <c r="C5999" i="1"/>
  <c r="B5999" i="1"/>
  <c r="C5998" i="1"/>
  <c r="B5998" i="1"/>
  <c r="C5997" i="1"/>
  <c r="B5997" i="1"/>
  <c r="C5996" i="1"/>
  <c r="B5996" i="1"/>
  <c r="C5995" i="1"/>
  <c r="B5995" i="1"/>
  <c r="C5994" i="1"/>
  <c r="B5994" i="1"/>
  <c r="C5993" i="1"/>
  <c r="B5993" i="1"/>
  <c r="C5992" i="1"/>
  <c r="B5992" i="1"/>
  <c r="C5991" i="1"/>
  <c r="B5991" i="1"/>
  <c r="C5990" i="1"/>
  <c r="B5990" i="1"/>
  <c r="C5989" i="1"/>
  <c r="B5989" i="1"/>
  <c r="C5988" i="1"/>
  <c r="B5988" i="1"/>
  <c r="C5987" i="1"/>
  <c r="B5987" i="1"/>
  <c r="C5986" i="1"/>
  <c r="B5986" i="1"/>
  <c r="C5985" i="1"/>
  <c r="B5985" i="1"/>
  <c r="C5984" i="1"/>
  <c r="B5984" i="1"/>
  <c r="C5983" i="1"/>
  <c r="B5983" i="1"/>
  <c r="C5982" i="1"/>
  <c r="B5982" i="1"/>
  <c r="C5981" i="1"/>
  <c r="B5981" i="1"/>
  <c r="C5980" i="1"/>
  <c r="B5980" i="1"/>
  <c r="C5979" i="1"/>
  <c r="B5979" i="1"/>
  <c r="C5978" i="1"/>
  <c r="B5978" i="1"/>
  <c r="C5977" i="1"/>
  <c r="B5977" i="1"/>
  <c r="C5976" i="1"/>
  <c r="B5976" i="1"/>
  <c r="C5975" i="1"/>
  <c r="B5975" i="1"/>
  <c r="C5974" i="1"/>
  <c r="B5974" i="1"/>
  <c r="C5973" i="1"/>
  <c r="B5973" i="1"/>
  <c r="C5972" i="1"/>
  <c r="B5972" i="1"/>
  <c r="C5971" i="1"/>
  <c r="B5971" i="1"/>
  <c r="C5970" i="1"/>
  <c r="B5970" i="1"/>
  <c r="C5969" i="1"/>
  <c r="B5969" i="1"/>
  <c r="C5968" i="1"/>
  <c r="B5968" i="1"/>
  <c r="C5967" i="1"/>
  <c r="B5967" i="1"/>
  <c r="C5966" i="1"/>
  <c r="B5966" i="1"/>
  <c r="C5965" i="1"/>
  <c r="B5965" i="1"/>
  <c r="C5964" i="1"/>
  <c r="B5964" i="1"/>
  <c r="C5963" i="1"/>
  <c r="B5963" i="1"/>
  <c r="C5962" i="1"/>
  <c r="B5962" i="1"/>
  <c r="C5961" i="1"/>
  <c r="B5961" i="1"/>
  <c r="C5960" i="1"/>
  <c r="B5960" i="1"/>
  <c r="C5959" i="1"/>
  <c r="B5959" i="1"/>
  <c r="C5958" i="1"/>
  <c r="B5958" i="1"/>
  <c r="C5957" i="1"/>
  <c r="B5957" i="1"/>
  <c r="C5956" i="1"/>
  <c r="B5956" i="1"/>
  <c r="C5954" i="1"/>
  <c r="B5954" i="1"/>
  <c r="C5953" i="1"/>
  <c r="B5953" i="1"/>
  <c r="C5952" i="1"/>
  <c r="B5952" i="1"/>
  <c r="C5951" i="1"/>
  <c r="B5951" i="1"/>
  <c r="C5949" i="1"/>
  <c r="B5949" i="1"/>
  <c r="C5948" i="1"/>
  <c r="B5948" i="1"/>
  <c r="C5947" i="1"/>
  <c r="B5947" i="1"/>
  <c r="C5946" i="1"/>
  <c r="B5946" i="1"/>
  <c r="C5945" i="1"/>
  <c r="B5945" i="1"/>
  <c r="C5944" i="1"/>
  <c r="B5944" i="1"/>
  <c r="C5943" i="1"/>
  <c r="B5943" i="1"/>
  <c r="C5942" i="1"/>
  <c r="B5942" i="1"/>
  <c r="C5941" i="1"/>
  <c r="B5941" i="1"/>
  <c r="C5940" i="1"/>
  <c r="B5940" i="1"/>
  <c r="C5939" i="1"/>
  <c r="B5939" i="1"/>
  <c r="C5938" i="1"/>
  <c r="B5938" i="1"/>
  <c r="C5937" i="1"/>
  <c r="B5937" i="1"/>
  <c r="C5936" i="1"/>
  <c r="B5936" i="1"/>
  <c r="C5935" i="1"/>
  <c r="B5935" i="1"/>
  <c r="C5934" i="1"/>
  <c r="B5934" i="1"/>
  <c r="C5933" i="1"/>
  <c r="B5933" i="1"/>
  <c r="C5932" i="1"/>
  <c r="B5932" i="1"/>
  <c r="C5931" i="1"/>
  <c r="B5931" i="1"/>
  <c r="C5930" i="1"/>
  <c r="B5930" i="1"/>
  <c r="C5929" i="1"/>
  <c r="B5929" i="1"/>
  <c r="C5928" i="1"/>
  <c r="B5928" i="1"/>
  <c r="C5927" i="1"/>
  <c r="B5927" i="1"/>
  <c r="C5926" i="1"/>
  <c r="B5926" i="1"/>
  <c r="C5925" i="1"/>
  <c r="B5925" i="1"/>
  <c r="C5924" i="1"/>
  <c r="B5924" i="1"/>
  <c r="C5923" i="1"/>
  <c r="B5923" i="1"/>
  <c r="C5922" i="1"/>
  <c r="B5922" i="1"/>
  <c r="C5921" i="1"/>
  <c r="B5921" i="1"/>
  <c r="C5920" i="1"/>
  <c r="B5920" i="1"/>
  <c r="C5919" i="1"/>
  <c r="B5919" i="1"/>
  <c r="C5918" i="1"/>
  <c r="B5918" i="1"/>
  <c r="C5917" i="1"/>
  <c r="B5917" i="1"/>
  <c r="C5916" i="1"/>
  <c r="B5916" i="1"/>
  <c r="C5915" i="1"/>
  <c r="B5915" i="1"/>
  <c r="C5914" i="1"/>
  <c r="B5914" i="1"/>
  <c r="C5913" i="1"/>
  <c r="B5913" i="1"/>
  <c r="C5912" i="1"/>
  <c r="B5912" i="1"/>
  <c r="C5911" i="1"/>
  <c r="B5911" i="1"/>
  <c r="C5910" i="1"/>
  <c r="B5910" i="1"/>
  <c r="C5909" i="1"/>
  <c r="B5909" i="1"/>
  <c r="C5908" i="1"/>
  <c r="B5908" i="1"/>
  <c r="C5906" i="1"/>
  <c r="B5906" i="1"/>
  <c r="C5904" i="1"/>
  <c r="B5904" i="1"/>
  <c r="C5902" i="1"/>
  <c r="B5902" i="1"/>
  <c r="C5899" i="1"/>
  <c r="B5899" i="1"/>
  <c r="C5898" i="1"/>
  <c r="B5898" i="1"/>
  <c r="C5897" i="1"/>
  <c r="B5897" i="1"/>
  <c r="C5896" i="1"/>
  <c r="B5896" i="1"/>
  <c r="C5895" i="1"/>
  <c r="B5895" i="1"/>
  <c r="C5894" i="1"/>
  <c r="B5894" i="1"/>
  <c r="C5893" i="1"/>
  <c r="B5893" i="1"/>
  <c r="C5892" i="1"/>
  <c r="B5892" i="1"/>
  <c r="C5891" i="1"/>
  <c r="B5891" i="1"/>
  <c r="C5890" i="1"/>
  <c r="B5890" i="1"/>
  <c r="C5889" i="1"/>
  <c r="B5889" i="1"/>
  <c r="C5888" i="1"/>
  <c r="B5888" i="1"/>
  <c r="C5887" i="1"/>
  <c r="B5887" i="1"/>
  <c r="C5886" i="1"/>
  <c r="B5886" i="1"/>
  <c r="C5885" i="1"/>
  <c r="B5885" i="1"/>
  <c r="C5884" i="1"/>
  <c r="B5884" i="1"/>
  <c r="C5883" i="1"/>
  <c r="B5883" i="1"/>
  <c r="C5882" i="1"/>
  <c r="B5882" i="1"/>
  <c r="C5881" i="1"/>
  <c r="B5881" i="1"/>
  <c r="C5880" i="1"/>
  <c r="B5880" i="1"/>
  <c r="C5879" i="1"/>
  <c r="B5879" i="1"/>
  <c r="C5878" i="1"/>
  <c r="B5878" i="1"/>
  <c r="C5877" i="1"/>
  <c r="B5877" i="1"/>
  <c r="C5876" i="1"/>
  <c r="B5876" i="1"/>
  <c r="C5875" i="1"/>
  <c r="B5875" i="1"/>
  <c r="C5874" i="1"/>
  <c r="B5874" i="1"/>
  <c r="C5873" i="1"/>
  <c r="B5873" i="1"/>
  <c r="C5872" i="1"/>
  <c r="B5872" i="1"/>
  <c r="C5871" i="1"/>
  <c r="B5871" i="1"/>
  <c r="C5870" i="1"/>
  <c r="B5870" i="1"/>
  <c r="C5868" i="1"/>
  <c r="B5868" i="1"/>
  <c r="C5867" i="1"/>
  <c r="B5867" i="1"/>
  <c r="C5866" i="1"/>
  <c r="B5866" i="1"/>
  <c r="C5865" i="1"/>
  <c r="B5865" i="1"/>
  <c r="C5864" i="1"/>
  <c r="B5864" i="1"/>
  <c r="C5863" i="1"/>
  <c r="B5863" i="1"/>
  <c r="C5862" i="1"/>
  <c r="B5862" i="1"/>
  <c r="C5861" i="1"/>
  <c r="B5861" i="1"/>
  <c r="C5860" i="1"/>
  <c r="B5860" i="1"/>
  <c r="C5859" i="1"/>
  <c r="B5859" i="1"/>
  <c r="C5858" i="1"/>
  <c r="B5858" i="1"/>
  <c r="C5857" i="1"/>
  <c r="B5857" i="1"/>
  <c r="C5856" i="1"/>
  <c r="B5856" i="1"/>
  <c r="C5855" i="1"/>
  <c r="B5855" i="1"/>
  <c r="C5854" i="1"/>
  <c r="B5854" i="1"/>
  <c r="C5853" i="1"/>
  <c r="B5853" i="1"/>
  <c r="C5852" i="1"/>
  <c r="B5852" i="1"/>
  <c r="C5851" i="1"/>
  <c r="B5851" i="1"/>
  <c r="C5850" i="1"/>
  <c r="B5850" i="1"/>
  <c r="C5849" i="1"/>
  <c r="B5849" i="1"/>
  <c r="C5848" i="1"/>
  <c r="B5848" i="1"/>
  <c r="C5847" i="1"/>
  <c r="B5847" i="1"/>
  <c r="C5846" i="1"/>
  <c r="B5846" i="1"/>
  <c r="C5845" i="1"/>
  <c r="B5845" i="1"/>
  <c r="C5844" i="1"/>
  <c r="B5844" i="1"/>
  <c r="C5843" i="1"/>
  <c r="B5843" i="1"/>
  <c r="C5842" i="1"/>
  <c r="B5842" i="1"/>
  <c r="C5841" i="1"/>
  <c r="B5841" i="1"/>
  <c r="C5839" i="1"/>
  <c r="B5839" i="1"/>
  <c r="C5838" i="1"/>
  <c r="B5838" i="1"/>
  <c r="B5837" i="1"/>
  <c r="C5836" i="1"/>
  <c r="B5836" i="1"/>
  <c r="C5835" i="1"/>
  <c r="B5835" i="1"/>
  <c r="C5834" i="1"/>
  <c r="B5834" i="1"/>
  <c r="C5833" i="1"/>
  <c r="B5833" i="1"/>
  <c r="C5832" i="1"/>
  <c r="B5832" i="1"/>
  <c r="C5831" i="1"/>
  <c r="B5831" i="1"/>
  <c r="C5830" i="1"/>
  <c r="B5830" i="1"/>
  <c r="B5829" i="1"/>
  <c r="C5828" i="1"/>
  <c r="B5828" i="1"/>
  <c r="C5827" i="1"/>
  <c r="B5827" i="1"/>
  <c r="C5826" i="1"/>
  <c r="B5826" i="1"/>
  <c r="C5825" i="1"/>
  <c r="B5825" i="1"/>
  <c r="C5824" i="1"/>
  <c r="B5824" i="1"/>
  <c r="C5823" i="1"/>
  <c r="B5823" i="1"/>
  <c r="C5822" i="1"/>
  <c r="B5822" i="1"/>
  <c r="C5821" i="1"/>
  <c r="B5821" i="1"/>
  <c r="C5820" i="1"/>
  <c r="B5820" i="1"/>
  <c r="C5819" i="1"/>
  <c r="B5819" i="1"/>
  <c r="C5817" i="1"/>
  <c r="B5817" i="1"/>
  <c r="C5816" i="1"/>
  <c r="B5816" i="1"/>
  <c r="C5815" i="1"/>
  <c r="B5815" i="1"/>
  <c r="C5814" i="1"/>
  <c r="B5814" i="1"/>
  <c r="C5813" i="1"/>
  <c r="B5813" i="1"/>
  <c r="C5812" i="1"/>
  <c r="B5812" i="1"/>
  <c r="C5811" i="1"/>
  <c r="B5811" i="1"/>
  <c r="C5810" i="1"/>
  <c r="B5810" i="1"/>
  <c r="C5809" i="1"/>
  <c r="B5809" i="1"/>
  <c r="C5808" i="1"/>
  <c r="B5808" i="1"/>
  <c r="C5807" i="1"/>
  <c r="B5807" i="1"/>
  <c r="C5806" i="1"/>
  <c r="B5806" i="1"/>
  <c r="C5805" i="1"/>
  <c r="B5805" i="1"/>
  <c r="C5804" i="1"/>
  <c r="B5804" i="1"/>
  <c r="C5803" i="1"/>
  <c r="B5803" i="1"/>
  <c r="C5802" i="1"/>
  <c r="B5802" i="1"/>
  <c r="C5801" i="1"/>
  <c r="B5801" i="1"/>
  <c r="C5800" i="1"/>
  <c r="B5800" i="1"/>
  <c r="C5799" i="1"/>
  <c r="B5799" i="1"/>
  <c r="C5798" i="1"/>
  <c r="B5798" i="1"/>
  <c r="C5797" i="1"/>
  <c r="B5797" i="1"/>
  <c r="C5796" i="1"/>
  <c r="B5796" i="1"/>
  <c r="C5795" i="1"/>
  <c r="B5795" i="1"/>
  <c r="C5794" i="1"/>
  <c r="B5794" i="1"/>
  <c r="C5793" i="1"/>
  <c r="B5793" i="1"/>
  <c r="C5792" i="1"/>
  <c r="B5792" i="1"/>
  <c r="C5791" i="1"/>
  <c r="B5791" i="1"/>
  <c r="C5790" i="1"/>
  <c r="B5790" i="1"/>
  <c r="C5789" i="1"/>
  <c r="B5789" i="1"/>
  <c r="C5788" i="1"/>
  <c r="B5788" i="1"/>
  <c r="C5787" i="1"/>
  <c r="B5787" i="1"/>
  <c r="C5785" i="1"/>
  <c r="B5785" i="1"/>
  <c r="C5784" i="1"/>
  <c r="B5784" i="1"/>
  <c r="C5783" i="1"/>
  <c r="B5783" i="1"/>
  <c r="C5782" i="1"/>
  <c r="B5782" i="1"/>
  <c r="C5781" i="1"/>
  <c r="B5781" i="1"/>
  <c r="C5780" i="1"/>
  <c r="B5780" i="1"/>
  <c r="C5779" i="1"/>
  <c r="B5779" i="1"/>
  <c r="C5778" i="1"/>
  <c r="B5778" i="1"/>
  <c r="C5777" i="1"/>
  <c r="C5776" i="1"/>
  <c r="B5776" i="1"/>
  <c r="C5775" i="1"/>
  <c r="C5774" i="1"/>
  <c r="C5773" i="1"/>
  <c r="C5772" i="1"/>
  <c r="B5772" i="1"/>
  <c r="C5771" i="1"/>
  <c r="C5770" i="1"/>
  <c r="B5770" i="1"/>
  <c r="C5769" i="1"/>
  <c r="B5769" i="1"/>
  <c r="C5768" i="1"/>
  <c r="B5768" i="1"/>
  <c r="C5767" i="1"/>
  <c r="B5767" i="1"/>
  <c r="C5766" i="1"/>
  <c r="B5766" i="1"/>
  <c r="C5765" i="1"/>
  <c r="B5765" i="1"/>
  <c r="C5764" i="1"/>
  <c r="B5764" i="1"/>
  <c r="C5762" i="1"/>
  <c r="B5762" i="1"/>
  <c r="C5761" i="1"/>
  <c r="B5761" i="1"/>
  <c r="C5760" i="1"/>
  <c r="B5760" i="1"/>
  <c r="C5759" i="1"/>
  <c r="B5759" i="1"/>
  <c r="C5758" i="1"/>
  <c r="B5758" i="1"/>
  <c r="C5757" i="1"/>
  <c r="B5757" i="1"/>
  <c r="C5756" i="1"/>
  <c r="B5756" i="1"/>
  <c r="C5755" i="1"/>
  <c r="C5754" i="1"/>
  <c r="B5754" i="1"/>
  <c r="C5753" i="1"/>
  <c r="C5752" i="1"/>
  <c r="B5752" i="1"/>
  <c r="C5751" i="1"/>
  <c r="B5751" i="1"/>
  <c r="C5750" i="1"/>
  <c r="B5750" i="1"/>
  <c r="C5749" i="1"/>
  <c r="C5748" i="1"/>
  <c r="B5748" i="1"/>
  <c r="C5747" i="1"/>
  <c r="C5746" i="1"/>
  <c r="C5745" i="1"/>
  <c r="B5745" i="1"/>
  <c r="C5744" i="1"/>
  <c r="B5744" i="1"/>
  <c r="C5741" i="1"/>
  <c r="B5741" i="1"/>
  <c r="C5738" i="1"/>
  <c r="B5738" i="1"/>
  <c r="C5736" i="1"/>
  <c r="B5736" i="1"/>
  <c r="C5735" i="1"/>
  <c r="C5734" i="1"/>
  <c r="B5734" i="1"/>
  <c r="C5733" i="1"/>
  <c r="C5732" i="1"/>
  <c r="B5732" i="1"/>
  <c r="C5731" i="1"/>
  <c r="B5731" i="1"/>
  <c r="C5730" i="1"/>
  <c r="B5730" i="1"/>
  <c r="C5729" i="1"/>
  <c r="B5729" i="1"/>
  <c r="C5728" i="1"/>
  <c r="B5728" i="1"/>
  <c r="C5727" i="1"/>
  <c r="B5727" i="1"/>
  <c r="C5726" i="1"/>
  <c r="B5726" i="1"/>
  <c r="C5725" i="1"/>
  <c r="B5725" i="1"/>
  <c r="C5724" i="1"/>
  <c r="B5724" i="1"/>
  <c r="C5723" i="1"/>
  <c r="B5723" i="1"/>
  <c r="C5722" i="1"/>
  <c r="B5722" i="1"/>
  <c r="C5716" i="1"/>
  <c r="B5716" i="1"/>
  <c r="C5715" i="1"/>
  <c r="B5715" i="1"/>
  <c r="C5714" i="1"/>
  <c r="B5714" i="1"/>
  <c r="C5712" i="1"/>
  <c r="B5712" i="1"/>
  <c r="C5711" i="1"/>
  <c r="B5711" i="1"/>
  <c r="C5710" i="1"/>
  <c r="B5710" i="1"/>
  <c r="C5709" i="1"/>
  <c r="B5709" i="1"/>
  <c r="C5708" i="1"/>
  <c r="C5707" i="1"/>
  <c r="B5707" i="1"/>
  <c r="C5706" i="1"/>
  <c r="B5706" i="1"/>
  <c r="C5705" i="1"/>
  <c r="B5705" i="1"/>
  <c r="C5704" i="1"/>
  <c r="B5704" i="1"/>
  <c r="C5703" i="1"/>
  <c r="B5703" i="1"/>
  <c r="C5702" i="1"/>
  <c r="B5702" i="1"/>
  <c r="C5701" i="1"/>
  <c r="B5701" i="1"/>
  <c r="C5700" i="1"/>
  <c r="B5700" i="1"/>
  <c r="C5699" i="1"/>
  <c r="B5699" i="1"/>
  <c r="C5698" i="1"/>
  <c r="B5698" i="1"/>
  <c r="C5697" i="1"/>
  <c r="B5697" i="1"/>
  <c r="C5696" i="1"/>
  <c r="B5696" i="1"/>
  <c r="C5695" i="1"/>
  <c r="B5695" i="1"/>
  <c r="C5694" i="1"/>
  <c r="B5694" i="1"/>
  <c r="C5693" i="1"/>
  <c r="B5693" i="1"/>
  <c r="C5692" i="1"/>
  <c r="B5692" i="1"/>
  <c r="C5691" i="1"/>
  <c r="B5691" i="1"/>
  <c r="C5690" i="1"/>
  <c r="B5690" i="1"/>
  <c r="C5689" i="1"/>
  <c r="B5689" i="1"/>
  <c r="C5688" i="1"/>
  <c r="B5688" i="1"/>
  <c r="C5687" i="1"/>
  <c r="B5687" i="1"/>
  <c r="C5686" i="1"/>
  <c r="B5686" i="1"/>
  <c r="C5685" i="1"/>
  <c r="B5685" i="1"/>
  <c r="C5684" i="1"/>
  <c r="B5684" i="1"/>
  <c r="C5683" i="1"/>
  <c r="B5683" i="1"/>
  <c r="C5682" i="1"/>
  <c r="B5682" i="1"/>
  <c r="C5681" i="1"/>
  <c r="B5681" i="1"/>
  <c r="C5680" i="1"/>
  <c r="B5680" i="1"/>
  <c r="C5679" i="1"/>
  <c r="B5679" i="1"/>
  <c r="C5678" i="1"/>
  <c r="B5678" i="1"/>
  <c r="C5677" i="1"/>
  <c r="C5676" i="1"/>
  <c r="C5675" i="1"/>
  <c r="B5675" i="1"/>
  <c r="C5674" i="1"/>
  <c r="B5674" i="1"/>
  <c r="C5673" i="1"/>
  <c r="B5673" i="1"/>
  <c r="C5670" i="1"/>
  <c r="B5670" i="1"/>
  <c r="C5669" i="1"/>
  <c r="B5669" i="1"/>
  <c r="C5668" i="1"/>
  <c r="B5668" i="1"/>
  <c r="C5667" i="1"/>
  <c r="B5667" i="1"/>
  <c r="C5666" i="1"/>
  <c r="B5666" i="1"/>
  <c r="C5665" i="1"/>
  <c r="B5665" i="1"/>
  <c r="C5664" i="1"/>
  <c r="B5664" i="1"/>
  <c r="C5663" i="1"/>
  <c r="B5663" i="1"/>
  <c r="C5662" i="1"/>
  <c r="B5662" i="1"/>
  <c r="C5660" i="1"/>
  <c r="B5660" i="1"/>
  <c r="C5659" i="1"/>
  <c r="B5659" i="1"/>
  <c r="C5658" i="1"/>
  <c r="B5658" i="1"/>
  <c r="C5655" i="1"/>
  <c r="B5655" i="1"/>
  <c r="C5654" i="1"/>
  <c r="B5654" i="1"/>
  <c r="C5651" i="1"/>
  <c r="B5651" i="1"/>
  <c r="C5648" i="1"/>
  <c r="B5648" i="1"/>
  <c r="C5647" i="1"/>
  <c r="B5647" i="1"/>
  <c r="C5646" i="1"/>
  <c r="B5646" i="1"/>
  <c r="C5645" i="1"/>
  <c r="B5645" i="1"/>
  <c r="C5644" i="1"/>
  <c r="B5644" i="1"/>
  <c r="C5643" i="1"/>
  <c r="B5643" i="1"/>
  <c r="C5640" i="1"/>
  <c r="B5640" i="1"/>
  <c r="C5639" i="1"/>
  <c r="B5639" i="1"/>
  <c r="C5638" i="1"/>
  <c r="B5638" i="1"/>
  <c r="C5637" i="1"/>
  <c r="B5637" i="1"/>
  <c r="C5636" i="1"/>
  <c r="B5636" i="1"/>
  <c r="C5635" i="1"/>
  <c r="B5635" i="1"/>
  <c r="C5634" i="1"/>
  <c r="B5634" i="1"/>
  <c r="C5633" i="1"/>
  <c r="B5633" i="1"/>
  <c r="C5632" i="1"/>
  <c r="B5632" i="1"/>
  <c r="C5631" i="1"/>
  <c r="B5631" i="1"/>
  <c r="C5630" i="1"/>
  <c r="B5630" i="1"/>
  <c r="C5629" i="1"/>
  <c r="B5629" i="1"/>
  <c r="C5628" i="1"/>
  <c r="B5628" i="1"/>
  <c r="C5627" i="1"/>
  <c r="B5627" i="1"/>
  <c r="C5626" i="1"/>
  <c r="B5626" i="1"/>
  <c r="C5625" i="1"/>
  <c r="B5625" i="1"/>
  <c r="C5622" i="1"/>
  <c r="B5622" i="1"/>
  <c r="C5621" i="1"/>
  <c r="B5621" i="1"/>
  <c r="C5619" i="1"/>
  <c r="B5619" i="1"/>
  <c r="C5616" i="1"/>
  <c r="B5616" i="1"/>
  <c r="C5615" i="1"/>
  <c r="B5615" i="1"/>
  <c r="C5614" i="1"/>
  <c r="B5614" i="1"/>
  <c r="C5613" i="1"/>
  <c r="B5613" i="1"/>
  <c r="B5609" i="1"/>
  <c r="C5608" i="1"/>
  <c r="B5608" i="1"/>
  <c r="C5607" i="1"/>
  <c r="B5607" i="1"/>
  <c r="C5606" i="1"/>
  <c r="B5606" i="1"/>
  <c r="C5605" i="1"/>
  <c r="B5605" i="1"/>
  <c r="C5604" i="1"/>
  <c r="B5604" i="1"/>
  <c r="C5602" i="1"/>
  <c r="B5602" i="1"/>
  <c r="C5601" i="1"/>
  <c r="B5601" i="1"/>
  <c r="C5600" i="1"/>
  <c r="B5600" i="1"/>
  <c r="C5599" i="1"/>
  <c r="B5599" i="1"/>
  <c r="C5598" i="1"/>
  <c r="B5598" i="1"/>
  <c r="C5596" i="1"/>
  <c r="B5596" i="1"/>
  <c r="C5595" i="1"/>
  <c r="B5595" i="1"/>
  <c r="C5594" i="1"/>
  <c r="B5594" i="1"/>
  <c r="C5593" i="1"/>
  <c r="B5593" i="1"/>
  <c r="C5592" i="1"/>
  <c r="B5592" i="1"/>
  <c r="C5591" i="1"/>
  <c r="B5591" i="1"/>
  <c r="C5590" i="1"/>
  <c r="B5590" i="1"/>
  <c r="C5587" i="1"/>
  <c r="B5587" i="1"/>
  <c r="C5586" i="1"/>
  <c r="B5586" i="1"/>
  <c r="C5584" i="1"/>
  <c r="B5584" i="1"/>
  <c r="C5582" i="1"/>
  <c r="B5582" i="1"/>
  <c r="C5581" i="1"/>
  <c r="B5581" i="1"/>
  <c r="C5580" i="1"/>
  <c r="B5580" i="1"/>
  <c r="C5579" i="1"/>
  <c r="B5579" i="1"/>
  <c r="C5578" i="1"/>
  <c r="B5578" i="1"/>
  <c r="C5577" i="1"/>
  <c r="B5577" i="1"/>
  <c r="C5576" i="1"/>
  <c r="B5576" i="1"/>
  <c r="C5575" i="1"/>
  <c r="B5575" i="1"/>
  <c r="C5573" i="1"/>
  <c r="C5571" i="1"/>
  <c r="B5571" i="1"/>
  <c r="C5569" i="1"/>
  <c r="B5569" i="1"/>
  <c r="C5568" i="1"/>
  <c r="B5568" i="1"/>
  <c r="C5567" i="1"/>
  <c r="B5567" i="1"/>
  <c r="C5566" i="1"/>
  <c r="B5566" i="1"/>
  <c r="C5565" i="1"/>
  <c r="B5565" i="1"/>
  <c r="C5564" i="1"/>
  <c r="B5564" i="1"/>
  <c r="C5563" i="1"/>
  <c r="B5563" i="1"/>
  <c r="C5562" i="1"/>
  <c r="B5562" i="1"/>
  <c r="C5561" i="1"/>
  <c r="B5561" i="1"/>
  <c r="C5559" i="1"/>
  <c r="B5559" i="1"/>
  <c r="C5558" i="1"/>
  <c r="B5558" i="1"/>
  <c r="C5557" i="1"/>
  <c r="B5557" i="1"/>
  <c r="C5556" i="1"/>
  <c r="B5556" i="1"/>
  <c r="C5554" i="1"/>
  <c r="B5554" i="1"/>
  <c r="C5553" i="1"/>
  <c r="B5553" i="1"/>
  <c r="C5551" i="1"/>
  <c r="B5551" i="1"/>
  <c r="C5550" i="1"/>
  <c r="B5550" i="1"/>
  <c r="C5549" i="1"/>
  <c r="B5549" i="1"/>
  <c r="C5548" i="1"/>
  <c r="B5548" i="1"/>
  <c r="C5547" i="1"/>
  <c r="B5547" i="1"/>
  <c r="C5546" i="1"/>
  <c r="B5546" i="1"/>
  <c r="C5545" i="1"/>
  <c r="B5545" i="1"/>
  <c r="C5542" i="1"/>
  <c r="B5542" i="1"/>
  <c r="C5541" i="1"/>
  <c r="B5541" i="1"/>
  <c r="C5540" i="1"/>
  <c r="B5540" i="1"/>
  <c r="C5539" i="1"/>
  <c r="B5539" i="1"/>
  <c r="C5538" i="1"/>
  <c r="B5538" i="1"/>
  <c r="C5537" i="1"/>
  <c r="B5537" i="1"/>
  <c r="C5536" i="1"/>
  <c r="B5536" i="1"/>
  <c r="C5535" i="1"/>
  <c r="B5535" i="1"/>
  <c r="C5534" i="1"/>
  <c r="B5534" i="1"/>
  <c r="C5533" i="1"/>
  <c r="B5533" i="1"/>
  <c r="C5530" i="1"/>
  <c r="B5530" i="1"/>
  <c r="C5529" i="1"/>
  <c r="B5529" i="1"/>
  <c r="C5528" i="1"/>
  <c r="B5528" i="1"/>
  <c r="C5527" i="1"/>
  <c r="B5527" i="1"/>
  <c r="C5526" i="1"/>
  <c r="B5526" i="1"/>
  <c r="C5525" i="1"/>
  <c r="B5525" i="1"/>
  <c r="C5524" i="1"/>
  <c r="B5524" i="1"/>
  <c r="C5523" i="1"/>
  <c r="B5523" i="1"/>
  <c r="C5522" i="1"/>
  <c r="B5522" i="1"/>
  <c r="C5521" i="1"/>
  <c r="B5521" i="1"/>
  <c r="C5520" i="1"/>
  <c r="B5520" i="1"/>
  <c r="C5519" i="1"/>
  <c r="B5519" i="1"/>
  <c r="C5518" i="1"/>
  <c r="B5518" i="1"/>
  <c r="C5517" i="1"/>
  <c r="B5517" i="1"/>
  <c r="C5515" i="1"/>
  <c r="B5515" i="1"/>
  <c r="C5514" i="1"/>
  <c r="B5514" i="1"/>
  <c r="C5513" i="1"/>
  <c r="B5513" i="1"/>
  <c r="C5512" i="1"/>
  <c r="B5512" i="1"/>
  <c r="C5511" i="1"/>
  <c r="B5511" i="1"/>
  <c r="C5509" i="1"/>
  <c r="B5509" i="1"/>
  <c r="C5508" i="1"/>
  <c r="B5508" i="1"/>
  <c r="C5507" i="1"/>
  <c r="B5507" i="1"/>
  <c r="C5506" i="1"/>
  <c r="B5506" i="1"/>
  <c r="C5504" i="1"/>
  <c r="B5504" i="1"/>
  <c r="C5503" i="1"/>
  <c r="B5503" i="1"/>
  <c r="C5502" i="1"/>
  <c r="B5502" i="1"/>
  <c r="C5501" i="1"/>
  <c r="B5501" i="1"/>
  <c r="C5500" i="1"/>
  <c r="B5500" i="1"/>
  <c r="C5499" i="1"/>
  <c r="B5499" i="1"/>
  <c r="C5498" i="1"/>
  <c r="B5498" i="1"/>
  <c r="C5496" i="1"/>
  <c r="B5496" i="1"/>
  <c r="C5494" i="1"/>
  <c r="B5494" i="1"/>
  <c r="C5492" i="1"/>
  <c r="B5492" i="1"/>
  <c r="C5491" i="1"/>
  <c r="B5491" i="1"/>
  <c r="C5490" i="1"/>
  <c r="B5490" i="1"/>
  <c r="C5489" i="1"/>
  <c r="B5489" i="1"/>
  <c r="C5487" i="1"/>
  <c r="B5487" i="1"/>
  <c r="C5486" i="1"/>
  <c r="B5486" i="1"/>
  <c r="C5485" i="1"/>
  <c r="B5485" i="1"/>
  <c r="C5484" i="1"/>
  <c r="B5484" i="1"/>
  <c r="C5483" i="1"/>
  <c r="B5483" i="1"/>
  <c r="C5482" i="1"/>
  <c r="B5482" i="1"/>
  <c r="C5481" i="1"/>
  <c r="B5481" i="1"/>
  <c r="C5480" i="1"/>
  <c r="B5480" i="1"/>
  <c r="C5477" i="1"/>
  <c r="B5477" i="1"/>
  <c r="C5474" i="1"/>
  <c r="B5474" i="1"/>
  <c r="C5473" i="1"/>
  <c r="B5473" i="1"/>
  <c r="C5472" i="1"/>
  <c r="B5472" i="1"/>
  <c r="C5471" i="1"/>
  <c r="B5471" i="1"/>
  <c r="C5468" i="1"/>
  <c r="B5468" i="1"/>
  <c r="C5467" i="1"/>
  <c r="B5467" i="1"/>
  <c r="C5466" i="1"/>
  <c r="B5466" i="1"/>
  <c r="C5464" i="1"/>
  <c r="B5464" i="1"/>
  <c r="C5463" i="1"/>
  <c r="B5463" i="1"/>
  <c r="C5462" i="1"/>
  <c r="B5462" i="1"/>
  <c r="C5461" i="1"/>
  <c r="B5461" i="1"/>
  <c r="C5460" i="1"/>
  <c r="B5460" i="1"/>
  <c r="C5459" i="1"/>
  <c r="B5459" i="1"/>
  <c r="C5457" i="1"/>
  <c r="B5457" i="1"/>
  <c r="C5454" i="1"/>
  <c r="B5454" i="1"/>
  <c r="C5451" i="1"/>
  <c r="B5451" i="1"/>
  <c r="C5450" i="1"/>
  <c r="B5450" i="1"/>
  <c r="C5449" i="1"/>
  <c r="B5449" i="1"/>
  <c r="C5446" i="1"/>
  <c r="B5446" i="1"/>
  <c r="C5443" i="1"/>
  <c r="B5443" i="1"/>
  <c r="B5441" i="1"/>
  <c r="C5440" i="1"/>
  <c r="C5438" i="1"/>
  <c r="B5438" i="1"/>
  <c r="C5437" i="1"/>
  <c r="B5437" i="1"/>
  <c r="C5436" i="1"/>
  <c r="B5436" i="1"/>
  <c r="C5435" i="1"/>
  <c r="B5435" i="1"/>
  <c r="C5434" i="1"/>
  <c r="B5434" i="1"/>
  <c r="B5433" i="1"/>
  <c r="C5431" i="1"/>
  <c r="B5431" i="1"/>
  <c r="B5430" i="1"/>
  <c r="C5428" i="1"/>
  <c r="B5428" i="1"/>
  <c r="C5427" i="1"/>
  <c r="B5427" i="1"/>
  <c r="C5426" i="1"/>
  <c r="B5426" i="1"/>
  <c r="C5425" i="1"/>
  <c r="B5425" i="1"/>
  <c r="C5424" i="1"/>
  <c r="B5424" i="1"/>
  <c r="C5423" i="1"/>
  <c r="B5423" i="1"/>
  <c r="C5422" i="1"/>
  <c r="B5422" i="1"/>
  <c r="C5421" i="1"/>
  <c r="B5421" i="1"/>
  <c r="C5420" i="1"/>
  <c r="B5420" i="1"/>
  <c r="C5419" i="1"/>
  <c r="B5419" i="1"/>
  <c r="C5418" i="1"/>
  <c r="B5418" i="1"/>
  <c r="C5417" i="1"/>
  <c r="B5417" i="1"/>
  <c r="C5416" i="1"/>
  <c r="B5416" i="1"/>
  <c r="B5415" i="1"/>
  <c r="C5414" i="1"/>
  <c r="B5414" i="1"/>
  <c r="C5413" i="1"/>
  <c r="B5413" i="1"/>
  <c r="C5412" i="1"/>
  <c r="B5412" i="1"/>
  <c r="C5411" i="1"/>
  <c r="B5411" i="1"/>
  <c r="C5409" i="1"/>
  <c r="B5409" i="1"/>
  <c r="C5408" i="1"/>
  <c r="B5408" i="1"/>
  <c r="C5407" i="1"/>
  <c r="B5407" i="1"/>
  <c r="C5406" i="1"/>
  <c r="B5406" i="1"/>
  <c r="C5405" i="1"/>
  <c r="B5405" i="1"/>
  <c r="C5404" i="1"/>
  <c r="B5404" i="1"/>
  <c r="C5403" i="1"/>
  <c r="B5403" i="1"/>
  <c r="C5402" i="1"/>
  <c r="B5402" i="1"/>
  <c r="C5401" i="1"/>
  <c r="B5401" i="1"/>
  <c r="C5400" i="1"/>
  <c r="B5400" i="1"/>
  <c r="C5399" i="1"/>
  <c r="B5399" i="1"/>
  <c r="C5398" i="1"/>
  <c r="B5398" i="1"/>
  <c r="B5397" i="1"/>
  <c r="C5396" i="1"/>
  <c r="B5396" i="1"/>
  <c r="C5395" i="1"/>
  <c r="B5395" i="1"/>
  <c r="C5394" i="1"/>
  <c r="B5394" i="1"/>
  <c r="B5393" i="1"/>
  <c r="C5392" i="1"/>
  <c r="B5392" i="1"/>
  <c r="C5391" i="1"/>
  <c r="B5391" i="1"/>
  <c r="C5390" i="1"/>
  <c r="B5390" i="1"/>
  <c r="C5389" i="1"/>
  <c r="B5389" i="1"/>
  <c r="C5388" i="1"/>
  <c r="B5388" i="1"/>
  <c r="C5387" i="1"/>
  <c r="B5387" i="1"/>
  <c r="C5386" i="1"/>
  <c r="B5386" i="1"/>
  <c r="C5385" i="1"/>
  <c r="B5385" i="1"/>
  <c r="C5384" i="1"/>
  <c r="B5384" i="1"/>
  <c r="C5382" i="1"/>
  <c r="B5382" i="1"/>
  <c r="C5381" i="1"/>
  <c r="B5381" i="1"/>
  <c r="C5380" i="1"/>
  <c r="B5380" i="1"/>
  <c r="C5379" i="1"/>
  <c r="B5379" i="1"/>
  <c r="C5378" i="1"/>
  <c r="B5378" i="1"/>
  <c r="C5376" i="1"/>
  <c r="B5376" i="1"/>
  <c r="C5375" i="1"/>
  <c r="C5374" i="1"/>
  <c r="B5374" i="1"/>
  <c r="C5373" i="1"/>
  <c r="B5373" i="1"/>
  <c r="C5372" i="1"/>
  <c r="B5372" i="1"/>
  <c r="C5371" i="1"/>
  <c r="B5371" i="1"/>
  <c r="C5370" i="1"/>
  <c r="B5370" i="1"/>
  <c r="C5369" i="1"/>
  <c r="B5369" i="1"/>
  <c r="C5368" i="1"/>
  <c r="B5368" i="1"/>
  <c r="C5367" i="1"/>
  <c r="B5367" i="1"/>
  <c r="C5366" i="1"/>
  <c r="B5366" i="1"/>
  <c r="B5365" i="1"/>
  <c r="C5363" i="1"/>
  <c r="B5363" i="1"/>
  <c r="C5362" i="1"/>
  <c r="B5362" i="1"/>
  <c r="C5361" i="1"/>
  <c r="B5361" i="1"/>
  <c r="C5359" i="1"/>
  <c r="B5359" i="1"/>
  <c r="C5358" i="1"/>
  <c r="B5358" i="1"/>
  <c r="C5357" i="1"/>
  <c r="B5357" i="1"/>
  <c r="C5355" i="1"/>
  <c r="B5355" i="1"/>
  <c r="C5354" i="1"/>
  <c r="B5354" i="1"/>
  <c r="C5352" i="1"/>
  <c r="B5352" i="1"/>
  <c r="C5351" i="1"/>
  <c r="B5351" i="1"/>
  <c r="C5349" i="1"/>
  <c r="B5349" i="1"/>
  <c r="C5348" i="1"/>
  <c r="B5348" i="1"/>
  <c r="C5347" i="1"/>
  <c r="B5347" i="1"/>
  <c r="C5346" i="1"/>
  <c r="B5346" i="1"/>
  <c r="C5345" i="1"/>
  <c r="B5345" i="1"/>
  <c r="C5344" i="1"/>
  <c r="B5344" i="1"/>
  <c r="C5343" i="1"/>
  <c r="B5340" i="1"/>
  <c r="C5339" i="1"/>
  <c r="B5339" i="1"/>
  <c r="C5338" i="1"/>
  <c r="B5338" i="1"/>
  <c r="C5337" i="1"/>
  <c r="B5337" i="1"/>
  <c r="C5336" i="1"/>
  <c r="B5336" i="1"/>
  <c r="C5334" i="1"/>
  <c r="B5334" i="1"/>
  <c r="B5331" i="1"/>
  <c r="C5329" i="1"/>
  <c r="B5329" i="1"/>
  <c r="C5328" i="1"/>
  <c r="B5328" i="1"/>
  <c r="C5327" i="1"/>
  <c r="B5327" i="1"/>
  <c r="C5326" i="1"/>
  <c r="B5326" i="1"/>
  <c r="C5323" i="1"/>
  <c r="B5323" i="1"/>
  <c r="C5322" i="1"/>
  <c r="B5322" i="1"/>
  <c r="C5320" i="1"/>
  <c r="B5320" i="1"/>
  <c r="B5317" i="1"/>
  <c r="C5314" i="1"/>
  <c r="B5314" i="1"/>
  <c r="C5313" i="1"/>
  <c r="B5313" i="1"/>
  <c r="C5309" i="1"/>
  <c r="B5309" i="1"/>
  <c r="C5308" i="1"/>
  <c r="B5308" i="1"/>
  <c r="C5307" i="1"/>
  <c r="C5306" i="1"/>
  <c r="B5306" i="1"/>
  <c r="B5303" i="1"/>
  <c r="C5301" i="1"/>
  <c r="B5301" i="1"/>
  <c r="C5300" i="1"/>
  <c r="B5300" i="1"/>
  <c r="C5297" i="1"/>
  <c r="B5297" i="1"/>
  <c r="C5296" i="1"/>
  <c r="B5296" i="1"/>
  <c r="B5295" i="1"/>
  <c r="C5292" i="1"/>
  <c r="B5292" i="1"/>
  <c r="C5291" i="1"/>
  <c r="B5291" i="1"/>
  <c r="C5290" i="1"/>
  <c r="C5288" i="1"/>
  <c r="B5288" i="1"/>
  <c r="C5287" i="1"/>
  <c r="B5287" i="1"/>
  <c r="C5286" i="1"/>
  <c r="B5286" i="1"/>
  <c r="B5285" i="1"/>
  <c r="C5275" i="1"/>
  <c r="B5275" i="1"/>
  <c r="C5273" i="1"/>
  <c r="B5273" i="1"/>
  <c r="C5271" i="1"/>
  <c r="B5271" i="1"/>
  <c r="C5270" i="1"/>
  <c r="B5270" i="1"/>
  <c r="C5269" i="1"/>
  <c r="B5269" i="1"/>
  <c r="C5268" i="1"/>
  <c r="B5268" i="1"/>
  <c r="C5267" i="1"/>
  <c r="B5267" i="1"/>
  <c r="C5265" i="1"/>
  <c r="B5265" i="1"/>
  <c r="C5264" i="1"/>
  <c r="B5264" i="1"/>
  <c r="C5262" i="1"/>
  <c r="B5262" i="1"/>
  <c r="C5261" i="1"/>
  <c r="B5261" i="1"/>
  <c r="C5259" i="1"/>
  <c r="B5259" i="1"/>
  <c r="B5258" i="1"/>
  <c r="C5257" i="1"/>
  <c r="B5257" i="1"/>
  <c r="C5256" i="1"/>
  <c r="B5256" i="1"/>
  <c r="C5255" i="1"/>
  <c r="B5255" i="1"/>
  <c r="C5254" i="1"/>
  <c r="B5254" i="1"/>
  <c r="C5252" i="1"/>
  <c r="B5252" i="1"/>
  <c r="C5250" i="1"/>
  <c r="B5250" i="1"/>
  <c r="C5248" i="1"/>
  <c r="B5248" i="1"/>
  <c r="C5247" i="1"/>
  <c r="B5247" i="1"/>
  <c r="C5245" i="1"/>
  <c r="B5245" i="1"/>
  <c r="C5244" i="1"/>
  <c r="B5244" i="1"/>
  <c r="C5243" i="1"/>
  <c r="B5243" i="1"/>
  <c r="C5242" i="1"/>
  <c r="B5242" i="1"/>
  <c r="C5241" i="1"/>
  <c r="B5241" i="1"/>
  <c r="C5240" i="1"/>
  <c r="B5240" i="1"/>
  <c r="C5237" i="1"/>
  <c r="B5237" i="1"/>
  <c r="C5230" i="1"/>
  <c r="B5230" i="1"/>
  <c r="C5229" i="1"/>
  <c r="B5229" i="1"/>
  <c r="C5228" i="1"/>
  <c r="B5228" i="1"/>
  <c r="C5227" i="1"/>
  <c r="B5227" i="1"/>
  <c r="C5226" i="1"/>
  <c r="B5226" i="1"/>
  <c r="C5224" i="1"/>
  <c r="B5224" i="1"/>
  <c r="C5221" i="1"/>
  <c r="B5221" i="1"/>
  <c r="C5220" i="1"/>
  <c r="B5220" i="1"/>
  <c r="C5217" i="1"/>
  <c r="B5217" i="1"/>
  <c r="C5216" i="1"/>
  <c r="B5216" i="1"/>
  <c r="C5215" i="1"/>
  <c r="B5215" i="1"/>
  <c r="C5211" i="1"/>
  <c r="B5211" i="1"/>
  <c r="C5210" i="1"/>
  <c r="B5210" i="1"/>
  <c r="C5209" i="1"/>
  <c r="B5209" i="1"/>
  <c r="B5208" i="1"/>
  <c r="C5207" i="1"/>
  <c r="B5207" i="1"/>
  <c r="C5205" i="1"/>
  <c r="B5205" i="1"/>
  <c r="C5204" i="1"/>
  <c r="B5204" i="1"/>
  <c r="C5203" i="1"/>
  <c r="B5203" i="1"/>
  <c r="C5202" i="1"/>
  <c r="B5202" i="1"/>
  <c r="C5200" i="1"/>
  <c r="B5200" i="1"/>
  <c r="C5198" i="1"/>
  <c r="B5198" i="1"/>
  <c r="C5197" i="1"/>
  <c r="B5197" i="1"/>
  <c r="C5196" i="1"/>
  <c r="B5196" i="1"/>
  <c r="C5195" i="1"/>
  <c r="B5195" i="1"/>
  <c r="C5194" i="1"/>
  <c r="B5194" i="1"/>
  <c r="C5193" i="1"/>
  <c r="B5193" i="1"/>
  <c r="C5192" i="1"/>
  <c r="B5192" i="1"/>
  <c r="C5191" i="1"/>
  <c r="B5191" i="1"/>
  <c r="C5190" i="1"/>
  <c r="B5190" i="1"/>
  <c r="C5189" i="1"/>
  <c r="B5189" i="1"/>
  <c r="C5188" i="1"/>
  <c r="B5188" i="1"/>
  <c r="C5187" i="1"/>
  <c r="B5187" i="1"/>
  <c r="C5186" i="1"/>
  <c r="B5186" i="1"/>
  <c r="C5185" i="1"/>
  <c r="B5185" i="1"/>
  <c r="C5184" i="1"/>
  <c r="B5184" i="1"/>
  <c r="C5182" i="1"/>
  <c r="B5182" i="1"/>
  <c r="C5181" i="1"/>
  <c r="B5181" i="1"/>
  <c r="C5180" i="1"/>
  <c r="B5180" i="1"/>
  <c r="C5178" i="1"/>
  <c r="B5178" i="1"/>
  <c r="C5176" i="1"/>
  <c r="B5176" i="1"/>
  <c r="C5175" i="1"/>
  <c r="B5175" i="1"/>
  <c r="C5174" i="1"/>
  <c r="B5174" i="1"/>
  <c r="C5173" i="1"/>
  <c r="B5173" i="1"/>
  <c r="C5172" i="1"/>
  <c r="B5172" i="1"/>
  <c r="C5171" i="1"/>
  <c r="B5171" i="1"/>
  <c r="C5170" i="1"/>
  <c r="B5170" i="1"/>
  <c r="C5169" i="1"/>
  <c r="B5169" i="1"/>
  <c r="C5168" i="1"/>
  <c r="B5168" i="1"/>
  <c r="C5167" i="1"/>
  <c r="B5167" i="1"/>
  <c r="C5165" i="1"/>
  <c r="B5165" i="1"/>
  <c r="C5164" i="1"/>
  <c r="B5164" i="1"/>
  <c r="C5163" i="1"/>
  <c r="B5163" i="1"/>
  <c r="C5162" i="1"/>
  <c r="B5162" i="1"/>
  <c r="C5161" i="1"/>
  <c r="B5161" i="1"/>
  <c r="C5160" i="1"/>
  <c r="B5160" i="1"/>
  <c r="C5159" i="1"/>
  <c r="B5159" i="1"/>
  <c r="C5158" i="1"/>
  <c r="B5158" i="1"/>
  <c r="C5157" i="1"/>
  <c r="B5157" i="1"/>
  <c r="C5156" i="1"/>
  <c r="B5156" i="1"/>
  <c r="C5155" i="1"/>
  <c r="B5155" i="1"/>
  <c r="C5154" i="1"/>
  <c r="B5154" i="1"/>
  <c r="C5153" i="1"/>
  <c r="B5153" i="1"/>
  <c r="C5152" i="1"/>
  <c r="B5152" i="1"/>
  <c r="C5151" i="1"/>
  <c r="B5151" i="1"/>
  <c r="C5149" i="1"/>
  <c r="B5149" i="1"/>
  <c r="C5148" i="1"/>
  <c r="B5148" i="1"/>
  <c r="C5147" i="1"/>
  <c r="B5147" i="1"/>
  <c r="C5146" i="1"/>
  <c r="B5146" i="1"/>
  <c r="C5145" i="1"/>
  <c r="B5145" i="1"/>
  <c r="C5144" i="1"/>
  <c r="B5144" i="1"/>
  <c r="C5143" i="1"/>
  <c r="B5143" i="1"/>
  <c r="C5139" i="1"/>
  <c r="B5139" i="1"/>
  <c r="C5138" i="1"/>
  <c r="B5138" i="1"/>
  <c r="C5137" i="1"/>
  <c r="B5137" i="1"/>
  <c r="C5135" i="1"/>
  <c r="B5135" i="1"/>
  <c r="C5134" i="1"/>
  <c r="B5134" i="1"/>
  <c r="C5133" i="1"/>
  <c r="C5132" i="1"/>
  <c r="B5132" i="1"/>
  <c r="C5131" i="1"/>
  <c r="B5131" i="1"/>
  <c r="C5130" i="1"/>
  <c r="B5130" i="1"/>
  <c r="C5129" i="1"/>
  <c r="B5129" i="1"/>
  <c r="C5128" i="1"/>
  <c r="B5128" i="1"/>
  <c r="C5127" i="1"/>
  <c r="B5127" i="1"/>
  <c r="C5126" i="1"/>
  <c r="B5126" i="1"/>
  <c r="C5125" i="1"/>
  <c r="B5125" i="1"/>
  <c r="C5124" i="1"/>
  <c r="B5124" i="1"/>
  <c r="C5122" i="1"/>
  <c r="B5122" i="1"/>
  <c r="C5121" i="1"/>
  <c r="B5121" i="1"/>
  <c r="C5120" i="1"/>
  <c r="B5120" i="1"/>
  <c r="C5117" i="1"/>
  <c r="B5117" i="1"/>
  <c r="C5116" i="1"/>
  <c r="B5116" i="1"/>
  <c r="C5115" i="1"/>
  <c r="B5115" i="1"/>
  <c r="C5114" i="1"/>
  <c r="B5114" i="1"/>
  <c r="C5113" i="1"/>
  <c r="B5113" i="1"/>
  <c r="C5112" i="1"/>
  <c r="C5109" i="1"/>
  <c r="B5109" i="1"/>
  <c r="C5108" i="1"/>
  <c r="B5108" i="1"/>
  <c r="C5107" i="1"/>
  <c r="B5107" i="1"/>
  <c r="C5106" i="1"/>
  <c r="B5106" i="1"/>
  <c r="C5105" i="1"/>
  <c r="B5105" i="1"/>
  <c r="C5104" i="1"/>
  <c r="B5104" i="1"/>
  <c r="C5103" i="1"/>
  <c r="B5103" i="1"/>
  <c r="C5102" i="1"/>
  <c r="B5102" i="1"/>
  <c r="C5101" i="1"/>
  <c r="B5101" i="1"/>
  <c r="C5100" i="1"/>
  <c r="B5100" i="1"/>
  <c r="C5099" i="1"/>
  <c r="B5099" i="1"/>
  <c r="C5098" i="1"/>
  <c r="B5098" i="1"/>
  <c r="C5097" i="1"/>
  <c r="B5097" i="1"/>
  <c r="C5096" i="1"/>
  <c r="B5096" i="1"/>
  <c r="C5095" i="1"/>
  <c r="B5095" i="1"/>
  <c r="C5094" i="1"/>
  <c r="B5094" i="1"/>
  <c r="C5093" i="1"/>
  <c r="B5093" i="1"/>
  <c r="C5092" i="1"/>
  <c r="B5092" i="1"/>
  <c r="C5091" i="1"/>
  <c r="B5091" i="1"/>
  <c r="C5090" i="1"/>
  <c r="B5090" i="1"/>
  <c r="C5089" i="1"/>
  <c r="B5089" i="1"/>
  <c r="C5086" i="1"/>
  <c r="B5086" i="1"/>
  <c r="C5085" i="1"/>
  <c r="B5085" i="1"/>
  <c r="C5083" i="1"/>
  <c r="B5083" i="1"/>
  <c r="C5082" i="1"/>
  <c r="B5082" i="1"/>
  <c r="C5081" i="1"/>
  <c r="B5081" i="1"/>
  <c r="C5080" i="1"/>
  <c r="B5080" i="1"/>
  <c r="C5079" i="1"/>
  <c r="B5079" i="1"/>
  <c r="C5078" i="1"/>
  <c r="B5078" i="1"/>
  <c r="C5077" i="1"/>
  <c r="B5077" i="1"/>
  <c r="C5075" i="1"/>
  <c r="B5075" i="1"/>
  <c r="C5074" i="1"/>
  <c r="B5074" i="1"/>
  <c r="C5072" i="1"/>
  <c r="B5072" i="1"/>
  <c r="C5071" i="1"/>
  <c r="B5071" i="1"/>
  <c r="C5070" i="1"/>
  <c r="B5070" i="1"/>
  <c r="C5068" i="1"/>
  <c r="B5068" i="1"/>
  <c r="C5067" i="1"/>
  <c r="B5067" i="1"/>
  <c r="C5066" i="1"/>
  <c r="B5066" i="1"/>
  <c r="C5065" i="1"/>
  <c r="B5065" i="1"/>
  <c r="C5062" i="1"/>
  <c r="B5062" i="1"/>
  <c r="C5061" i="1"/>
  <c r="B5061" i="1"/>
  <c r="C5060" i="1"/>
  <c r="B5060" i="1"/>
  <c r="C5059" i="1"/>
  <c r="B5059" i="1"/>
  <c r="C5058" i="1"/>
  <c r="B5058" i="1"/>
  <c r="C5056" i="1"/>
  <c r="B5056" i="1"/>
  <c r="C5055" i="1"/>
  <c r="B5055" i="1"/>
  <c r="C5054" i="1"/>
  <c r="B5054" i="1"/>
  <c r="C5053" i="1"/>
  <c r="B5053" i="1"/>
  <c r="C5051" i="1"/>
  <c r="B5051" i="1"/>
  <c r="C5049" i="1"/>
  <c r="B5049" i="1"/>
  <c r="C5048" i="1"/>
  <c r="B5048" i="1"/>
  <c r="C5047" i="1"/>
  <c r="B5047" i="1"/>
  <c r="C5046" i="1"/>
  <c r="B5046" i="1"/>
  <c r="C5045" i="1"/>
  <c r="B5045" i="1"/>
  <c r="C5040" i="1"/>
  <c r="B5040" i="1"/>
  <c r="C5039" i="1"/>
  <c r="B5039" i="1"/>
  <c r="C5038" i="1"/>
  <c r="B5038" i="1"/>
  <c r="C5037" i="1"/>
  <c r="B5037" i="1"/>
  <c r="C5036" i="1"/>
  <c r="B5036" i="1"/>
  <c r="C5032" i="1"/>
  <c r="B5032" i="1"/>
  <c r="C5027" i="1"/>
  <c r="B5027" i="1"/>
  <c r="C5026" i="1"/>
  <c r="B5026" i="1"/>
  <c r="C5023" i="1"/>
  <c r="B5023" i="1"/>
  <c r="C5022" i="1"/>
  <c r="B5022" i="1"/>
  <c r="C5020" i="1"/>
  <c r="B5020" i="1"/>
  <c r="C5017" i="1"/>
  <c r="B5017" i="1"/>
  <c r="C5016" i="1"/>
  <c r="B5016" i="1"/>
  <c r="C5015" i="1"/>
  <c r="B5015" i="1"/>
  <c r="C5013" i="1"/>
  <c r="B5013" i="1"/>
  <c r="C5012" i="1"/>
  <c r="B5012" i="1"/>
  <c r="C5010" i="1"/>
  <c r="B5010" i="1"/>
  <c r="C5007" i="1"/>
  <c r="B5007" i="1"/>
  <c r="C5006" i="1"/>
  <c r="B5006" i="1"/>
  <c r="C5005" i="1"/>
  <c r="B5005" i="1"/>
  <c r="C5003" i="1"/>
  <c r="B5003" i="1"/>
  <c r="C5002" i="1"/>
  <c r="B5002" i="1"/>
  <c r="C5001" i="1"/>
  <c r="B5001" i="1"/>
  <c r="C5000" i="1"/>
  <c r="B5000" i="1"/>
  <c r="C4999" i="1"/>
  <c r="B4999" i="1"/>
  <c r="C4998" i="1"/>
  <c r="B4998" i="1"/>
  <c r="C4997" i="1"/>
  <c r="B4997" i="1"/>
  <c r="C4996" i="1"/>
  <c r="B4996" i="1"/>
  <c r="C4995" i="1"/>
  <c r="B4995" i="1"/>
  <c r="C4993" i="1"/>
  <c r="B4993" i="1"/>
  <c r="B4992" i="1"/>
  <c r="C4991" i="1"/>
  <c r="B4991" i="1"/>
  <c r="C4990" i="1"/>
  <c r="B4990" i="1"/>
  <c r="C4989" i="1"/>
  <c r="B4989" i="1"/>
  <c r="C4988" i="1"/>
  <c r="B4988" i="1"/>
  <c r="C4987" i="1"/>
  <c r="B4987" i="1"/>
  <c r="C4986" i="1"/>
  <c r="B4986" i="1"/>
  <c r="C4985" i="1"/>
  <c r="B4985" i="1"/>
  <c r="C4984" i="1"/>
  <c r="B4984" i="1"/>
  <c r="C4983" i="1"/>
  <c r="B4983" i="1"/>
  <c r="C4980" i="1"/>
  <c r="B4980" i="1"/>
  <c r="C4979" i="1"/>
  <c r="B4979" i="1"/>
  <c r="C4978" i="1"/>
  <c r="B4978" i="1"/>
  <c r="C4977" i="1"/>
  <c r="B4977" i="1"/>
  <c r="C4976" i="1"/>
  <c r="B4976" i="1"/>
  <c r="C4975" i="1"/>
  <c r="C4974" i="1"/>
  <c r="B4974" i="1"/>
  <c r="C4973" i="1"/>
  <c r="B4973" i="1"/>
  <c r="C4972" i="1"/>
  <c r="B4972" i="1"/>
  <c r="C4971" i="1"/>
  <c r="B4971" i="1"/>
  <c r="C4970" i="1"/>
  <c r="B4970" i="1"/>
  <c r="C4969" i="1"/>
  <c r="B4969" i="1"/>
  <c r="C4968" i="1"/>
  <c r="B4968" i="1"/>
  <c r="C4966" i="1"/>
  <c r="B4966" i="1"/>
  <c r="C4965" i="1"/>
  <c r="B4965" i="1"/>
  <c r="C4963" i="1"/>
  <c r="B4963" i="1"/>
  <c r="C4960" i="1"/>
  <c r="B4960" i="1"/>
  <c r="C4959" i="1"/>
  <c r="B4959" i="1"/>
  <c r="C4958" i="1"/>
  <c r="B4958" i="1"/>
  <c r="C4957" i="1"/>
  <c r="B4957" i="1"/>
  <c r="B4955" i="1"/>
  <c r="C4953" i="1"/>
  <c r="B4953" i="1"/>
  <c r="C4952" i="1"/>
  <c r="B4952" i="1"/>
  <c r="C4951" i="1"/>
  <c r="B4951" i="1"/>
  <c r="C4950" i="1"/>
  <c r="B4950" i="1"/>
  <c r="C4949" i="1"/>
  <c r="B4949" i="1"/>
  <c r="C4948" i="1"/>
  <c r="B4948" i="1"/>
  <c r="C4947" i="1"/>
  <c r="B4947" i="1"/>
  <c r="C4946" i="1"/>
  <c r="B4946" i="1"/>
  <c r="C4943" i="1"/>
  <c r="B4943" i="1"/>
  <c r="C4941" i="1"/>
  <c r="B4941" i="1"/>
  <c r="C4940" i="1"/>
  <c r="B4940" i="1"/>
  <c r="C4939" i="1"/>
  <c r="B4939" i="1"/>
  <c r="C4938" i="1"/>
  <c r="B4938" i="1"/>
  <c r="B4937" i="1"/>
  <c r="C4936" i="1"/>
  <c r="B4936" i="1"/>
  <c r="C4935" i="1"/>
  <c r="B4935" i="1"/>
  <c r="C4931" i="1"/>
  <c r="B4931" i="1"/>
  <c r="C4930" i="1"/>
  <c r="B4930" i="1"/>
  <c r="C4929" i="1"/>
  <c r="B4929" i="1"/>
  <c r="C4928" i="1"/>
  <c r="B4928" i="1"/>
  <c r="C4927" i="1"/>
  <c r="B4927" i="1"/>
  <c r="C4926" i="1"/>
  <c r="B4926" i="1"/>
  <c r="B4925" i="1"/>
  <c r="C4924" i="1"/>
  <c r="B4924" i="1"/>
  <c r="C4923" i="1"/>
  <c r="B4923" i="1"/>
  <c r="B4922" i="1"/>
  <c r="C4920" i="1"/>
  <c r="B4920" i="1"/>
  <c r="C4919" i="1"/>
  <c r="B4919" i="1"/>
  <c r="C4918" i="1"/>
  <c r="B4918" i="1"/>
  <c r="C4917" i="1"/>
  <c r="B4917" i="1"/>
  <c r="C4915" i="1"/>
  <c r="B4915" i="1"/>
  <c r="C4914" i="1"/>
  <c r="B4914" i="1"/>
  <c r="C4913" i="1"/>
  <c r="B4913" i="1"/>
  <c r="C4909" i="1"/>
  <c r="B4909" i="1"/>
  <c r="C4907" i="1"/>
  <c r="B4907" i="1"/>
  <c r="C4906" i="1"/>
  <c r="B4906" i="1"/>
  <c r="C4905" i="1"/>
  <c r="B4905" i="1"/>
  <c r="C4904" i="1"/>
  <c r="B4904" i="1"/>
  <c r="C4903" i="1"/>
  <c r="B4903" i="1"/>
  <c r="C4901" i="1"/>
  <c r="B4901" i="1"/>
  <c r="C4900" i="1"/>
  <c r="B4900" i="1"/>
  <c r="C4899" i="1"/>
  <c r="B4899" i="1"/>
  <c r="C4898" i="1"/>
  <c r="B4898" i="1"/>
  <c r="C4897" i="1"/>
  <c r="B4897" i="1"/>
  <c r="C4896" i="1"/>
  <c r="B4896" i="1"/>
  <c r="C4895" i="1"/>
  <c r="B4895" i="1"/>
  <c r="C4894" i="1"/>
  <c r="B4894" i="1"/>
  <c r="C4893" i="1"/>
  <c r="B4893" i="1"/>
  <c r="C4892" i="1"/>
  <c r="B4892" i="1"/>
  <c r="C4891" i="1"/>
  <c r="B4891" i="1"/>
  <c r="C4890" i="1"/>
  <c r="B4890" i="1"/>
  <c r="C4889" i="1"/>
  <c r="B4889" i="1"/>
  <c r="C4888" i="1"/>
  <c r="B4888" i="1"/>
  <c r="C4887" i="1"/>
  <c r="B4887" i="1"/>
  <c r="C4886" i="1"/>
  <c r="B4886" i="1"/>
  <c r="C4885" i="1"/>
  <c r="B4885" i="1"/>
  <c r="C4884" i="1"/>
  <c r="B4884" i="1"/>
  <c r="C4883" i="1"/>
  <c r="B4883" i="1"/>
  <c r="C4882" i="1"/>
  <c r="C4881" i="1"/>
  <c r="B4881" i="1"/>
  <c r="C4880" i="1"/>
  <c r="B4880" i="1"/>
  <c r="C4879" i="1"/>
  <c r="B4879" i="1"/>
  <c r="C4878" i="1"/>
  <c r="B4878" i="1"/>
  <c r="C4877" i="1"/>
  <c r="B4877" i="1"/>
  <c r="C4876" i="1"/>
  <c r="B4876" i="1"/>
  <c r="C4874" i="1"/>
  <c r="B4874" i="1"/>
  <c r="B4873" i="1"/>
  <c r="C4872" i="1"/>
  <c r="B4872" i="1"/>
  <c r="C4871" i="1"/>
  <c r="B4871" i="1"/>
  <c r="C4869" i="1"/>
  <c r="B4869" i="1"/>
  <c r="C4868" i="1"/>
  <c r="B4868" i="1"/>
  <c r="C4867" i="1"/>
  <c r="B4867" i="1"/>
  <c r="C4866" i="1"/>
  <c r="B4866" i="1"/>
  <c r="C4865" i="1"/>
  <c r="B4865" i="1"/>
  <c r="C4863" i="1"/>
  <c r="B4863" i="1"/>
  <c r="C4862" i="1"/>
  <c r="B4862" i="1"/>
  <c r="C4861" i="1"/>
  <c r="B4861" i="1"/>
  <c r="C4860" i="1"/>
  <c r="B4860" i="1"/>
  <c r="C4859" i="1"/>
  <c r="B4859" i="1"/>
  <c r="C4858" i="1"/>
  <c r="B4858" i="1"/>
  <c r="C4857" i="1"/>
  <c r="B4857" i="1"/>
  <c r="C4856" i="1"/>
  <c r="B4856" i="1"/>
  <c r="C4855" i="1"/>
  <c r="B4855" i="1"/>
  <c r="C4853" i="1"/>
  <c r="B4853" i="1"/>
  <c r="C4852" i="1"/>
  <c r="B4852" i="1"/>
  <c r="C4851" i="1"/>
  <c r="B4851" i="1"/>
  <c r="C4850" i="1"/>
  <c r="B4850" i="1"/>
  <c r="C4849" i="1"/>
  <c r="B4849" i="1"/>
  <c r="C4848" i="1"/>
  <c r="B4848" i="1"/>
  <c r="C4846" i="1"/>
  <c r="B4846" i="1"/>
  <c r="C4845" i="1"/>
  <c r="B4845" i="1"/>
  <c r="C4843" i="1"/>
  <c r="B4843" i="1"/>
  <c r="C4841" i="1"/>
  <c r="B4841" i="1"/>
  <c r="C4840" i="1"/>
  <c r="B4840" i="1"/>
  <c r="C4838" i="1"/>
  <c r="B4838" i="1"/>
  <c r="C4837" i="1"/>
  <c r="B4837" i="1"/>
  <c r="C4836" i="1"/>
  <c r="B4836" i="1"/>
  <c r="C4835" i="1"/>
  <c r="B4835" i="1"/>
  <c r="C4834" i="1"/>
  <c r="B4834" i="1"/>
  <c r="C4833" i="1"/>
  <c r="B4833" i="1"/>
  <c r="C4832" i="1"/>
  <c r="B4832" i="1"/>
  <c r="C4831" i="1"/>
  <c r="B4831" i="1"/>
  <c r="C4830" i="1"/>
  <c r="B4830" i="1"/>
  <c r="C4829" i="1"/>
  <c r="B4829" i="1"/>
  <c r="C4828" i="1"/>
  <c r="B4828" i="1"/>
  <c r="C4827" i="1"/>
  <c r="B4827" i="1"/>
  <c r="C4826" i="1"/>
  <c r="B4826" i="1"/>
  <c r="C4825" i="1"/>
  <c r="B4825" i="1"/>
  <c r="C4824" i="1"/>
  <c r="B4824" i="1"/>
  <c r="C4823" i="1"/>
  <c r="B4823" i="1"/>
  <c r="C4821" i="1"/>
  <c r="B4821" i="1"/>
  <c r="C4820" i="1"/>
  <c r="B4820" i="1"/>
  <c r="C4819" i="1"/>
  <c r="B4819" i="1"/>
  <c r="C4818" i="1"/>
  <c r="B4818" i="1"/>
  <c r="C4817" i="1"/>
  <c r="B4817" i="1"/>
  <c r="B4816" i="1"/>
  <c r="C4815" i="1"/>
  <c r="B4815" i="1"/>
  <c r="C4814" i="1"/>
  <c r="B4814" i="1"/>
  <c r="C4813" i="1"/>
  <c r="B4813" i="1"/>
  <c r="C4812" i="1"/>
  <c r="B4812" i="1"/>
  <c r="C4811" i="1"/>
  <c r="B4811" i="1"/>
  <c r="C4810" i="1"/>
  <c r="B4810" i="1"/>
  <c r="C4809" i="1"/>
  <c r="B4809" i="1"/>
  <c r="C4808" i="1"/>
  <c r="B4808" i="1"/>
  <c r="C4807" i="1"/>
  <c r="B4807" i="1"/>
  <c r="C4806" i="1"/>
  <c r="B4806" i="1"/>
  <c r="C4805" i="1"/>
  <c r="B4805" i="1"/>
  <c r="C4803" i="1"/>
  <c r="B4803" i="1"/>
  <c r="C4802" i="1"/>
  <c r="B4802" i="1"/>
  <c r="C4801" i="1"/>
  <c r="B4801" i="1"/>
  <c r="C4800" i="1"/>
  <c r="B4800" i="1"/>
  <c r="C4799" i="1"/>
  <c r="B4799" i="1"/>
  <c r="C4798" i="1"/>
  <c r="B4798" i="1"/>
  <c r="C4797" i="1"/>
  <c r="B4797" i="1"/>
  <c r="C4796" i="1"/>
  <c r="B4796" i="1"/>
  <c r="C4795" i="1"/>
  <c r="B4795" i="1"/>
  <c r="C4793" i="1"/>
  <c r="B4793" i="1"/>
  <c r="C4792" i="1"/>
  <c r="B4792" i="1"/>
  <c r="C4791" i="1"/>
  <c r="B4791" i="1"/>
  <c r="C4790" i="1"/>
  <c r="B4790" i="1"/>
  <c r="C4789" i="1"/>
  <c r="B4789" i="1"/>
  <c r="C4788" i="1"/>
  <c r="B4788" i="1"/>
  <c r="C4787" i="1"/>
  <c r="B4787" i="1"/>
  <c r="C4785" i="1"/>
  <c r="B4785" i="1"/>
  <c r="C4784" i="1"/>
  <c r="B4784" i="1"/>
  <c r="C4783" i="1"/>
  <c r="B4783" i="1"/>
  <c r="C4782" i="1"/>
  <c r="B4782" i="1"/>
  <c r="C4781" i="1"/>
  <c r="B4781" i="1"/>
  <c r="C4779" i="1"/>
  <c r="B4779" i="1"/>
  <c r="C4778" i="1"/>
  <c r="B4778" i="1"/>
  <c r="C4777" i="1"/>
  <c r="B4777" i="1"/>
  <c r="C4776" i="1"/>
  <c r="B4776" i="1"/>
  <c r="C4773" i="1"/>
  <c r="B4773" i="1"/>
  <c r="C4772" i="1"/>
  <c r="B4772" i="1"/>
  <c r="B4771" i="1"/>
  <c r="C4770" i="1"/>
  <c r="B4770" i="1"/>
  <c r="C4769" i="1"/>
  <c r="B4769" i="1"/>
  <c r="C4768" i="1"/>
  <c r="B4768" i="1"/>
  <c r="C4767" i="1"/>
  <c r="B4767" i="1"/>
  <c r="B4766" i="1"/>
  <c r="C4765" i="1"/>
  <c r="B4765" i="1"/>
  <c r="C4764" i="1"/>
  <c r="B4764" i="1"/>
  <c r="C4763" i="1"/>
  <c r="B4763" i="1"/>
  <c r="C4762" i="1"/>
  <c r="B4762" i="1"/>
  <c r="C4760" i="1"/>
  <c r="B4760" i="1"/>
  <c r="C4759" i="1"/>
  <c r="B4759" i="1"/>
  <c r="C4757" i="1"/>
  <c r="B4757" i="1"/>
  <c r="C4756" i="1"/>
  <c r="B4756" i="1"/>
  <c r="C4754" i="1"/>
  <c r="B4754" i="1"/>
  <c r="C4753" i="1"/>
  <c r="B4753" i="1"/>
  <c r="B4752" i="1"/>
  <c r="C4751" i="1"/>
  <c r="B4751" i="1"/>
  <c r="C4750" i="1"/>
  <c r="B4750" i="1"/>
  <c r="C4748" i="1"/>
  <c r="B4748" i="1"/>
  <c r="C4747" i="1"/>
  <c r="B4747" i="1"/>
  <c r="C4745" i="1"/>
  <c r="B4745" i="1"/>
  <c r="C4744" i="1"/>
  <c r="B4744" i="1"/>
  <c r="C4743" i="1"/>
  <c r="B4743" i="1"/>
  <c r="C4742" i="1"/>
  <c r="B4742" i="1"/>
  <c r="C4740" i="1"/>
  <c r="B4740" i="1"/>
  <c r="C4739" i="1"/>
  <c r="B4739" i="1"/>
  <c r="C4738" i="1"/>
  <c r="B4738" i="1"/>
  <c r="C4737" i="1"/>
  <c r="B4737" i="1"/>
  <c r="B4736" i="1"/>
  <c r="C4734" i="1"/>
  <c r="B4734" i="1"/>
  <c r="C4731" i="1"/>
  <c r="B4731" i="1"/>
  <c r="C4730" i="1"/>
  <c r="B4730" i="1"/>
  <c r="C4729" i="1"/>
  <c r="B4729" i="1"/>
  <c r="C4726" i="1"/>
  <c r="B4726" i="1"/>
  <c r="C4722" i="1"/>
  <c r="B4722" i="1"/>
  <c r="C4719" i="1"/>
  <c r="B4719" i="1"/>
  <c r="C4718" i="1"/>
  <c r="B4718" i="1"/>
  <c r="C4717" i="1"/>
  <c r="B4717" i="1"/>
  <c r="C4713" i="1"/>
  <c r="B4713" i="1"/>
  <c r="C4711" i="1"/>
  <c r="B4711" i="1"/>
  <c r="C4709" i="1"/>
  <c r="B4709" i="1"/>
  <c r="C4707" i="1"/>
  <c r="B4707" i="1"/>
  <c r="C4706" i="1"/>
  <c r="B4706" i="1"/>
  <c r="C4704" i="1"/>
  <c r="B4704" i="1"/>
  <c r="C4701" i="1"/>
  <c r="B4701" i="1"/>
  <c r="C4699" i="1"/>
  <c r="B4699" i="1"/>
  <c r="C4698" i="1"/>
  <c r="B4698" i="1"/>
  <c r="C4697" i="1"/>
  <c r="B4697" i="1"/>
  <c r="C4696" i="1"/>
  <c r="B4696" i="1"/>
  <c r="C4695" i="1"/>
  <c r="B4695" i="1"/>
  <c r="C4694" i="1"/>
  <c r="B4694" i="1"/>
  <c r="C4693" i="1"/>
  <c r="B4693" i="1"/>
  <c r="C4692" i="1"/>
  <c r="B4692" i="1"/>
  <c r="C4689" i="1"/>
  <c r="B4689" i="1"/>
  <c r="C4688" i="1"/>
  <c r="B4688" i="1"/>
  <c r="C4687" i="1"/>
  <c r="B4687" i="1"/>
  <c r="C4686" i="1"/>
  <c r="B4686" i="1"/>
  <c r="C4684" i="1"/>
  <c r="B4684" i="1"/>
  <c r="C4682" i="1"/>
  <c r="B4682" i="1"/>
  <c r="C4678" i="1"/>
  <c r="B4678" i="1"/>
  <c r="C4677" i="1"/>
  <c r="B4677" i="1"/>
  <c r="C4675" i="1"/>
  <c r="B4675" i="1"/>
  <c r="C4673" i="1"/>
  <c r="B4673" i="1"/>
  <c r="C4672" i="1"/>
  <c r="B4672" i="1"/>
  <c r="C4671" i="1"/>
  <c r="B4671" i="1"/>
  <c r="C4670" i="1"/>
  <c r="B4670" i="1"/>
  <c r="C4669" i="1"/>
  <c r="B4669" i="1"/>
  <c r="C4668" i="1"/>
  <c r="B4668" i="1"/>
  <c r="C4667" i="1"/>
  <c r="B4667" i="1"/>
  <c r="B4664" i="1"/>
  <c r="C4663" i="1"/>
  <c r="B4663" i="1"/>
  <c r="C4661" i="1"/>
  <c r="B4661" i="1"/>
  <c r="C4660" i="1"/>
  <c r="B4660" i="1"/>
  <c r="B4659" i="1"/>
  <c r="C4655" i="1"/>
  <c r="B4655" i="1"/>
  <c r="C4653" i="1"/>
  <c r="B4653" i="1"/>
  <c r="C4652" i="1"/>
  <c r="B4652" i="1"/>
  <c r="B4651" i="1"/>
  <c r="C4650" i="1"/>
  <c r="B4650" i="1"/>
  <c r="B4649" i="1"/>
  <c r="C4648" i="1"/>
  <c r="B4648" i="1"/>
  <c r="B4643" i="1"/>
  <c r="C4642" i="1"/>
  <c r="B4642" i="1"/>
  <c r="C4641" i="1"/>
  <c r="B4641" i="1"/>
  <c r="C4640" i="1"/>
  <c r="C4638" i="1"/>
  <c r="C4637" i="1"/>
  <c r="C4634" i="1"/>
  <c r="B4634" i="1"/>
  <c r="B4631" i="1"/>
  <c r="C4630" i="1"/>
  <c r="B4630" i="1"/>
  <c r="C4628" i="1"/>
  <c r="B4628" i="1"/>
  <c r="C4627" i="1"/>
  <c r="B4627" i="1"/>
  <c r="C4626" i="1"/>
  <c r="B4626" i="1"/>
  <c r="C4624" i="1"/>
  <c r="B4624" i="1"/>
  <c r="C4623" i="1"/>
  <c r="B4623" i="1"/>
  <c r="C4621" i="1"/>
  <c r="B4621" i="1"/>
  <c r="C4618" i="1"/>
  <c r="B4618" i="1"/>
  <c r="C4615" i="1"/>
  <c r="B4615" i="1"/>
  <c r="C4614" i="1"/>
  <c r="B4614" i="1"/>
  <c r="C4613" i="1"/>
  <c r="B4613" i="1"/>
  <c r="C4612" i="1"/>
  <c r="B4612" i="1"/>
  <c r="C4610" i="1"/>
  <c r="B4610" i="1"/>
  <c r="C4609" i="1"/>
  <c r="B4609" i="1"/>
  <c r="C4608" i="1"/>
  <c r="B4608" i="1"/>
  <c r="C4607" i="1"/>
  <c r="B4607" i="1"/>
  <c r="C4606" i="1"/>
  <c r="B4606" i="1"/>
  <c r="C4602" i="1"/>
  <c r="B4602" i="1"/>
  <c r="C4598" i="1"/>
  <c r="B4598" i="1"/>
  <c r="C4597" i="1"/>
  <c r="B4597" i="1"/>
  <c r="C4595" i="1"/>
  <c r="B4595" i="1"/>
  <c r="C4594" i="1"/>
  <c r="B4594" i="1"/>
  <c r="C4592" i="1"/>
  <c r="B4592" i="1"/>
  <c r="C4591" i="1"/>
  <c r="B4591" i="1"/>
  <c r="C4587" i="1"/>
  <c r="B4587" i="1"/>
  <c r="C4585" i="1"/>
  <c r="B4585" i="1"/>
  <c r="C4584" i="1"/>
  <c r="B4584" i="1"/>
  <c r="C4583" i="1"/>
  <c r="C4580" i="1"/>
  <c r="B4580" i="1"/>
  <c r="C4579" i="1"/>
  <c r="B4579" i="1"/>
  <c r="C4578" i="1"/>
  <c r="B4578" i="1"/>
  <c r="C4575" i="1"/>
  <c r="B4575" i="1"/>
  <c r="C4574" i="1"/>
  <c r="B4574" i="1"/>
  <c r="C4573" i="1"/>
  <c r="B4573" i="1"/>
  <c r="C4572" i="1"/>
  <c r="B4572" i="1"/>
  <c r="C4570" i="1"/>
  <c r="B4570" i="1"/>
  <c r="C4569" i="1"/>
  <c r="B4569" i="1"/>
  <c r="C4568" i="1"/>
  <c r="B4568" i="1"/>
  <c r="C4566" i="1"/>
  <c r="B4566" i="1"/>
  <c r="C4565" i="1"/>
  <c r="B4565" i="1"/>
  <c r="C4563" i="1"/>
  <c r="B4563" i="1"/>
  <c r="C4561" i="1"/>
  <c r="B4561" i="1"/>
  <c r="C4560" i="1"/>
  <c r="B4560" i="1"/>
  <c r="C4558" i="1"/>
  <c r="C4557" i="1"/>
  <c r="B4557" i="1"/>
  <c r="C4556" i="1"/>
  <c r="B4556" i="1"/>
  <c r="C4555" i="1"/>
  <c r="B4555" i="1"/>
  <c r="C4554" i="1"/>
  <c r="B4554" i="1"/>
  <c r="C4551" i="1"/>
  <c r="B4551" i="1"/>
  <c r="C4550" i="1"/>
  <c r="B4550" i="1"/>
  <c r="C4549" i="1"/>
  <c r="B4549" i="1"/>
  <c r="C4548" i="1"/>
  <c r="B4548" i="1"/>
  <c r="C4547" i="1"/>
  <c r="B4547" i="1"/>
  <c r="C4546" i="1"/>
  <c r="B4546" i="1"/>
  <c r="C4543" i="1"/>
  <c r="B4543" i="1"/>
  <c r="C4542" i="1"/>
  <c r="B4542" i="1"/>
  <c r="C4541" i="1"/>
  <c r="B4541" i="1"/>
  <c r="C4540" i="1"/>
  <c r="B4540" i="1"/>
  <c r="C4539" i="1"/>
  <c r="B4539" i="1"/>
  <c r="C4538" i="1"/>
  <c r="B4538" i="1"/>
  <c r="C4537" i="1"/>
  <c r="B4537" i="1"/>
  <c r="C4536" i="1"/>
  <c r="B4536" i="1"/>
  <c r="C4535" i="1"/>
  <c r="B4535" i="1"/>
  <c r="C4534" i="1"/>
  <c r="B4534" i="1"/>
  <c r="C4533" i="1"/>
  <c r="B4533" i="1"/>
  <c r="C4530" i="1"/>
  <c r="B4530" i="1"/>
  <c r="C4526" i="1"/>
  <c r="B4526" i="1"/>
  <c r="C4525" i="1"/>
  <c r="B4525" i="1"/>
  <c r="C4521" i="1"/>
  <c r="B4521" i="1"/>
  <c r="C4519" i="1"/>
  <c r="C4518" i="1"/>
  <c r="B4518" i="1"/>
  <c r="C4516" i="1"/>
  <c r="B4516" i="1"/>
  <c r="C4515" i="1"/>
  <c r="B4515" i="1"/>
  <c r="C4514" i="1"/>
  <c r="B4514" i="1"/>
  <c r="C4513" i="1"/>
  <c r="B4513" i="1"/>
  <c r="C4511" i="1"/>
  <c r="B4511" i="1"/>
  <c r="C4510" i="1"/>
  <c r="B4510" i="1"/>
  <c r="C4509" i="1"/>
  <c r="B4509" i="1"/>
  <c r="C4508" i="1"/>
  <c r="B4508" i="1"/>
  <c r="C4507" i="1"/>
  <c r="B4507" i="1"/>
  <c r="C4506" i="1"/>
  <c r="B4506" i="1"/>
  <c r="C4505" i="1"/>
  <c r="B4505" i="1"/>
  <c r="C4504" i="1"/>
  <c r="B4504" i="1"/>
  <c r="C4503" i="1"/>
  <c r="B4503" i="1"/>
  <c r="C4501" i="1"/>
  <c r="C4498" i="1"/>
  <c r="B4498" i="1"/>
  <c r="C4495" i="1"/>
  <c r="B4495" i="1"/>
  <c r="C4492" i="1"/>
  <c r="B4492" i="1"/>
  <c r="C4491" i="1"/>
  <c r="B4491" i="1"/>
  <c r="C4490" i="1"/>
  <c r="B4490" i="1"/>
  <c r="C4489" i="1"/>
  <c r="B4489" i="1"/>
  <c r="C4487" i="1"/>
  <c r="B4487" i="1"/>
  <c r="C4485" i="1"/>
  <c r="B4485" i="1"/>
  <c r="C4483" i="1"/>
  <c r="B4483" i="1"/>
  <c r="C4482" i="1"/>
  <c r="B4482" i="1"/>
  <c r="C4479" i="1"/>
  <c r="B4479" i="1"/>
  <c r="C4478" i="1"/>
  <c r="B4478" i="1"/>
  <c r="C4477" i="1"/>
  <c r="B4477" i="1"/>
  <c r="C4476" i="1"/>
  <c r="B4476" i="1"/>
  <c r="C4475" i="1"/>
  <c r="B4475" i="1"/>
  <c r="C4474" i="1"/>
  <c r="B4474" i="1"/>
  <c r="C4473" i="1"/>
  <c r="B4473" i="1"/>
  <c r="C4472" i="1"/>
  <c r="B4472" i="1"/>
  <c r="C4470" i="1"/>
  <c r="B4470" i="1"/>
  <c r="C4469" i="1"/>
  <c r="B4469" i="1"/>
  <c r="C4468" i="1"/>
  <c r="B4468" i="1"/>
  <c r="C4467" i="1"/>
  <c r="B4467" i="1"/>
  <c r="C4466" i="1"/>
  <c r="B4466" i="1"/>
  <c r="C4465" i="1"/>
  <c r="B4465" i="1"/>
  <c r="C4464" i="1"/>
  <c r="B4464" i="1"/>
  <c r="C4462" i="1"/>
  <c r="C4461" i="1"/>
  <c r="B4461" i="1"/>
  <c r="C4460" i="1"/>
  <c r="B4460" i="1"/>
  <c r="C4459" i="1"/>
  <c r="B4459" i="1"/>
  <c r="C4458" i="1"/>
  <c r="C4456" i="1"/>
  <c r="B4456" i="1"/>
  <c r="C4455" i="1"/>
  <c r="B4455" i="1"/>
  <c r="C4453" i="1"/>
  <c r="B4453" i="1"/>
  <c r="C4451" i="1"/>
  <c r="B4451" i="1"/>
  <c r="C4450" i="1"/>
  <c r="B4450" i="1"/>
  <c r="C4449" i="1"/>
  <c r="B4449" i="1"/>
  <c r="C4447" i="1"/>
  <c r="B4447" i="1"/>
  <c r="C4446" i="1"/>
  <c r="B4446" i="1"/>
  <c r="C4445" i="1"/>
  <c r="B4445" i="1"/>
  <c r="C4444" i="1"/>
  <c r="B4444" i="1"/>
  <c r="C4442" i="1"/>
  <c r="B4442" i="1"/>
  <c r="C4441" i="1"/>
  <c r="B4441" i="1"/>
  <c r="C4440" i="1"/>
  <c r="B4440" i="1"/>
  <c r="C4439" i="1"/>
  <c r="B4439" i="1"/>
  <c r="C4438" i="1"/>
  <c r="B4438" i="1"/>
  <c r="C4436" i="1"/>
  <c r="B4436" i="1"/>
  <c r="C4435" i="1"/>
  <c r="B4435" i="1"/>
  <c r="C4434" i="1"/>
  <c r="B4434" i="1"/>
  <c r="C4433" i="1"/>
  <c r="B4433" i="1"/>
  <c r="C4425" i="1"/>
  <c r="B4425" i="1"/>
  <c r="C4424" i="1"/>
  <c r="B4424" i="1"/>
  <c r="C4423" i="1"/>
  <c r="B4423" i="1"/>
  <c r="C4422" i="1"/>
  <c r="B4422" i="1"/>
  <c r="C4421" i="1"/>
  <c r="B4421" i="1"/>
  <c r="C4420" i="1"/>
  <c r="B4420" i="1"/>
  <c r="C4419" i="1"/>
  <c r="B4419" i="1"/>
  <c r="C4418" i="1"/>
  <c r="B4418" i="1"/>
  <c r="C4416" i="1"/>
  <c r="B4416" i="1"/>
  <c r="C4415" i="1"/>
  <c r="B4415" i="1"/>
  <c r="C4414" i="1"/>
  <c r="B4414" i="1"/>
  <c r="C4413" i="1"/>
  <c r="B4413" i="1"/>
  <c r="C4412" i="1"/>
  <c r="B4412" i="1"/>
  <c r="C4407" i="1"/>
  <c r="B4407" i="1"/>
  <c r="C4404" i="1"/>
  <c r="B4404" i="1"/>
  <c r="C4403" i="1"/>
  <c r="B4403" i="1"/>
  <c r="C4402" i="1"/>
  <c r="B4402" i="1"/>
  <c r="C4401" i="1"/>
  <c r="B4401" i="1"/>
  <c r="C4400" i="1"/>
  <c r="B4400" i="1"/>
  <c r="C4399" i="1"/>
  <c r="B4399" i="1"/>
  <c r="C4398" i="1"/>
  <c r="B4398" i="1"/>
  <c r="C4397" i="1"/>
  <c r="B4397" i="1"/>
  <c r="C4395" i="1"/>
  <c r="B4395" i="1"/>
  <c r="C4394" i="1"/>
  <c r="B4394" i="1"/>
  <c r="C4393" i="1"/>
  <c r="B4393" i="1"/>
  <c r="C4389" i="1"/>
  <c r="B4389" i="1"/>
  <c r="C4387" i="1"/>
  <c r="B4387" i="1"/>
  <c r="C4386" i="1"/>
  <c r="B4386" i="1"/>
  <c r="C4385" i="1"/>
  <c r="B4385" i="1"/>
  <c r="C4384" i="1"/>
  <c r="B4384" i="1"/>
  <c r="C4383" i="1"/>
  <c r="B4383" i="1"/>
  <c r="C4382" i="1"/>
  <c r="B4382" i="1"/>
  <c r="C4380" i="1"/>
  <c r="B4380" i="1"/>
  <c r="C4379" i="1"/>
  <c r="B4379" i="1"/>
  <c r="C4377" i="1"/>
  <c r="B4377" i="1"/>
  <c r="C4376" i="1"/>
  <c r="C4374" i="1"/>
  <c r="B4374" i="1"/>
  <c r="C4373" i="1"/>
  <c r="B4373" i="1"/>
  <c r="C4372" i="1"/>
  <c r="B4372" i="1"/>
  <c r="C4371" i="1"/>
  <c r="B4371" i="1"/>
  <c r="C4370" i="1"/>
  <c r="B4370" i="1"/>
  <c r="C4369" i="1"/>
  <c r="B4369" i="1"/>
  <c r="C4368" i="1"/>
  <c r="B4368" i="1"/>
  <c r="C4367" i="1"/>
  <c r="B4367" i="1"/>
  <c r="C4366" i="1"/>
  <c r="B4366" i="1"/>
  <c r="C4365" i="1"/>
  <c r="B4365" i="1"/>
  <c r="C4364" i="1"/>
  <c r="B4364" i="1"/>
  <c r="C4363" i="1"/>
  <c r="B4363" i="1"/>
  <c r="C4360" i="1"/>
  <c r="B4360" i="1"/>
  <c r="C4359" i="1"/>
  <c r="B4359" i="1"/>
  <c r="C4358" i="1"/>
  <c r="B4358" i="1"/>
  <c r="C4357" i="1"/>
  <c r="B4357" i="1"/>
  <c r="C4356" i="1"/>
  <c r="B4356" i="1"/>
  <c r="C4355" i="1"/>
  <c r="B4355" i="1"/>
  <c r="C4354" i="1"/>
  <c r="B4354" i="1"/>
  <c r="C4353" i="1"/>
  <c r="B4353" i="1"/>
  <c r="C4352" i="1"/>
  <c r="B4352" i="1"/>
  <c r="C4351" i="1"/>
  <c r="B4351" i="1"/>
  <c r="C4350" i="1"/>
  <c r="B4350" i="1"/>
  <c r="C4347" i="1"/>
  <c r="B4347" i="1"/>
  <c r="C4345" i="1"/>
  <c r="B4345" i="1"/>
  <c r="C4342" i="1"/>
  <c r="B4342" i="1"/>
  <c r="C4341" i="1"/>
  <c r="B4341" i="1"/>
  <c r="C4340" i="1"/>
  <c r="B4340" i="1"/>
  <c r="C4339" i="1"/>
  <c r="B4339" i="1"/>
  <c r="C4338" i="1"/>
  <c r="B4338" i="1"/>
  <c r="C4337" i="1"/>
  <c r="B4337" i="1"/>
  <c r="C4336" i="1"/>
  <c r="B4336" i="1"/>
  <c r="C4335" i="1"/>
  <c r="B4335" i="1"/>
  <c r="B4334" i="1"/>
  <c r="C4333" i="1"/>
  <c r="B4333" i="1"/>
  <c r="C4332" i="1"/>
  <c r="B4332" i="1"/>
  <c r="C4331" i="1"/>
  <c r="B4331" i="1"/>
  <c r="C4330" i="1"/>
  <c r="B4330" i="1"/>
  <c r="C4329" i="1"/>
  <c r="B4329" i="1"/>
  <c r="C4328" i="1"/>
  <c r="B4328" i="1"/>
  <c r="C4327" i="1"/>
  <c r="B4327" i="1"/>
  <c r="C4326" i="1"/>
  <c r="B4326" i="1"/>
  <c r="C4325" i="1"/>
  <c r="B4325" i="1"/>
  <c r="C4324" i="1"/>
  <c r="B4324" i="1"/>
  <c r="C4323" i="1"/>
  <c r="B4323" i="1"/>
  <c r="C4322" i="1"/>
  <c r="C4321" i="1"/>
  <c r="B4321" i="1"/>
  <c r="C4320" i="1"/>
  <c r="B4320" i="1"/>
  <c r="C4319" i="1"/>
  <c r="B4319" i="1"/>
  <c r="C4313" i="1"/>
  <c r="B4313" i="1"/>
  <c r="C4312" i="1"/>
  <c r="C4310" i="1"/>
  <c r="B4310" i="1"/>
  <c r="C4308" i="1"/>
  <c r="B4308" i="1"/>
  <c r="C4307" i="1"/>
  <c r="B4307" i="1"/>
  <c r="C4305" i="1"/>
  <c r="B4305" i="1"/>
  <c r="C4303" i="1"/>
  <c r="B4303" i="1"/>
  <c r="C4301" i="1"/>
  <c r="B4301" i="1"/>
  <c r="C4300" i="1"/>
  <c r="B4300" i="1"/>
  <c r="C4298" i="1"/>
  <c r="B4298" i="1"/>
  <c r="C4297" i="1"/>
  <c r="B4297" i="1"/>
  <c r="C4296" i="1"/>
  <c r="B4296" i="1"/>
  <c r="C4294" i="1"/>
  <c r="B4294" i="1"/>
  <c r="C4293" i="1"/>
  <c r="B4293" i="1"/>
  <c r="C4290" i="1"/>
  <c r="B4290" i="1"/>
  <c r="C4289" i="1"/>
  <c r="B4289" i="1"/>
  <c r="C4287" i="1"/>
  <c r="B4287" i="1"/>
  <c r="C4286" i="1"/>
  <c r="B4286" i="1"/>
  <c r="C4284" i="1"/>
  <c r="B4284" i="1"/>
  <c r="C4282" i="1"/>
  <c r="B4282" i="1"/>
  <c r="C4279" i="1"/>
  <c r="B4279" i="1"/>
  <c r="C4276" i="1"/>
  <c r="B4276" i="1"/>
  <c r="C4275" i="1"/>
  <c r="B4275" i="1"/>
  <c r="C4274" i="1"/>
  <c r="B4274" i="1"/>
  <c r="C4271" i="1"/>
  <c r="B4271" i="1"/>
  <c r="C4270" i="1"/>
  <c r="B4270" i="1"/>
  <c r="C4269" i="1"/>
  <c r="B4269" i="1"/>
  <c r="C4268" i="1"/>
  <c r="B4268" i="1"/>
  <c r="C4267" i="1"/>
  <c r="B4267" i="1"/>
  <c r="C4265" i="1"/>
  <c r="B4265" i="1"/>
  <c r="C4264" i="1"/>
  <c r="B4264" i="1"/>
  <c r="C4263" i="1"/>
  <c r="B4263" i="1"/>
  <c r="C4262" i="1"/>
  <c r="B4262" i="1"/>
  <c r="C4260" i="1"/>
  <c r="B4260" i="1"/>
  <c r="C4259" i="1"/>
  <c r="B4259" i="1"/>
  <c r="C4258" i="1"/>
  <c r="B4258" i="1"/>
  <c r="C4256" i="1"/>
  <c r="B4256" i="1"/>
  <c r="C4255" i="1"/>
  <c r="B4255" i="1"/>
  <c r="C4253" i="1"/>
  <c r="B4253" i="1"/>
  <c r="C4252" i="1"/>
  <c r="B4252" i="1"/>
  <c r="C4242" i="1"/>
  <c r="B4242" i="1"/>
  <c r="C4241" i="1"/>
  <c r="B4241" i="1"/>
  <c r="C4240" i="1"/>
  <c r="B4240" i="1"/>
  <c r="C4236" i="1"/>
  <c r="B4236" i="1"/>
  <c r="C4234" i="1"/>
  <c r="B4234" i="1"/>
  <c r="C4233" i="1"/>
  <c r="B4233" i="1"/>
  <c r="C4229" i="1"/>
  <c r="B4229" i="1"/>
  <c r="C4228" i="1"/>
  <c r="B4228" i="1"/>
  <c r="C4227" i="1"/>
  <c r="B4227" i="1"/>
  <c r="C4226" i="1"/>
  <c r="B4226" i="1"/>
  <c r="C4224" i="1"/>
  <c r="B4224" i="1"/>
  <c r="C4223" i="1"/>
  <c r="B4223" i="1"/>
  <c r="C4222" i="1"/>
  <c r="B4222" i="1"/>
  <c r="C4221" i="1"/>
  <c r="B4221" i="1"/>
  <c r="C4220" i="1"/>
  <c r="B4220" i="1"/>
  <c r="C4219" i="1"/>
  <c r="B4219" i="1"/>
  <c r="C4218" i="1"/>
  <c r="B4218" i="1"/>
  <c r="C4217" i="1"/>
  <c r="B4217" i="1"/>
  <c r="C4216" i="1"/>
  <c r="B4216" i="1"/>
  <c r="C4215" i="1"/>
  <c r="B4215" i="1"/>
  <c r="C4214" i="1"/>
  <c r="B4214" i="1"/>
  <c r="C4213" i="1"/>
  <c r="B4213" i="1"/>
  <c r="C4212" i="1"/>
  <c r="B4212" i="1"/>
  <c r="C4211" i="1"/>
  <c r="B4211" i="1"/>
  <c r="C4210" i="1"/>
  <c r="B4210" i="1"/>
  <c r="C4208" i="1"/>
  <c r="B4208" i="1"/>
  <c r="C4204" i="1"/>
  <c r="B4204" i="1"/>
  <c r="C4203" i="1"/>
  <c r="B4203" i="1"/>
  <c r="C4202" i="1"/>
  <c r="B4202" i="1"/>
  <c r="C4200" i="1"/>
  <c r="B4200" i="1"/>
  <c r="C4199" i="1"/>
  <c r="B4199" i="1"/>
  <c r="C4198" i="1"/>
  <c r="B4198" i="1"/>
  <c r="C4197" i="1"/>
  <c r="B4197" i="1"/>
  <c r="C4196" i="1"/>
  <c r="B4196" i="1"/>
  <c r="C4195" i="1"/>
  <c r="B4195" i="1"/>
  <c r="C4194" i="1"/>
  <c r="B4194" i="1"/>
  <c r="C4193" i="1"/>
  <c r="B4193" i="1"/>
  <c r="C4192" i="1"/>
  <c r="B4192" i="1"/>
  <c r="C4191" i="1"/>
  <c r="B4191" i="1"/>
  <c r="C4190" i="1"/>
  <c r="B4190" i="1"/>
  <c r="C4189" i="1"/>
  <c r="B4189" i="1"/>
  <c r="C4188" i="1"/>
  <c r="B4188" i="1"/>
  <c r="C4187" i="1"/>
  <c r="B4187" i="1"/>
  <c r="C4186" i="1"/>
  <c r="C4185" i="1"/>
  <c r="C4184" i="1"/>
  <c r="B4184" i="1"/>
  <c r="C4183" i="1"/>
  <c r="B4183" i="1"/>
  <c r="C4181" i="1"/>
  <c r="B4181" i="1"/>
  <c r="C4180" i="1"/>
  <c r="B4180" i="1"/>
  <c r="C4176" i="1"/>
  <c r="B4176" i="1"/>
  <c r="C4175" i="1"/>
  <c r="B4175" i="1"/>
  <c r="C4174" i="1"/>
  <c r="B4174" i="1"/>
  <c r="C4173" i="1"/>
  <c r="B4173" i="1"/>
  <c r="C4171" i="1"/>
  <c r="B4171" i="1"/>
  <c r="C4167" i="1"/>
  <c r="B4167" i="1"/>
  <c r="C4166" i="1"/>
  <c r="B4166" i="1"/>
  <c r="C4163" i="1"/>
  <c r="B4163" i="1"/>
  <c r="B4162" i="1"/>
  <c r="B4159" i="1"/>
  <c r="C4157" i="1"/>
  <c r="B4157" i="1"/>
  <c r="C4156" i="1"/>
  <c r="B4156" i="1"/>
  <c r="C4154" i="1"/>
  <c r="B4154" i="1"/>
  <c r="C4153" i="1"/>
  <c r="B4153" i="1"/>
  <c r="C4152" i="1"/>
  <c r="B4152" i="1"/>
  <c r="C4150" i="1"/>
  <c r="B4150" i="1"/>
  <c r="C4149" i="1"/>
  <c r="B4149" i="1"/>
  <c r="C4148" i="1"/>
  <c r="B4148" i="1"/>
  <c r="C4147" i="1"/>
  <c r="B4147" i="1"/>
  <c r="C4146" i="1"/>
  <c r="B4146" i="1"/>
  <c r="C4145" i="1"/>
  <c r="B4145" i="1"/>
  <c r="C4144" i="1"/>
  <c r="B4144" i="1"/>
  <c r="C4142" i="1"/>
  <c r="B4142" i="1"/>
  <c r="C4141" i="1"/>
  <c r="B4141" i="1"/>
  <c r="C4140" i="1"/>
  <c r="B4140" i="1"/>
  <c r="C4138" i="1"/>
  <c r="B4138" i="1"/>
  <c r="C4135" i="1"/>
  <c r="B4135" i="1"/>
  <c r="C4134" i="1"/>
  <c r="B4134" i="1"/>
  <c r="C4133" i="1"/>
  <c r="B4133" i="1"/>
  <c r="C4132" i="1"/>
  <c r="B4132" i="1"/>
  <c r="C4131" i="1"/>
  <c r="B4131" i="1"/>
  <c r="C4130" i="1"/>
  <c r="B4130" i="1"/>
  <c r="C4129" i="1"/>
  <c r="B4129" i="1"/>
  <c r="C4128" i="1"/>
  <c r="B4128" i="1"/>
  <c r="C4127" i="1"/>
  <c r="B4127" i="1"/>
  <c r="C4126" i="1"/>
  <c r="B4126" i="1"/>
  <c r="C4125" i="1"/>
  <c r="B4125" i="1"/>
  <c r="C4124" i="1"/>
  <c r="B4124" i="1"/>
  <c r="C4123" i="1"/>
  <c r="B4123" i="1"/>
  <c r="C4122" i="1"/>
  <c r="B4122" i="1"/>
  <c r="C4121" i="1"/>
  <c r="B4121" i="1"/>
  <c r="C4120" i="1"/>
  <c r="B4120" i="1"/>
  <c r="C4117" i="1"/>
  <c r="B4117" i="1"/>
  <c r="C4114" i="1"/>
  <c r="B4114" i="1"/>
  <c r="C4113" i="1"/>
  <c r="B4113" i="1"/>
  <c r="C4112" i="1"/>
  <c r="C4110" i="1"/>
  <c r="B4110" i="1"/>
  <c r="C4109" i="1"/>
  <c r="B4109" i="1"/>
  <c r="C4108" i="1"/>
  <c r="B4108" i="1"/>
  <c r="C4106" i="1"/>
  <c r="B4106" i="1"/>
  <c r="C4105" i="1"/>
  <c r="B4105" i="1"/>
  <c r="C4103" i="1"/>
  <c r="B4103" i="1"/>
  <c r="C4100" i="1"/>
  <c r="B4100" i="1"/>
  <c r="C4099" i="1"/>
  <c r="B4099" i="1"/>
  <c r="C4097" i="1"/>
  <c r="B4097" i="1"/>
  <c r="C4096" i="1"/>
  <c r="B4096" i="1"/>
  <c r="C4095" i="1"/>
  <c r="B4095" i="1"/>
  <c r="C4094" i="1"/>
  <c r="B4094" i="1"/>
  <c r="C4093" i="1"/>
  <c r="B4093" i="1"/>
  <c r="C4091" i="1"/>
  <c r="B4091" i="1"/>
  <c r="C4090" i="1"/>
  <c r="B4090" i="1"/>
  <c r="C4089" i="1"/>
  <c r="B4089" i="1"/>
  <c r="C4084" i="1"/>
  <c r="B4084" i="1"/>
  <c r="C4083" i="1"/>
  <c r="B4083" i="1"/>
  <c r="C4082" i="1"/>
  <c r="B4082" i="1"/>
  <c r="C4081" i="1"/>
  <c r="B4081" i="1"/>
  <c r="C4079" i="1"/>
  <c r="B4079" i="1"/>
  <c r="C4078" i="1"/>
  <c r="B4078" i="1"/>
  <c r="C4077" i="1"/>
  <c r="B4077" i="1"/>
  <c r="C4076" i="1"/>
  <c r="B4076" i="1"/>
  <c r="C4075" i="1"/>
  <c r="B4075" i="1"/>
  <c r="C4074" i="1"/>
  <c r="B4074" i="1"/>
  <c r="C4073" i="1"/>
  <c r="B4073" i="1"/>
  <c r="C4072" i="1"/>
  <c r="B4072" i="1"/>
  <c r="C4071" i="1"/>
  <c r="B4071" i="1"/>
  <c r="C4070" i="1"/>
  <c r="B4070" i="1"/>
  <c r="C4069" i="1"/>
  <c r="B4069" i="1"/>
  <c r="C4068" i="1"/>
  <c r="B4068" i="1"/>
  <c r="C4067" i="1"/>
  <c r="B4067" i="1"/>
  <c r="C4066" i="1"/>
  <c r="B4066" i="1"/>
  <c r="C4065" i="1"/>
  <c r="B4065" i="1"/>
  <c r="C4064" i="1"/>
  <c r="B4064" i="1"/>
  <c r="C4063" i="1"/>
  <c r="B4063" i="1"/>
  <c r="C4062" i="1"/>
  <c r="C4061" i="1"/>
  <c r="B4061" i="1"/>
  <c r="C4058" i="1"/>
  <c r="B4058" i="1"/>
  <c r="C4057" i="1"/>
  <c r="B4057" i="1"/>
  <c r="C4056" i="1"/>
  <c r="B4056" i="1"/>
  <c r="C4055" i="1"/>
  <c r="C4054" i="1"/>
  <c r="B4054" i="1"/>
  <c r="C4053" i="1"/>
  <c r="B4053" i="1"/>
  <c r="C4052" i="1"/>
  <c r="B4052" i="1"/>
  <c r="C4051" i="1"/>
  <c r="B4051" i="1"/>
  <c r="C4044" i="1"/>
  <c r="B4044" i="1"/>
  <c r="C4043" i="1"/>
  <c r="B4043" i="1"/>
  <c r="C4040" i="1"/>
  <c r="B4040" i="1"/>
  <c r="C4038" i="1"/>
  <c r="B4038" i="1"/>
  <c r="B4037" i="1"/>
  <c r="C4036" i="1"/>
  <c r="B4036" i="1"/>
  <c r="C4035" i="1"/>
  <c r="C4034" i="1"/>
  <c r="B4034" i="1"/>
  <c r="C4033" i="1"/>
  <c r="B4033" i="1"/>
  <c r="C4032" i="1"/>
  <c r="C4030" i="1"/>
  <c r="B4030" i="1"/>
  <c r="C4029" i="1"/>
  <c r="B4029" i="1"/>
  <c r="C4028" i="1"/>
  <c r="B4028" i="1"/>
  <c r="C4027" i="1"/>
  <c r="B4027" i="1"/>
  <c r="C4026" i="1"/>
  <c r="B4026" i="1"/>
  <c r="C4025" i="1"/>
  <c r="B4025" i="1"/>
  <c r="C4024" i="1"/>
  <c r="B4024" i="1"/>
  <c r="C4023" i="1"/>
  <c r="B4023" i="1"/>
  <c r="C4022" i="1"/>
  <c r="B4022" i="1"/>
  <c r="C4021" i="1"/>
  <c r="B4021" i="1"/>
  <c r="C4020" i="1"/>
  <c r="B4020" i="1"/>
  <c r="C4019" i="1"/>
  <c r="B4019" i="1"/>
  <c r="C4017" i="1"/>
  <c r="B4017" i="1"/>
  <c r="C4016" i="1"/>
  <c r="B4016" i="1"/>
  <c r="C4015" i="1"/>
  <c r="B4015" i="1"/>
  <c r="C4014" i="1"/>
  <c r="B4014" i="1"/>
  <c r="C4013" i="1"/>
  <c r="B4013" i="1"/>
  <c r="C4012" i="1"/>
  <c r="B4012" i="1"/>
  <c r="C4010" i="1"/>
  <c r="B4010" i="1"/>
  <c r="C4009" i="1"/>
  <c r="B4009" i="1"/>
  <c r="C4008" i="1"/>
  <c r="B4008" i="1"/>
  <c r="C4007" i="1"/>
  <c r="B4007" i="1"/>
  <c r="C4006" i="1"/>
  <c r="B4006" i="1"/>
  <c r="C4005" i="1"/>
  <c r="B4005" i="1"/>
  <c r="C4004" i="1"/>
  <c r="B4004" i="1"/>
  <c r="C4003" i="1"/>
  <c r="B4003" i="1"/>
  <c r="C4002" i="1"/>
  <c r="B4002" i="1"/>
  <c r="C4001" i="1"/>
  <c r="B4001" i="1"/>
  <c r="C4000" i="1"/>
  <c r="B4000" i="1"/>
  <c r="C3999" i="1"/>
  <c r="B3999" i="1"/>
  <c r="C3998" i="1"/>
  <c r="B3998" i="1"/>
  <c r="C3997" i="1"/>
  <c r="B3997" i="1"/>
  <c r="C3995" i="1"/>
  <c r="B3995" i="1"/>
  <c r="C3994" i="1"/>
  <c r="B3994" i="1"/>
  <c r="C3993" i="1"/>
  <c r="C3992" i="1"/>
  <c r="B3992" i="1"/>
  <c r="C3991" i="1"/>
  <c r="B3991" i="1"/>
  <c r="C3990" i="1"/>
  <c r="B3990" i="1"/>
  <c r="C3989" i="1"/>
  <c r="B3989" i="1"/>
  <c r="C3988" i="1"/>
  <c r="B3988" i="1"/>
  <c r="C3987" i="1"/>
  <c r="B3987" i="1"/>
  <c r="C3986" i="1"/>
  <c r="B3986" i="1"/>
  <c r="C3985" i="1"/>
  <c r="B3985" i="1"/>
  <c r="C3984" i="1"/>
  <c r="B3984" i="1"/>
  <c r="C3983" i="1"/>
  <c r="B3983" i="1"/>
  <c r="C3982" i="1"/>
  <c r="B3982" i="1"/>
  <c r="C3981" i="1"/>
  <c r="B3981" i="1"/>
  <c r="C3980" i="1"/>
  <c r="C3979" i="1"/>
  <c r="B3979" i="1"/>
  <c r="C3978" i="1"/>
  <c r="B3978" i="1"/>
  <c r="C3977" i="1"/>
  <c r="B3977" i="1"/>
  <c r="C3976" i="1"/>
  <c r="B3976" i="1"/>
  <c r="C3975" i="1"/>
  <c r="B3975" i="1"/>
  <c r="C3974" i="1"/>
  <c r="B3974" i="1"/>
  <c r="C3973" i="1"/>
  <c r="B3973" i="1"/>
  <c r="C3972" i="1"/>
  <c r="B3972" i="1"/>
  <c r="C3971" i="1"/>
  <c r="B3971" i="1"/>
  <c r="C3970" i="1"/>
  <c r="B3970" i="1"/>
  <c r="C3969" i="1"/>
  <c r="B3969" i="1"/>
  <c r="C3968" i="1"/>
  <c r="B3968" i="1"/>
  <c r="C3967" i="1"/>
  <c r="B3967" i="1"/>
  <c r="C3966" i="1"/>
  <c r="B3966" i="1"/>
  <c r="C3965" i="1"/>
  <c r="B3965" i="1"/>
  <c r="C3964" i="1"/>
  <c r="B3964" i="1"/>
  <c r="C3963" i="1"/>
  <c r="B3963" i="1"/>
  <c r="C3962" i="1"/>
  <c r="B3962" i="1"/>
  <c r="C3961" i="1"/>
  <c r="B3961" i="1"/>
  <c r="C3960" i="1"/>
  <c r="B3960" i="1"/>
  <c r="C3959" i="1"/>
  <c r="B3959" i="1"/>
  <c r="C3958" i="1"/>
  <c r="B3958" i="1"/>
  <c r="C3957" i="1"/>
  <c r="B3957" i="1"/>
  <c r="C3956" i="1"/>
  <c r="B3956" i="1"/>
  <c r="C3955" i="1"/>
  <c r="B3955" i="1"/>
  <c r="C3954" i="1"/>
  <c r="B3954" i="1"/>
  <c r="C3953" i="1"/>
  <c r="B3953" i="1"/>
  <c r="C3951" i="1"/>
  <c r="B3951" i="1"/>
  <c r="C3950" i="1"/>
  <c r="B3950" i="1"/>
  <c r="C3949" i="1"/>
  <c r="B3949" i="1"/>
  <c r="C3948" i="1"/>
  <c r="B3948" i="1"/>
  <c r="C3947" i="1"/>
  <c r="B3947" i="1"/>
  <c r="C3946" i="1"/>
  <c r="B3946" i="1"/>
  <c r="C3945" i="1"/>
  <c r="B3945" i="1"/>
  <c r="C3944" i="1"/>
  <c r="B3944" i="1"/>
  <c r="C3943" i="1"/>
  <c r="B3943" i="1"/>
  <c r="C3942" i="1"/>
  <c r="B3942" i="1"/>
  <c r="C3941" i="1"/>
  <c r="B3941" i="1"/>
  <c r="C3940" i="1"/>
  <c r="B3940" i="1"/>
  <c r="C3939" i="1"/>
  <c r="B3939" i="1"/>
  <c r="C3938" i="1"/>
  <c r="B3938" i="1"/>
  <c r="C3937" i="1"/>
  <c r="B3937" i="1"/>
  <c r="C3936" i="1"/>
  <c r="B3936" i="1"/>
  <c r="C3935" i="1"/>
  <c r="B3935" i="1"/>
  <c r="C3934" i="1"/>
  <c r="B3934" i="1"/>
  <c r="C3932" i="1"/>
  <c r="B3932" i="1"/>
  <c r="C3931" i="1"/>
  <c r="B3931" i="1"/>
  <c r="C3930" i="1"/>
  <c r="B3930" i="1"/>
  <c r="C3929" i="1"/>
  <c r="B3929" i="1"/>
  <c r="C3928" i="1"/>
  <c r="B3928" i="1"/>
  <c r="C3927" i="1"/>
  <c r="B3927" i="1"/>
  <c r="C3926" i="1"/>
  <c r="B3926" i="1"/>
  <c r="C3925" i="1"/>
  <c r="B3925" i="1"/>
  <c r="C3924" i="1"/>
  <c r="B3924" i="1"/>
  <c r="C3923" i="1"/>
  <c r="B3923" i="1"/>
  <c r="C3922" i="1"/>
  <c r="B3922" i="1"/>
  <c r="C3921" i="1"/>
  <c r="B3921" i="1"/>
  <c r="C3919" i="1"/>
  <c r="B3919" i="1"/>
  <c r="C3918" i="1"/>
  <c r="B3918" i="1"/>
  <c r="C3917" i="1"/>
  <c r="B3917" i="1"/>
  <c r="C3916" i="1"/>
  <c r="B3916" i="1"/>
  <c r="C3915" i="1"/>
  <c r="B3915" i="1"/>
  <c r="C3914" i="1"/>
  <c r="B3914" i="1"/>
  <c r="C3913" i="1"/>
  <c r="B3913" i="1"/>
  <c r="C3912" i="1"/>
  <c r="B3912" i="1"/>
  <c r="C3911" i="1"/>
  <c r="B3911" i="1"/>
  <c r="C3910" i="1"/>
  <c r="B3910" i="1"/>
  <c r="C3909" i="1"/>
  <c r="B3909" i="1"/>
  <c r="C3908" i="1"/>
  <c r="B3908" i="1"/>
  <c r="C3907" i="1"/>
  <c r="B3907" i="1"/>
  <c r="C3906" i="1"/>
  <c r="B3906" i="1"/>
  <c r="C3905" i="1"/>
  <c r="B3905" i="1"/>
  <c r="C3904" i="1"/>
  <c r="B3904" i="1"/>
  <c r="C3903" i="1"/>
  <c r="B3903" i="1"/>
  <c r="C3902" i="1"/>
  <c r="B3902" i="1"/>
  <c r="C3901" i="1"/>
  <c r="B3901" i="1"/>
  <c r="C3900" i="1"/>
  <c r="B3900" i="1"/>
  <c r="C3899" i="1"/>
  <c r="B3899" i="1"/>
  <c r="C3898" i="1"/>
  <c r="B3898" i="1"/>
  <c r="C3897" i="1"/>
  <c r="B3897" i="1"/>
  <c r="C3896" i="1"/>
  <c r="B3896" i="1"/>
  <c r="C3895" i="1"/>
  <c r="B3895" i="1"/>
  <c r="C3894" i="1"/>
  <c r="B3894" i="1"/>
  <c r="C3893" i="1"/>
  <c r="B3893" i="1"/>
  <c r="C3892" i="1"/>
  <c r="B3892" i="1"/>
  <c r="C3891" i="1"/>
  <c r="B3891" i="1"/>
  <c r="C3890" i="1"/>
  <c r="B3890" i="1"/>
  <c r="C3889" i="1"/>
  <c r="B3889" i="1"/>
  <c r="C3888" i="1"/>
  <c r="B3888" i="1"/>
  <c r="C3887" i="1"/>
  <c r="B3887" i="1"/>
  <c r="C3886" i="1"/>
  <c r="B3886" i="1"/>
  <c r="C3885" i="1"/>
  <c r="B3885" i="1"/>
  <c r="C3884" i="1"/>
  <c r="B3884" i="1"/>
  <c r="C3883" i="1"/>
  <c r="B3883" i="1"/>
  <c r="C3882" i="1"/>
  <c r="B3882" i="1"/>
  <c r="C3881" i="1"/>
  <c r="B3881" i="1"/>
  <c r="C3880" i="1"/>
  <c r="B3880" i="1"/>
  <c r="C3879" i="1"/>
  <c r="B3879" i="1"/>
  <c r="C3878" i="1"/>
  <c r="B3878" i="1"/>
  <c r="C3877" i="1"/>
  <c r="B3877" i="1"/>
  <c r="C3875" i="1"/>
  <c r="B3875" i="1"/>
  <c r="C3874" i="1"/>
  <c r="B3874" i="1"/>
  <c r="C3873" i="1"/>
  <c r="B3873" i="1"/>
  <c r="C3872" i="1"/>
  <c r="B3872" i="1"/>
  <c r="C3871" i="1"/>
  <c r="B3871" i="1"/>
  <c r="C3870" i="1"/>
  <c r="B3870" i="1"/>
  <c r="C3869" i="1"/>
  <c r="B3869" i="1"/>
  <c r="C3868" i="1"/>
  <c r="B3868" i="1"/>
  <c r="C3867" i="1"/>
  <c r="B3867" i="1"/>
  <c r="C3866" i="1"/>
  <c r="B3866" i="1"/>
  <c r="C3865" i="1"/>
  <c r="B3865" i="1"/>
  <c r="C3864" i="1"/>
  <c r="B3864" i="1"/>
  <c r="C3863" i="1"/>
  <c r="B3863" i="1"/>
  <c r="C3862" i="1"/>
  <c r="B3862" i="1"/>
  <c r="C3861" i="1"/>
  <c r="B3861" i="1"/>
  <c r="C3860" i="1"/>
  <c r="B3860" i="1"/>
  <c r="C3859" i="1"/>
  <c r="B3859" i="1"/>
  <c r="C3858" i="1"/>
  <c r="B3858" i="1"/>
  <c r="C3857" i="1"/>
  <c r="B3857" i="1"/>
  <c r="C3856" i="1"/>
  <c r="B3856" i="1"/>
  <c r="C3855" i="1"/>
  <c r="B3855" i="1"/>
  <c r="C3854" i="1"/>
  <c r="B3854" i="1"/>
  <c r="C3852" i="1"/>
  <c r="B3852" i="1"/>
  <c r="C3851" i="1"/>
  <c r="B3851" i="1"/>
  <c r="C3850" i="1"/>
  <c r="B3850" i="1"/>
  <c r="C3849" i="1"/>
  <c r="B3849" i="1"/>
  <c r="C3848" i="1"/>
  <c r="B3848" i="1"/>
  <c r="C3846" i="1"/>
  <c r="B3846" i="1"/>
  <c r="C3845" i="1"/>
  <c r="B3845" i="1"/>
  <c r="C3844" i="1"/>
  <c r="B3844" i="1"/>
  <c r="C3843" i="1"/>
  <c r="B3843" i="1"/>
  <c r="C3842" i="1"/>
  <c r="B3842" i="1"/>
  <c r="C3841" i="1"/>
  <c r="B3841" i="1"/>
  <c r="C3840" i="1"/>
  <c r="B3840" i="1"/>
  <c r="C3839" i="1"/>
  <c r="B3839" i="1"/>
  <c r="C3838" i="1"/>
  <c r="B3838" i="1"/>
  <c r="C3837" i="1"/>
  <c r="B3837" i="1"/>
  <c r="C3836" i="1"/>
  <c r="B3836" i="1"/>
  <c r="C3835" i="1"/>
  <c r="B3835" i="1"/>
  <c r="C3834" i="1"/>
  <c r="B3834" i="1"/>
  <c r="B3832" i="1"/>
  <c r="C3831" i="1"/>
  <c r="B3831" i="1"/>
  <c r="C3830" i="1"/>
  <c r="B3830" i="1"/>
  <c r="C3829" i="1"/>
  <c r="B3829" i="1"/>
  <c r="C3828" i="1"/>
  <c r="B3828" i="1"/>
  <c r="C3827" i="1"/>
  <c r="B3827" i="1"/>
  <c r="C3826" i="1"/>
  <c r="B3826" i="1"/>
  <c r="C3825" i="1"/>
  <c r="B3825" i="1"/>
  <c r="C3824" i="1"/>
  <c r="B3824" i="1"/>
  <c r="C3823" i="1"/>
  <c r="B3823" i="1"/>
  <c r="C3822" i="1"/>
  <c r="B3822" i="1"/>
  <c r="C3820" i="1"/>
  <c r="B3820" i="1"/>
  <c r="C3817" i="1"/>
  <c r="B3817" i="1"/>
  <c r="C3816" i="1"/>
  <c r="B3816" i="1"/>
  <c r="C3815" i="1"/>
  <c r="B3815" i="1"/>
  <c r="C3814" i="1"/>
  <c r="B3814" i="1"/>
  <c r="C3813" i="1"/>
  <c r="B3813" i="1"/>
  <c r="C3812" i="1"/>
  <c r="B3812" i="1"/>
  <c r="C3811" i="1"/>
  <c r="B3811" i="1"/>
  <c r="C3809" i="1"/>
  <c r="B3809" i="1"/>
  <c r="C3808" i="1"/>
  <c r="B3808" i="1"/>
  <c r="C3807" i="1"/>
  <c r="B3807" i="1"/>
  <c r="C3806" i="1"/>
  <c r="B3806" i="1"/>
  <c r="C3805" i="1"/>
  <c r="B3805" i="1"/>
  <c r="C3804" i="1"/>
  <c r="B3804" i="1"/>
  <c r="C3803" i="1"/>
  <c r="B3803" i="1"/>
  <c r="C3802" i="1"/>
  <c r="B3802" i="1"/>
  <c r="C3801" i="1"/>
  <c r="B3801" i="1"/>
  <c r="C3800" i="1"/>
  <c r="B3800" i="1"/>
  <c r="C3799" i="1"/>
  <c r="B3799" i="1"/>
  <c r="C3798" i="1"/>
  <c r="B3798" i="1"/>
  <c r="C3797" i="1"/>
  <c r="B3797" i="1"/>
  <c r="C3796" i="1"/>
  <c r="B3796" i="1"/>
  <c r="C3795" i="1"/>
  <c r="B3795" i="1"/>
  <c r="C3794" i="1"/>
  <c r="B3794" i="1"/>
  <c r="C3793" i="1"/>
  <c r="B3793" i="1"/>
  <c r="C3792" i="1"/>
  <c r="B3792" i="1"/>
  <c r="C3791" i="1"/>
  <c r="B3791" i="1"/>
  <c r="C3790" i="1"/>
  <c r="B3790" i="1"/>
  <c r="C3789" i="1"/>
  <c r="B3789" i="1"/>
  <c r="C3788" i="1"/>
  <c r="B3788" i="1"/>
  <c r="C3787" i="1"/>
  <c r="B3787" i="1"/>
  <c r="C3786" i="1"/>
  <c r="B3786" i="1"/>
  <c r="C3785" i="1"/>
  <c r="B3785" i="1"/>
  <c r="C3784" i="1"/>
  <c r="B3784" i="1"/>
  <c r="C3783" i="1"/>
  <c r="B3783" i="1"/>
  <c r="C3782" i="1"/>
  <c r="B3782" i="1"/>
  <c r="C3781" i="1"/>
  <c r="B3781" i="1"/>
  <c r="C3780" i="1"/>
  <c r="B3780" i="1"/>
  <c r="C3779" i="1"/>
  <c r="B3779" i="1"/>
  <c r="C3778" i="1"/>
  <c r="B3778" i="1"/>
  <c r="C3777" i="1"/>
  <c r="B3777" i="1"/>
  <c r="C3776" i="1"/>
  <c r="B3776" i="1"/>
  <c r="C3775" i="1"/>
  <c r="B3775" i="1"/>
  <c r="C3774" i="1"/>
  <c r="B3774" i="1"/>
  <c r="C3773" i="1"/>
  <c r="B3773" i="1"/>
  <c r="C3772" i="1"/>
  <c r="B3772" i="1"/>
  <c r="C3771" i="1"/>
  <c r="B3771" i="1"/>
  <c r="C3770" i="1"/>
  <c r="B3770" i="1"/>
  <c r="C3769" i="1"/>
  <c r="B3769" i="1"/>
  <c r="C3768" i="1"/>
  <c r="B3768" i="1"/>
  <c r="C3767" i="1"/>
  <c r="B3767" i="1"/>
  <c r="C3766" i="1"/>
  <c r="B3766" i="1"/>
  <c r="C3765" i="1"/>
  <c r="B3765" i="1"/>
  <c r="C3764" i="1"/>
  <c r="B3764" i="1"/>
  <c r="C3763" i="1"/>
  <c r="B3763" i="1"/>
  <c r="C3762" i="1"/>
  <c r="B3762" i="1"/>
  <c r="C3761" i="1"/>
  <c r="B3761" i="1"/>
  <c r="C3760" i="1"/>
  <c r="B3760" i="1"/>
  <c r="C3759" i="1"/>
  <c r="B3759" i="1"/>
  <c r="C3758" i="1"/>
  <c r="B3758" i="1"/>
  <c r="C3756" i="1"/>
  <c r="B3756" i="1"/>
  <c r="C3755" i="1"/>
  <c r="B3755" i="1"/>
  <c r="C3754" i="1"/>
  <c r="B3754" i="1"/>
  <c r="C3753" i="1"/>
  <c r="B3753" i="1"/>
  <c r="C3752" i="1"/>
  <c r="B3752" i="1"/>
  <c r="C3751" i="1"/>
  <c r="B3751" i="1"/>
  <c r="C3750" i="1"/>
  <c r="B3750" i="1"/>
  <c r="C3749" i="1"/>
  <c r="B3749" i="1"/>
  <c r="C3748" i="1"/>
  <c r="B3748" i="1"/>
  <c r="C3747" i="1"/>
  <c r="B3747" i="1"/>
  <c r="C3745" i="1"/>
  <c r="B3745" i="1"/>
  <c r="C3744" i="1"/>
  <c r="B3744" i="1"/>
  <c r="C3743" i="1"/>
  <c r="B3743" i="1"/>
  <c r="C3742" i="1"/>
  <c r="B3742" i="1"/>
  <c r="C3741" i="1"/>
  <c r="B3741" i="1"/>
  <c r="C3740" i="1"/>
  <c r="B3740" i="1"/>
  <c r="C3739" i="1"/>
  <c r="B3739" i="1"/>
  <c r="C3738" i="1"/>
  <c r="B3738" i="1"/>
  <c r="C3737" i="1"/>
  <c r="B3737" i="1"/>
  <c r="C3736" i="1"/>
  <c r="B3736" i="1"/>
  <c r="C3735" i="1"/>
  <c r="B3735" i="1"/>
  <c r="C3734" i="1"/>
  <c r="B3734" i="1"/>
  <c r="C3733" i="1"/>
  <c r="B3733" i="1"/>
  <c r="C3732" i="1"/>
  <c r="B3732" i="1"/>
  <c r="C3731" i="1"/>
  <c r="B3731" i="1"/>
  <c r="C3730" i="1"/>
  <c r="B3730" i="1"/>
  <c r="C3729" i="1"/>
  <c r="B3729" i="1"/>
  <c r="C3728" i="1"/>
  <c r="B3728" i="1"/>
  <c r="C3727" i="1"/>
  <c r="B3727" i="1"/>
  <c r="C3726" i="1"/>
  <c r="B3726" i="1"/>
  <c r="C3725" i="1"/>
  <c r="B3725" i="1"/>
  <c r="C3724" i="1"/>
  <c r="B3724" i="1"/>
  <c r="C3723" i="1"/>
  <c r="B3723" i="1"/>
  <c r="C3722" i="1"/>
  <c r="B3722" i="1"/>
  <c r="C3721" i="1"/>
  <c r="B3721" i="1"/>
  <c r="C3720" i="1"/>
  <c r="B3720" i="1"/>
  <c r="C3719" i="1"/>
  <c r="B3719" i="1"/>
  <c r="C3718" i="1"/>
  <c r="B3718" i="1"/>
  <c r="C3717" i="1"/>
  <c r="B3717" i="1"/>
  <c r="C3716" i="1"/>
  <c r="B3716" i="1"/>
  <c r="C3715" i="1"/>
  <c r="B3715" i="1"/>
  <c r="C3714" i="1"/>
  <c r="B3714" i="1"/>
  <c r="C3713" i="1"/>
  <c r="B3713" i="1"/>
  <c r="C3712" i="1"/>
  <c r="C3711" i="1"/>
  <c r="B3711" i="1"/>
  <c r="C3710" i="1"/>
  <c r="B3710" i="1"/>
  <c r="C3709" i="1"/>
  <c r="B3709" i="1"/>
  <c r="C3708" i="1"/>
  <c r="B3708" i="1"/>
  <c r="C3707" i="1"/>
  <c r="B3707" i="1"/>
  <c r="C3706" i="1"/>
  <c r="B3706" i="1"/>
  <c r="C3705" i="1"/>
  <c r="B3705" i="1"/>
  <c r="C3704" i="1"/>
  <c r="B3704" i="1"/>
  <c r="C3703" i="1"/>
  <c r="B3703" i="1"/>
  <c r="C3702" i="1"/>
  <c r="B3702" i="1"/>
  <c r="C3701" i="1"/>
  <c r="B3701" i="1"/>
  <c r="C3700" i="1"/>
  <c r="B3700" i="1"/>
  <c r="C3699" i="1"/>
  <c r="B3699" i="1"/>
  <c r="C3698" i="1"/>
  <c r="B3698" i="1"/>
  <c r="C3697" i="1"/>
  <c r="B3697" i="1"/>
  <c r="C3696" i="1"/>
  <c r="B3696" i="1"/>
  <c r="C3695" i="1"/>
  <c r="B3695" i="1"/>
  <c r="C3694" i="1"/>
  <c r="B3694" i="1"/>
  <c r="C3693" i="1"/>
  <c r="B3693" i="1"/>
  <c r="C3692" i="1"/>
  <c r="B3692" i="1"/>
  <c r="C3691" i="1"/>
  <c r="B3691" i="1"/>
  <c r="C3690" i="1"/>
  <c r="B3690" i="1"/>
  <c r="C3689" i="1"/>
  <c r="B3689" i="1"/>
  <c r="C3688" i="1"/>
  <c r="B3688" i="1"/>
  <c r="C3686" i="1"/>
  <c r="B3686" i="1"/>
  <c r="C3683" i="1"/>
  <c r="B3683" i="1"/>
  <c r="C3682" i="1"/>
  <c r="B3682" i="1"/>
  <c r="C3680" i="1"/>
  <c r="B3680" i="1"/>
  <c r="C3679" i="1"/>
  <c r="B3679" i="1"/>
  <c r="C3678" i="1"/>
  <c r="B3678" i="1"/>
  <c r="C3677" i="1"/>
  <c r="B3677" i="1"/>
  <c r="C3676" i="1"/>
  <c r="B3676" i="1"/>
  <c r="C3674" i="1"/>
  <c r="B3674" i="1"/>
  <c r="C3673" i="1"/>
  <c r="B3673" i="1"/>
  <c r="C3672" i="1"/>
  <c r="B3672" i="1"/>
  <c r="C3671" i="1"/>
  <c r="B3671" i="1"/>
  <c r="C3670" i="1"/>
  <c r="B3670" i="1"/>
  <c r="C3669" i="1"/>
  <c r="B3669" i="1"/>
  <c r="C3668" i="1"/>
  <c r="B3668" i="1"/>
  <c r="C3667" i="1"/>
  <c r="B3667" i="1"/>
  <c r="C3666" i="1"/>
  <c r="B3666" i="1"/>
  <c r="C3665" i="1"/>
  <c r="B3665" i="1"/>
  <c r="C3664" i="1"/>
  <c r="B3664" i="1"/>
  <c r="C3663" i="1"/>
  <c r="B3663" i="1"/>
  <c r="C3661" i="1"/>
  <c r="B3661" i="1"/>
  <c r="C3660" i="1"/>
  <c r="B3660" i="1"/>
  <c r="C3659" i="1"/>
  <c r="B3659" i="1"/>
  <c r="C3658" i="1"/>
  <c r="B3658" i="1"/>
  <c r="C3657" i="1"/>
  <c r="B3657" i="1"/>
  <c r="C3655" i="1"/>
  <c r="B3655" i="1"/>
  <c r="C3654" i="1"/>
  <c r="B3654" i="1"/>
  <c r="C3653" i="1"/>
  <c r="B3653" i="1"/>
  <c r="C3652" i="1"/>
  <c r="B3652" i="1"/>
  <c r="C3651" i="1"/>
  <c r="B3651" i="1"/>
  <c r="C3650" i="1"/>
  <c r="B3650" i="1"/>
  <c r="C3649" i="1"/>
  <c r="B3649" i="1"/>
  <c r="C3648" i="1"/>
  <c r="B3648" i="1"/>
  <c r="C3647" i="1"/>
  <c r="B3647" i="1"/>
  <c r="C3646" i="1"/>
  <c r="B3646" i="1"/>
  <c r="C3645" i="1"/>
  <c r="B3645" i="1"/>
  <c r="C3643" i="1"/>
  <c r="B3643" i="1"/>
  <c r="C3642" i="1"/>
  <c r="B3642" i="1"/>
  <c r="C3641" i="1"/>
  <c r="B3641" i="1"/>
  <c r="C3640" i="1"/>
  <c r="C3638" i="1"/>
  <c r="B3638" i="1"/>
  <c r="C3636" i="1"/>
  <c r="B3636" i="1"/>
  <c r="C3635" i="1"/>
  <c r="B3635" i="1"/>
  <c r="C3632" i="1"/>
  <c r="B3632" i="1"/>
  <c r="C3631" i="1"/>
  <c r="B3631" i="1"/>
  <c r="C3630" i="1"/>
  <c r="B3630" i="1"/>
  <c r="C3629" i="1"/>
  <c r="B3629" i="1"/>
  <c r="C3628" i="1"/>
  <c r="B3628" i="1"/>
  <c r="C3627" i="1"/>
  <c r="B3627" i="1"/>
  <c r="C3626" i="1"/>
  <c r="B3626" i="1"/>
  <c r="C3625" i="1"/>
  <c r="B3625" i="1"/>
  <c r="C3624" i="1"/>
  <c r="B3624" i="1"/>
  <c r="C3623" i="1"/>
  <c r="B3623" i="1"/>
  <c r="C3622" i="1"/>
  <c r="B3622" i="1"/>
  <c r="C3621" i="1"/>
  <c r="B3621" i="1"/>
  <c r="C3618" i="1"/>
  <c r="B3618" i="1"/>
  <c r="C3617" i="1"/>
  <c r="B3617" i="1"/>
  <c r="C3616" i="1"/>
  <c r="B3616" i="1"/>
  <c r="C3614" i="1"/>
  <c r="B3614" i="1"/>
  <c r="C3613" i="1"/>
  <c r="B3613" i="1"/>
  <c r="C3612" i="1"/>
  <c r="B3612" i="1"/>
  <c r="C3611" i="1"/>
  <c r="B3611" i="1"/>
  <c r="C3610" i="1"/>
  <c r="C3608" i="1"/>
  <c r="C3607" i="1"/>
  <c r="B3607" i="1"/>
  <c r="C3604" i="1"/>
  <c r="B3604" i="1"/>
  <c r="C3602" i="1"/>
  <c r="B3602" i="1"/>
  <c r="C3601" i="1"/>
  <c r="B3601" i="1"/>
  <c r="C3600" i="1"/>
  <c r="B3600" i="1"/>
  <c r="C3598" i="1"/>
  <c r="B3598" i="1"/>
  <c r="C3597" i="1"/>
  <c r="B3597" i="1"/>
  <c r="C3595" i="1"/>
  <c r="B3595" i="1"/>
  <c r="C3594" i="1"/>
  <c r="B3594" i="1"/>
  <c r="C3593" i="1"/>
  <c r="B3593" i="1"/>
  <c r="C3592" i="1"/>
  <c r="B3592" i="1"/>
  <c r="C3591" i="1"/>
  <c r="B3591" i="1"/>
  <c r="C3588" i="1"/>
  <c r="B3588" i="1"/>
  <c r="C3586" i="1"/>
  <c r="B3586" i="1"/>
  <c r="C3585" i="1"/>
  <c r="B3585" i="1"/>
  <c r="C3584" i="1"/>
  <c r="B3584" i="1"/>
  <c r="C3583" i="1"/>
  <c r="B3583" i="1"/>
  <c r="C3582" i="1"/>
  <c r="B3582" i="1"/>
  <c r="C3581" i="1"/>
  <c r="B3581" i="1"/>
  <c r="C3580" i="1"/>
  <c r="B3580" i="1"/>
  <c r="C3579" i="1"/>
  <c r="B3579" i="1"/>
  <c r="C3578" i="1"/>
  <c r="B3578" i="1"/>
  <c r="C3576" i="1"/>
  <c r="B3576" i="1"/>
  <c r="C3575" i="1"/>
  <c r="B3575" i="1"/>
  <c r="C3574" i="1"/>
  <c r="B3574" i="1"/>
  <c r="C3573" i="1"/>
  <c r="B3573" i="1"/>
  <c r="C3571" i="1"/>
  <c r="B3571" i="1"/>
  <c r="C3570" i="1"/>
  <c r="B3570" i="1"/>
  <c r="C3568" i="1"/>
  <c r="B3568" i="1"/>
  <c r="C3567" i="1"/>
  <c r="B3567" i="1"/>
  <c r="C3566" i="1"/>
  <c r="B3566" i="1"/>
  <c r="C3564" i="1"/>
  <c r="B3564" i="1"/>
  <c r="C3563" i="1"/>
  <c r="B3563" i="1"/>
  <c r="C3562" i="1"/>
  <c r="B3562" i="1"/>
  <c r="C3561" i="1"/>
  <c r="B3561" i="1"/>
  <c r="C3560" i="1"/>
  <c r="B3560" i="1"/>
  <c r="C3559" i="1"/>
  <c r="B3559" i="1"/>
  <c r="C3558" i="1"/>
  <c r="B3558" i="1"/>
  <c r="C3557" i="1"/>
  <c r="B3557" i="1"/>
  <c r="C3556" i="1"/>
  <c r="B3556" i="1"/>
  <c r="C3555" i="1"/>
  <c r="B3555" i="1"/>
  <c r="C3554" i="1"/>
  <c r="B3554" i="1"/>
  <c r="C3553" i="1"/>
  <c r="B3553" i="1"/>
  <c r="C3552" i="1"/>
  <c r="B3552" i="1"/>
  <c r="C3551" i="1"/>
  <c r="B3551" i="1"/>
  <c r="C3550" i="1"/>
  <c r="B3550" i="1"/>
  <c r="C3549" i="1"/>
  <c r="B3549" i="1"/>
  <c r="C3548" i="1"/>
  <c r="B3548" i="1"/>
  <c r="C3547" i="1"/>
  <c r="B3547" i="1"/>
  <c r="C3546" i="1"/>
  <c r="B3546" i="1"/>
  <c r="C3545" i="1"/>
  <c r="B3545" i="1"/>
  <c r="C3544" i="1"/>
  <c r="B3544" i="1"/>
  <c r="C3543" i="1"/>
  <c r="B3543" i="1"/>
  <c r="C3542" i="1"/>
  <c r="B3542" i="1"/>
  <c r="C3541" i="1"/>
  <c r="B3541" i="1"/>
  <c r="C3540" i="1"/>
  <c r="B3540" i="1"/>
  <c r="C3539" i="1"/>
  <c r="B3539" i="1"/>
  <c r="C3538" i="1"/>
  <c r="B3538" i="1"/>
  <c r="C3537" i="1"/>
  <c r="B3537" i="1"/>
  <c r="C3536" i="1"/>
  <c r="B3536" i="1"/>
  <c r="C3535" i="1"/>
  <c r="B3535" i="1"/>
  <c r="C3534" i="1"/>
  <c r="B3534" i="1"/>
  <c r="C3533" i="1"/>
  <c r="B3533" i="1"/>
  <c r="C3532" i="1"/>
  <c r="B3532" i="1"/>
  <c r="C3531" i="1"/>
  <c r="B3531" i="1"/>
  <c r="C3530" i="1"/>
  <c r="B3530" i="1"/>
  <c r="C3529" i="1"/>
  <c r="B3529" i="1"/>
  <c r="C3528" i="1"/>
  <c r="B3528" i="1"/>
  <c r="C3527" i="1"/>
  <c r="B3527" i="1"/>
  <c r="C3526" i="1"/>
  <c r="B3526" i="1"/>
  <c r="C3525" i="1"/>
  <c r="B3525" i="1"/>
  <c r="C3524" i="1"/>
  <c r="B3524" i="1"/>
  <c r="C3523" i="1"/>
  <c r="B3523" i="1"/>
  <c r="C3522" i="1"/>
  <c r="B3522" i="1"/>
  <c r="C3521" i="1"/>
  <c r="B3521" i="1"/>
  <c r="C3520" i="1"/>
  <c r="B3520" i="1"/>
  <c r="C3519" i="1"/>
  <c r="B3519" i="1"/>
  <c r="C3518" i="1"/>
  <c r="B3518" i="1"/>
  <c r="C3517" i="1"/>
  <c r="B3517" i="1"/>
  <c r="C3516" i="1"/>
  <c r="B3516" i="1"/>
  <c r="C3515" i="1"/>
  <c r="B3515" i="1"/>
  <c r="C3514" i="1"/>
  <c r="B3514" i="1"/>
  <c r="C3513" i="1"/>
  <c r="B3513" i="1"/>
  <c r="C3512" i="1"/>
  <c r="B3512" i="1"/>
  <c r="C3511" i="1"/>
  <c r="B3511" i="1"/>
  <c r="C3510" i="1"/>
  <c r="B3510" i="1"/>
  <c r="C3509" i="1"/>
  <c r="B3509" i="1"/>
  <c r="C3508" i="1"/>
  <c r="B3508" i="1"/>
  <c r="C3507" i="1"/>
  <c r="B3507" i="1"/>
  <c r="C3506" i="1"/>
  <c r="B3506" i="1"/>
  <c r="C3505" i="1"/>
  <c r="B3505" i="1"/>
  <c r="C3504" i="1"/>
  <c r="B3504" i="1"/>
  <c r="C3503" i="1"/>
  <c r="B3503" i="1"/>
  <c r="C3502" i="1"/>
  <c r="B3502" i="1"/>
  <c r="C3500" i="1"/>
  <c r="B3500" i="1"/>
  <c r="C3499" i="1"/>
  <c r="B3499" i="1"/>
  <c r="C3498" i="1"/>
  <c r="B3498" i="1"/>
  <c r="C3497" i="1"/>
  <c r="B3497" i="1"/>
  <c r="C3496" i="1"/>
  <c r="B3496" i="1"/>
  <c r="C3495" i="1"/>
  <c r="B3495" i="1"/>
  <c r="C3494" i="1"/>
  <c r="B3494" i="1"/>
  <c r="C3493" i="1"/>
  <c r="B3493" i="1"/>
  <c r="C3492" i="1"/>
  <c r="B3492" i="1"/>
  <c r="C3491" i="1"/>
  <c r="B3491" i="1"/>
  <c r="C3490" i="1"/>
  <c r="B3490" i="1"/>
  <c r="C3489" i="1"/>
  <c r="B3489" i="1"/>
  <c r="C3488" i="1"/>
  <c r="B3488" i="1"/>
  <c r="C3487" i="1"/>
  <c r="B3487" i="1"/>
  <c r="C3486" i="1"/>
  <c r="B3486" i="1"/>
  <c r="C3485" i="1"/>
  <c r="B3485" i="1"/>
  <c r="C3484" i="1"/>
  <c r="B3484" i="1"/>
  <c r="C3483" i="1"/>
  <c r="B3483" i="1"/>
  <c r="C3482" i="1"/>
  <c r="B3482" i="1"/>
  <c r="C3481" i="1"/>
  <c r="B3481" i="1"/>
  <c r="C3480" i="1"/>
  <c r="B3480" i="1"/>
  <c r="C3479" i="1"/>
  <c r="B3479" i="1"/>
  <c r="C3478" i="1"/>
  <c r="B3478" i="1"/>
  <c r="C3477" i="1"/>
  <c r="B3477" i="1"/>
  <c r="C3476" i="1"/>
  <c r="B3476" i="1"/>
  <c r="C3475" i="1"/>
  <c r="B3475" i="1"/>
  <c r="C3472" i="1"/>
  <c r="B3472" i="1"/>
  <c r="C3471" i="1"/>
  <c r="B3471" i="1"/>
  <c r="C3470" i="1"/>
  <c r="B3470" i="1"/>
  <c r="C3469" i="1"/>
  <c r="B3469" i="1"/>
  <c r="C3468" i="1"/>
  <c r="B3468" i="1"/>
  <c r="C3467" i="1"/>
  <c r="B3467" i="1"/>
  <c r="C3466" i="1"/>
  <c r="B3466" i="1"/>
  <c r="C3465" i="1"/>
  <c r="B3465" i="1"/>
  <c r="C3464" i="1"/>
  <c r="B3464" i="1"/>
  <c r="C3463" i="1"/>
  <c r="B3463" i="1"/>
  <c r="C3462" i="1"/>
  <c r="B3462" i="1"/>
  <c r="C3461" i="1"/>
  <c r="B3461" i="1"/>
  <c r="C3460" i="1"/>
  <c r="B3460" i="1"/>
  <c r="C3459" i="1"/>
  <c r="B3459" i="1"/>
  <c r="C3458" i="1"/>
  <c r="B3458" i="1"/>
  <c r="C3457" i="1"/>
  <c r="B3457" i="1"/>
  <c r="C3456" i="1"/>
  <c r="B3456" i="1"/>
  <c r="C3455" i="1"/>
  <c r="C3454" i="1"/>
  <c r="B3454" i="1"/>
  <c r="C3453" i="1"/>
  <c r="B3453" i="1"/>
  <c r="C3452" i="1"/>
  <c r="B3452" i="1"/>
  <c r="C3451" i="1"/>
  <c r="B3451" i="1"/>
  <c r="C3450" i="1"/>
  <c r="B3450" i="1"/>
  <c r="C3449" i="1"/>
  <c r="B3449" i="1"/>
  <c r="C3448" i="1"/>
  <c r="B3448" i="1"/>
  <c r="C3447" i="1"/>
  <c r="B3447" i="1"/>
  <c r="C3446" i="1"/>
  <c r="B3446" i="1"/>
  <c r="C3444" i="1"/>
  <c r="B3444" i="1"/>
  <c r="C3443" i="1"/>
  <c r="B3443" i="1"/>
  <c r="C3442" i="1"/>
  <c r="B3442" i="1"/>
  <c r="C3441" i="1"/>
  <c r="B3441" i="1"/>
  <c r="C3440" i="1"/>
  <c r="B3440" i="1"/>
  <c r="C3439" i="1"/>
  <c r="B3439" i="1"/>
  <c r="C3438" i="1"/>
  <c r="B3438" i="1"/>
  <c r="C3437" i="1"/>
  <c r="B3437" i="1"/>
  <c r="C3436" i="1"/>
  <c r="B3436" i="1"/>
  <c r="C3435" i="1"/>
  <c r="B3435" i="1"/>
  <c r="C3434" i="1"/>
  <c r="B3434" i="1"/>
  <c r="C3433" i="1"/>
  <c r="B3433" i="1"/>
  <c r="C3432" i="1"/>
  <c r="B3432" i="1"/>
  <c r="C3431" i="1"/>
  <c r="B3431" i="1"/>
  <c r="C3430" i="1"/>
  <c r="B3430" i="1"/>
  <c r="C3429" i="1"/>
  <c r="B3429" i="1"/>
  <c r="C3428" i="1"/>
  <c r="B3428" i="1"/>
  <c r="C3427" i="1"/>
  <c r="B3427" i="1"/>
  <c r="C3426" i="1"/>
  <c r="B3426" i="1"/>
  <c r="C3425" i="1"/>
  <c r="B3425" i="1"/>
  <c r="C3424" i="1"/>
  <c r="B3424" i="1"/>
  <c r="C3423" i="1"/>
  <c r="B3423" i="1"/>
  <c r="C3422" i="1"/>
  <c r="B3422" i="1"/>
  <c r="C3421" i="1"/>
  <c r="B3421" i="1"/>
  <c r="C3420" i="1"/>
  <c r="B3420" i="1"/>
  <c r="C3419" i="1"/>
  <c r="B3419" i="1"/>
  <c r="C3418" i="1"/>
  <c r="B3418" i="1"/>
  <c r="C3417" i="1"/>
  <c r="B3417" i="1"/>
  <c r="C3416" i="1"/>
  <c r="B3416" i="1"/>
  <c r="C3415" i="1"/>
  <c r="B3415" i="1"/>
  <c r="C3414" i="1"/>
  <c r="B3414" i="1"/>
  <c r="C3413" i="1"/>
  <c r="B3413" i="1"/>
  <c r="C3412" i="1"/>
  <c r="B3412" i="1"/>
  <c r="C3411" i="1"/>
  <c r="B3411" i="1"/>
  <c r="C3410" i="1"/>
  <c r="B3410" i="1"/>
  <c r="C3409" i="1"/>
  <c r="B3409" i="1"/>
  <c r="C3408" i="1"/>
  <c r="B3408" i="1"/>
  <c r="C3407" i="1"/>
  <c r="B3407" i="1"/>
  <c r="C3406" i="1"/>
  <c r="B3406" i="1"/>
  <c r="C3405" i="1"/>
  <c r="B3405" i="1"/>
  <c r="C3404" i="1"/>
  <c r="B3404" i="1"/>
  <c r="C3403" i="1"/>
  <c r="B3403" i="1"/>
  <c r="C3402" i="1"/>
  <c r="B3402" i="1"/>
  <c r="C3401" i="1"/>
  <c r="B3401" i="1"/>
  <c r="C3400" i="1"/>
  <c r="B3400" i="1"/>
  <c r="C3399" i="1"/>
  <c r="B3399" i="1"/>
  <c r="C3398" i="1"/>
  <c r="B3398" i="1"/>
  <c r="C3397" i="1"/>
  <c r="B3397" i="1"/>
  <c r="C3396" i="1"/>
  <c r="B3396" i="1"/>
  <c r="C3395" i="1"/>
  <c r="B3395" i="1"/>
  <c r="C3394" i="1"/>
  <c r="B3394" i="1"/>
  <c r="C3393" i="1"/>
  <c r="B3393" i="1"/>
  <c r="C3392" i="1"/>
  <c r="B3392" i="1"/>
  <c r="B3391" i="1"/>
  <c r="C3389" i="1"/>
  <c r="C3386" i="1"/>
  <c r="C3384" i="1"/>
  <c r="B3384" i="1"/>
  <c r="C3383" i="1"/>
  <c r="B3383" i="1"/>
  <c r="C3382" i="1"/>
  <c r="B3382" i="1"/>
  <c r="C3380" i="1"/>
  <c r="B3380" i="1"/>
  <c r="C3377" i="1"/>
  <c r="B3377" i="1"/>
  <c r="C3376" i="1"/>
  <c r="B3376" i="1"/>
  <c r="C3375" i="1"/>
  <c r="B3375" i="1"/>
  <c r="C3374" i="1"/>
  <c r="B3374" i="1"/>
  <c r="C3373" i="1"/>
  <c r="B3373" i="1"/>
  <c r="C3372" i="1"/>
  <c r="B3372" i="1"/>
  <c r="C3371" i="1"/>
  <c r="B3371" i="1"/>
  <c r="C3370" i="1"/>
  <c r="B3370" i="1"/>
  <c r="C3369" i="1"/>
  <c r="C3368" i="1"/>
  <c r="B3368" i="1"/>
  <c r="C3367" i="1"/>
  <c r="B3367" i="1"/>
  <c r="C3366" i="1"/>
  <c r="B3366" i="1"/>
  <c r="C3365" i="1"/>
  <c r="B3365" i="1"/>
  <c r="C3363" i="1"/>
  <c r="B3363" i="1"/>
  <c r="C3362" i="1"/>
  <c r="B3362" i="1"/>
  <c r="C3360" i="1"/>
  <c r="B3360" i="1"/>
  <c r="C3358" i="1"/>
  <c r="B3358" i="1"/>
  <c r="C3357" i="1"/>
  <c r="B3357" i="1"/>
  <c r="C3356" i="1"/>
  <c r="B3356" i="1"/>
  <c r="C3355" i="1"/>
  <c r="B3355" i="1"/>
  <c r="C3354" i="1"/>
  <c r="B3354" i="1"/>
  <c r="C3353" i="1"/>
  <c r="B3353" i="1"/>
  <c r="C3352" i="1"/>
  <c r="B3352" i="1"/>
  <c r="C3351" i="1"/>
  <c r="B3351" i="1"/>
  <c r="C3350" i="1"/>
  <c r="B3350" i="1"/>
  <c r="C3349" i="1"/>
  <c r="B3349" i="1"/>
  <c r="C3347" i="1"/>
  <c r="B3347" i="1"/>
  <c r="C3346" i="1"/>
  <c r="B3346" i="1"/>
  <c r="C3344" i="1"/>
  <c r="B3344" i="1"/>
  <c r="C3343" i="1"/>
  <c r="B3343" i="1"/>
  <c r="C3342" i="1"/>
  <c r="B3342" i="1"/>
  <c r="C3341" i="1"/>
  <c r="B3341" i="1"/>
  <c r="C3340" i="1"/>
  <c r="B3340" i="1"/>
  <c r="C3339" i="1"/>
  <c r="B3339" i="1"/>
  <c r="C3338" i="1"/>
  <c r="B3338" i="1"/>
  <c r="C3337" i="1"/>
  <c r="B3337" i="1"/>
  <c r="C3336" i="1"/>
  <c r="B3336" i="1"/>
  <c r="C3334" i="1"/>
  <c r="B3334" i="1"/>
  <c r="C3333" i="1"/>
  <c r="B3333" i="1"/>
  <c r="C3332" i="1"/>
  <c r="B3332" i="1"/>
  <c r="C3331" i="1"/>
  <c r="B3331" i="1"/>
  <c r="C3330" i="1"/>
  <c r="B3330" i="1"/>
  <c r="C3329" i="1"/>
  <c r="B3329" i="1"/>
  <c r="C3328" i="1"/>
  <c r="B3328" i="1"/>
  <c r="C3327" i="1"/>
  <c r="B3327" i="1"/>
  <c r="C3326" i="1"/>
  <c r="B3326" i="1"/>
  <c r="C3325" i="1"/>
  <c r="B3325" i="1"/>
  <c r="B3324" i="1"/>
  <c r="C3323" i="1"/>
  <c r="B3323" i="1"/>
  <c r="C3322" i="1"/>
  <c r="B3322" i="1"/>
  <c r="C3321" i="1"/>
  <c r="B3321" i="1"/>
  <c r="B3320" i="1"/>
  <c r="C3319" i="1"/>
  <c r="B3319" i="1"/>
  <c r="B3318" i="1"/>
  <c r="C3316" i="1"/>
  <c r="B3316" i="1"/>
  <c r="C3315" i="1"/>
  <c r="B3315" i="1"/>
  <c r="C3314" i="1"/>
  <c r="C3313" i="1"/>
  <c r="B3313" i="1"/>
  <c r="C3312" i="1"/>
  <c r="B3312" i="1"/>
  <c r="C3311" i="1"/>
  <c r="B3311" i="1"/>
  <c r="C3309" i="1"/>
  <c r="B3309" i="1"/>
  <c r="B3308" i="1"/>
  <c r="C3307" i="1"/>
  <c r="B3307" i="1"/>
  <c r="C3306" i="1"/>
  <c r="B3306" i="1"/>
  <c r="C3305" i="1"/>
  <c r="B3305" i="1"/>
  <c r="B3304" i="1"/>
  <c r="C3303" i="1"/>
  <c r="B3303" i="1"/>
  <c r="B3301" i="1"/>
  <c r="C3300" i="1"/>
  <c r="B3300" i="1"/>
  <c r="C3299" i="1"/>
  <c r="B3299" i="1"/>
  <c r="C3298" i="1"/>
  <c r="B3298" i="1"/>
  <c r="C3297" i="1"/>
  <c r="B3297" i="1"/>
  <c r="C3296" i="1"/>
  <c r="B3296" i="1"/>
  <c r="C3295" i="1"/>
  <c r="B3295" i="1"/>
  <c r="C3294" i="1"/>
  <c r="B3294" i="1"/>
  <c r="C3293" i="1"/>
  <c r="B3293" i="1"/>
  <c r="C3291" i="1"/>
  <c r="B3291" i="1"/>
  <c r="C3290" i="1"/>
  <c r="B3290" i="1"/>
  <c r="C3289" i="1"/>
  <c r="B3289" i="1"/>
  <c r="C3288" i="1"/>
  <c r="B3288" i="1"/>
  <c r="C3287" i="1"/>
  <c r="B3287" i="1"/>
  <c r="B3286" i="1"/>
  <c r="C3285" i="1"/>
  <c r="B3285" i="1"/>
  <c r="C3284" i="1"/>
  <c r="B3284" i="1"/>
  <c r="C3283" i="1"/>
  <c r="B3283" i="1"/>
  <c r="B3282" i="1"/>
  <c r="C3281" i="1"/>
  <c r="B3281" i="1"/>
  <c r="C3280" i="1"/>
  <c r="B3280" i="1"/>
  <c r="C3279" i="1"/>
  <c r="B3279" i="1"/>
  <c r="C3278" i="1"/>
  <c r="B3278" i="1"/>
  <c r="C3277" i="1"/>
  <c r="B3277" i="1"/>
  <c r="C3276" i="1"/>
  <c r="B3276" i="1"/>
  <c r="C3275" i="1"/>
  <c r="B3275" i="1"/>
  <c r="C3274" i="1"/>
  <c r="B3274" i="1"/>
  <c r="C3273" i="1"/>
  <c r="B3273" i="1"/>
  <c r="C3272" i="1"/>
  <c r="B3272" i="1"/>
  <c r="C3271" i="1"/>
  <c r="B3271" i="1"/>
  <c r="C3270" i="1"/>
  <c r="B3270" i="1"/>
  <c r="C3269" i="1"/>
  <c r="B3269" i="1"/>
  <c r="C3268" i="1"/>
  <c r="B3268" i="1"/>
  <c r="C3267" i="1"/>
  <c r="B3267" i="1"/>
  <c r="C3266" i="1"/>
  <c r="B3266" i="1"/>
  <c r="C3265" i="1"/>
  <c r="B3265" i="1"/>
  <c r="C3264" i="1"/>
  <c r="B3264" i="1"/>
  <c r="C3263" i="1"/>
  <c r="B3263" i="1"/>
  <c r="C3262" i="1"/>
  <c r="B3262" i="1"/>
  <c r="C3261" i="1"/>
  <c r="B3261" i="1"/>
  <c r="C3260" i="1"/>
  <c r="B3260" i="1"/>
  <c r="C3259" i="1"/>
  <c r="B3259" i="1"/>
  <c r="C3258" i="1"/>
  <c r="B3258" i="1"/>
  <c r="C3257" i="1"/>
  <c r="B3257" i="1"/>
  <c r="C3256" i="1"/>
  <c r="B3256" i="1"/>
  <c r="C3255" i="1"/>
  <c r="B3255" i="1"/>
  <c r="C3254" i="1"/>
  <c r="B3254" i="1"/>
  <c r="C3253" i="1"/>
  <c r="B3253" i="1"/>
  <c r="C3252" i="1"/>
  <c r="B3252" i="1"/>
  <c r="C3251" i="1"/>
  <c r="B3251" i="1"/>
  <c r="C3250" i="1"/>
  <c r="B3250" i="1"/>
  <c r="C3249" i="1"/>
  <c r="B3249" i="1"/>
  <c r="C3248" i="1"/>
  <c r="B3248" i="1"/>
  <c r="C3247" i="1"/>
  <c r="B3247" i="1"/>
  <c r="C3246" i="1"/>
  <c r="B3246" i="1"/>
  <c r="C3245" i="1"/>
  <c r="B3245" i="1"/>
  <c r="C3244" i="1"/>
  <c r="B3244" i="1"/>
  <c r="C3243" i="1"/>
  <c r="B3243" i="1"/>
  <c r="C3242" i="1"/>
  <c r="B3242" i="1"/>
  <c r="C3241" i="1"/>
  <c r="B3241" i="1"/>
  <c r="C3240" i="1"/>
  <c r="B3240" i="1"/>
  <c r="C3239" i="1"/>
  <c r="B3239" i="1"/>
  <c r="C3238" i="1"/>
  <c r="B3238" i="1"/>
  <c r="C3237" i="1"/>
  <c r="B3237" i="1"/>
  <c r="C3236" i="1"/>
  <c r="B3236" i="1"/>
  <c r="C3235" i="1"/>
  <c r="B3235" i="1"/>
  <c r="C3234" i="1"/>
  <c r="B3234" i="1"/>
  <c r="C3233" i="1"/>
  <c r="B3233" i="1"/>
  <c r="C3232" i="1"/>
  <c r="B3232" i="1"/>
  <c r="C3231" i="1"/>
  <c r="B3231" i="1"/>
  <c r="C3230" i="1"/>
  <c r="B3230" i="1"/>
  <c r="C3229" i="1"/>
  <c r="B3229" i="1"/>
  <c r="C3228" i="1"/>
  <c r="B3228" i="1"/>
  <c r="C3227" i="1"/>
  <c r="B3227" i="1"/>
  <c r="C3226" i="1"/>
  <c r="B3226" i="1"/>
  <c r="C3225" i="1"/>
  <c r="B3225" i="1"/>
  <c r="C3224" i="1"/>
  <c r="B3224" i="1"/>
  <c r="C3223" i="1"/>
  <c r="B3223" i="1"/>
  <c r="C3222" i="1"/>
  <c r="B3222" i="1"/>
  <c r="C3221" i="1"/>
  <c r="B3221" i="1"/>
  <c r="C3220" i="1"/>
  <c r="B3220" i="1"/>
  <c r="C3219" i="1"/>
  <c r="B3219" i="1"/>
  <c r="C3218" i="1"/>
  <c r="C3213" i="1"/>
  <c r="B3213" i="1"/>
  <c r="B3212" i="1"/>
  <c r="C3211" i="1"/>
  <c r="B3211" i="1"/>
  <c r="C3210" i="1"/>
  <c r="B3210" i="1"/>
  <c r="C3208" i="1"/>
  <c r="B3208" i="1"/>
  <c r="C3207" i="1"/>
  <c r="B3207" i="1"/>
  <c r="C3205" i="1"/>
  <c r="B3205" i="1"/>
  <c r="C3204" i="1"/>
  <c r="B3204" i="1"/>
  <c r="C3203" i="1"/>
  <c r="B3203" i="1"/>
  <c r="C3202" i="1"/>
  <c r="B3202" i="1"/>
  <c r="C3201" i="1"/>
  <c r="B3201" i="1"/>
  <c r="C3200" i="1"/>
  <c r="B3200" i="1"/>
  <c r="C3199" i="1"/>
  <c r="B3199" i="1"/>
  <c r="C3198" i="1"/>
  <c r="B3198" i="1"/>
  <c r="C3197" i="1"/>
  <c r="B3197" i="1"/>
  <c r="C3196" i="1"/>
  <c r="B3196" i="1"/>
  <c r="C3195" i="1"/>
  <c r="C3193" i="1"/>
  <c r="B3193" i="1"/>
  <c r="C3192" i="1"/>
  <c r="B3192" i="1"/>
  <c r="C3191" i="1"/>
  <c r="B3191" i="1"/>
  <c r="C3190" i="1"/>
  <c r="B3190" i="1"/>
  <c r="C3189" i="1"/>
  <c r="B3189" i="1"/>
  <c r="C3188" i="1"/>
  <c r="B3188" i="1"/>
  <c r="C3187" i="1"/>
  <c r="B3187" i="1"/>
  <c r="C3186" i="1"/>
  <c r="B3186" i="1"/>
  <c r="C3185" i="1"/>
  <c r="B3185" i="1"/>
  <c r="C3184" i="1"/>
  <c r="B3184" i="1"/>
  <c r="C3183" i="1"/>
  <c r="B3183" i="1"/>
  <c r="C3182" i="1"/>
  <c r="B3182" i="1"/>
  <c r="C3181" i="1"/>
  <c r="B3181" i="1"/>
  <c r="C3180" i="1"/>
  <c r="B3180" i="1"/>
  <c r="C3179" i="1"/>
  <c r="B3179" i="1"/>
  <c r="C3178" i="1"/>
  <c r="B3178" i="1"/>
  <c r="C3177" i="1"/>
  <c r="B3177" i="1"/>
  <c r="C3176" i="1"/>
  <c r="B3176" i="1"/>
  <c r="C3175" i="1"/>
  <c r="C3174" i="1"/>
  <c r="B3174" i="1"/>
  <c r="C3173" i="1"/>
  <c r="B3173" i="1"/>
  <c r="C3172" i="1"/>
  <c r="B3172" i="1"/>
  <c r="C3171" i="1"/>
  <c r="B3171" i="1"/>
  <c r="C3170" i="1"/>
  <c r="B3170" i="1"/>
  <c r="C3169" i="1"/>
  <c r="B3169" i="1"/>
  <c r="C3168" i="1"/>
  <c r="B3168" i="1"/>
  <c r="C3167" i="1"/>
  <c r="B3167" i="1"/>
  <c r="C3166" i="1"/>
  <c r="B3166" i="1"/>
  <c r="C3165" i="1"/>
  <c r="B3165" i="1"/>
  <c r="C3164" i="1"/>
  <c r="B3164" i="1"/>
  <c r="C3163" i="1"/>
  <c r="B3163" i="1"/>
  <c r="C3162" i="1"/>
  <c r="B3162" i="1"/>
  <c r="C3161" i="1"/>
  <c r="B3161" i="1"/>
  <c r="C3160" i="1"/>
  <c r="B3160" i="1"/>
  <c r="C3158" i="1"/>
  <c r="B3158" i="1"/>
  <c r="C3157" i="1"/>
  <c r="B3157" i="1"/>
  <c r="C3155" i="1"/>
  <c r="B3155" i="1"/>
  <c r="C3154" i="1"/>
  <c r="B3154" i="1"/>
  <c r="C3152" i="1"/>
  <c r="B3152" i="1"/>
  <c r="C3151" i="1"/>
  <c r="B3151" i="1"/>
  <c r="C3150" i="1"/>
  <c r="B3150" i="1"/>
  <c r="C3149" i="1"/>
  <c r="B3149" i="1"/>
  <c r="C3148" i="1"/>
  <c r="B3148" i="1"/>
  <c r="C3147" i="1"/>
  <c r="B3147" i="1"/>
  <c r="C3146" i="1"/>
  <c r="B3146" i="1"/>
  <c r="C3145" i="1"/>
  <c r="B3145" i="1"/>
  <c r="C3144" i="1"/>
  <c r="B3144" i="1"/>
  <c r="C3143" i="1"/>
  <c r="B3143" i="1"/>
  <c r="C3142" i="1"/>
  <c r="B3142" i="1"/>
  <c r="C3141" i="1"/>
  <c r="B3141" i="1"/>
  <c r="C3140" i="1"/>
  <c r="B3140" i="1"/>
  <c r="C3139" i="1"/>
  <c r="B3139" i="1"/>
  <c r="C3138" i="1"/>
  <c r="B3138" i="1"/>
  <c r="C3137" i="1"/>
  <c r="B3137" i="1"/>
  <c r="C3136" i="1"/>
  <c r="B3136" i="1"/>
  <c r="C3135" i="1"/>
  <c r="B3135" i="1"/>
  <c r="C3134" i="1"/>
  <c r="B3134" i="1"/>
  <c r="C3133" i="1"/>
  <c r="B3133" i="1"/>
  <c r="C3132" i="1"/>
  <c r="B3132" i="1"/>
  <c r="C3131" i="1"/>
  <c r="B3131" i="1"/>
  <c r="C3130" i="1"/>
  <c r="C3129" i="1"/>
  <c r="B3129" i="1"/>
  <c r="C3128" i="1"/>
  <c r="B3128" i="1"/>
  <c r="C3127" i="1"/>
  <c r="B3127" i="1"/>
  <c r="C3126" i="1"/>
  <c r="B3126" i="1"/>
  <c r="C3125" i="1"/>
  <c r="B3125" i="1"/>
  <c r="C3124" i="1"/>
  <c r="B3124" i="1"/>
  <c r="C3123" i="1"/>
  <c r="B3123" i="1"/>
  <c r="C3122" i="1"/>
  <c r="B3122" i="1"/>
  <c r="C3121" i="1"/>
  <c r="B3121" i="1"/>
  <c r="C3120" i="1"/>
  <c r="B3120" i="1"/>
  <c r="C3119" i="1"/>
  <c r="B3119" i="1"/>
  <c r="C3118" i="1"/>
  <c r="B3118" i="1"/>
  <c r="C3117" i="1"/>
  <c r="B3117" i="1"/>
  <c r="C3116" i="1"/>
  <c r="B3116" i="1"/>
  <c r="C3115" i="1"/>
  <c r="B3115" i="1"/>
  <c r="C3114" i="1"/>
  <c r="B3114" i="1"/>
  <c r="C3113" i="1"/>
  <c r="B3113" i="1"/>
  <c r="C3112" i="1"/>
  <c r="B3112" i="1"/>
  <c r="C3111" i="1"/>
  <c r="B3111" i="1"/>
  <c r="C3110" i="1"/>
  <c r="B3110" i="1"/>
  <c r="C3109" i="1"/>
  <c r="B3109" i="1"/>
  <c r="C3108" i="1"/>
  <c r="B3108" i="1"/>
  <c r="C3103" i="1"/>
  <c r="B3103" i="1"/>
  <c r="C3102" i="1"/>
  <c r="B3102" i="1"/>
  <c r="C3101" i="1"/>
  <c r="B3101" i="1"/>
  <c r="C3100" i="1"/>
  <c r="B3100" i="1"/>
  <c r="C3099" i="1"/>
  <c r="B3099" i="1"/>
  <c r="C3098" i="1"/>
  <c r="B3098" i="1"/>
  <c r="C3097" i="1"/>
  <c r="B3097" i="1"/>
  <c r="C3096" i="1"/>
  <c r="B3096" i="1"/>
  <c r="C3095" i="1"/>
  <c r="B3095" i="1"/>
  <c r="C3094" i="1"/>
  <c r="B3094" i="1"/>
  <c r="C3093" i="1"/>
  <c r="B3093" i="1"/>
  <c r="C3092" i="1"/>
  <c r="B3092" i="1"/>
  <c r="C3091" i="1"/>
  <c r="B3091" i="1"/>
  <c r="C3090" i="1"/>
  <c r="B3090" i="1"/>
  <c r="C3089" i="1"/>
  <c r="B3089" i="1"/>
  <c r="C3088" i="1"/>
  <c r="B3088" i="1"/>
  <c r="C3087" i="1"/>
  <c r="B3087" i="1"/>
  <c r="C3086" i="1"/>
  <c r="B3086" i="1"/>
  <c r="C3085" i="1"/>
  <c r="B3085" i="1"/>
  <c r="C3084" i="1"/>
  <c r="B3084" i="1"/>
  <c r="C3083" i="1"/>
  <c r="B3083" i="1"/>
  <c r="C3082" i="1"/>
  <c r="B3082" i="1"/>
  <c r="C3081" i="1"/>
  <c r="B3081" i="1"/>
  <c r="C3080" i="1"/>
  <c r="B3080" i="1"/>
  <c r="C3079" i="1"/>
  <c r="B3079" i="1"/>
  <c r="C3078" i="1"/>
  <c r="B3078" i="1"/>
  <c r="C3077" i="1"/>
  <c r="B3077" i="1"/>
  <c r="C3076" i="1"/>
  <c r="B3076" i="1"/>
  <c r="C3075" i="1"/>
  <c r="B3075" i="1"/>
  <c r="C3074" i="1"/>
  <c r="B3074" i="1"/>
  <c r="C3073" i="1"/>
  <c r="B3073" i="1"/>
  <c r="C3072" i="1"/>
  <c r="B3072" i="1"/>
  <c r="C3071" i="1"/>
  <c r="B3071" i="1"/>
  <c r="C3070" i="1"/>
  <c r="B3070" i="1"/>
  <c r="C3069" i="1"/>
  <c r="B3069" i="1"/>
  <c r="C3068" i="1"/>
  <c r="B3068" i="1"/>
  <c r="C3067" i="1"/>
  <c r="B3067" i="1"/>
  <c r="C3066" i="1"/>
  <c r="B3066" i="1"/>
  <c r="C3065" i="1"/>
  <c r="B3065" i="1"/>
  <c r="C3064" i="1"/>
  <c r="B3064" i="1"/>
  <c r="C3063" i="1"/>
  <c r="B3063" i="1"/>
  <c r="C3062" i="1"/>
  <c r="B3062" i="1"/>
  <c r="C3061" i="1"/>
  <c r="B3061" i="1"/>
  <c r="C3060" i="1"/>
  <c r="B3060" i="1"/>
  <c r="C3059" i="1"/>
  <c r="B3059" i="1"/>
  <c r="C3058" i="1"/>
  <c r="B3058" i="1"/>
  <c r="C3057" i="1"/>
  <c r="B3057" i="1"/>
  <c r="C3056" i="1"/>
  <c r="B3056" i="1"/>
  <c r="C3055" i="1"/>
  <c r="B3055" i="1"/>
  <c r="C3053" i="1"/>
  <c r="B3053" i="1"/>
  <c r="C3052" i="1"/>
  <c r="B3052" i="1"/>
  <c r="C3051" i="1"/>
  <c r="B3051" i="1"/>
  <c r="C3050" i="1"/>
  <c r="B3050" i="1"/>
  <c r="C3049" i="1"/>
  <c r="B3049" i="1"/>
  <c r="C3048" i="1"/>
  <c r="B3048" i="1"/>
  <c r="C3047" i="1"/>
  <c r="B3047" i="1"/>
  <c r="C3046" i="1"/>
  <c r="B3046" i="1"/>
  <c r="C3045" i="1"/>
  <c r="B3045" i="1"/>
  <c r="C3044" i="1"/>
  <c r="B3044" i="1"/>
  <c r="C3043" i="1"/>
  <c r="B3043" i="1"/>
  <c r="C3042" i="1"/>
  <c r="B3042" i="1"/>
  <c r="C3041" i="1"/>
  <c r="B3041" i="1"/>
  <c r="C3040" i="1"/>
  <c r="B3040" i="1"/>
  <c r="C3039" i="1"/>
  <c r="B3039" i="1"/>
  <c r="C3038" i="1"/>
  <c r="B3038" i="1"/>
  <c r="C3037" i="1"/>
  <c r="B3037" i="1"/>
  <c r="C3036" i="1"/>
  <c r="B3036" i="1"/>
  <c r="C3035" i="1"/>
  <c r="B3035" i="1"/>
  <c r="C3034" i="1"/>
  <c r="B3034" i="1"/>
  <c r="C3033" i="1"/>
  <c r="B3033" i="1"/>
  <c r="C3032" i="1"/>
  <c r="B3032" i="1"/>
  <c r="C3031" i="1"/>
  <c r="B3031" i="1"/>
  <c r="C3030" i="1"/>
  <c r="B3030" i="1"/>
  <c r="C3029" i="1"/>
  <c r="B3029" i="1"/>
  <c r="C3028" i="1"/>
  <c r="B3028" i="1"/>
  <c r="C3027" i="1"/>
  <c r="B3027" i="1"/>
  <c r="C3026" i="1"/>
  <c r="B3026" i="1"/>
  <c r="C3025" i="1"/>
  <c r="B3025" i="1"/>
  <c r="C3024" i="1"/>
  <c r="B3024" i="1"/>
  <c r="C3022" i="1"/>
  <c r="B3022" i="1"/>
  <c r="C3021" i="1"/>
  <c r="B3021" i="1"/>
  <c r="C3020" i="1"/>
  <c r="B3020" i="1"/>
  <c r="C3019" i="1"/>
  <c r="B3019" i="1"/>
  <c r="C3018" i="1"/>
  <c r="B3018" i="1"/>
  <c r="C3017" i="1"/>
  <c r="B3017" i="1"/>
  <c r="C3016" i="1"/>
  <c r="B3016" i="1"/>
  <c r="C3015" i="1"/>
  <c r="B3015" i="1"/>
  <c r="C3014" i="1"/>
  <c r="B3014" i="1"/>
  <c r="C3013" i="1"/>
  <c r="B3013" i="1"/>
  <c r="C3012" i="1"/>
  <c r="B3012" i="1"/>
  <c r="C3011" i="1"/>
  <c r="B3011" i="1"/>
  <c r="C3009" i="1"/>
  <c r="B3009" i="1"/>
  <c r="C3008" i="1"/>
  <c r="B3008" i="1"/>
  <c r="C3007" i="1"/>
  <c r="B3007" i="1"/>
  <c r="C3006" i="1"/>
  <c r="B3006" i="1"/>
  <c r="C3005" i="1"/>
  <c r="B3005" i="1"/>
  <c r="C3004" i="1"/>
  <c r="B3004" i="1"/>
  <c r="C3003" i="1"/>
  <c r="B3003" i="1"/>
  <c r="C3002" i="1"/>
  <c r="B3002" i="1"/>
  <c r="C3001" i="1"/>
  <c r="B3001" i="1"/>
  <c r="C3000" i="1"/>
  <c r="B3000" i="1"/>
  <c r="C2999" i="1"/>
  <c r="B2999" i="1"/>
  <c r="C2997" i="1"/>
  <c r="B2997" i="1"/>
  <c r="C2996" i="1"/>
  <c r="B2996" i="1"/>
  <c r="C2995" i="1"/>
  <c r="B2995" i="1"/>
  <c r="C2994" i="1"/>
  <c r="B2994" i="1"/>
  <c r="C2993" i="1"/>
  <c r="B2993" i="1"/>
  <c r="C2992" i="1"/>
  <c r="B2992" i="1"/>
  <c r="C2991" i="1"/>
  <c r="B2991" i="1"/>
  <c r="C2990" i="1"/>
  <c r="B2990" i="1"/>
  <c r="C2989" i="1"/>
  <c r="B2989" i="1"/>
  <c r="C2988" i="1"/>
  <c r="B2988" i="1"/>
  <c r="C2987" i="1"/>
  <c r="B2987" i="1"/>
  <c r="C2986" i="1"/>
  <c r="B2986" i="1"/>
  <c r="C2985" i="1"/>
  <c r="B2985" i="1"/>
  <c r="C2984" i="1"/>
  <c r="B2984" i="1"/>
  <c r="C2983" i="1"/>
  <c r="B2983" i="1"/>
  <c r="C2982" i="1"/>
  <c r="B2982" i="1"/>
  <c r="C2981" i="1"/>
  <c r="B2981" i="1"/>
  <c r="C2980" i="1"/>
  <c r="B2980" i="1"/>
  <c r="C2979" i="1"/>
  <c r="B2979" i="1"/>
  <c r="C2978" i="1"/>
  <c r="B2978" i="1"/>
  <c r="C2977" i="1"/>
  <c r="B2977" i="1"/>
  <c r="C2976" i="1"/>
  <c r="B2976" i="1"/>
  <c r="C2975" i="1"/>
  <c r="B2975" i="1"/>
  <c r="C2974" i="1"/>
  <c r="B2974" i="1"/>
  <c r="C2973" i="1"/>
  <c r="B2973" i="1"/>
  <c r="C2972" i="1"/>
  <c r="B2972" i="1"/>
  <c r="C2971" i="1"/>
  <c r="B2971" i="1"/>
  <c r="C2970" i="1"/>
  <c r="B2970" i="1"/>
  <c r="C2969" i="1"/>
  <c r="B2969" i="1"/>
  <c r="C2968" i="1"/>
  <c r="B2968" i="1"/>
  <c r="C2967" i="1"/>
  <c r="B2967" i="1"/>
  <c r="C2966" i="1"/>
  <c r="B2966" i="1"/>
  <c r="C2965" i="1"/>
  <c r="B2965" i="1"/>
  <c r="C2964" i="1"/>
  <c r="B2964" i="1"/>
  <c r="C2963" i="1"/>
  <c r="B2963" i="1"/>
  <c r="C2962" i="1"/>
  <c r="B2962" i="1"/>
  <c r="C2961" i="1"/>
  <c r="B2961" i="1"/>
  <c r="C2960" i="1"/>
  <c r="B2960" i="1"/>
  <c r="C2958" i="1"/>
  <c r="B2958" i="1"/>
  <c r="C2957" i="1"/>
  <c r="B2957" i="1"/>
  <c r="C2956" i="1"/>
  <c r="B2956" i="1"/>
  <c r="C2955" i="1"/>
  <c r="B2955" i="1"/>
  <c r="C2954" i="1"/>
  <c r="B2954" i="1"/>
  <c r="C2953" i="1"/>
  <c r="B2953" i="1"/>
  <c r="C2952" i="1"/>
  <c r="B2952" i="1"/>
  <c r="C2951" i="1"/>
  <c r="B2951" i="1"/>
  <c r="C2950" i="1"/>
  <c r="B2950" i="1"/>
  <c r="C2949" i="1"/>
  <c r="B2949" i="1"/>
  <c r="C2948" i="1"/>
  <c r="B2948" i="1"/>
  <c r="C2947" i="1"/>
  <c r="B2947" i="1"/>
  <c r="C2946" i="1"/>
  <c r="B2946" i="1"/>
  <c r="C2945" i="1"/>
  <c r="B2945" i="1"/>
  <c r="C2944" i="1"/>
  <c r="B2944" i="1"/>
  <c r="C2943" i="1"/>
  <c r="B2943" i="1"/>
  <c r="C2942" i="1"/>
  <c r="B2942" i="1"/>
  <c r="C2940" i="1"/>
  <c r="B2940" i="1"/>
  <c r="C2938" i="1"/>
  <c r="B2938" i="1"/>
  <c r="C2937" i="1"/>
  <c r="B2937" i="1"/>
  <c r="C2936" i="1"/>
  <c r="B2936" i="1"/>
  <c r="C2935" i="1"/>
  <c r="B2935" i="1"/>
  <c r="C2934" i="1"/>
  <c r="B2934" i="1"/>
  <c r="C2933" i="1"/>
  <c r="B2933" i="1"/>
  <c r="C2932" i="1"/>
  <c r="B2932" i="1"/>
  <c r="C2931" i="1"/>
  <c r="B2931" i="1"/>
  <c r="C2930" i="1"/>
  <c r="B2930" i="1"/>
  <c r="C2929" i="1"/>
  <c r="B2929" i="1"/>
  <c r="C2928" i="1"/>
  <c r="B2928" i="1"/>
  <c r="C2927" i="1"/>
  <c r="B2927" i="1"/>
  <c r="C2926" i="1"/>
  <c r="B2926" i="1"/>
  <c r="C2925" i="1"/>
  <c r="B2925" i="1"/>
  <c r="C2924" i="1"/>
  <c r="B2924" i="1"/>
  <c r="C2923" i="1"/>
  <c r="B2923" i="1"/>
  <c r="C2922" i="1"/>
  <c r="B2922" i="1"/>
  <c r="C2921" i="1"/>
  <c r="B2921" i="1"/>
  <c r="C2920" i="1"/>
  <c r="B2920" i="1"/>
  <c r="C2919" i="1"/>
  <c r="B2919" i="1"/>
  <c r="C2918" i="1"/>
  <c r="B2918" i="1"/>
  <c r="C2917" i="1"/>
  <c r="B2917" i="1"/>
  <c r="C2916" i="1"/>
  <c r="B2916" i="1"/>
  <c r="C2915" i="1"/>
  <c r="B2915" i="1"/>
  <c r="C2914" i="1"/>
  <c r="B2914" i="1"/>
  <c r="C2913" i="1"/>
  <c r="B2913" i="1"/>
  <c r="C2912" i="1"/>
  <c r="B2912" i="1"/>
  <c r="C2911" i="1"/>
  <c r="B2911" i="1"/>
  <c r="C2910" i="1"/>
  <c r="B2910" i="1"/>
  <c r="C2909" i="1"/>
  <c r="B2909" i="1"/>
  <c r="C2908" i="1"/>
  <c r="B2908" i="1"/>
  <c r="C2903" i="1"/>
  <c r="B2903" i="1"/>
  <c r="C2902" i="1"/>
  <c r="B2902" i="1"/>
  <c r="C2901" i="1"/>
  <c r="B2901" i="1"/>
  <c r="C2894" i="1"/>
  <c r="B2894" i="1"/>
  <c r="C2893" i="1"/>
  <c r="B2893" i="1"/>
  <c r="C2892" i="1"/>
  <c r="B2892" i="1"/>
  <c r="C2891" i="1"/>
  <c r="B2891" i="1"/>
  <c r="C2889" i="1"/>
  <c r="B2889" i="1"/>
  <c r="C2887" i="1"/>
  <c r="B2887" i="1"/>
  <c r="C2886" i="1"/>
  <c r="B2886" i="1"/>
  <c r="B2885" i="1"/>
  <c r="C2883" i="1"/>
  <c r="B2883" i="1"/>
  <c r="C2882" i="1"/>
  <c r="B2882" i="1"/>
  <c r="C2881" i="1"/>
  <c r="B2881" i="1"/>
  <c r="C2880" i="1"/>
  <c r="B2880" i="1"/>
  <c r="C2879" i="1"/>
  <c r="B2879" i="1"/>
  <c r="C2877" i="1"/>
  <c r="B2877" i="1"/>
  <c r="C2876" i="1"/>
  <c r="B2876" i="1"/>
  <c r="C2872" i="1"/>
  <c r="B2872" i="1"/>
  <c r="C2864" i="1"/>
  <c r="B2864" i="1"/>
  <c r="C2863" i="1"/>
  <c r="B2863" i="1"/>
  <c r="C2862" i="1"/>
  <c r="B2862" i="1"/>
  <c r="C2861" i="1"/>
  <c r="B2861" i="1"/>
  <c r="C2860" i="1"/>
  <c r="B2860" i="1"/>
  <c r="C2859" i="1"/>
  <c r="B2859" i="1"/>
  <c r="C2858" i="1"/>
  <c r="B2858" i="1"/>
  <c r="C2857" i="1"/>
  <c r="B2857" i="1"/>
  <c r="C2856" i="1"/>
  <c r="B2856" i="1"/>
  <c r="C2855" i="1"/>
  <c r="B2855" i="1"/>
  <c r="C2853" i="1"/>
  <c r="B2853" i="1"/>
  <c r="C2852" i="1"/>
  <c r="B2852" i="1"/>
  <c r="C2851" i="1"/>
  <c r="B2851" i="1"/>
  <c r="C2850" i="1"/>
  <c r="B2850" i="1"/>
  <c r="C2849" i="1"/>
  <c r="B2849" i="1"/>
  <c r="C2848" i="1"/>
  <c r="B2848" i="1"/>
  <c r="C2847" i="1"/>
  <c r="B2847" i="1"/>
  <c r="C2846" i="1"/>
  <c r="B2846" i="1"/>
  <c r="C2845" i="1"/>
  <c r="B2845" i="1"/>
  <c r="C2844" i="1"/>
  <c r="C2843" i="1"/>
  <c r="B2843" i="1"/>
  <c r="C2842" i="1"/>
  <c r="B2842" i="1"/>
  <c r="C2841" i="1"/>
  <c r="B2841" i="1"/>
  <c r="C2840" i="1"/>
  <c r="B2840" i="1"/>
  <c r="C2839" i="1"/>
  <c r="B2839" i="1"/>
  <c r="C2838" i="1"/>
  <c r="B2838" i="1"/>
  <c r="C2837" i="1"/>
  <c r="B2837" i="1"/>
  <c r="C2836" i="1"/>
  <c r="B2836" i="1"/>
  <c r="C2835" i="1"/>
  <c r="B2835" i="1"/>
  <c r="C2834" i="1"/>
  <c r="B2834" i="1"/>
  <c r="C2833" i="1"/>
  <c r="B2833" i="1"/>
  <c r="C2831" i="1"/>
  <c r="B2831" i="1"/>
  <c r="B2830" i="1"/>
  <c r="C2829" i="1"/>
  <c r="B2829" i="1"/>
  <c r="C2828" i="1"/>
  <c r="B2828" i="1"/>
  <c r="C2827" i="1"/>
  <c r="B2827" i="1"/>
  <c r="C2826" i="1"/>
  <c r="B2826" i="1"/>
  <c r="C2825" i="1"/>
  <c r="B2825" i="1"/>
  <c r="C2824" i="1"/>
  <c r="B2824" i="1"/>
  <c r="C2823" i="1"/>
  <c r="B2823" i="1"/>
  <c r="C2822" i="1"/>
  <c r="B2822" i="1"/>
  <c r="C2821" i="1"/>
  <c r="B2821" i="1"/>
  <c r="C2820" i="1"/>
  <c r="B2820" i="1"/>
  <c r="C2819" i="1"/>
  <c r="B2819" i="1"/>
  <c r="C2818" i="1"/>
  <c r="B2818" i="1"/>
  <c r="C2817" i="1"/>
  <c r="B2817" i="1"/>
  <c r="C2816" i="1"/>
  <c r="B2816" i="1"/>
  <c r="C2815" i="1"/>
  <c r="B2815" i="1"/>
  <c r="C2814" i="1"/>
  <c r="B2814" i="1"/>
  <c r="C2813" i="1"/>
  <c r="B2813" i="1"/>
  <c r="C2812" i="1"/>
  <c r="B2812" i="1"/>
  <c r="C2811" i="1"/>
  <c r="B2811" i="1"/>
  <c r="C2810" i="1"/>
  <c r="B2810" i="1"/>
  <c r="C2809" i="1"/>
  <c r="B2809" i="1"/>
  <c r="C2808" i="1"/>
  <c r="B2808" i="1"/>
  <c r="C2807" i="1"/>
  <c r="B2807" i="1"/>
  <c r="C2806" i="1"/>
  <c r="B2806" i="1"/>
  <c r="C2805" i="1"/>
  <c r="B2805" i="1"/>
  <c r="C2804" i="1"/>
  <c r="B2804" i="1"/>
  <c r="C2803" i="1"/>
  <c r="B2803" i="1"/>
  <c r="C2802" i="1"/>
  <c r="B2802" i="1"/>
  <c r="C2801" i="1"/>
  <c r="B2801" i="1"/>
  <c r="C2800" i="1"/>
  <c r="B2800" i="1"/>
  <c r="C2799" i="1"/>
  <c r="B2799" i="1"/>
  <c r="C2798" i="1"/>
  <c r="B2798" i="1"/>
  <c r="C2797" i="1"/>
  <c r="B2797" i="1"/>
  <c r="C2796" i="1"/>
  <c r="B2796" i="1"/>
  <c r="C2795" i="1"/>
  <c r="B2795" i="1"/>
  <c r="C2794" i="1"/>
  <c r="B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C2787" i="1"/>
  <c r="B2787" i="1"/>
  <c r="C2786" i="1"/>
  <c r="B2786" i="1"/>
  <c r="C2785" i="1"/>
  <c r="B2785" i="1"/>
  <c r="C2784" i="1"/>
  <c r="B2784" i="1"/>
  <c r="C2783" i="1"/>
  <c r="B2783" i="1"/>
  <c r="C2782" i="1"/>
  <c r="B2782" i="1"/>
  <c r="C2781" i="1"/>
  <c r="B2781" i="1"/>
  <c r="C2780" i="1"/>
  <c r="B2780" i="1"/>
  <c r="C2779" i="1"/>
  <c r="B2779" i="1"/>
  <c r="C2778" i="1"/>
  <c r="B2778" i="1"/>
  <c r="C2777" i="1"/>
  <c r="B2777" i="1"/>
  <c r="C2776" i="1"/>
  <c r="B2776" i="1"/>
  <c r="C2775" i="1"/>
  <c r="B2775" i="1"/>
  <c r="C2774" i="1"/>
  <c r="B2774" i="1"/>
  <c r="C2773" i="1"/>
  <c r="B2773" i="1"/>
  <c r="C2772" i="1"/>
  <c r="B2772" i="1"/>
  <c r="C2771" i="1"/>
  <c r="B2771" i="1"/>
  <c r="C2770" i="1"/>
  <c r="B2770" i="1"/>
  <c r="C2769" i="1"/>
  <c r="B2769" i="1"/>
  <c r="C2768" i="1"/>
  <c r="B2768" i="1"/>
  <c r="C2767" i="1"/>
  <c r="B2767" i="1"/>
  <c r="C2766" i="1"/>
  <c r="B2766" i="1"/>
  <c r="C2765" i="1"/>
  <c r="B2765" i="1"/>
  <c r="C2764" i="1"/>
  <c r="B2764" i="1"/>
  <c r="C2763" i="1"/>
  <c r="B2763" i="1"/>
  <c r="C2762" i="1"/>
  <c r="B2762" i="1"/>
  <c r="C2761" i="1"/>
  <c r="B2761" i="1"/>
  <c r="C2760" i="1"/>
  <c r="B2760" i="1"/>
  <c r="C2759" i="1"/>
  <c r="B2759" i="1"/>
  <c r="C2758" i="1"/>
  <c r="B2758" i="1"/>
  <c r="C2757" i="1"/>
  <c r="B2757" i="1"/>
  <c r="C2756" i="1"/>
  <c r="B2756" i="1"/>
  <c r="C2755" i="1"/>
  <c r="B2755" i="1"/>
  <c r="C2754" i="1"/>
  <c r="B2754" i="1"/>
  <c r="C2753" i="1"/>
  <c r="B2753" i="1"/>
  <c r="C2752" i="1"/>
  <c r="B2752" i="1"/>
  <c r="C2751" i="1"/>
  <c r="B2751" i="1"/>
  <c r="C2750" i="1"/>
  <c r="B2750" i="1"/>
  <c r="C2749" i="1"/>
  <c r="B2749" i="1"/>
  <c r="C2748" i="1"/>
  <c r="B2748" i="1"/>
  <c r="C2747" i="1"/>
  <c r="B2747" i="1"/>
  <c r="C2746" i="1"/>
  <c r="B2746" i="1"/>
  <c r="C2745" i="1"/>
  <c r="B2745" i="1"/>
  <c r="C2744" i="1"/>
  <c r="B2744" i="1"/>
  <c r="C2743" i="1"/>
  <c r="B2743" i="1"/>
  <c r="C2742" i="1"/>
  <c r="B2742" i="1"/>
  <c r="C2741" i="1"/>
  <c r="B2741" i="1"/>
  <c r="C2740" i="1"/>
  <c r="B2740" i="1"/>
  <c r="C2739" i="1"/>
  <c r="B2739" i="1"/>
  <c r="C2738" i="1"/>
  <c r="B2738" i="1"/>
  <c r="C2737" i="1"/>
  <c r="B2737" i="1"/>
  <c r="C2736" i="1"/>
  <c r="B2736" i="1"/>
  <c r="C2735" i="1"/>
  <c r="B2735" i="1"/>
  <c r="C2734" i="1"/>
  <c r="B2734" i="1"/>
  <c r="C2733" i="1"/>
  <c r="B2733" i="1"/>
  <c r="C2732" i="1"/>
  <c r="B2732" i="1"/>
  <c r="C2731" i="1"/>
  <c r="B2731" i="1"/>
  <c r="C2730" i="1"/>
  <c r="B2730" i="1"/>
  <c r="C2729" i="1"/>
  <c r="B2729" i="1"/>
  <c r="C2728" i="1"/>
  <c r="B2728" i="1"/>
  <c r="C2727" i="1"/>
  <c r="B2727" i="1"/>
  <c r="C2726" i="1"/>
  <c r="B2726" i="1"/>
  <c r="C2725" i="1"/>
  <c r="B2725" i="1"/>
  <c r="C2724" i="1"/>
  <c r="B2724" i="1"/>
  <c r="C2723" i="1"/>
  <c r="B2723" i="1"/>
  <c r="C2722" i="1"/>
  <c r="B2722" i="1"/>
  <c r="C2721" i="1"/>
  <c r="B2721" i="1"/>
  <c r="C2720" i="1"/>
  <c r="B2720" i="1"/>
  <c r="C2719" i="1"/>
  <c r="B2719" i="1"/>
  <c r="C2718" i="1"/>
  <c r="B2718" i="1"/>
  <c r="C2717" i="1"/>
  <c r="B2717" i="1"/>
  <c r="C2716" i="1"/>
  <c r="B2716" i="1"/>
  <c r="C2715" i="1"/>
  <c r="B2715" i="1"/>
  <c r="C2714" i="1"/>
  <c r="B2714" i="1"/>
  <c r="C2713" i="1"/>
  <c r="B2713" i="1"/>
  <c r="C2712" i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84" i="1"/>
  <c r="B2684" i="1"/>
  <c r="C2683" i="1"/>
  <c r="B2683" i="1"/>
  <c r="C2682" i="1"/>
  <c r="B2682" i="1"/>
  <c r="C2681" i="1"/>
  <c r="B2681" i="1"/>
  <c r="C2680" i="1"/>
  <c r="B2680" i="1"/>
  <c r="C2679" i="1"/>
  <c r="B2679" i="1"/>
  <c r="C2678" i="1"/>
  <c r="B2678" i="1"/>
  <c r="C2677" i="1"/>
  <c r="B2677" i="1"/>
  <c r="C2676" i="1"/>
  <c r="B2676" i="1"/>
  <c r="C2675" i="1"/>
  <c r="B2675" i="1"/>
  <c r="C2674" i="1"/>
  <c r="B2674" i="1"/>
  <c r="C2673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2" i="1"/>
  <c r="B2602" i="1"/>
  <c r="C2601" i="1"/>
  <c r="B2601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7" i="1"/>
  <c r="B2587" i="1"/>
  <c r="C2586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C2579" i="1"/>
  <c r="B2579" i="1"/>
  <c r="C2578" i="1"/>
  <c r="B2578" i="1"/>
  <c r="C2577" i="1"/>
  <c r="B2577" i="1"/>
  <c r="C2576" i="1"/>
  <c r="C2575" i="1"/>
  <c r="B2575" i="1"/>
  <c r="C2574" i="1"/>
  <c r="B2574" i="1"/>
  <c r="C2571" i="1"/>
  <c r="B2571" i="1"/>
  <c r="C2570" i="1"/>
  <c r="B2570" i="1"/>
  <c r="C2569" i="1"/>
  <c r="B2569" i="1"/>
  <c r="C2566" i="1"/>
  <c r="B2566" i="1"/>
  <c r="C2565" i="1"/>
  <c r="B2565" i="1"/>
  <c r="C2564" i="1"/>
  <c r="B2564" i="1"/>
  <c r="C2563" i="1"/>
  <c r="B2563" i="1"/>
  <c r="C2561" i="1"/>
  <c r="B2561" i="1"/>
  <c r="C2560" i="1"/>
  <c r="B2560" i="1"/>
  <c r="C2559" i="1"/>
  <c r="B2559" i="1"/>
  <c r="C2557" i="1"/>
  <c r="B2557" i="1"/>
  <c r="C2555" i="1"/>
  <c r="B2555" i="1"/>
  <c r="C2551" i="1"/>
  <c r="B2551" i="1"/>
  <c r="C2550" i="1"/>
  <c r="B2550" i="1"/>
  <c r="C2549" i="1"/>
  <c r="B2549" i="1"/>
  <c r="C2547" i="1"/>
  <c r="B2547" i="1"/>
  <c r="C2546" i="1"/>
  <c r="B2546" i="1"/>
  <c r="C2545" i="1"/>
  <c r="B2545" i="1"/>
  <c r="C2544" i="1"/>
  <c r="B2544" i="1"/>
  <c r="C2543" i="1"/>
  <c r="B2543" i="1"/>
  <c r="C2525" i="1"/>
  <c r="B2525" i="1"/>
  <c r="C2523" i="1"/>
  <c r="B2523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B2514" i="1"/>
  <c r="C2512" i="1"/>
  <c r="B2512" i="1"/>
  <c r="C2511" i="1"/>
  <c r="B2511" i="1"/>
  <c r="C2510" i="1"/>
  <c r="B2510" i="1"/>
  <c r="C2509" i="1"/>
  <c r="B2509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8" i="1"/>
  <c r="B2458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5" i="1"/>
  <c r="C2434" i="1"/>
  <c r="C2432" i="1"/>
  <c r="B2432" i="1"/>
  <c r="C2431" i="1"/>
  <c r="B2431" i="1"/>
  <c r="B2429" i="1"/>
  <c r="C2428" i="1"/>
  <c r="B2428" i="1"/>
  <c r="C2427" i="1"/>
  <c r="C2426" i="1"/>
  <c r="B2426" i="1"/>
  <c r="C2425" i="1"/>
  <c r="B2425" i="1"/>
  <c r="C2424" i="1"/>
  <c r="B2424" i="1"/>
  <c r="C2423" i="1"/>
  <c r="B2423" i="1"/>
  <c r="C2420" i="1"/>
  <c r="B2420" i="1"/>
  <c r="C2419" i="1"/>
  <c r="B2419" i="1"/>
  <c r="C2418" i="1"/>
  <c r="B2418" i="1"/>
  <c r="C2416" i="1"/>
  <c r="B2416" i="1"/>
  <c r="C2415" i="1"/>
  <c r="B2415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B2407" i="1"/>
  <c r="C2406" i="1"/>
  <c r="B2406" i="1"/>
  <c r="C2405" i="1"/>
  <c r="B2405" i="1"/>
  <c r="B2404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1" i="1"/>
  <c r="B2331" i="1"/>
  <c r="C2330" i="1"/>
  <c r="B2330" i="1"/>
  <c r="C2329" i="1"/>
  <c r="B2329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49" i="1"/>
  <c r="B2249" i="1"/>
  <c r="C2248" i="1"/>
  <c r="B2248" i="1"/>
  <c r="C2247" i="1"/>
  <c r="B2247" i="1"/>
  <c r="C2246" i="1"/>
  <c r="B2246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C2211" i="1"/>
  <c r="B2211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B2200" i="1"/>
  <c r="C2197" i="1"/>
  <c r="B2197" i="1"/>
  <c r="C2196" i="1"/>
  <c r="B2196" i="1"/>
  <c r="C2195" i="1"/>
  <c r="B2195" i="1"/>
  <c r="C2193" i="1"/>
  <c r="B2193" i="1"/>
  <c r="C2192" i="1"/>
  <c r="B2192" i="1"/>
  <c r="C2191" i="1"/>
  <c r="B2191" i="1"/>
  <c r="C2189" i="1"/>
  <c r="B2189" i="1"/>
  <c r="C2188" i="1"/>
  <c r="B2188" i="1"/>
  <c r="B2186" i="1"/>
  <c r="C2185" i="1"/>
  <c r="B2185" i="1"/>
  <c r="C2184" i="1"/>
  <c r="B2184" i="1"/>
  <c r="C2183" i="1"/>
  <c r="B2183" i="1"/>
  <c r="C2182" i="1"/>
  <c r="B2182" i="1"/>
  <c r="B2181" i="1"/>
  <c r="B2180" i="1"/>
  <c r="B2179" i="1"/>
  <c r="B2178" i="1"/>
  <c r="C2175" i="1"/>
  <c r="B2175" i="1"/>
  <c r="C2174" i="1"/>
  <c r="B2174" i="1"/>
  <c r="B2173" i="1"/>
  <c r="C2172" i="1"/>
  <c r="B2172" i="1"/>
  <c r="C2171" i="1"/>
  <c r="B2171" i="1"/>
  <c r="B2170" i="1"/>
  <c r="B2169" i="1"/>
  <c r="B2168" i="1"/>
  <c r="C2167" i="1"/>
  <c r="B2167" i="1"/>
  <c r="C2166" i="1"/>
  <c r="B2166" i="1"/>
  <c r="B2165" i="1"/>
  <c r="C2164" i="1"/>
  <c r="B2164" i="1"/>
  <c r="C2163" i="1"/>
  <c r="B2163" i="1"/>
  <c r="C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B2147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B2138" i="1"/>
  <c r="C2137" i="1"/>
  <c r="B2137" i="1"/>
  <c r="C2135" i="1"/>
  <c r="B2135" i="1"/>
  <c r="C2134" i="1"/>
  <c r="B2134" i="1"/>
  <c r="C2133" i="1"/>
  <c r="B2133" i="1"/>
  <c r="B2131" i="1"/>
  <c r="B2130" i="1"/>
  <c r="B2129" i="1"/>
  <c r="B2128" i="1"/>
  <c r="C2127" i="1"/>
  <c r="B2127" i="1"/>
  <c r="C2126" i="1"/>
  <c r="B2126" i="1"/>
  <c r="C2125" i="1"/>
  <c r="B2125" i="1"/>
  <c r="C2124" i="1"/>
  <c r="B2124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3" i="1"/>
  <c r="B2113" i="1"/>
  <c r="C2111" i="1"/>
  <c r="B2111" i="1"/>
  <c r="C2109" i="1"/>
  <c r="B2109" i="1"/>
  <c r="C2108" i="1"/>
  <c r="B2108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B2039" i="1"/>
  <c r="C2036" i="1"/>
  <c r="B2036" i="1"/>
  <c r="C2035" i="1"/>
  <c r="B2035" i="1"/>
  <c r="C2034" i="1"/>
  <c r="B2034" i="1"/>
  <c r="C2033" i="1"/>
  <c r="B2033" i="1"/>
  <c r="C2031" i="1"/>
  <c r="B2031" i="1"/>
  <c r="B2030" i="1"/>
  <c r="B2028" i="1"/>
  <c r="B2027" i="1"/>
  <c r="B2026" i="1"/>
  <c r="C2025" i="1"/>
  <c r="B2025" i="1"/>
  <c r="C2021" i="1"/>
  <c r="B2021" i="1"/>
  <c r="C2018" i="1"/>
  <c r="B2013" i="1"/>
  <c r="B2012" i="1"/>
  <c r="B2011" i="1"/>
  <c r="C2010" i="1"/>
  <c r="B2010" i="1"/>
  <c r="C2009" i="1"/>
  <c r="B2009" i="1"/>
  <c r="C2008" i="1"/>
  <c r="B2008" i="1"/>
  <c r="C2007" i="1"/>
  <c r="B2007" i="1"/>
  <c r="C2006" i="1"/>
  <c r="B2006" i="1"/>
  <c r="C2004" i="1"/>
  <c r="B2004" i="1"/>
  <c r="C2003" i="1"/>
  <c r="B2003" i="1"/>
  <c r="C2002" i="1"/>
  <c r="B2002" i="1"/>
  <c r="C2001" i="1"/>
  <c r="B2001" i="1"/>
  <c r="B2000" i="1"/>
  <c r="C1999" i="1"/>
  <c r="B1999" i="1"/>
  <c r="B1998" i="1"/>
  <c r="B1997" i="1"/>
  <c r="C1996" i="1"/>
  <c r="B1996" i="1"/>
  <c r="C1995" i="1"/>
  <c r="B1995" i="1"/>
  <c r="C1994" i="1"/>
  <c r="B1994" i="1"/>
  <c r="B1993" i="1"/>
  <c r="B1992" i="1"/>
  <c r="C1991" i="1"/>
  <c r="C1990" i="1"/>
  <c r="B1990" i="1"/>
  <c r="C1988" i="1"/>
  <c r="B1988" i="1"/>
  <c r="C1987" i="1"/>
  <c r="B1987" i="1"/>
  <c r="C1986" i="1"/>
  <c r="B1986" i="1"/>
  <c r="C1985" i="1"/>
  <c r="B1985" i="1"/>
  <c r="C1984" i="1"/>
  <c r="B1984" i="1"/>
  <c r="B1982" i="1"/>
  <c r="C1981" i="1"/>
  <c r="B1981" i="1"/>
  <c r="B1980" i="1"/>
  <c r="C1979" i="1"/>
  <c r="B1979" i="1"/>
  <c r="B1978" i="1"/>
  <c r="C1977" i="1"/>
  <c r="B1977" i="1"/>
  <c r="C1975" i="1"/>
  <c r="B1975" i="1"/>
  <c r="C1974" i="1"/>
  <c r="B1974" i="1"/>
  <c r="C1973" i="1"/>
  <c r="B1973" i="1"/>
  <c r="C1971" i="1"/>
  <c r="B1971" i="1"/>
  <c r="C1970" i="1"/>
  <c r="C1969" i="1"/>
  <c r="B1969" i="1"/>
  <c r="C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B1955" i="1"/>
  <c r="B1954" i="1"/>
  <c r="C1953" i="1"/>
  <c r="B1953" i="1"/>
  <c r="C1952" i="1"/>
  <c r="B1952" i="1"/>
  <c r="C1948" i="1"/>
  <c r="B1948" i="1"/>
  <c r="C1947" i="1"/>
  <c r="B1947" i="1"/>
  <c r="C1946" i="1"/>
  <c r="B1946" i="1"/>
  <c r="C1945" i="1"/>
  <c r="B1945" i="1"/>
  <c r="C1943" i="1"/>
  <c r="B1943" i="1"/>
  <c r="C1942" i="1"/>
  <c r="B1942" i="1"/>
  <c r="C1941" i="1"/>
  <c r="B1941" i="1"/>
  <c r="B1940" i="1"/>
  <c r="C1939" i="1"/>
  <c r="B1939" i="1"/>
  <c r="C1938" i="1"/>
  <c r="B1938" i="1"/>
  <c r="C1936" i="1"/>
  <c r="B1936" i="1"/>
  <c r="C1934" i="1"/>
  <c r="B1934" i="1"/>
  <c r="C1933" i="1"/>
  <c r="B1933" i="1"/>
  <c r="C1931" i="1"/>
  <c r="B1931" i="1"/>
  <c r="C1930" i="1"/>
  <c r="B1930" i="1"/>
  <c r="C1929" i="1"/>
  <c r="B1929" i="1"/>
  <c r="C1928" i="1"/>
  <c r="B1928" i="1"/>
  <c r="C1927" i="1"/>
  <c r="B1927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C1879" i="1"/>
  <c r="B1879" i="1"/>
  <c r="C1877" i="1"/>
  <c r="B1877" i="1"/>
  <c r="C1876" i="1"/>
  <c r="B1876" i="1"/>
  <c r="C1875" i="1"/>
  <c r="B1875" i="1"/>
  <c r="C1872" i="1"/>
  <c r="B1872" i="1"/>
  <c r="C1871" i="1"/>
  <c r="B1871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0" i="1"/>
  <c r="B1860" i="1"/>
  <c r="C1859" i="1"/>
  <c r="B1859" i="1"/>
  <c r="C1858" i="1"/>
  <c r="C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6" i="1"/>
  <c r="B1816" i="1"/>
  <c r="C1815" i="1"/>
  <c r="B1815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B1805" i="1"/>
  <c r="C1804" i="1"/>
  <c r="B1804" i="1"/>
  <c r="B1803" i="1"/>
  <c r="C1802" i="1"/>
  <c r="B1802" i="1"/>
  <c r="C1801" i="1"/>
  <c r="B1801" i="1"/>
  <c r="C1800" i="1"/>
  <c r="B1800" i="1"/>
  <c r="C1799" i="1"/>
  <c r="B1799" i="1"/>
  <c r="C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B1789" i="1"/>
  <c r="C1787" i="1"/>
  <c r="B1787" i="1"/>
  <c r="B1786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69" i="1"/>
  <c r="B1769" i="1"/>
  <c r="C1768" i="1"/>
  <c r="B1768" i="1"/>
  <c r="C1766" i="1"/>
  <c r="B1766" i="1"/>
  <c r="C1765" i="1"/>
  <c r="B1765" i="1"/>
  <c r="C1764" i="1"/>
  <c r="B1764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48" i="1"/>
  <c r="B1748" i="1"/>
  <c r="B1747" i="1"/>
  <c r="C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7" i="1"/>
  <c r="B1737" i="1"/>
  <c r="C1736" i="1"/>
  <c r="B1736" i="1"/>
  <c r="C1734" i="1"/>
  <c r="B1734" i="1"/>
  <c r="C1733" i="1"/>
  <c r="B1733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4" i="1"/>
  <c r="B1724" i="1"/>
  <c r="C1721" i="1"/>
  <c r="B1721" i="1"/>
  <c r="C1720" i="1"/>
  <c r="B1720" i="1"/>
  <c r="C1719" i="1"/>
  <c r="B1719" i="1"/>
  <c r="C1717" i="1"/>
  <c r="B1717" i="1"/>
  <c r="C1716" i="1"/>
  <c r="B1716" i="1"/>
  <c r="C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B1708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2" i="1"/>
  <c r="B1682" i="1"/>
  <c r="C1681" i="1"/>
  <c r="B1681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5" i="1"/>
  <c r="B1655" i="1"/>
  <c r="C1654" i="1"/>
  <c r="B1654" i="1"/>
  <c r="C1653" i="1"/>
  <c r="B1653" i="1"/>
  <c r="C1652" i="1"/>
  <c r="B1652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B1641" i="1"/>
  <c r="C1640" i="1"/>
  <c r="B1640" i="1"/>
  <c r="C1639" i="1"/>
  <c r="B1639" i="1"/>
  <c r="C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B1623" i="1"/>
  <c r="C1620" i="1"/>
  <c r="B1620" i="1"/>
  <c r="C1617" i="1"/>
  <c r="B1617" i="1"/>
  <c r="C1616" i="1"/>
  <c r="B1616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B1598" i="1"/>
  <c r="C1597" i="1"/>
  <c r="B1597" i="1"/>
  <c r="C1596" i="1"/>
  <c r="B1596" i="1"/>
  <c r="C1594" i="1"/>
  <c r="B1594" i="1"/>
  <c r="C1593" i="1"/>
  <c r="B1593" i="1"/>
  <c r="C1592" i="1"/>
  <c r="B1592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09" i="1"/>
  <c r="B1509" i="1"/>
  <c r="C1508" i="1"/>
  <c r="B1508" i="1"/>
  <c r="C1507" i="1"/>
  <c r="B1507" i="1"/>
  <c r="C1505" i="1"/>
  <c r="B1505" i="1"/>
  <c r="C1504" i="1"/>
  <c r="B1504" i="1"/>
  <c r="C1503" i="1"/>
  <c r="B1503" i="1"/>
  <c r="C1502" i="1"/>
  <c r="B1502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C1490" i="1"/>
  <c r="B1490" i="1"/>
  <c r="C1486" i="1"/>
  <c r="B1486" i="1"/>
  <c r="C1485" i="1"/>
  <c r="B1485" i="1"/>
  <c r="C1484" i="1"/>
  <c r="B1484" i="1"/>
  <c r="C1482" i="1"/>
  <c r="B1482" i="1"/>
  <c r="C1481" i="1"/>
  <c r="B1481" i="1"/>
  <c r="C1480" i="1"/>
  <c r="B1480" i="1"/>
  <c r="C1479" i="1"/>
  <c r="B1479" i="1"/>
  <c r="C1477" i="1"/>
  <c r="B1477" i="1"/>
  <c r="C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C1468" i="1"/>
  <c r="B1468" i="1"/>
  <c r="C1467" i="1"/>
  <c r="B1467" i="1"/>
  <c r="C1466" i="1"/>
  <c r="B1466" i="1"/>
  <c r="C1465" i="1"/>
  <c r="B1465" i="1"/>
  <c r="C1464" i="1"/>
  <c r="B1464" i="1"/>
  <c r="C1463" i="1"/>
  <c r="C1461" i="1"/>
  <c r="B1460" i="1"/>
  <c r="C1459" i="1"/>
  <c r="B1459" i="1"/>
  <c r="C1458" i="1"/>
  <c r="B1458" i="1"/>
  <c r="C1457" i="1"/>
  <c r="B1457" i="1"/>
  <c r="B1456" i="1"/>
  <c r="C1425" i="1"/>
  <c r="B1425" i="1"/>
  <c r="C1424" i="1"/>
  <c r="B1424" i="1"/>
  <c r="C1423" i="1"/>
  <c r="B1423" i="1"/>
  <c r="C1422" i="1"/>
  <c r="B1422" i="1"/>
  <c r="C1421" i="1"/>
  <c r="B1421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B1397" i="1"/>
  <c r="C1396" i="1"/>
  <c r="B1396" i="1"/>
  <c r="B1395" i="1"/>
  <c r="B1394" i="1"/>
  <c r="C1387" i="1"/>
  <c r="B1387" i="1"/>
  <c r="B1386" i="1"/>
  <c r="C1384" i="1"/>
  <c r="B1384" i="1"/>
  <c r="C1378" i="1"/>
  <c r="C1374" i="1"/>
  <c r="B1361" i="1"/>
  <c r="C1360" i="1"/>
  <c r="B1360" i="1"/>
  <c r="B1359" i="1"/>
  <c r="B1357" i="1"/>
  <c r="C1353" i="1"/>
  <c r="C1352" i="1"/>
  <c r="C1351" i="1"/>
  <c r="B1350" i="1"/>
  <c r="B1349" i="1"/>
  <c r="C1348" i="1"/>
  <c r="B1348" i="1"/>
  <c r="C1347" i="1"/>
  <c r="B1347" i="1"/>
  <c r="C1346" i="1"/>
  <c r="B1346" i="1"/>
  <c r="B1344" i="1"/>
  <c r="B1343" i="1"/>
  <c r="C1342" i="1"/>
  <c r="B1342" i="1"/>
  <c r="B1340" i="1"/>
  <c r="B1338" i="1"/>
  <c r="B1337" i="1"/>
  <c r="C1336" i="1"/>
  <c r="B1336" i="1"/>
  <c r="C1335" i="1"/>
  <c r="B1335" i="1"/>
  <c r="B1333" i="1"/>
  <c r="C1332" i="1"/>
  <c r="C1331" i="1"/>
  <c r="C1328" i="1"/>
  <c r="B1328" i="1"/>
  <c r="C1327" i="1"/>
  <c r="B1327" i="1"/>
  <c r="B1326" i="1"/>
  <c r="B1325" i="1"/>
  <c r="C1324" i="1"/>
  <c r="C1323" i="1"/>
  <c r="B1323" i="1"/>
  <c r="B1321" i="1"/>
  <c r="C1317" i="1"/>
  <c r="B1317" i="1"/>
  <c r="C1316" i="1"/>
  <c r="B1316" i="1"/>
  <c r="C1315" i="1"/>
  <c r="B1315" i="1"/>
  <c r="C1313" i="1"/>
  <c r="B1313" i="1"/>
  <c r="C1312" i="1"/>
  <c r="B1312" i="1"/>
  <c r="C1307" i="1"/>
  <c r="B1307" i="1"/>
  <c r="C1306" i="1"/>
  <c r="B1306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7" i="1"/>
  <c r="B1257" i="1"/>
  <c r="C1256" i="1"/>
  <c r="B1256" i="1"/>
  <c r="C1255" i="1"/>
  <c r="B1255" i="1"/>
  <c r="C1254" i="1"/>
  <c r="C1253" i="1"/>
  <c r="B1253" i="1"/>
  <c r="C1252" i="1"/>
  <c r="B1252" i="1"/>
  <c r="C1251" i="1"/>
  <c r="C1250" i="1"/>
  <c r="B1250" i="1"/>
  <c r="C1249" i="1"/>
  <c r="B1249" i="1"/>
  <c r="C1248" i="1"/>
  <c r="C1247" i="1"/>
  <c r="B1247" i="1"/>
  <c r="B1246" i="1"/>
  <c r="B1245" i="1"/>
  <c r="B1243" i="1"/>
  <c r="B1242" i="1"/>
  <c r="B1241" i="1"/>
  <c r="C1240" i="1"/>
  <c r="B1240" i="1"/>
  <c r="C1239" i="1"/>
  <c r="B1239" i="1"/>
  <c r="B1238" i="1"/>
  <c r="C1237" i="1"/>
  <c r="B1237" i="1"/>
  <c r="C1236" i="1"/>
  <c r="B1236" i="1"/>
  <c r="C1235" i="1"/>
  <c r="B1235" i="1"/>
  <c r="B1234" i="1"/>
  <c r="B1233" i="1"/>
  <c r="C1231" i="1"/>
  <c r="B1231" i="1"/>
  <c r="C1229" i="1"/>
  <c r="C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C1214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1" i="1"/>
  <c r="B1191" i="1"/>
  <c r="C1190" i="1"/>
  <c r="B1190" i="1"/>
  <c r="C1189" i="1"/>
  <c r="B1189" i="1"/>
  <c r="C1187" i="1"/>
  <c r="B1187" i="1"/>
  <c r="C1186" i="1"/>
  <c r="B1186" i="1"/>
  <c r="C1185" i="1"/>
  <c r="B1185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B1173" i="1"/>
  <c r="C1172" i="1"/>
  <c r="B1172" i="1"/>
  <c r="C1171" i="1"/>
  <c r="B1171" i="1"/>
  <c r="C1168" i="1"/>
  <c r="B1168" i="1"/>
  <c r="C1166" i="1"/>
  <c r="B1166" i="1"/>
  <c r="C1165" i="1"/>
  <c r="B1165" i="1"/>
  <c r="C1164" i="1"/>
  <c r="B1164" i="1"/>
  <c r="C1163" i="1"/>
  <c r="B1163" i="1"/>
  <c r="C1161" i="1"/>
  <c r="B1161" i="1"/>
  <c r="C1160" i="1"/>
  <c r="B1160" i="1"/>
  <c r="C1159" i="1"/>
  <c r="B1159" i="1"/>
  <c r="C1158" i="1"/>
  <c r="B1158" i="1"/>
  <c r="C1157" i="1"/>
  <c r="B1157" i="1"/>
  <c r="C1152" i="1"/>
  <c r="B1152" i="1"/>
  <c r="C1151" i="1"/>
  <c r="B1151" i="1"/>
  <c r="C1148" i="1"/>
  <c r="B1148" i="1"/>
  <c r="C1147" i="1"/>
  <c r="B1147" i="1"/>
  <c r="C1145" i="1"/>
  <c r="B1145" i="1"/>
  <c r="C1144" i="1"/>
  <c r="B1144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C1122" i="1"/>
  <c r="B1122" i="1"/>
  <c r="C1121" i="1"/>
  <c r="B1121" i="1"/>
  <c r="C1119" i="1"/>
  <c r="B1119" i="1"/>
  <c r="C1118" i="1"/>
  <c r="B1118" i="1"/>
  <c r="C1117" i="1"/>
  <c r="B1117" i="1"/>
  <c r="C1116" i="1"/>
  <c r="B1116" i="1"/>
  <c r="C1114" i="1"/>
  <c r="B1114" i="1"/>
  <c r="C1113" i="1"/>
  <c r="B1113" i="1"/>
  <c r="C1111" i="1"/>
  <c r="C1110" i="1"/>
  <c r="C1108" i="1"/>
  <c r="B1108" i="1"/>
  <c r="C1107" i="1"/>
  <c r="B1107" i="1"/>
  <c r="C1106" i="1"/>
  <c r="B1106" i="1"/>
  <c r="C1105" i="1"/>
  <c r="C1104" i="1"/>
  <c r="B1104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2" i="1"/>
  <c r="B1082" i="1"/>
  <c r="C1081" i="1"/>
  <c r="B1081" i="1"/>
  <c r="C1080" i="1"/>
  <c r="B1080" i="1"/>
  <c r="C1079" i="1"/>
  <c r="B1079" i="1"/>
  <c r="C1078" i="1"/>
  <c r="B1078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7" i="1"/>
  <c r="B1067" i="1"/>
  <c r="C1065" i="1"/>
  <c r="B1065" i="1"/>
  <c r="C1064" i="1"/>
  <c r="B1064" i="1"/>
  <c r="C1063" i="1"/>
  <c r="B1063" i="1"/>
  <c r="C1059" i="1"/>
  <c r="B1056" i="1"/>
  <c r="B1054" i="1"/>
  <c r="B1053" i="1"/>
  <c r="B1052" i="1"/>
  <c r="B1051" i="1"/>
  <c r="C1049" i="1"/>
  <c r="B1049" i="1"/>
  <c r="C1048" i="1"/>
  <c r="B1048" i="1"/>
  <c r="C1047" i="1"/>
  <c r="B1047" i="1"/>
  <c r="C1046" i="1"/>
  <c r="B1046" i="1"/>
  <c r="C1045" i="1"/>
  <c r="B1045" i="1"/>
  <c r="B1044" i="1"/>
  <c r="C1041" i="1"/>
  <c r="B1041" i="1"/>
  <c r="C1040" i="1"/>
  <c r="B1040" i="1"/>
  <c r="B1037" i="1"/>
  <c r="C1036" i="1"/>
  <c r="B1036" i="1"/>
  <c r="C1034" i="1"/>
  <c r="B1034" i="1"/>
  <c r="C1033" i="1"/>
  <c r="B1033" i="1"/>
  <c r="C1032" i="1"/>
  <c r="B1032" i="1"/>
  <c r="C1031" i="1"/>
  <c r="B1031" i="1"/>
  <c r="C1030" i="1"/>
  <c r="B1030" i="1"/>
  <c r="C1029" i="1"/>
  <c r="C1027" i="1"/>
  <c r="B1027" i="1"/>
  <c r="C1026" i="1"/>
  <c r="B1026" i="1"/>
  <c r="C1025" i="1"/>
  <c r="B1025" i="1"/>
  <c r="C1024" i="1"/>
  <c r="B1024" i="1"/>
  <c r="B1023" i="1"/>
  <c r="C1022" i="1"/>
  <c r="B1022" i="1"/>
  <c r="C1021" i="1"/>
  <c r="B1021" i="1"/>
  <c r="C1019" i="1"/>
  <c r="B1019" i="1"/>
  <c r="C1018" i="1"/>
  <c r="B1018" i="1"/>
  <c r="C1017" i="1"/>
  <c r="B1017" i="1"/>
  <c r="C1016" i="1"/>
  <c r="B1016" i="1"/>
  <c r="C1013" i="1"/>
  <c r="B1013" i="1"/>
  <c r="C1012" i="1"/>
  <c r="B1012" i="1"/>
  <c r="C1009" i="1"/>
  <c r="B1009" i="1"/>
  <c r="C1008" i="1"/>
  <c r="B1008" i="1"/>
  <c r="B1007" i="1"/>
  <c r="C1006" i="1"/>
  <c r="B1006" i="1"/>
  <c r="C1005" i="1"/>
  <c r="B1005" i="1"/>
  <c r="C1003" i="1"/>
  <c r="B1003" i="1"/>
  <c r="B1001" i="1"/>
  <c r="C1000" i="1"/>
  <c r="B1000" i="1"/>
  <c r="C999" i="1"/>
  <c r="B999" i="1"/>
  <c r="C998" i="1"/>
  <c r="B998" i="1"/>
  <c r="B997" i="1"/>
  <c r="C996" i="1"/>
  <c r="B996" i="1"/>
  <c r="C995" i="1"/>
  <c r="B995" i="1"/>
  <c r="C994" i="1"/>
  <c r="B994" i="1"/>
  <c r="B993" i="1"/>
  <c r="C992" i="1"/>
  <c r="B992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69" i="1"/>
  <c r="B969" i="1"/>
  <c r="C968" i="1"/>
  <c r="B968" i="1"/>
  <c r="C967" i="1"/>
  <c r="B967" i="1"/>
  <c r="C966" i="1"/>
  <c r="B966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4" i="1"/>
  <c r="B944" i="1"/>
  <c r="C943" i="1"/>
  <c r="B943" i="1"/>
  <c r="C942" i="1"/>
  <c r="B942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19" i="1"/>
  <c r="B919" i="1"/>
  <c r="C918" i="1"/>
  <c r="B918" i="1"/>
  <c r="C917" i="1"/>
  <c r="B917" i="1"/>
  <c r="C916" i="1"/>
  <c r="B916" i="1"/>
  <c r="C914" i="1"/>
  <c r="B914" i="1"/>
  <c r="C913" i="1"/>
  <c r="B913" i="1"/>
  <c r="C912" i="1"/>
  <c r="B912" i="1"/>
  <c r="C911" i="1"/>
  <c r="C910" i="1"/>
  <c r="B910" i="1"/>
  <c r="C909" i="1"/>
  <c r="B909" i="1"/>
  <c r="C907" i="1"/>
  <c r="B907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4" i="1"/>
  <c r="B884" i="1"/>
  <c r="C883" i="1"/>
  <c r="B883" i="1"/>
  <c r="C882" i="1"/>
  <c r="B882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1" i="1"/>
  <c r="B871" i="1"/>
  <c r="C870" i="1"/>
  <c r="B870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58" i="1"/>
  <c r="B858" i="1"/>
  <c r="C857" i="1"/>
  <c r="B857" i="1"/>
  <c r="C855" i="1"/>
  <c r="C852" i="1"/>
  <c r="B852" i="1"/>
  <c r="C848" i="1"/>
  <c r="B848" i="1"/>
  <c r="C847" i="1"/>
  <c r="B847" i="1"/>
  <c r="C845" i="1"/>
  <c r="B845" i="1"/>
  <c r="C843" i="1"/>
  <c r="B843" i="1"/>
  <c r="C842" i="1"/>
  <c r="B842" i="1"/>
  <c r="C840" i="1"/>
  <c r="B840" i="1"/>
  <c r="C837" i="1"/>
  <c r="B837" i="1"/>
  <c r="C836" i="1"/>
  <c r="C834" i="1"/>
  <c r="B834" i="1"/>
  <c r="C833" i="1"/>
  <c r="B833" i="1"/>
  <c r="C830" i="1"/>
  <c r="B830" i="1"/>
  <c r="C829" i="1"/>
  <c r="B829" i="1"/>
  <c r="C828" i="1"/>
  <c r="B828" i="1"/>
  <c r="C827" i="1"/>
  <c r="B827" i="1"/>
  <c r="C825" i="1"/>
  <c r="B825" i="1"/>
  <c r="C824" i="1"/>
  <c r="B824" i="1"/>
  <c r="C823" i="1"/>
  <c r="B823" i="1"/>
  <c r="C822" i="1"/>
  <c r="B822" i="1"/>
  <c r="C818" i="1"/>
  <c r="B818" i="1"/>
  <c r="C814" i="1"/>
  <c r="B814" i="1"/>
  <c r="C813" i="1"/>
  <c r="B813" i="1"/>
  <c r="C811" i="1"/>
  <c r="B811" i="1"/>
  <c r="C810" i="1"/>
  <c r="B810" i="1"/>
  <c r="C809" i="1"/>
  <c r="B809" i="1"/>
  <c r="C808" i="1"/>
  <c r="B808" i="1"/>
  <c r="C807" i="1"/>
  <c r="B807" i="1"/>
  <c r="C804" i="1"/>
  <c r="B804" i="1"/>
  <c r="C802" i="1"/>
  <c r="B802" i="1"/>
  <c r="C801" i="1"/>
  <c r="B801" i="1"/>
  <c r="C800" i="1"/>
  <c r="B800" i="1"/>
  <c r="C799" i="1"/>
  <c r="B799" i="1"/>
  <c r="C797" i="1"/>
  <c r="B797" i="1"/>
  <c r="C796" i="1"/>
  <c r="B796" i="1"/>
  <c r="C795" i="1"/>
  <c r="B795" i="1"/>
  <c r="C792" i="1"/>
  <c r="B792" i="1"/>
  <c r="C791" i="1"/>
  <c r="B791" i="1"/>
  <c r="C790" i="1"/>
  <c r="B790" i="1"/>
  <c r="C788" i="1"/>
  <c r="B788" i="1"/>
  <c r="C787" i="1"/>
  <c r="B787" i="1"/>
  <c r="C786" i="1"/>
  <c r="B786" i="1"/>
  <c r="C784" i="1"/>
  <c r="B784" i="1"/>
  <c r="C782" i="1"/>
  <c r="B782" i="1"/>
  <c r="C776" i="1"/>
  <c r="B776" i="1"/>
  <c r="C774" i="1"/>
  <c r="B774" i="1"/>
  <c r="C771" i="1"/>
  <c r="B771" i="1"/>
  <c r="C768" i="1"/>
  <c r="B768" i="1"/>
  <c r="C767" i="1"/>
  <c r="B767" i="1"/>
  <c r="C763" i="1"/>
  <c r="B763" i="1"/>
  <c r="C761" i="1"/>
  <c r="B761" i="1"/>
  <c r="C756" i="1"/>
  <c r="B756" i="1"/>
  <c r="C755" i="1"/>
  <c r="B755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C736" i="1"/>
  <c r="C735" i="1"/>
  <c r="C733" i="1"/>
  <c r="B733" i="1"/>
  <c r="C731" i="1"/>
  <c r="B731" i="1"/>
  <c r="C730" i="1"/>
  <c r="B730" i="1"/>
  <c r="C729" i="1"/>
  <c r="B729" i="1"/>
  <c r="C728" i="1"/>
  <c r="B728" i="1"/>
  <c r="C725" i="1"/>
  <c r="B725" i="1"/>
  <c r="C724" i="1"/>
  <c r="B724" i="1"/>
  <c r="C723" i="1"/>
  <c r="B723" i="1"/>
  <c r="C722" i="1"/>
  <c r="B722" i="1"/>
  <c r="C721" i="1"/>
  <c r="B721" i="1"/>
  <c r="C717" i="1"/>
  <c r="B717" i="1"/>
  <c r="C716" i="1"/>
  <c r="B716" i="1"/>
  <c r="C715" i="1"/>
  <c r="B715" i="1"/>
  <c r="C713" i="1"/>
  <c r="B713" i="1"/>
  <c r="C712" i="1"/>
  <c r="C709" i="1"/>
  <c r="B709" i="1"/>
  <c r="C708" i="1"/>
  <c r="B708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8" i="1"/>
  <c r="B698" i="1"/>
  <c r="C697" i="1"/>
  <c r="B697" i="1"/>
  <c r="C696" i="1"/>
  <c r="B696" i="1"/>
  <c r="C693" i="1"/>
  <c r="B693" i="1"/>
  <c r="C692" i="1"/>
  <c r="B692" i="1"/>
  <c r="C691" i="1"/>
  <c r="B691" i="1"/>
  <c r="C690" i="1"/>
  <c r="B690" i="1"/>
  <c r="C688" i="1"/>
  <c r="B688" i="1"/>
  <c r="C687" i="1"/>
  <c r="B687" i="1"/>
  <c r="C686" i="1"/>
  <c r="B686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4" i="1"/>
  <c r="B664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5" i="1"/>
  <c r="B645" i="1"/>
  <c r="C644" i="1"/>
  <c r="B644" i="1"/>
  <c r="C643" i="1"/>
  <c r="B643" i="1"/>
  <c r="C637" i="1"/>
  <c r="B637" i="1"/>
  <c r="C635" i="1"/>
  <c r="B635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3" i="1"/>
  <c r="B623" i="1"/>
  <c r="C622" i="1"/>
  <c r="B622" i="1"/>
  <c r="C621" i="1"/>
  <c r="B621" i="1"/>
  <c r="C620" i="1"/>
  <c r="B620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08" i="1"/>
  <c r="B608" i="1"/>
  <c r="C605" i="1"/>
  <c r="B605" i="1"/>
  <c r="C604" i="1"/>
  <c r="B604" i="1"/>
  <c r="C603" i="1"/>
  <c r="B603" i="1"/>
  <c r="C602" i="1"/>
  <c r="B602" i="1"/>
  <c r="C600" i="1"/>
  <c r="B600" i="1"/>
  <c r="C598" i="1"/>
  <c r="B598" i="1"/>
  <c r="C596" i="1"/>
  <c r="B596" i="1"/>
  <c r="C595" i="1"/>
  <c r="B595" i="1"/>
  <c r="C591" i="1"/>
  <c r="B591" i="1"/>
  <c r="C590" i="1"/>
  <c r="B590" i="1"/>
  <c r="C589" i="1"/>
  <c r="B589" i="1"/>
  <c r="C588" i="1"/>
  <c r="B588" i="1"/>
  <c r="C586" i="1"/>
  <c r="B586" i="1"/>
  <c r="C585" i="1"/>
  <c r="B585" i="1"/>
  <c r="C584" i="1"/>
  <c r="B584" i="1"/>
  <c r="C583" i="1"/>
  <c r="B583" i="1"/>
  <c r="C581" i="1"/>
  <c r="B581" i="1"/>
  <c r="C579" i="1"/>
  <c r="B579" i="1"/>
  <c r="C576" i="1"/>
  <c r="B576" i="1"/>
  <c r="C575" i="1"/>
  <c r="B575" i="1"/>
  <c r="C574" i="1"/>
  <c r="B574" i="1"/>
  <c r="C573" i="1"/>
  <c r="B573" i="1"/>
  <c r="C568" i="1"/>
  <c r="B568" i="1"/>
  <c r="C567" i="1"/>
  <c r="B567" i="1"/>
  <c r="C563" i="1"/>
  <c r="B563" i="1"/>
  <c r="C562" i="1"/>
  <c r="B562" i="1"/>
  <c r="C561" i="1"/>
  <c r="B561" i="1"/>
  <c r="C560" i="1"/>
  <c r="B560" i="1"/>
  <c r="C556" i="1"/>
  <c r="B556" i="1"/>
  <c r="C553" i="1"/>
  <c r="B553" i="1"/>
  <c r="C552" i="1"/>
  <c r="B552" i="1"/>
  <c r="C550" i="1"/>
  <c r="B550" i="1"/>
  <c r="C548" i="1"/>
  <c r="B548" i="1"/>
  <c r="C545" i="1"/>
  <c r="B545" i="1"/>
  <c r="C544" i="1"/>
  <c r="B544" i="1"/>
  <c r="C534" i="1"/>
  <c r="B534" i="1"/>
  <c r="C533" i="1"/>
  <c r="B533" i="1"/>
  <c r="C532" i="1"/>
  <c r="B532" i="1"/>
  <c r="C531" i="1"/>
  <c r="B531" i="1"/>
  <c r="C527" i="1"/>
  <c r="B527" i="1"/>
  <c r="C526" i="1"/>
  <c r="B526" i="1"/>
  <c r="C524" i="1"/>
  <c r="B524" i="1"/>
  <c r="C522" i="1"/>
  <c r="B522" i="1"/>
  <c r="C521" i="1"/>
  <c r="B521" i="1"/>
  <c r="C520" i="1"/>
  <c r="B520" i="1"/>
  <c r="C519" i="1"/>
  <c r="B519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3" i="1"/>
  <c r="B503" i="1"/>
  <c r="C495" i="1"/>
  <c r="B495" i="1"/>
  <c r="C494" i="1"/>
  <c r="B494" i="1"/>
  <c r="C493" i="1"/>
  <c r="B493" i="1"/>
  <c r="C490" i="1"/>
  <c r="B490" i="1"/>
  <c r="C489" i="1"/>
  <c r="B489" i="1"/>
  <c r="C488" i="1"/>
  <c r="B488" i="1"/>
  <c r="C487" i="1"/>
  <c r="B487" i="1"/>
  <c r="C485" i="1"/>
  <c r="B485" i="1"/>
  <c r="C484" i="1"/>
  <c r="B484" i="1"/>
  <c r="C483" i="1"/>
  <c r="B483" i="1"/>
  <c r="C482" i="1"/>
  <c r="B482" i="1"/>
  <c r="C480" i="1"/>
  <c r="B480" i="1"/>
  <c r="C479" i="1"/>
  <c r="B479" i="1"/>
  <c r="C476" i="1"/>
  <c r="B476" i="1"/>
  <c r="C467" i="1"/>
  <c r="B467" i="1"/>
  <c r="C464" i="1"/>
  <c r="B464" i="1"/>
  <c r="C461" i="1"/>
  <c r="B461" i="1"/>
  <c r="C460" i="1"/>
  <c r="B460" i="1"/>
  <c r="C452" i="1"/>
  <c r="B452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3" i="1"/>
  <c r="B443" i="1"/>
  <c r="C442" i="1"/>
  <c r="B442" i="1"/>
  <c r="C441" i="1"/>
  <c r="B441" i="1"/>
  <c r="C438" i="1"/>
  <c r="B438" i="1"/>
  <c r="C437" i="1"/>
  <c r="B437" i="1"/>
  <c r="C436" i="1"/>
  <c r="B436" i="1"/>
  <c r="C435" i="1"/>
  <c r="B435" i="1"/>
  <c r="C434" i="1"/>
  <c r="B434" i="1"/>
  <c r="C432" i="1"/>
  <c r="B432" i="1"/>
  <c r="C430" i="1"/>
  <c r="B430" i="1"/>
  <c r="C429" i="1"/>
  <c r="B429" i="1"/>
  <c r="C428" i="1"/>
  <c r="B428" i="1"/>
  <c r="C425" i="1"/>
  <c r="B425" i="1"/>
  <c r="C424" i="1"/>
  <c r="B424" i="1"/>
  <c r="C421" i="1"/>
  <c r="B421" i="1"/>
  <c r="C419" i="1"/>
  <c r="B419" i="1"/>
  <c r="C418" i="1"/>
  <c r="B418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78" i="1"/>
  <c r="B378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59" i="1"/>
  <c r="B359" i="1"/>
  <c r="C358" i="1"/>
  <c r="B358" i="1"/>
  <c r="C357" i="1"/>
  <c r="B357" i="1"/>
  <c r="C354" i="1"/>
  <c r="B354" i="1"/>
  <c r="C348" i="1"/>
  <c r="B348" i="1"/>
  <c r="C347" i="1"/>
  <c r="B347" i="1"/>
  <c r="C343" i="1"/>
  <c r="B343" i="1"/>
  <c r="C342" i="1"/>
  <c r="B342" i="1"/>
  <c r="C340" i="1"/>
  <c r="B340" i="1"/>
  <c r="C338" i="1"/>
  <c r="B338" i="1"/>
  <c r="C335" i="1"/>
  <c r="B335" i="1"/>
  <c r="C334" i="1"/>
  <c r="B334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4" i="1"/>
  <c r="B294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7" i="1"/>
  <c r="B257" i="1"/>
  <c r="C256" i="1"/>
  <c r="B256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C246" i="1"/>
  <c r="B246" i="1"/>
  <c r="C244" i="1"/>
  <c r="B244" i="1"/>
  <c r="C243" i="1"/>
  <c r="B243" i="1"/>
  <c r="C241" i="1"/>
  <c r="B241" i="1"/>
  <c r="C239" i="1"/>
  <c r="B239" i="1"/>
  <c r="C238" i="1"/>
  <c r="B238" i="1"/>
  <c r="C237" i="1"/>
  <c r="B237" i="1"/>
  <c r="C236" i="1"/>
  <c r="B236" i="1"/>
  <c r="B235" i="1"/>
  <c r="C234" i="1"/>
  <c r="B234" i="1"/>
  <c r="C233" i="1"/>
  <c r="B233" i="1"/>
  <c r="C232" i="1"/>
  <c r="B232" i="1"/>
  <c r="C231" i="1"/>
  <c r="B231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B223" i="1"/>
  <c r="B222" i="1"/>
  <c r="C219" i="1"/>
  <c r="B219" i="1"/>
  <c r="C218" i="1"/>
  <c r="B218" i="1"/>
  <c r="C217" i="1"/>
  <c r="B217" i="1"/>
  <c r="C215" i="1"/>
  <c r="B215" i="1"/>
  <c r="C214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B206" i="1"/>
  <c r="C205" i="1"/>
  <c r="B205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B192" i="1"/>
  <c r="C191" i="1"/>
  <c r="B191" i="1"/>
  <c r="C190" i="1"/>
  <c r="B190" i="1"/>
  <c r="C189" i="1"/>
  <c r="B189" i="1"/>
  <c r="B187" i="1"/>
  <c r="C185" i="1"/>
  <c r="B185" i="1"/>
  <c r="B184" i="1"/>
  <c r="B183" i="1"/>
  <c r="C182" i="1"/>
  <c r="B182" i="1"/>
  <c r="C180" i="1"/>
  <c r="B180" i="1"/>
  <c r="C179" i="1"/>
  <c r="B179" i="1"/>
  <c r="C178" i="1"/>
  <c r="C177" i="1"/>
  <c r="B177" i="1"/>
  <c r="C176" i="1"/>
  <c r="B176" i="1"/>
  <c r="C174" i="1"/>
  <c r="B174" i="1"/>
  <c r="C173" i="1"/>
  <c r="B173" i="1"/>
  <c r="C172" i="1"/>
  <c r="B172" i="1"/>
  <c r="C171" i="1"/>
  <c r="B171" i="1"/>
  <c r="B170" i="1"/>
  <c r="C169" i="1"/>
  <c r="B168" i="1"/>
  <c r="B167" i="1"/>
  <c r="C166" i="1"/>
  <c r="B166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B154" i="1"/>
  <c r="B153" i="1"/>
  <c r="C152" i="1"/>
  <c r="B152" i="1"/>
  <c r="C151" i="1"/>
  <c r="B151" i="1"/>
  <c r="C150" i="1"/>
  <c r="B150" i="1"/>
  <c r="C149" i="1"/>
  <c r="B149" i="1"/>
  <c r="C148" i="1"/>
  <c r="B148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B125" i="1"/>
  <c r="C124" i="1"/>
  <c r="B124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0" i="1"/>
  <c r="B70" i="1"/>
  <c r="B68" i="1"/>
  <c r="C65" i="1"/>
  <c r="C61" i="1"/>
  <c r="C60" i="1"/>
  <c r="C51" i="1"/>
  <c r="C48" i="1"/>
  <c r="B48" i="1"/>
  <c r="C42" i="1"/>
  <c r="B42" i="1"/>
  <c r="C41" i="1"/>
  <c r="B41" i="1"/>
  <c r="C40" i="1"/>
  <c r="C39" i="1"/>
  <c r="C36" i="1"/>
  <c r="B36" i="1"/>
  <c r="B34" i="1"/>
  <c r="B33" i="1"/>
  <c r="B32" i="1"/>
  <c r="C31" i="1"/>
  <c r="B31" i="1"/>
  <c r="B30" i="1"/>
  <c r="B26" i="1"/>
  <c r="C25" i="1"/>
  <c r="B25" i="1"/>
  <c r="C24" i="1"/>
  <c r="B24" i="1"/>
  <c r="C23" i="1"/>
  <c r="B23" i="1"/>
  <c r="C22" i="1"/>
  <c r="B22" i="1"/>
  <c r="C17" i="1"/>
  <c r="B17" i="1"/>
  <c r="C14" i="1"/>
  <c r="B14" i="1"/>
  <c r="C13" i="1"/>
  <c r="B13" i="1"/>
  <c r="C10" i="1"/>
  <c r="B10" i="1"/>
</calcChain>
</file>

<file path=xl/sharedStrings.xml><?xml version="1.0" encoding="utf-8"?>
<sst xmlns="http://schemas.openxmlformats.org/spreadsheetml/2006/main" count="27654" uniqueCount="14180">
  <si>
    <t>Tipo de producto</t>
  </si>
  <si>
    <t>Código Barras</t>
  </si>
  <si>
    <t>SKU</t>
  </si>
  <si>
    <t>Variante</t>
  </si>
  <si>
    <t>Precio Venta</t>
  </si>
  <si>
    <t>ACCESORIO</t>
  </si>
  <si>
    <t>AC007A</t>
  </si>
  <si>
    <t>ABRAZADERA 0/0 28*39 1.1/8-1.1/2</t>
  </si>
  <si>
    <t>0E</t>
  </si>
  <si>
    <t>AC008</t>
  </si>
  <si>
    <t>ABRAZADERA 0E DELG. HOMOC. 32-34mm</t>
  </si>
  <si>
    <t>AC 007</t>
  </si>
  <si>
    <t>AC007</t>
  </si>
  <si>
    <t>ABRAZADERA 1 24-32MM 1-1.1/4</t>
  </si>
  <si>
    <t>AC009</t>
  </si>
  <si>
    <t>ABRAZADERA 1 32-52 1. 1/4-2</t>
  </si>
  <si>
    <t>ABRAZ1</t>
  </si>
  <si>
    <t>ABRAZADERA 1 HOMOC. 32-52</t>
  </si>
  <si>
    <t>ABRA1</t>
  </si>
  <si>
    <t>ABRAZADERA 1-0 MANGUERA BENC.</t>
  </si>
  <si>
    <t>AC010</t>
  </si>
  <si>
    <t>ABRAZADERA 1/E 41-56mm</t>
  </si>
  <si>
    <t>ac002</t>
  </si>
  <si>
    <t>AC002</t>
  </si>
  <si>
    <t>ABRAZADERA 10-16mm 1/2-5/8</t>
  </si>
  <si>
    <t>ABRAZADERA 12MM</t>
  </si>
  <si>
    <t>AC003</t>
  </si>
  <si>
    <t>ABRAZADERA 13-18MM 1/2-11/16</t>
  </si>
  <si>
    <t>AC004</t>
  </si>
  <si>
    <t>ABRAZADERA 16-22mm 5/8-7/8</t>
  </si>
  <si>
    <t>ABRAZADERA 16MM</t>
  </si>
  <si>
    <t>ABRAZADERA 1E 41-56</t>
  </si>
  <si>
    <t>AC011</t>
  </si>
  <si>
    <t>ABRAZADERA 2 HOMOC. 47-67</t>
  </si>
  <si>
    <t>AC005</t>
  </si>
  <si>
    <t>ABRAZADERA 3/0 19-22MM 3/4-7/8</t>
  </si>
  <si>
    <t>ABRAZADERA BOMBA DIR SAIL 1.4</t>
  </si>
  <si>
    <t>ABRHOM3</t>
  </si>
  <si>
    <t>ABRAZADERA HOMC 3</t>
  </si>
  <si>
    <t>ABRHOM4</t>
  </si>
  <si>
    <t>ABRAZADERA HOMOC. 4</t>
  </si>
  <si>
    <t>ABRHOM5</t>
  </si>
  <si>
    <t>ABRAZADERA HOMOC. 5</t>
  </si>
  <si>
    <t>ABRHOM6</t>
  </si>
  <si>
    <t>ABRAZADERA HOMOC. 6</t>
  </si>
  <si>
    <t>ACCESORIO SEGURO VENTANA H-100</t>
  </si>
  <si>
    <t>LUBRICANTE</t>
  </si>
  <si>
    <t>ACEITE 10W40 MAXLIFE 4 LITRO</t>
  </si>
  <si>
    <t>ACEITE 15W40 ALL- FLEET 4 LITRO</t>
  </si>
  <si>
    <t>ACEITE 20 W 50 MOTORCRAFT 1LTRS</t>
  </si>
  <si>
    <t>AC2T</t>
  </si>
  <si>
    <t>ACEITE 2T OPTIMUS 1 LT</t>
  </si>
  <si>
    <t>AUS00701L+4</t>
  </si>
  <si>
    <t>ACEITE AMALIE ATF + 4 1 LT.</t>
  </si>
  <si>
    <t>ACATF1LT</t>
  </si>
  <si>
    <t>ACEITE ATF 76 1 LT.</t>
  </si>
  <si>
    <t>MAGN1040LT</t>
  </si>
  <si>
    <t>ACEITE CASTROL 10W40 MAGNATEC 1 LT.</t>
  </si>
  <si>
    <t>MAGNATEC10W40</t>
  </si>
  <si>
    <t>ACEITE CASTROL 10W40 MAGNATEC 3.78LT.</t>
  </si>
  <si>
    <t>ACEITE CASTROL 15W40 CRB MULTI DIESEL 3.78 LT</t>
  </si>
  <si>
    <t>VECTON15W40</t>
  </si>
  <si>
    <t>ACEITE CASTROL 15W40 VECTON CI4 DIESEL 3.78LT</t>
  </si>
  <si>
    <t>GTX20W50</t>
  </si>
  <si>
    <t>ACEITE CASTROL 20W50 GTX 3.78LT</t>
  </si>
  <si>
    <t>EDGE5W30</t>
  </si>
  <si>
    <t>ACEITE CASTROL 5W30 EDGE 4LT.</t>
  </si>
  <si>
    <t>FD0W204LT</t>
  </si>
  <si>
    <t>ACEITE FEDERAL 0W20 ROYAL SYNTHETIC ADVANCED VERDE 4 LT</t>
  </si>
  <si>
    <t>ACEITE FEDERAL 10W30 PLATINUM 1 LT</t>
  </si>
  <si>
    <t>RAL10W304LT</t>
  </si>
  <si>
    <t>PR46364</t>
  </si>
  <si>
    <t>ACEITE FEDERAL 10W30 SPLATINUM SYNTHETIC BLEND 4 LT</t>
  </si>
  <si>
    <t>FED1040L</t>
  </si>
  <si>
    <t>ACEITE FEDERAL 10W40 1 LT</t>
  </si>
  <si>
    <t>ACF1040-4</t>
  </si>
  <si>
    <t>ACEITE FEDERAL 10W40 4 LT.</t>
  </si>
  <si>
    <t>ACFED1040B</t>
  </si>
  <si>
    <t>ACEITE FEDERAL 10W40 BALDE</t>
  </si>
  <si>
    <t>ACEITE FEDERAL 10W40 MAXXUM ULTRA FULL SYNTHETIC BALDE</t>
  </si>
  <si>
    <t>ACEITE FEDERAL 10W40 PLATINUM 4 LT</t>
  </si>
  <si>
    <t>ACF</t>
  </si>
  <si>
    <t>ACEITE FEDERAL 10W40 SUPER 1LTR</t>
  </si>
  <si>
    <t>acf1540-1</t>
  </si>
  <si>
    <t>ACF1540-1</t>
  </si>
  <si>
    <t>ACEITE FEDERAL 15 W 40 1 LT. SUPER</t>
  </si>
  <si>
    <t>ACFED1540B</t>
  </si>
  <si>
    <t>ACDFED1540B</t>
  </si>
  <si>
    <t>ACEITE FEDERAL 15W40 BALDE</t>
  </si>
  <si>
    <t>ACF1540-4</t>
  </si>
  <si>
    <t>ACEITE FEDERAL 15W40 GALON</t>
  </si>
  <si>
    <t>acfed15/40max</t>
  </si>
  <si>
    <t>PR49535</t>
  </si>
  <si>
    <t>ACEITE FEDERAL 15W40 MAXXUM CON DPF DIESEL 4 LT</t>
  </si>
  <si>
    <t>ACEITE FEDERAL 15W40 SUPER 1 LT.</t>
  </si>
  <si>
    <t>ACF2050-1</t>
  </si>
  <si>
    <t>Acf2050-1</t>
  </si>
  <si>
    <t>ACEITE FEDERAL 20W50 1 LT</t>
  </si>
  <si>
    <t>balde2050</t>
  </si>
  <si>
    <t>ACFED2050B</t>
  </si>
  <si>
    <t>ACEITE FEDERAL 20W50 BALDE</t>
  </si>
  <si>
    <t>ACF2050-4</t>
  </si>
  <si>
    <t>ACEITE FEDERAL 20W50 GL.</t>
  </si>
  <si>
    <t>fp5w204</t>
  </si>
  <si>
    <t>FP5W204</t>
  </si>
  <si>
    <t>ACEITE FEDERAL 5W20 PLATINUM 4 LT.</t>
  </si>
  <si>
    <t>FED5204</t>
  </si>
  <si>
    <t>ACEITE FEDERAL 5W20 ROYAL SYNTHETIC ADVANCE 4 LT.</t>
  </si>
  <si>
    <t>FED5W30</t>
  </si>
  <si>
    <t>PR/46370</t>
  </si>
  <si>
    <t>ACEITE FEDERAL 5W30 FULLY SYNTHETIC CON DPF AZUL 4 LT.</t>
  </si>
  <si>
    <t>AFP530G</t>
  </si>
  <si>
    <t>ACEITE FEDERAL 5W30 PLATINUM GL.</t>
  </si>
  <si>
    <t>ACF530DPF-1</t>
  </si>
  <si>
    <t>ACEITE FEDERAL 5W30 ROYAL SYNTEHETIC DPF AZUL 1 LT.</t>
  </si>
  <si>
    <t>ACF530ADV-1</t>
  </si>
  <si>
    <t>PR46459</t>
  </si>
  <si>
    <t>ACEITE FEDERAL 5W30 ROYAL SYNTHETIC ADVANCED VERDE 1 LT.</t>
  </si>
  <si>
    <t>PR46460</t>
  </si>
  <si>
    <t>ACFR5304LT</t>
  </si>
  <si>
    <t>ACEITE FEDERAL 5W30 ROYAL SYNTHETIC ADVANCED VERDE 4LT.</t>
  </si>
  <si>
    <t>MO/21500</t>
  </si>
  <si>
    <t>PR49793</t>
  </si>
  <si>
    <t>ACEITE FEDERAL 75W80 API GL-4 1LT.</t>
  </si>
  <si>
    <t>MO/23051</t>
  </si>
  <si>
    <t>ACEITE FEDERAL 75W85 EXTRA GEAR FULL SYNTHETIC1 LT.</t>
  </si>
  <si>
    <t>FED75901</t>
  </si>
  <si>
    <t>ACEITE FEDERAL 75W90 FULL SYN GEAR LS API GL-5 1 LT.</t>
  </si>
  <si>
    <t>ACF7590-1</t>
  </si>
  <si>
    <t>PR46393</t>
  </si>
  <si>
    <t>ACEITE FEDERAL 75W90 SUPER GEAR LUBE 1 LT.</t>
  </si>
  <si>
    <t>ACF8090-1</t>
  </si>
  <si>
    <t>PR46528</t>
  </si>
  <si>
    <t>ACEITE FEDERAL 80W90 1 LT.</t>
  </si>
  <si>
    <t>TINETA</t>
  </si>
  <si>
    <t>ACFEDATB</t>
  </si>
  <si>
    <t>ACEITE FEDERAL ATF TYPE A BALDE 20 LITRO</t>
  </si>
  <si>
    <t>ACFATF-1</t>
  </si>
  <si>
    <t>ACEITE FEDERAL ATF DEXRON III 1LT.</t>
  </si>
  <si>
    <t>ACFEDATFVI</t>
  </si>
  <si>
    <t>ACFDATFVI</t>
  </si>
  <si>
    <t>ACEITE FEDERAL ATF DEXRON VI 1 LT.</t>
  </si>
  <si>
    <t>ACFATFA</t>
  </si>
  <si>
    <t>PR46408</t>
  </si>
  <si>
    <t>ACEITE FEDERAL ATF TYPE A 1 LT.</t>
  </si>
  <si>
    <t>HAVOLINE ATF</t>
  </si>
  <si>
    <t>ACEITE HAVOLINE ATF PLUS 4</t>
  </si>
  <si>
    <t>ACHY1540</t>
  </si>
  <si>
    <t>ACEITE HYUNDAI 15W40 DIESEL 6 LT.</t>
  </si>
  <si>
    <t>ACEITE KENDALL 5W20 GT-1 1 LT.</t>
  </si>
  <si>
    <t>ACK5301L</t>
  </si>
  <si>
    <t>ACEITE KENDALL 5W30 1 LT GT-1 SYN EURO</t>
  </si>
  <si>
    <t>ACEITE KENDALL ATF VERSATRANS 1 LT.</t>
  </si>
  <si>
    <t>ACEITE LIQUI MOLY 0W20 SPECIAL TEC 4LT.</t>
  </si>
  <si>
    <t>ACEITE LIQUI MOLY 0W20 TOP TEC 6600 5 LT</t>
  </si>
  <si>
    <t>ACEITE LIQUI MOLY 10W30 SPECIAL TEC AA 4 LT.</t>
  </si>
  <si>
    <t>ACEITE LIQUI MOLY 10W40 1 LT SUPER LEICHTLAUF</t>
  </si>
  <si>
    <t>ACEITE LIQUI MOLY 10W40 DIESEL DPF 20 LT.</t>
  </si>
  <si>
    <t>ACEITE LIQUI MOLY 10W40 LEICHTLAUF PERFOMANCE 4 LT.</t>
  </si>
  <si>
    <t>ACEITE LIQUI MOLY 10W40 MOS2 LEICHTAUF 4LT.</t>
  </si>
  <si>
    <t>ACEITE LIQUI MOLY 10W40 MOS2 LEICHTLAUF 1 LT</t>
  </si>
  <si>
    <t>ACEITE LIQUI MOLY 10W40 MOS2 LEICHTLAUF 5 LT.</t>
  </si>
  <si>
    <t>ACEITE LIQUI MOLY 10W40 SUPER LEICHTLAUF 5 LT</t>
  </si>
  <si>
    <t>ACEITE LIQUI MOLY 10W40 SUPER LEICHTLAUF 1 LT</t>
  </si>
  <si>
    <t>ACEITE LIQUI MOLY 10W40 SUPER LEICHTLAUF 4LT</t>
  </si>
  <si>
    <t>ADITIVO</t>
  </si>
  <si>
    <t>ACEITE LIQUI MOLY 10W60 SYNTHOIL RACE TECH GT1 5 LT.</t>
  </si>
  <si>
    <t>ACEITE LIQUI MOLY 15W40 DIESEL TOURING HIGH TECH 5 LT</t>
  </si>
  <si>
    <t>ACEITE LIQUI MOLY 15W40 TOURING HIGH TECH 5 LT.</t>
  </si>
  <si>
    <t>ACEITE LIQUI MOLY 15W40 TOURING HIGH TECH DIESEL 1 LT</t>
  </si>
  <si>
    <t>ACEITE LIQUI MOLY 15W40 TOURING TECH MOTOROIL 4 LT.</t>
  </si>
  <si>
    <t>ACEITE LIQUI MOLY 20W50 1 LT</t>
  </si>
  <si>
    <t>ACEITE LIQUI MOLY 20W50 TOURING HIGH TECH 4 LT.</t>
  </si>
  <si>
    <t>ACEITE LIQUI MOLY 20W50 TOURING HIGH TECH 5 LT.</t>
  </si>
  <si>
    <t>ACEITE LIQUI MOLY 5 W 40 TOP TEC 4100 4 LT.</t>
  </si>
  <si>
    <t>ACEITE LIQUI MOLY 5W20 1 LT.</t>
  </si>
  <si>
    <t>ACEITE LIQUI MOLY 5W20 SPECIAL TEC 4 LT</t>
  </si>
  <si>
    <t>ACEITE LIQUI MOLY 5W30 5 LITROS</t>
  </si>
  <si>
    <t>ACEITE LIQUI MOLY 5W30 1 LT. TOP TEC 4200</t>
  </si>
  <si>
    <t>ACEITE LIQUI MOLY 5W30 1LT TOP TEC 4300</t>
  </si>
  <si>
    <t>ACEITE LIQUI MOLY 5W30 LEICHTLAUF PERFOMANCE 4 LT</t>
  </si>
  <si>
    <t>ACEITE LIQUI MOLY 5W30 LONGTIME HIGH TECH 5 LT.</t>
  </si>
  <si>
    <t>ACEITE LIQUI MOLY 5W30 LONGTIME HIGH TECH 1 LT.</t>
  </si>
  <si>
    <t>ACEITE LIQUI MOLY 5W30 LONGTIME HIGH TECH 4 LT</t>
  </si>
  <si>
    <t>ACEITE LIQUI MOLY 5W30 MOLYGEN 4LT</t>
  </si>
  <si>
    <t>ACEITE LIQUI MOLY 5W30 MOLYGEN NEW GENERATION DPF 1 LT</t>
  </si>
  <si>
    <t>ACEITE LIQUI MOLY 5W30 MOLYGEN NEW GENERATION DPF 4 LT</t>
  </si>
  <si>
    <t>ACEITE LIQUI MOLY 5W30 SPECIAL TEC 5LT.</t>
  </si>
  <si>
    <t>ACEITE LIQUI MOLY 5W30 TOP TEC 4200 4 LT</t>
  </si>
  <si>
    <t>ACEITE LIQUI MOLY 5W30 TOP TEC 4200 5 LT</t>
  </si>
  <si>
    <t>ACEITE LIQUI MOLY 5W30 TOP TEC 4300 5 LT.</t>
  </si>
  <si>
    <t>ACEITE LIQUI MOLY 5W40 1 LT. TOP TEC</t>
  </si>
  <si>
    <t>ACEITE LIQUI MOLY 5W40 LEICHTLAUF HIGH TECH 1 LT.</t>
  </si>
  <si>
    <t>ACEITE LIQUI MOLY 5W40 LEICTLAUF HIG TECH 4LT</t>
  </si>
  <si>
    <t>ACEITE LIQUI MOLY 5W40 TOP TEC 4100 1 LT.</t>
  </si>
  <si>
    <t>ACLQ5400</t>
  </si>
  <si>
    <t>ACEITE LIQUI MOLY 5W40 TOP TEC 4100 4LT.</t>
  </si>
  <si>
    <t>ACEITE LIQUI MOLY 5W40 TOP TEC 4100 5LT.</t>
  </si>
  <si>
    <t>ACEITE LIQUY MOLY 5W30 SPECIAL TEC 5 LT.</t>
  </si>
  <si>
    <t>ACEITE MANDO 10W40 4 LT.</t>
  </si>
  <si>
    <t>ACEITE MANDO 20W50 4 LT.</t>
  </si>
  <si>
    <t>ACEITE MOBIL 0W30 SUPER 3000 FORMULA P 5 LT</t>
  </si>
  <si>
    <t>ACEITE MOBIL 1 5W50 4 LT.</t>
  </si>
  <si>
    <t>ACEITE MOBIL 1 5W30 ESP 4 LT.</t>
  </si>
  <si>
    <t>ACEITE MOBIL 1 5W50 1 LT.</t>
  </si>
  <si>
    <t>ACM5501-4</t>
  </si>
  <si>
    <t>ACEITE MOBIL 10W30 DELVAC EXTREME 4 LT.</t>
  </si>
  <si>
    <t>ACM1040SUPERX2-1 105847</t>
  </si>
  <si>
    <t>ACEITE MOBIL 10W40 1 LT. SUPER 2000 FORMULA P</t>
  </si>
  <si>
    <t>ACEITE MOBIL 10W40 4 LT. SPECIAL</t>
  </si>
  <si>
    <t>ACEITE MOBIL 10W40 4 LT. SUPER 2000 GASOLINA Y DIESEL</t>
  </si>
  <si>
    <t>ACEITE MOBIL 10W40 SUPER 2000 FORMULA P 4 LT</t>
  </si>
  <si>
    <t>ACEITE MOBIL 15W40 4 LT. DELVAC MX</t>
  </si>
  <si>
    <t>ACEITE MOBIL 15W40 4LT. FLEET XT3</t>
  </si>
  <si>
    <t>ACEITE MOBIL 15W40 DELVAC 1300 SUPER API CK-4 BENC. DIES.</t>
  </si>
  <si>
    <t>ACEITE MOBIL 15W40 DELVAC SUPER 1200 4 LT.</t>
  </si>
  <si>
    <t>ACEITE MOBIL 15W40 DELVAC SUPER 1400 4LT</t>
  </si>
  <si>
    <t>ACEITE MOBIL 15W40 SUPER 1000X3 XHP 4LT</t>
  </si>
  <si>
    <t>ACEITE MOBIL 20W50 4 LT. SPECIAL</t>
  </si>
  <si>
    <t>ACEITE MOBIL 20W50 4LT. SUPER 1000 XHP</t>
  </si>
  <si>
    <t>ACEITE MOBIL 20W50 DELVAC SUPER</t>
  </si>
  <si>
    <t>ACEITE MOBIL 5W20 1 GL.</t>
  </si>
  <si>
    <t>ACEITE MOBIL 5W30 1 ESP 4 LT</t>
  </si>
  <si>
    <t>ACEITE MOBIL 5W30 MOBIL 1 ESP 4 LT</t>
  </si>
  <si>
    <t>ACEITE MOBIL 5W30 SUPER 3000 XE 4 LT FED</t>
  </si>
  <si>
    <t>ACEITE MOBIL 5W30 SUPER 3000 XE 4LT</t>
  </si>
  <si>
    <t>ACEITE MOBIL 5W30 SUPER 3000XE 1LT</t>
  </si>
  <si>
    <t>ACEITE MOBIL 80W90 HD PLUS 1 LT</t>
  </si>
  <si>
    <t>ACEITE MOBIL ATF 220 1 LT.</t>
  </si>
  <si>
    <t>ACEITE MOPAR 5W-20 1 LTR</t>
  </si>
  <si>
    <t>MS-9602</t>
  </si>
  <si>
    <t>ACEITE MOPAR ATF + 4 946 ml.</t>
  </si>
  <si>
    <t>ACEITE MOPAR CVT+4</t>
  </si>
  <si>
    <t>ACEITE OPTIMUS 2 T 1 LT.</t>
  </si>
  <si>
    <t>ACEITE OPTIMUS 75W80 1 LT.</t>
  </si>
  <si>
    <t>ACEITE OPTIMUS 80W90 1 LT.</t>
  </si>
  <si>
    <t>ACEITE OPTIMUS ATF 1 LT.</t>
  </si>
  <si>
    <t>C10</t>
  </si>
  <si>
    <t>ACEITE PENETRANTE CYCLO 369</t>
  </si>
  <si>
    <t>ACS1040D-1</t>
  </si>
  <si>
    <t>ACEITE SHELL 10W40 AZUL DIESEL 1 LT.</t>
  </si>
  <si>
    <t>ACEITE SHELL 10W40 HX5 SN 4 LT</t>
  </si>
  <si>
    <t>ACEITE SHELL 10W40 HX7 4 LT.</t>
  </si>
  <si>
    <t>ACEITE SHELL 10W40 HX7 DIESEL Y BENC. 4LT.</t>
  </si>
  <si>
    <t>ACEITE SHELL 10W40 HX7 SN 1LT.</t>
  </si>
  <si>
    <t>ACEITE SHELL 10W40 HX7 SP 1 LT.</t>
  </si>
  <si>
    <t>ACEITE SHELL 10W40 HX7D DIESEL 4LT</t>
  </si>
  <si>
    <t>ACEITE SHELL 10W40 RIMULAX R5 4 LT</t>
  </si>
  <si>
    <t>ACEITE SHELL 15W40 HX5 4 LT. SN</t>
  </si>
  <si>
    <t>ACEITE SHELL 15W40 HX5 SN 1 LT.</t>
  </si>
  <si>
    <t>ACEITE SHELL 15W40 RIMULA R4 9.46LT</t>
  </si>
  <si>
    <t>ACS1540R41</t>
  </si>
  <si>
    <t>ACEITE SHELL 15W40 RIMULA R4 X 1LT.</t>
  </si>
  <si>
    <t>ACEITE SHELL 15W40 RIMULA R4X 4 LT.</t>
  </si>
  <si>
    <t>ACS1540R3-1</t>
  </si>
  <si>
    <t>ACEITE SHELL 15W40 RIMULAX DIESEL 1 LT R3X</t>
  </si>
  <si>
    <t>ACS1540R3-4</t>
  </si>
  <si>
    <t>ACEITE SHELL 15W40 RIMULAX DIESEL 4 LT R3X</t>
  </si>
  <si>
    <t>ACS154020</t>
  </si>
  <si>
    <t>ACEITE SHELL 15W40 RIMULAX R3 MV 20 LT</t>
  </si>
  <si>
    <t>ACS1540R4-4</t>
  </si>
  <si>
    <t>ACEITE SHELL 15W40 RIMULAX R4 4LT.</t>
  </si>
  <si>
    <t>ACEITE SHELL 15W40 RIMULAX R4 L 5 LT.</t>
  </si>
  <si>
    <t>ACEITE SHELL 20W50 HX5 SN 1 LT.</t>
  </si>
  <si>
    <t>ACEITE SHELL 20W50 HX5 SN 4 LT.</t>
  </si>
  <si>
    <t>ACEITE SHELL 25W60 4 LITRO</t>
  </si>
  <si>
    <t>ACS25601</t>
  </si>
  <si>
    <t>ACEITE SHELL 25W60 1 LT.</t>
  </si>
  <si>
    <t>ACEITE SHELL 25W60 4 LT.</t>
  </si>
  <si>
    <t>ACEITE SHELL 5W30 AG DIESEL Y GASOLINA 5 L.</t>
  </si>
  <si>
    <t>ACSH5W301LT</t>
  </si>
  <si>
    <t>ACEITE SHELL 5W30 AG ULTRA PROF 1 LT.</t>
  </si>
  <si>
    <t>ACEITE SHELL 5W30 HX8 BENCINERO 4 LT</t>
  </si>
  <si>
    <t>ACEITE SHELL 5W30 ULTRA PROFESIONAL AG DIESEL Y BENC. 4 LT</t>
  </si>
  <si>
    <t>AC5401S</t>
  </si>
  <si>
    <t>ACEITE SHELL 5W40 ULTRA 1 LT.</t>
  </si>
  <si>
    <t>ACEITE SHELL 5W40 ULTRA SINTETICO 4LT</t>
  </si>
  <si>
    <t>ACS8090-1</t>
  </si>
  <si>
    <t>ACEITE SHELL 80W90 S2 1 LT.</t>
  </si>
  <si>
    <t>ACS8090-4</t>
  </si>
  <si>
    <t>ACEITE SHELL 80W90 S2 4L</t>
  </si>
  <si>
    <t>ACEITE SHELL ATF S2 4LT.</t>
  </si>
  <si>
    <t>ACSATF-1</t>
  </si>
  <si>
    <t>ACEITE SHELL ATF S2 D2</t>
  </si>
  <si>
    <t>ACSATF-4</t>
  </si>
  <si>
    <t>ACEITE SHELL ATF S2 DONAX 4 LT</t>
  </si>
  <si>
    <t>SONAX</t>
  </si>
  <si>
    <t>ACEITE SPRAY MULTI-FUNCIONAL SONAX</t>
  </si>
  <si>
    <t>ACEITE TOTAL 10W40 QUARTZ 7000 4 LT.</t>
  </si>
  <si>
    <t>ACEITE TOTAL 5W30 INEO MC3 1 LT</t>
  </si>
  <si>
    <t>ACEITE TOTAL 5W30 INEO MC3 5LT</t>
  </si>
  <si>
    <t>C-944</t>
  </si>
  <si>
    <t>ACERO LIQUIDO CYCLO ULTRA WELD</t>
  </si>
  <si>
    <t>ACERO LIQUIDO CYCLOULTRAWELD</t>
  </si>
  <si>
    <t>ACERO LIQUIDO LOCTITE LOCWELD</t>
  </si>
  <si>
    <t>ACERO LIQUIDO VERSACHEM</t>
  </si>
  <si>
    <t>Sin Tipo</t>
  </si>
  <si>
    <t>ACOPLE RAPIDO CURVO 10 M</t>
  </si>
  <si>
    <t>ACOPLE RAPIDO CURVO 6MM</t>
  </si>
  <si>
    <t>ACOPLE RAPIDO RECTO 10 MM</t>
  </si>
  <si>
    <t>ACOPLE RAPIDO RECTO 6/8</t>
  </si>
  <si>
    <t>ADHESIVO EPOXI ESR 16 GR WURTH</t>
  </si>
  <si>
    <t>ADHESIVO EPOXI TITANIO 25 GR.</t>
  </si>
  <si>
    <t>C92</t>
  </si>
  <si>
    <t>ADITIVO ACEITE MOTOR BENC/DIESEL C-92 CYCLO</t>
  </si>
  <si>
    <t>ACIDOBAT</t>
  </si>
  <si>
    <t>ADITIVO ACIDO BATERIA</t>
  </si>
  <si>
    <t>ACB1</t>
  </si>
  <si>
    <t>ADITIVO ACIDO BATERIA 1 LT.</t>
  </si>
  <si>
    <t>ADITIVO AFLOJATODO SUPER LOOSE VERSACHEM</t>
  </si>
  <si>
    <t>C-2100</t>
  </si>
  <si>
    <t>ADITIVO ANTI HUMO CYCLO</t>
  </si>
  <si>
    <t>ADITIVO ANTI-FRICCION LIQUI MOLY</t>
  </si>
  <si>
    <t>ADITIVO BLUEMAX 10 LT DIESEL COPEC</t>
  </si>
  <si>
    <t>ADITIVO CAJA AUT. LIQUI MOLY automatik atf 250 ml.</t>
  </si>
  <si>
    <t>ADITIVO CAJA CAMBIO MECANICA LIQUI MOLY GETRIEBEOLADDITIV 20G.</t>
  </si>
  <si>
    <t>ADITIVO CAJA MOLYKOTE 60CC.</t>
  </si>
  <si>
    <t>ADITIVO CERA LIQUIDA PARA AUTOMOVIL</t>
  </si>
  <si>
    <t>CERATEC 3721</t>
  </si>
  <si>
    <t>ADITIVO CERA TEC LIQUI MOLY 50.000KM</t>
  </si>
  <si>
    <t>MT-15</t>
  </si>
  <si>
    <t>ADITIVO CORTA HUMO 355ML VERSACHEM</t>
  </si>
  <si>
    <t>ADITIVO CORTA HUMO CYCLO 355ML</t>
  </si>
  <si>
    <t>CLEAN</t>
  </si>
  <si>
    <t>ADITIVO DESENGRASANTE MOTOR CYCLO</t>
  </si>
  <si>
    <t>ADITIVO DESENGRASANTE MOTOR LUBRISTONE</t>
  </si>
  <si>
    <t>ADITIVO DESENGRIFANTE W-MAX 300ml WURTH</t>
  </si>
  <si>
    <t>ADITIVO DPF 300 ML. WURTH</t>
  </si>
  <si>
    <t>BENZIN</t>
  </si>
  <si>
    <t>ADITIVO ESTABILIZADOR DE BENCINA LIQUI MOLY</t>
  </si>
  <si>
    <t>NA-025-1KC</t>
  </si>
  <si>
    <t>ADITIVO EXTINTOR 1KILO</t>
  </si>
  <si>
    <t>GASKET</t>
  </si>
  <si>
    <t>ADITIVO GASKET LIQUIDO</t>
  </si>
  <si>
    <t>PULNE-LT</t>
  </si>
  <si>
    <t>ADITIVO GRAFITADO NEGRO CHASSIS</t>
  </si>
  <si>
    <t>ADITIVO HYDRO-STOSSEL SILENCIADOR TAQUIE LIQUI MOLY</t>
  </si>
  <si>
    <t>ADITIVO MOLYGEN MOTOR PROTECT</t>
  </si>
  <si>
    <t>ADITIVO MOTOR PETROLERO LIQUI MOLY</t>
  </si>
  <si>
    <t>ADITIVO MOTOR PROTECTOR CYCLO OIL TREATMENT 414ML</t>
  </si>
  <si>
    <t>ADITIVO PRO-LINE DPF REINIGER</t>
  </si>
  <si>
    <t>ADITIVO PRO-LINE DPF SPULUNG</t>
  </si>
  <si>
    <t>ROST OFF</t>
  </si>
  <si>
    <t>ADITIVO ROST OFF = WD40 300 ml</t>
  </si>
  <si>
    <t>ADITIVO RUST STOP = WD40 WURTH</t>
  </si>
  <si>
    <t>ADITIVO SELLA FUGA CAJA MECANICA LIQUI MOLY 50ML</t>
  </si>
  <si>
    <t>ADITIVO TAPA FUGAS DE ACEITE LIQUI MOLY</t>
  </si>
  <si>
    <t>ADITIVO VISCOPLUS LIQUI MOLY</t>
  </si>
  <si>
    <t>TECH 5</t>
  </si>
  <si>
    <t>ADITIVO WD40 0 TECH 5 400ML</t>
  </si>
  <si>
    <t>ADITIVO WD40 Z-LUBE CYCLO 156g</t>
  </si>
  <si>
    <t>ADITIVO Z-LUBE 284gr = WD40</t>
  </si>
  <si>
    <t>AGUA DESTILADA BIDON</t>
  </si>
  <si>
    <t>AGUA VERDE BIDON</t>
  </si>
  <si>
    <t>ALARGG</t>
  </si>
  <si>
    <t>ALARGADOR BUJIA GRANDE</t>
  </si>
  <si>
    <t>ALARMA RETROCESO 12/24V.</t>
  </si>
  <si>
    <t>COOL</t>
  </si>
  <si>
    <t>ALARMA VEHICULO COOL</t>
  </si>
  <si>
    <t>ELECTRICOS</t>
  </si>
  <si>
    <t>ALTERNADOR 2 PIN 5PK DW. LANOS ESPERO</t>
  </si>
  <si>
    <t>ALTERNADOR 90A. ACCENT.</t>
  </si>
  <si>
    <t>A201936</t>
  </si>
  <si>
    <t>ALTERNADOR ASIA TOWNER</t>
  </si>
  <si>
    <t>ALTERNADOR CHERY</t>
  </si>
  <si>
    <t>ELECTRICO</t>
  </si>
  <si>
    <t>ALTERNADOR--N400</t>
  </si>
  <si>
    <t>ALTERNADOR CHEV N400</t>
  </si>
  <si>
    <t>ALTERNADOR CHEV AVEO</t>
  </si>
  <si>
    <t>ALTERNADOR CHEV C-10 C-20 C-30</t>
  </si>
  <si>
    <t>ALTERNADOR CHEV DMAX</t>
  </si>
  <si>
    <t>ALTERNADOR CHEV. AVEO 1.4 OPTRA 1.6</t>
  </si>
  <si>
    <t>ALTERNADOR CHEV. CORSA</t>
  </si>
  <si>
    <t>ALTERNADOR CHEV. LUV</t>
  </si>
  <si>
    <t>ALCHEVCRUZE</t>
  </si>
  <si>
    <t>ALTCRUZE</t>
  </si>
  <si>
    <t>ALTERNADOR CHEVROLET CRUZE</t>
  </si>
  <si>
    <t>ALTERNADOR CORSA 1.7 DIESEL 97/02</t>
  </si>
  <si>
    <t>ALTERNADOR DAHIATSU 12V 55AMP. CORREA EN V</t>
  </si>
  <si>
    <t>ALTDUR</t>
  </si>
  <si>
    <t>ALTERNADOR DODGE DURANGO</t>
  </si>
  <si>
    <t>ALTERNADOR HY VERACRUZ - TUCSON - SANTA FE 2.7 8DT</t>
  </si>
  <si>
    <t>ALTERNADOR HY. ACCENT 90 AMP.</t>
  </si>
  <si>
    <t>ALTERNADOR HY. ACCENT CERATO 06/11 ECHLIN</t>
  </si>
  <si>
    <t>ALTERNADOR HY. ACCENT RB 1.4 1.6 ELANTRA</t>
  </si>
  <si>
    <t>ALTERNADOR HY. H1 2.5 05/08</t>
  </si>
  <si>
    <t>ALTERNADOR HY. H1 DIESEL DOBLE POLEA</t>
  </si>
  <si>
    <t>ALTERNADOR HY. H100 2.5 KIA C/DEPRESOR</t>
  </si>
  <si>
    <t>rdhymigt</t>
  </si>
  <si>
    <t>RADHYMIGT</t>
  </si>
  <si>
    <t>ALTERNADOR HY. MIGHTY</t>
  </si>
  <si>
    <t>ALTERNADOR HY. SANTAMO 2.0 SONATA 2.0 12V 1.2 KW 8 DIENTES</t>
  </si>
  <si>
    <t>ALTERNADOR HYUNDAI H-100 GRACE BENCINERO 70 AMP</t>
  </si>
  <si>
    <t>ALTERNADOR HYUNDAI H1 08/</t>
  </si>
  <si>
    <t>ALTERNADOR NISSAN TERRANO D22</t>
  </si>
  <si>
    <t>ALTERNADOR NISSAN V-16 SUNNY</t>
  </si>
  <si>
    <t>ALTERNADOR NISSAN V-16 SUNNY 12V 35 AMP</t>
  </si>
  <si>
    <t>ALTERNADOR NS. D21 KA24</t>
  </si>
  <si>
    <t>ALTERNADOR NS. D21 KA24 V16 93/10</t>
  </si>
  <si>
    <t>ALTERNADOR NS. TERRANO 2.5</t>
  </si>
  <si>
    <t>ALTERNADOR NS. TERRANO 2.5 12V 110AMP</t>
  </si>
  <si>
    <t>ALTERNADOR NS. TIIDA 1.6</t>
  </si>
  <si>
    <t>ALTERNADOR NS. V16 E16 AMP.</t>
  </si>
  <si>
    <t>ALTERNADOR NS. V16 GA16 C/POLEA PK</t>
  </si>
  <si>
    <t>ALTERNADOR NS. V16 GA16 93-97</t>
  </si>
  <si>
    <t>ALTERNADOR PEUGEOT 206 - 120 AMP.</t>
  </si>
  <si>
    <t>ALTERNADOR PEUGEOT 206 12V 120 AMP</t>
  </si>
  <si>
    <t>PE90000</t>
  </si>
  <si>
    <t>ALTERNADOR PEUGEOT 404/405</t>
  </si>
  <si>
    <t>ALTERNADOR SSANTONG MUSSO 2874 602 ELS/DIESEL 12V 75 AMP</t>
  </si>
  <si>
    <t>ALTERNADOR TOYOTA HILUX 2.4 12V 70AMP</t>
  </si>
  <si>
    <t>ALTERNADOR TY TERCEL 1.5 93/</t>
  </si>
  <si>
    <t>ALTERNADOR TY. KUN</t>
  </si>
  <si>
    <t>ALTERNADOR TY. YARIS</t>
  </si>
  <si>
    <t>ALTERNADOR TY. YARIS 2006/ 12V. 80 AMP.</t>
  </si>
  <si>
    <t>ALTERNADOR TY. YARIS 4 PIN</t>
  </si>
  <si>
    <t>ALTERNADOR TY. YARIS 4PK 70 AMP</t>
  </si>
  <si>
    <t>ALTERNADOR TY. YARIS 90 AMP.</t>
  </si>
  <si>
    <t>AMA-00370</t>
  </si>
  <si>
    <t>AMARRA ACERO INOX. 304 4.5X370MM</t>
  </si>
  <si>
    <t>AMARRA DE LUJO</t>
  </si>
  <si>
    <t>SUSPENSION</t>
  </si>
  <si>
    <t>G61532</t>
  </si>
  <si>
    <t>AMORT TRAS CHEV. DMAX L200 2.5 GABRIEL</t>
  </si>
  <si>
    <t>G64284</t>
  </si>
  <si>
    <t>AMORT TRAS TY. HILUX 18/ GABRIEL</t>
  </si>
  <si>
    <t>AMORTIGUADORES</t>
  </si>
  <si>
    <t>G511226</t>
  </si>
  <si>
    <t>AMORT DEL FORD RANGER 19/ GABRIEL</t>
  </si>
  <si>
    <t>AMORT DEL HY. ACCENT RB DEL. DER. GAS WURTEX</t>
  </si>
  <si>
    <t>AMORT DEL HY. ACCENT RB DEL. IZQ. GAS WURTEX</t>
  </si>
  <si>
    <t>AMORT DEL NS. TIIDA DER. HIDR. OLIMITA</t>
  </si>
  <si>
    <t>AMORT DEL NS. TIIDA IZQ. HIDR. OLIMITA</t>
  </si>
  <si>
    <t>AMORT DEL NS. VERSA /MARCH IZQ. STP</t>
  </si>
  <si>
    <t>AMORT DEL NS. VERSA/MARCH DER. STP</t>
  </si>
  <si>
    <t>H481020</t>
  </si>
  <si>
    <t>AMORT. HY. ACCENT NEW DEL. DER.</t>
  </si>
  <si>
    <t>AMORT. NS. D21 TRAS. ATSUKI</t>
  </si>
  <si>
    <t>AMORT. PEUG. 206 DEL. IZQ.</t>
  </si>
  <si>
    <t>AMORT. ACCENT NEW NEW RIO TRAS. BHORKE</t>
  </si>
  <si>
    <t>AMORT. CHERY IQ. DEL. DER. GABRIEL</t>
  </si>
  <si>
    <t>AMORT. CHERY IQ. DEL. IZQ. GABRIEL</t>
  </si>
  <si>
    <t>AMORT. CHERY TIGGO TY. RAV4</t>
  </si>
  <si>
    <t>AMORT. CHEV- DMAX DEL.</t>
  </si>
  <si>
    <t>AMORT. CHEV. ASTRA DEL. CORVEN</t>
  </si>
  <si>
    <t>AMORT. CHEV. AVEO SAIL DEL. IZQ. STP</t>
  </si>
  <si>
    <t>AMORT. CHEV. AVEO SAIL DEL. IZQ.</t>
  </si>
  <si>
    <t>AMORT. CHEV. AVEO SAIL 04/11 DEL. DER.</t>
  </si>
  <si>
    <t>AMORT. CHEV. AVEO SAIL 1.4 DEL. DER.</t>
  </si>
  <si>
    <t>AMORT. CHEV. AVEO SAIL 1.4 DEL. IZQ.</t>
  </si>
  <si>
    <t>AMORT. CHEV. AVEO SAIL DEL. DER.</t>
  </si>
  <si>
    <t>AMORT. CHEV. AVEO SAIL. TRAS.</t>
  </si>
  <si>
    <t>AMORT. CHEV. CHEVETTE DEL.</t>
  </si>
  <si>
    <t>PO1891</t>
  </si>
  <si>
    <t>AMORT. CHEV. CHEVETTE. DEL.</t>
  </si>
  <si>
    <t>AMORT. CHEV. COMBO MONTANA TRAS. OJO/OJO</t>
  </si>
  <si>
    <t>AMORT. CHEV. CORSA DEL STP</t>
  </si>
  <si>
    <t>AMORT. CHEV. CORSA DEL. BHORKE</t>
  </si>
  <si>
    <t>AMORT. CHEV. CORSA DEL. IZQ. bhorke</t>
  </si>
  <si>
    <t>AMORT. CHEV. CORSA TRAS.</t>
  </si>
  <si>
    <t>AMORT. CHEV. CORSA TRAS. BORKE</t>
  </si>
  <si>
    <t>AMORT. CHEV. CORSA TRASERO</t>
  </si>
  <si>
    <t>AMORT. CHEV. CORSA. TRAS.</t>
  </si>
  <si>
    <t>AMORT. CHEV. D-MAX 4X2 . DEL. GAS 05/</t>
  </si>
  <si>
    <t>AMORT. CHEV. DMAX TRAS. STP</t>
  </si>
  <si>
    <t>G51967</t>
  </si>
  <si>
    <t>AMORT. CHEV. DMAX 2015/ DELANTERO G51967 GABRIEL</t>
  </si>
  <si>
    <t>AMORT. CHEV. DMAX 4X2 DEL. STP</t>
  </si>
  <si>
    <t>AMORT. CHEV. DMAX 4X4 DEL. STP</t>
  </si>
  <si>
    <t>H200738</t>
  </si>
  <si>
    <t>H200738 0021340</t>
  </si>
  <si>
    <t>AMORT. CHEV. DMAX 4X4 H1 05-07 DEL.</t>
  </si>
  <si>
    <t>G63518</t>
  </si>
  <si>
    <t>AMORT. CHEV. DMAX BT50 RANGER DEL. GABRIEL</t>
  </si>
  <si>
    <t>AMORT. CHEV. ISUZU TROOPER TRAS.OJO-OJO KYB.</t>
  </si>
  <si>
    <t>L410630</t>
  </si>
  <si>
    <t>AMORT. CHEV. LUV DIRECCION BHORKE</t>
  </si>
  <si>
    <t>AMORT. CHEV. LUV DEL. KYB</t>
  </si>
  <si>
    <t>L420620</t>
  </si>
  <si>
    <t>AMORT. CHEV. LUV 07/02 DEL. GAS.</t>
  </si>
  <si>
    <t>AMORT. CHEV. LUV D-MAX. TRAS. OJO OJO GAS BHORKE</t>
  </si>
  <si>
    <t>AMORT. CHEV. LUV D21 TRASERO MONROE</t>
  </si>
  <si>
    <t>L410616</t>
  </si>
  <si>
    <t>AMORT. CHEV. LUV DEL.</t>
  </si>
  <si>
    <t>PB3676</t>
  </si>
  <si>
    <t>PB3676 0010376 9949282</t>
  </si>
  <si>
    <t>UPCH181203</t>
  </si>
  <si>
    <t>AMORT. CHEV. LUV DEL. OLIMITA</t>
  </si>
  <si>
    <t>G61870</t>
  </si>
  <si>
    <t>AMORT. CHEV. LUV DEL. PTA. OJO GABRIEL</t>
  </si>
  <si>
    <t>G61147</t>
  </si>
  <si>
    <t>AMORT. CHEV. LUV HY. H100 TRAS. OJO/OJO</t>
  </si>
  <si>
    <t>G63909</t>
  </si>
  <si>
    <t>AMORT. CHEV. LUV NISSAN HYUND. H1 DEL.</t>
  </si>
  <si>
    <t>G63525</t>
  </si>
  <si>
    <t>AMORT. CHEV. LUV NISSAN TRAS. GABRIEL</t>
  </si>
  <si>
    <t>G63492</t>
  </si>
  <si>
    <t>AMORT. CHEV. LUV NS. D-21 TRAS.</t>
  </si>
  <si>
    <t>AMORT. CHEV. LUV NS. DEL.</t>
  </si>
  <si>
    <t>L410610</t>
  </si>
  <si>
    <t>AMORT. CHEV. LUV PTA.-OJO H100 DEL.</t>
  </si>
  <si>
    <t>L410620</t>
  </si>
  <si>
    <t>AMORT. CHEV. LUV TRAS.</t>
  </si>
  <si>
    <t>AMORT. CHEV. LUV TRAS. KYB</t>
  </si>
  <si>
    <t>G61876</t>
  </si>
  <si>
    <t>AMORT. CHEV. LUV TRAS.OJO-OJO G61876</t>
  </si>
  <si>
    <t>AMORT. CHEV. LUV TRASERO OLIMITA</t>
  </si>
  <si>
    <t>AMORT. CHEV. MONZA 82/ DEL. BHORKE</t>
  </si>
  <si>
    <t>AMORT. CHEV. N300 DEL. DER.</t>
  </si>
  <si>
    <t>AMORT. CHEV. NS. D21 DEL. PTA-OJO</t>
  </si>
  <si>
    <t>AMORT. CHEV. OPTRA /08 DEL. DER.</t>
  </si>
  <si>
    <t>AMORT. CHEV. OPTRA /08 DEL. IZQ.</t>
  </si>
  <si>
    <t>AMORT. CHEV. OPTRA /08 TRAS. DER.</t>
  </si>
  <si>
    <t>AMORT. CHEV. OPTRA /08 TRAS. IZQ.</t>
  </si>
  <si>
    <t>AMORT. CHEV. OPTRA 1.6 TRASERO</t>
  </si>
  <si>
    <t>AMORT. CHEV. OPTRA DEL. DER. STP</t>
  </si>
  <si>
    <t>AMORT. CHEV. OPTRA DEL. IZQ. STP</t>
  </si>
  <si>
    <t>AMORT. CHEV. S-10 PTA. CORB. DELANTERO</t>
  </si>
  <si>
    <t>AMORT. CHEV. S-10 AMER. PTA. CORB. DEL. STP</t>
  </si>
  <si>
    <t>AMORT. CHEV. S-10 APACHE TRAS.</t>
  </si>
  <si>
    <t>G63422</t>
  </si>
  <si>
    <t>AMORT. CHEV. S-10 CORB-OJO TRAS. GABRIEL</t>
  </si>
  <si>
    <t>G63423</t>
  </si>
  <si>
    <t>AMORT. CHEV. S-10 DEL. OJO/CORBATA GABRIEL</t>
  </si>
  <si>
    <t>AMORT. CHEV. S10 DEL. OJO/OJO OLIMITA</t>
  </si>
  <si>
    <t>SPCH151201</t>
  </si>
  <si>
    <t>AMORT. CHEV. SAIL 1.4 AVEO DEL. DER.</t>
  </si>
  <si>
    <t>SPCH151202</t>
  </si>
  <si>
    <t>SPCH15202</t>
  </si>
  <si>
    <t>AMORT. CHEV. SAIL 1.4 AVEO DEL. IZQ.</t>
  </si>
  <si>
    <t>AMORT. CHEV. SAIL 1.4 DEL. DER.</t>
  </si>
  <si>
    <t>AMORT. CHEV. SAIL 1.4 DEL. IZQ.</t>
  </si>
  <si>
    <t>AMORT. CHEV. SPARK 02/05 DEL. DER.</t>
  </si>
  <si>
    <t>AMORT. CHEV. SPARK 06 DEL. IZQ. BHORE</t>
  </si>
  <si>
    <t>AMORT. CHEV. SPARK 06-11 DEL. DER. KOREA</t>
  </si>
  <si>
    <t>AMORT. CHEV. SPARK 06/ DEL. DER.</t>
  </si>
  <si>
    <t>AMORT. CHEV. SPARK 06/ DEL. DER. BHORKE</t>
  </si>
  <si>
    <t>AMORT. CHEV. SPARK 06/ DEL. IZQ.</t>
  </si>
  <si>
    <t>AMORT. CHEV. SPARK 06/ TRAS. BHORKE</t>
  </si>
  <si>
    <t>AMORT. CHEV. SPARK 06/11 DEL. IZQ. YJT.</t>
  </si>
  <si>
    <t>AMORT. CHEV. SPARK 1.0 DEL. IZQ.</t>
  </si>
  <si>
    <t>AMORT. CHEV. SPARK 1000 06/16 TRAS.</t>
  </si>
  <si>
    <t>AMORT. CHEV. SPARK DEL. DER.</t>
  </si>
  <si>
    <t>AMORT. CHEV. SPARK DEL. IZQ. 06/11</t>
  </si>
  <si>
    <t>AMORT. CHEV. SPARK DEL. IZQ. BHORKE</t>
  </si>
  <si>
    <t>AMORT. CHEV. SPARK GT 1.2 10/16 TRAS.</t>
  </si>
  <si>
    <t>AMORT. CHEV. SPARK GT 1.2 DEL. IZQ.</t>
  </si>
  <si>
    <t>AMORT. CHEV. SPARK GT 10/16 DEL. DER.</t>
  </si>
  <si>
    <t>AMORT. CHEV. SPARK GT DEL. DER.</t>
  </si>
  <si>
    <t>AMORT. CHEV. SPARK GT DEL. IZQ.</t>
  </si>
  <si>
    <t>AMORT. CHEV. SPARK MATIZ TRAS.</t>
  </si>
  <si>
    <t>AMORT. CHEV. SPARK TRAS.</t>
  </si>
  <si>
    <t>AMORT. CHEV. VIVANT REZZO DEL. IZQ</t>
  </si>
  <si>
    <t>AMORT. CHEV. VIVANT TRAS.</t>
  </si>
  <si>
    <t>AMORT. CHEV.VIVANT REZZO DEL. DER.</t>
  </si>
  <si>
    <t>AMOCRUZDEL</t>
  </si>
  <si>
    <t>AMORCRUZDEL</t>
  </si>
  <si>
    <t>AMORT. CHEVR. CRUZE DELANTERO</t>
  </si>
  <si>
    <t>AMORT. CHV. OPTRA DEL.</t>
  </si>
  <si>
    <t>AMORT. DAEWOO ASTRA DEL.</t>
  </si>
  <si>
    <t>AMORT. DAEWOO KALOS. TRAS. 02/09</t>
  </si>
  <si>
    <t>AMORT. DAEWOO LANOS DELANTERO</t>
  </si>
  <si>
    <t>AMORT. DAEWOO MONZA CHEVETTE TRAS.</t>
  </si>
  <si>
    <t>AMORT. DAEWOO RACER DELANTERO</t>
  </si>
  <si>
    <t>AMORT. DAEWOO.DELANTERO</t>
  </si>
  <si>
    <t>DH04030</t>
  </si>
  <si>
    <t>AMORT. DAIHATSU CHARADE DEL. IZQ.</t>
  </si>
  <si>
    <t>DH04110</t>
  </si>
  <si>
    <t>AMORT. DAIHATSU. /95. TRAS.DER.</t>
  </si>
  <si>
    <t>DH04020</t>
  </si>
  <si>
    <t>AMORT. DAIHATSU. CHARADE. DEL.DER.</t>
  </si>
  <si>
    <t>AMORT. DEL CAPTIVA</t>
  </si>
  <si>
    <t>AMORT. DEL. CHEV. DMAX H1 SSANGYONG RANCHO PTA/OJO</t>
  </si>
  <si>
    <t>g707050</t>
  </si>
  <si>
    <t>G707050</t>
  </si>
  <si>
    <t>AMORT. DEL. CHEV. SPARK GT GABRIEL</t>
  </si>
  <si>
    <t>AMORT. DEL. RENAULT MEGANE IZQ.</t>
  </si>
  <si>
    <t>AMDJE</t>
  </si>
  <si>
    <t>AMORT. DEL. JEEP</t>
  </si>
  <si>
    <t>AMDELTERR</t>
  </si>
  <si>
    <t>AMORT. DEL. NS. TERRANO</t>
  </si>
  <si>
    <t>AMORT. DEL. NS. VERSA DER. BHORKE</t>
  </si>
  <si>
    <t>AMORT. DEL. NS. VERSA IZQ. BHORKE</t>
  </si>
  <si>
    <t>HD04110</t>
  </si>
  <si>
    <t>AMORT. DH. CHARADE. TRAS. DER.</t>
  </si>
  <si>
    <t>DH04100</t>
  </si>
  <si>
    <t>AMORT. DH. CHARADE. TRAS. IZQ.</t>
  </si>
  <si>
    <t>AMORT. DH. GRAN NOMADE TRAS. DER.</t>
  </si>
  <si>
    <t>AMORT. DH. GRAN NOMADE TRAS. IZQ.</t>
  </si>
  <si>
    <t>AMORT. DH. TERIOS 06/ DEL.</t>
  </si>
  <si>
    <t>DH50030</t>
  </si>
  <si>
    <t>AMORT. DH. TERIOS 98/05. DEL LH (HID)</t>
  </si>
  <si>
    <t>AMORT. DH. TERIOS TRAS.</t>
  </si>
  <si>
    <t>G63674</t>
  </si>
  <si>
    <t>AMORT. DODGE DEL. PTA. OJO GABRIEL</t>
  </si>
  <si>
    <t>AMORT. DODGE CALIBER DEL.</t>
  </si>
  <si>
    <t>AMORT. DODGE CALIBER DEL. DER. (GAS) BRORKE</t>
  </si>
  <si>
    <t>AMORT. DODGE DAKOTA 2.5 / 3.9 DEL. DER. IZQ.</t>
  </si>
  <si>
    <t>AMORT. DODGE DAKOTA DEL.</t>
  </si>
  <si>
    <t>AMORT. DODGE DAKOTA.05/07 DEL.</t>
  </si>
  <si>
    <t>G52148</t>
  </si>
  <si>
    <t>AMORT. DODGE JOURNEY 09/12 DEL. DER.</t>
  </si>
  <si>
    <t>G52149</t>
  </si>
  <si>
    <t>AMORT. DODGE JOURNEY 09/12 DEL. IZQ.</t>
  </si>
  <si>
    <t>AMORT. DODGE RAM 5.2 OJO-BUJE TRAS.</t>
  </si>
  <si>
    <t>AMORT. DODGE RAN 5.2 DEL.</t>
  </si>
  <si>
    <t>AMORT. DW NUBIRA DEL. DER.</t>
  </si>
  <si>
    <t>G35293</t>
  </si>
  <si>
    <t>AMORT. DW. MATIZ TICO SZ. ALTO DEL. GABRIEL</t>
  </si>
  <si>
    <t>AMORT. DW. MONZA CHT. TRASERO BHORKE</t>
  </si>
  <si>
    <t>AMORT. DW. NUBIRA 97/ DEL DER. ATSUKI.</t>
  </si>
  <si>
    <t>AMORT. DW. NUBIRA 97/ TRAS. DER.</t>
  </si>
  <si>
    <t>AMORT. DW. NUBIRA DEL. DER. ATSUKI</t>
  </si>
  <si>
    <t>AMORT. DW. NUBIRA DEL. IZQ. ATSUKI</t>
  </si>
  <si>
    <t>AMORT. DW. NUBIRA DEL. IZQUIERDO</t>
  </si>
  <si>
    <t>ES6393</t>
  </si>
  <si>
    <t>AMORT. DW. NUBIRA DEL.DER</t>
  </si>
  <si>
    <t>AMORT. DW. NUBIRA. 97/ TRAS. IZQ.</t>
  </si>
  <si>
    <t>G52256</t>
  </si>
  <si>
    <t>AMORT. F. FIESTA 2008/11 DEL. DER.</t>
  </si>
  <si>
    <t>FA60020</t>
  </si>
  <si>
    <t>AMORT. FIAT PALIO SIENA DEL.</t>
  </si>
  <si>
    <t>FAB0028</t>
  </si>
  <si>
    <t>AMORT. FIAT. 1/147./FIORINO 89/ DEL.</t>
  </si>
  <si>
    <t>H403525</t>
  </si>
  <si>
    <t>AMORT. FORD ECO SPORT. TRAS.</t>
  </si>
  <si>
    <t>FD200008</t>
  </si>
  <si>
    <t>AMORT. FORD EURO ESCORT. DEL.</t>
  </si>
  <si>
    <t>FD40040</t>
  </si>
  <si>
    <t>AMORT. FORD FIESTA 05/ DEL. BHORKE</t>
  </si>
  <si>
    <t>FD40010</t>
  </si>
  <si>
    <t>AMORT. FORD FIESTA 96/2001 TRAS. (GAS) BHORKE</t>
  </si>
  <si>
    <t>AMORT. FORD FIESTA. 95/98 DEL.</t>
  </si>
  <si>
    <t>AMORT. FORD RANGER BT-50 DEL. PTA.-OJO</t>
  </si>
  <si>
    <t>G52310</t>
  </si>
  <si>
    <t>AMORT. FORD RANGER 12/18 DEL. GABRIEL</t>
  </si>
  <si>
    <t>G64099</t>
  </si>
  <si>
    <t>AMORT. FORD RANGER 2012/15 TRAS. GABRIEL</t>
  </si>
  <si>
    <t>AMORT. FORD RANGER 2013/ DEL</t>
  </si>
  <si>
    <t>FD70006</t>
  </si>
  <si>
    <t>AMORT. FORD RANGER 4 X 2. TRAS. TOKICO</t>
  </si>
  <si>
    <t>FD80010</t>
  </si>
  <si>
    <t>AMORT. FORD RANGER 4X2 98/03 DEL.</t>
  </si>
  <si>
    <t>AMORT. FORD RANGER BT50 TRAS. STP</t>
  </si>
  <si>
    <t>FD80000</t>
  </si>
  <si>
    <t>AMORT. FORD RANGER DEL. PTA. CORB. LARGO</t>
  </si>
  <si>
    <t>G63678</t>
  </si>
  <si>
    <t>AMORT. FORD RANGER DEL. PUNTA. CORBATA</t>
  </si>
  <si>
    <t>G63808</t>
  </si>
  <si>
    <t>AMORT. FORD RANGER TRAS. OJO-OJO</t>
  </si>
  <si>
    <t>FD80020</t>
  </si>
  <si>
    <t>AMORT. FORD RANGER TRAS.OJO-OJO. GAS</t>
  </si>
  <si>
    <t>MD800008</t>
  </si>
  <si>
    <t>AMORT. FORD RANGER. TRAS.</t>
  </si>
  <si>
    <t>G61627</t>
  </si>
  <si>
    <t>AMORT. FORD RANGER. TRAS. OJO-OJO</t>
  </si>
  <si>
    <t>MD80068</t>
  </si>
  <si>
    <t>AMORT. FORD. RANGER BT 50. TRAS. GAS.</t>
  </si>
  <si>
    <t>G56825</t>
  </si>
  <si>
    <t>AMORT. GEELY CK DEL. IZQ. GABRIEL</t>
  </si>
  <si>
    <t>AMORT. HONDA 89/96. TRAS.</t>
  </si>
  <si>
    <t>HD10040</t>
  </si>
  <si>
    <t>AMORT. HONDA ACCORD 89/96. DEL. DER.</t>
  </si>
  <si>
    <t>HD10030</t>
  </si>
  <si>
    <t>AMORT. HONDA ACCORD 89/96. DEL. IZQ.</t>
  </si>
  <si>
    <t>AMORT. HONDA ACCORD DEL.</t>
  </si>
  <si>
    <t>AMORT. HONDA ACCORT TRAS.</t>
  </si>
  <si>
    <t>H401278</t>
  </si>
  <si>
    <t>AMORT. HY ACCENT PRIME TRAS. DER. ATSUKI 97/05</t>
  </si>
  <si>
    <t>AMORT. HY GETZ 02/ DEL DER</t>
  </si>
  <si>
    <t>AMORT. HY GETZ 03/ TRAS STP</t>
  </si>
  <si>
    <t>AMORT. HY. ACCENT RB 12/ DEL. IZQ.</t>
  </si>
  <si>
    <t>AMORT. HY. I-10 DEL. IZQ.</t>
  </si>
  <si>
    <t>H000048</t>
  </si>
  <si>
    <t>AMORT. HY. ACCENT . 94/96 TRAS.DER. ATSUKI</t>
  </si>
  <si>
    <t>AMORT. HY. ACCENT /NEW RIO JB DEL. IZQ. 06/11</t>
  </si>
  <si>
    <t>AMORT. HY. ACCENT 2012 DEL. IZQ. ATSUKI</t>
  </si>
  <si>
    <t>AMORT. HY. ACCENT 2012/ DEL. DER.</t>
  </si>
  <si>
    <t>AMORT. HY. ACCENT 2012/ TRAS.ATSUKI</t>
  </si>
  <si>
    <t>H00038</t>
  </si>
  <si>
    <t>AMORT. HY. ACCENT 94/96 TRAS. IZQ.</t>
  </si>
  <si>
    <t>H401246</t>
  </si>
  <si>
    <t>AMORT. HY. ACCENT DEL. IZQ.</t>
  </si>
  <si>
    <t>AMORT. HY. ACCENT NEW NEW RIO TRAS.</t>
  </si>
  <si>
    <t>AMORT. HY. ACCENT NEW / RIO JB DEL DER. 06/11</t>
  </si>
  <si>
    <t>AMORT. HY. ACCENT NEW 06-12 TRAS. ATSUKI</t>
  </si>
  <si>
    <t>H481010</t>
  </si>
  <si>
    <t>AMORT. HY. ACCENT NEW. DEL LH. ATSUKI.</t>
  </si>
  <si>
    <t>H402155</t>
  </si>
  <si>
    <t>AMORT. HY. ACCENT PRIME DEL. DER. MANDO</t>
  </si>
  <si>
    <t>H401248</t>
  </si>
  <si>
    <t>AMORT. HY. ACCENT PRIME DEL. IZQ. ATSUKI</t>
  </si>
  <si>
    <t>H402145</t>
  </si>
  <si>
    <t>AMORT. HY. ACCENT PRIME DEL. IZQ. MANDO</t>
  </si>
  <si>
    <t>H401275</t>
  </si>
  <si>
    <t>AMORT. HY. ACCENT PRIME TRAS. DER. MANDO</t>
  </si>
  <si>
    <t>H401265</t>
  </si>
  <si>
    <t>AMORT. HY. ACCENT PRIME TRAS. IZQ. MANDO</t>
  </si>
  <si>
    <t>H401258</t>
  </si>
  <si>
    <t>AMORT. HY. ACCENT PRIME. 00/05. DEL RH.ATSUKI</t>
  </si>
  <si>
    <t>AMORT. HY. ACCENT RB 2012/ CERATO RIO 5 TRAS. OJO/OJO</t>
  </si>
  <si>
    <t>H4012750</t>
  </si>
  <si>
    <t>AMORT. HY. ACCENT. PRIME TRAS. DER.</t>
  </si>
  <si>
    <t>H000038</t>
  </si>
  <si>
    <t>AMORT. HY. ACCENT. TRAS. IZQ. 94/96. (HIDR)</t>
  </si>
  <si>
    <t>AMORT. HY. ACCENTE DELANTERO</t>
  </si>
  <si>
    <t>AMORT. HY. ELANTRA 06/11 CERATO 09/13 DEL. DER</t>
  </si>
  <si>
    <t>AMORT. HY. ELANTRA 06/11 CERATO 09/13 DEL. IZQ.</t>
  </si>
  <si>
    <t>AMORT. HY. ELANTRA 07-11 TRASERO</t>
  </si>
  <si>
    <t>AMORT. HY. ELANTRA 07/10 TRAS. STP</t>
  </si>
  <si>
    <t>AMORT. HY. ELANTRA 07/11 CERATO 07/14 DEL. DER.</t>
  </si>
  <si>
    <t>AMORT. HY. ELANTRA 09/13 DEL. DER. NETMOR</t>
  </si>
  <si>
    <t>AMORT. HY. ELANTRA 09/13 DEL. IZQ. NETMOTOR</t>
  </si>
  <si>
    <t>AMORT. HY. ELANTRA 11/16 DEL. DER.</t>
  </si>
  <si>
    <t>AMORT. HY. ELANTRA 11/16 DEL. IZQ.</t>
  </si>
  <si>
    <t>AMORT. HY. ELANTRA 2012/ DEL. DER. BHORKE</t>
  </si>
  <si>
    <t>AMORT. HY. ELANTRA 2012/ DEL. IZQ. BHORKE</t>
  </si>
  <si>
    <t>H900822</t>
  </si>
  <si>
    <t>AMORT. HY. ELANTRA 90/95 . TRAS. ATSUKI</t>
  </si>
  <si>
    <t>AMORT. HY. ELANTRA 95/05 TRAS. DER.</t>
  </si>
  <si>
    <t>AMORT. HY. ELANTRA 95/05 TRAS. IZQ.</t>
  </si>
  <si>
    <t>AMORT. HY. ELANTRA 99-05 TRAS. DER.</t>
  </si>
  <si>
    <t>AMORT. HY. ELANTRA DEL. IZQ.</t>
  </si>
  <si>
    <t>hyela</t>
  </si>
  <si>
    <t>HYELA</t>
  </si>
  <si>
    <t>AMORT. HY. ELANTRA DELANTERO</t>
  </si>
  <si>
    <t>AMORT. HY. ELANTRA TRAS. DER.</t>
  </si>
  <si>
    <t>HG00555</t>
  </si>
  <si>
    <t>AMORT. HY. GALLOPER. DEL. PTA.CORBATA.</t>
  </si>
  <si>
    <t>AMORT. HY. GETZ 02/ DEL IZQ STP</t>
  </si>
  <si>
    <t>AMORT. HY. GETZ 03/ TRAS. BHORKE</t>
  </si>
  <si>
    <t>H200736</t>
  </si>
  <si>
    <t>AMORT. HY. H1 05/07 DIMAX DEL. REF. ATSUKI</t>
  </si>
  <si>
    <t>H200980</t>
  </si>
  <si>
    <t>AMORT. HY. H1 08/13 DEL. DER. ATSUKI</t>
  </si>
  <si>
    <t>H200985</t>
  </si>
  <si>
    <t>AMORT. HY. H1 08/13 DEL. IZQ. ATSUKI</t>
  </si>
  <si>
    <t>AMORT. HY. H1 08/19 DEL. IZQ. GAS</t>
  </si>
  <si>
    <t>AMORT. HY. H1 08/19 DEL. DER. GAS</t>
  </si>
  <si>
    <t>AMORT. HY. H1 08/19 TRASERO</t>
  </si>
  <si>
    <t>AMORT. HY. H1 DEL.</t>
  </si>
  <si>
    <t>H200746</t>
  </si>
  <si>
    <t>AMORT. HY. H1. 05/07 TRAS. GAS</t>
  </si>
  <si>
    <t>H500035</t>
  </si>
  <si>
    <t>AMORT. HY. MIGHTY TRAS. OJO-OJO</t>
  </si>
  <si>
    <t>H301200</t>
  </si>
  <si>
    <t>AMORT. HY. SANTAMO DEL.</t>
  </si>
  <si>
    <t>H700630</t>
  </si>
  <si>
    <t>AMORT. HY. SONATA 2.0 DEL. PLATO ALTO</t>
  </si>
  <si>
    <t>H 700630</t>
  </si>
  <si>
    <t>AMORT. HY. SONATA 2.0 PLATO ALTO TRAS.</t>
  </si>
  <si>
    <t>H602175</t>
  </si>
  <si>
    <t>AMORT. HY. SONATA 99/05. DEL.</t>
  </si>
  <si>
    <t>amstafe</t>
  </si>
  <si>
    <t>AMSTAFE</t>
  </si>
  <si>
    <t>AMORT. HY. STA FE DEL</t>
  </si>
  <si>
    <t>HA00728</t>
  </si>
  <si>
    <t>AMORT. HY. TERRACAN TRAS.</t>
  </si>
  <si>
    <t>HA00855</t>
  </si>
  <si>
    <t>AMORT. HY. TERRACAN DEL. MANDO GAS</t>
  </si>
  <si>
    <t>AMORT. HY. TUCSON 2.0 10/15 SPORTAGE 2.0 14/17 DEL. DER.</t>
  </si>
  <si>
    <t>AMORT. HY. TUCSON 2.0 10/15 SPORTAGE 2.0 14/17 DEL. IZQ.</t>
  </si>
  <si>
    <t>HU001115</t>
  </si>
  <si>
    <t>AMORT. HY. TUCSON SPORTAGE DEL. IZQ.</t>
  </si>
  <si>
    <t>HU01135</t>
  </si>
  <si>
    <t>AMORT. HY. TUCSON SPORTAGE TRAS.</t>
  </si>
  <si>
    <t>AMORT. HYUNDAI ACCENT DEL. DER.</t>
  </si>
  <si>
    <t>AMORT</t>
  </si>
  <si>
    <t>AMORT. HYUNDAI I-10 DEL IZQ</t>
  </si>
  <si>
    <t>AMORT. HYUNDAI I-10 DEL. DER.</t>
  </si>
  <si>
    <t>K800058</t>
  </si>
  <si>
    <t>AMORT. KIA BESTA 2.7 98/09 DEL.</t>
  </si>
  <si>
    <t>AMORT. KIA CAREN 1.8 CERATO 1.6 01/04 DEL. DER.</t>
  </si>
  <si>
    <t>AMORT. KIA CAREN 1.8 CERATO 1.6 01/04 DEL. IZQ.</t>
  </si>
  <si>
    <t>KC000390</t>
  </si>
  <si>
    <t>AMORT. KIA CAREN. 98/03 DEL. DER.</t>
  </si>
  <si>
    <t>KC00390</t>
  </si>
  <si>
    <t>AMORT. KIA CAREN. 98/03. SEPHIA DEL. DER</t>
  </si>
  <si>
    <t>AMORT. KIA CARENS 1.8 2.0 01/03 TRAS. DER.</t>
  </si>
  <si>
    <t>KC00400</t>
  </si>
  <si>
    <t>AMORT. KIA CARENS 98//03 DEL. IZQ.</t>
  </si>
  <si>
    <t>MD20106</t>
  </si>
  <si>
    <t>AMORT. KIA CLARUS. DEL. IZQ.</t>
  </si>
  <si>
    <t>K272600</t>
  </si>
  <si>
    <t>AMORT. KIA FRONTIER. DEL. PTA. CORB.</t>
  </si>
  <si>
    <t>AMORT. KIA MORNING 1.0 1.2 12/16 DEL. DER. STP</t>
  </si>
  <si>
    <t>AMORT. KIA MORNING 1.0 1.2 12/16 DEL. IZQ. STP</t>
  </si>
  <si>
    <t>AMORT. KIA MORNING 2011/ DEL. DER.</t>
  </si>
  <si>
    <t>AMORT. KIA MORNING 2011/ DEL. IZQ.</t>
  </si>
  <si>
    <t>K501270</t>
  </si>
  <si>
    <t>AMORT. KIA POP FRIDE DEL. IZQ.</t>
  </si>
  <si>
    <t>K500050</t>
  </si>
  <si>
    <t>AMORT. KIA POP PRIDE DEL RH. (GAS)</t>
  </si>
  <si>
    <t>K500630</t>
  </si>
  <si>
    <t>AMORT. KIA POP PRIDE TRAS.</t>
  </si>
  <si>
    <t>AMORT. KIA RIO 4 17/ DEL. DER. GAS STP</t>
  </si>
  <si>
    <t>AMORT. KIA RIO 4 17/ DEL. IZQ. GAS STP</t>
  </si>
  <si>
    <t>KR00278</t>
  </si>
  <si>
    <t>AMORT. KIA RIO II 03/05 DEL. DER.</t>
  </si>
  <si>
    <t>KR00998</t>
  </si>
  <si>
    <t>AMORT. KIA RIO II 03/05 DEL. IZQ.</t>
  </si>
  <si>
    <t>H403565</t>
  </si>
  <si>
    <t>AMORT. KIA RIO TRAS.</t>
  </si>
  <si>
    <t>KS00202</t>
  </si>
  <si>
    <t>AMORT. KIA SEPHIA TRAS. IZQ.</t>
  </si>
  <si>
    <t>AMORT. KIA SORENTO DEL. DER.</t>
  </si>
  <si>
    <t>AMORT. KIA SORENTO DEL. IZQ.</t>
  </si>
  <si>
    <t>AMORT. LIFAN X60 TRAS.</t>
  </si>
  <si>
    <t>AMORT. M. BENZ SPRINTER DEL.</t>
  </si>
  <si>
    <t>FD60466</t>
  </si>
  <si>
    <t>AMORT. M. BENZ DEL.</t>
  </si>
  <si>
    <t>ME00010</t>
  </si>
  <si>
    <t>AMORT. M. BENZ SPRINTER TRASEO</t>
  </si>
  <si>
    <t>AMORT. M. BENZ TRAS.</t>
  </si>
  <si>
    <t>ME00000</t>
  </si>
  <si>
    <t>AMORT. M.BENZ SPRINTER DEL. BHORKE</t>
  </si>
  <si>
    <t>AMORT. M.BENZ. 82/ DEL.</t>
  </si>
  <si>
    <t>G63413</t>
  </si>
  <si>
    <t>AMORT. MAHINDRA TRAS. OJO-OJO</t>
  </si>
  <si>
    <t>AMORT. MITS LANCER 08/ DEL. DER.</t>
  </si>
  <si>
    <t>AMORT. MITS. LANCER DELANTERO</t>
  </si>
  <si>
    <t>AMORT. MITS. ECLIPSE. 94 TRAS.</t>
  </si>
  <si>
    <t>AMORT. MITS. GALANT TRAS. KYB.</t>
  </si>
  <si>
    <t>MT20110</t>
  </si>
  <si>
    <t>AMORT. MITS. KATANA L-200 05/ DEL.</t>
  </si>
  <si>
    <t>AMORT. MITS. L200 2.5 07/13</t>
  </si>
  <si>
    <t>AMORT. MITS. L200 2016/ DEL.</t>
  </si>
  <si>
    <t>AMORT. MITS. L200 KATANA DEL. CORVEN</t>
  </si>
  <si>
    <t>AMORT. MITS. LANCER 08/ DEL. IZQ.</t>
  </si>
  <si>
    <t>MT40108</t>
  </si>
  <si>
    <t>AMORT. MITS. LANCER. 01/ DEL.</t>
  </si>
  <si>
    <t>MMT40408</t>
  </si>
  <si>
    <t>G51784</t>
  </si>
  <si>
    <t>AMORT. MITS. MONTERO DEL.</t>
  </si>
  <si>
    <t>AMORT. MZ 323 BJ DEL. DER. KAYABA</t>
  </si>
  <si>
    <t>AMORT. MZ. B2500 TRAS.</t>
  </si>
  <si>
    <t>MD80008</t>
  </si>
  <si>
    <t>AMORT. MZ. BT-50 RANGER TRAS. GAS REF.</t>
  </si>
  <si>
    <t>AMORT. MZ. 323</t>
  </si>
  <si>
    <t>MD10348</t>
  </si>
  <si>
    <t>AMORT. MZ. 323 98/ . TRAS. DER. (HID) ATSUKI</t>
  </si>
  <si>
    <t>AMORT. MZ. 323 99/04 DEL. DER.</t>
  </si>
  <si>
    <t>MD01050</t>
  </si>
  <si>
    <t>AMORT. MZ. 323 DEL. IZQ.</t>
  </si>
  <si>
    <t>AMORT. MZ. 626 DEL. DER.</t>
  </si>
  <si>
    <t>AMORT. MZ. B2500 TRAS. OJO OJO.</t>
  </si>
  <si>
    <t>AMORT. MZ. BT50 DEL. OLIMITA</t>
  </si>
  <si>
    <t>0MD01060</t>
  </si>
  <si>
    <t>AMORT. MZ.323 DEL DER</t>
  </si>
  <si>
    <t>MD01080</t>
  </si>
  <si>
    <t>AMORT. MZD. 323 ESCORT 99/98. USA. TRAS. IZQ.</t>
  </si>
  <si>
    <t>AMORT. NS. DELANTERO D21 D22</t>
  </si>
  <si>
    <t>MP107</t>
  </si>
  <si>
    <t>AMORT. NS. V-16. DEL. DER.</t>
  </si>
  <si>
    <t>SPDT231201</t>
  </si>
  <si>
    <t>AMORT. NS. V16 DEL. DER.</t>
  </si>
  <si>
    <t>AMORT. NS. 720./J18 TRAS.</t>
  </si>
  <si>
    <t>AMORT. NS. 729 L18 DEL.</t>
  </si>
  <si>
    <t>AMORT. NS. B15 1.8 SM3. DEL. DER.</t>
  </si>
  <si>
    <t>AMORT. NS. B15 1.8 SM3 DEL. IZQ.</t>
  </si>
  <si>
    <t>AMORT. NS. B15 1.8 SM3 TRAS. (GAS) ATSUKI.</t>
  </si>
  <si>
    <t>AMORT. NS. B15 SM3 DEL. DER. STP</t>
  </si>
  <si>
    <t>AMORT. NS. B15. SM3. TRAS.</t>
  </si>
  <si>
    <t>PB2017</t>
  </si>
  <si>
    <t>AMORT. NS. D-21 DEL.</t>
  </si>
  <si>
    <t>G63902</t>
  </si>
  <si>
    <t>AMORT. NS. D-21 DEL. PTA. OJO GABRIEL</t>
  </si>
  <si>
    <t>AMORT. NS. D-21 DEL. PTA. OJO PC1837</t>
  </si>
  <si>
    <t>AMORT. NS. D-21 PTA. OJO.</t>
  </si>
  <si>
    <t>AMORT. NS. D-21 TERRANO DEL. PTA-OJO ATSUKI</t>
  </si>
  <si>
    <t>AMORT. NS. D21 4X4 TRAS.</t>
  </si>
  <si>
    <t>G63907</t>
  </si>
  <si>
    <t>AMORT. NS. D21 HYUND. H1 TRAS.OJO-OJO GABRIEL</t>
  </si>
  <si>
    <t>AMORT. NS. D21 TERRANO 720 DEL. MONROE</t>
  </si>
  <si>
    <t>AMORT. NS. D21 TERRANO TRAS. MONROE</t>
  </si>
  <si>
    <t>AMORT. NS. D21 TRAS. OJO-OJO ATSUKI</t>
  </si>
  <si>
    <t>AMORT. NS. D21 TRASERO</t>
  </si>
  <si>
    <t>AMORT. NS. DEL 720</t>
  </si>
  <si>
    <t>AMORT. NS. MURANO 03/07 DEL. DER. STP</t>
  </si>
  <si>
    <t>AMORT. NS. MURANO 03/07 DEL. STP</t>
  </si>
  <si>
    <t>AMORT. NS. NAVARA 4X2 DEL. STP</t>
  </si>
  <si>
    <t>AMORT. NS. NAVARA 4X4 07/ DEL.</t>
  </si>
  <si>
    <t>0N00270</t>
  </si>
  <si>
    <t>AMORT. NS. NAVARA 4X4 07/ DEL. ATSUKI</t>
  </si>
  <si>
    <t>AMORT. NS. NAVARA 4X4 DEL.</t>
  </si>
  <si>
    <t>0N00346</t>
  </si>
  <si>
    <t>AMORT. NS. NAVARA 4X4 TRAS.</t>
  </si>
  <si>
    <t>AMORT. NS. NAVARA 4X4 TRAS. GAS ATSUKI</t>
  </si>
  <si>
    <t>ON000270</t>
  </si>
  <si>
    <t>AMORT. NS. NAVARA 4X4. DEL. (GAS) ATSUKI</t>
  </si>
  <si>
    <t>G51786</t>
  </si>
  <si>
    <t>AMORT. NS. NAVARA DEL.GABRIEL</t>
  </si>
  <si>
    <t>G63425</t>
  </si>
  <si>
    <t>AMORT. NS. NISSAN DEL. PTA. OJO</t>
  </si>
  <si>
    <t>AMNP300</t>
  </si>
  <si>
    <t>AMORT. NS. NP300</t>
  </si>
  <si>
    <t>SPDT811203</t>
  </si>
  <si>
    <t>AMORT. NS. NP300 DEL.</t>
  </si>
  <si>
    <t>AMORT. NS. NP300 TRAS.</t>
  </si>
  <si>
    <t>AMORT. NS. PATHFINDER 2000/2002 DEL. IZQ.</t>
  </si>
  <si>
    <t>AMORT. NS. PLATINA. TRAS.</t>
  </si>
  <si>
    <t>OP000148</t>
  </si>
  <si>
    <t>AMORT. NS. PRIMERA. DEL. (GAS) 92/02</t>
  </si>
  <si>
    <t>AMORT. NS. QASHQAI 1.6 2013</t>
  </si>
  <si>
    <t>AMORT. NS. QASHQAI DEL. DER.</t>
  </si>
  <si>
    <t>AMORT. NS. SENTRA B12 DEL. DER.</t>
  </si>
  <si>
    <t>AMORT. NS. SENTRA B12 DEL. IZQ.</t>
  </si>
  <si>
    <t>AMORT. NS. SENTRA B12 TRAS. DER.</t>
  </si>
  <si>
    <t>AMORT. NS. SENTRA B12TRAS.</t>
  </si>
  <si>
    <t>AMORT. NS. SENTRA B15 TRAS.</t>
  </si>
  <si>
    <t>AMORT. NS. SENTRA DEL. 86/91 DER.</t>
  </si>
  <si>
    <t>AMORT. NS. SENTRA II 95/97 DEL. DER.</t>
  </si>
  <si>
    <t>AMORT. NS. SENTRA II 95/2001 TRAS.</t>
  </si>
  <si>
    <t>AMORT. NS. SENTRA II DEL. DER.</t>
  </si>
  <si>
    <t>AMORT. NS. SENTRA II. DEL. IZQ.</t>
  </si>
  <si>
    <t>AMORT. NS. SUNNY 150Y TRAS.</t>
  </si>
  <si>
    <t>AMORT. NS. SUNNY B11 DEL. DER. ATSUKI</t>
  </si>
  <si>
    <t>AMORT. NS. SUNNY B11 DEL. IZQ. ATSUKI</t>
  </si>
  <si>
    <t>G63813</t>
  </si>
  <si>
    <t>AMORT. NS. TERRANO 4X4 GABRIEL DELANTERO CORTO</t>
  </si>
  <si>
    <t>AMORT. NS. TERRANO DEL. KYB</t>
  </si>
  <si>
    <t>AMTRATER</t>
  </si>
  <si>
    <t>AMORT. NS. TERRANO TRASERO</t>
  </si>
  <si>
    <t>AMORT. NS. TIIDA DEL. DER.</t>
  </si>
  <si>
    <t>AMORT. NS. TIIDA DEL. DER. OLIMITA</t>
  </si>
  <si>
    <t>AMORT. NS. TIIDA DEL. IZQ.</t>
  </si>
  <si>
    <t>AMORT. NS. TIIDA TRAS.</t>
  </si>
  <si>
    <t>AMORT. NS. TIIDA TRAS. PTA. OJO CORVEN</t>
  </si>
  <si>
    <t>AMORT. NS. TIIDA TRAS. STP</t>
  </si>
  <si>
    <t>AMORT. NS. TIIDA TRASERO OLIMITA</t>
  </si>
  <si>
    <t>AMORT. NS. TIIDA. DEL. DER.</t>
  </si>
  <si>
    <t>AMORT. NS. TIIDA. DEL. IZQ.</t>
  </si>
  <si>
    <t>AMORT. NS. TRAS. OJO-OJO REF. GAS ATSUKI</t>
  </si>
  <si>
    <t>PB161706</t>
  </si>
  <si>
    <t>AMORT. NS. TRAS.OJO-OJO</t>
  </si>
  <si>
    <t>AMORT. NS. V-16 DEL. DER. ATSUKI</t>
  </si>
  <si>
    <t>AMORT. NS. V-16 DEL. IZQ.</t>
  </si>
  <si>
    <t>AMORT. NS. V-16 DEL. IZQ. ATSUKI</t>
  </si>
  <si>
    <t>AMORT. NS. V-16 TRAS. IZQ.ATSUKI</t>
  </si>
  <si>
    <t>AMORT. NS. V-16. IZQ. TRAS. YOKOMITSU</t>
  </si>
  <si>
    <t>AMORT. NS. V16 DEL. DER. BHORKE</t>
  </si>
  <si>
    <t>AMORT. NS. V16 DEL. DER. STP</t>
  </si>
  <si>
    <t>SPDT231202</t>
  </si>
  <si>
    <t>AMORT. NS. V16 DEL. IZQ.</t>
  </si>
  <si>
    <t>AMORT. NS. V16 DEL. IZQ. BHORKE</t>
  </si>
  <si>
    <t>AMORT. NS. V16 DEL. IZQ. STP</t>
  </si>
  <si>
    <t>SPDT231301</t>
  </si>
  <si>
    <t>AMORT. NS. V16 TRAS. DER.</t>
  </si>
  <si>
    <t>AMORT. NS. V16 TRAS. DER. STP</t>
  </si>
  <si>
    <t>AMORT. NS. V16 TRAS. DER. ATSUKI</t>
  </si>
  <si>
    <t>AMORT. NS. V16 TRAS. DER. BHORKE</t>
  </si>
  <si>
    <t>MP-106</t>
  </si>
  <si>
    <t>AMORT. NS. V16 TRAS. DER. BOGE</t>
  </si>
  <si>
    <t>SPDT231302</t>
  </si>
  <si>
    <t>AMORT. NS. V16 TRAS. IZQ.</t>
  </si>
  <si>
    <t>AMORT. NS. V16 TRAS. IZQ. STP</t>
  </si>
  <si>
    <t>AMORT. NS. V16 TRAS. IZQ. BHORKE</t>
  </si>
  <si>
    <t>MP-107</t>
  </si>
  <si>
    <t>AMORT. NS. V16 TRAS. IZQ. BOGE</t>
  </si>
  <si>
    <t>AMORT. NS. VERSA TRAS. BHORKE</t>
  </si>
  <si>
    <t>AMORT. NS. VERSA TRAS. STP</t>
  </si>
  <si>
    <t>AMORT. NS. XTRAIL TRAS. DER. 2008/12</t>
  </si>
  <si>
    <t>AMORT. NS. XTRAIL YD22 DEL. DER.</t>
  </si>
  <si>
    <t>AMORT. NS. XTRAIL YD22 DEL. IZQ. TOKICO</t>
  </si>
  <si>
    <t>AMORT. NS. XTRAIL. DEL. 01/</t>
  </si>
  <si>
    <t>AMORT. NS. XTRAIL. DEL. IZQ. ATSUKI</t>
  </si>
  <si>
    <t>PE40000</t>
  </si>
  <si>
    <t>AMORT. PEUG. PARNER BERLINGO P206 DEL. IZQ.</t>
  </si>
  <si>
    <t>AMORT. peugeot 307 del der.</t>
  </si>
  <si>
    <t>AMORT. PEUGEOT 307 DEL. IZQ.</t>
  </si>
  <si>
    <t>PE40010</t>
  </si>
  <si>
    <t>AMORT. PEUGEOT DEL. DER.</t>
  </si>
  <si>
    <t>PE 4000</t>
  </si>
  <si>
    <t>AMORT. PEUGEOT PATNER. BELINGO 96/. DEL</t>
  </si>
  <si>
    <t>AMORT.-PORTALON</t>
  </si>
  <si>
    <t>AMORT. PORTALON</t>
  </si>
  <si>
    <t>AMORT. RENAUL ELYSEE TRAS.</t>
  </si>
  <si>
    <t>SA40000</t>
  </si>
  <si>
    <t>AMORT. SAMSUNG SQ5 NS. 96/04. DEL DER. (GAS) TSUKI.</t>
  </si>
  <si>
    <t>AMORT. SAMSUNG DEL. DER.</t>
  </si>
  <si>
    <t>AMORT. SAMSUNG SM3 NS.B15 DEL. IZQ. STP</t>
  </si>
  <si>
    <t>AMORT. SAMSUNG SM5 SQ5</t>
  </si>
  <si>
    <t>SA40010</t>
  </si>
  <si>
    <t>AMORT. SAMSUNG SQ5 NS.96/2004. DEL IZQ. (GAS ) TSUKI.</t>
  </si>
  <si>
    <t>ES3382</t>
  </si>
  <si>
    <t>AMORT. SAMSUNG. DEL. DER.</t>
  </si>
  <si>
    <t>ES3383</t>
  </si>
  <si>
    <t>AMORT. SAMSUNG. DEL. IZQ.</t>
  </si>
  <si>
    <t>AMORT. SM3 NS. B15 TRAS. BHORKE</t>
  </si>
  <si>
    <t>AMORT. SSANGYONG STAVIC 04/13 DEL. 2.7</t>
  </si>
  <si>
    <t>AMORT. SUB LEGACY TRAS. DER. STP</t>
  </si>
  <si>
    <t>AMORT. SUB. FORESTER 97/07 DEL. IZQ.</t>
  </si>
  <si>
    <t>AMORT. SUB. LEGACI 4X4 TRAS. DER.</t>
  </si>
  <si>
    <t>SU00532</t>
  </si>
  <si>
    <t>AMORT. SUB. LEGACY 91-99 TRAS. DER. ATSUKI</t>
  </si>
  <si>
    <t>SU00518</t>
  </si>
  <si>
    <t>AMORT. SUB. LEGACY 92/99. DEL. DER.</t>
  </si>
  <si>
    <t>AMORT. SUB. LEGACY 94-98 TRAS. DER.</t>
  </si>
  <si>
    <t>AMORT. SUB. LEGACY 94-98 TRAS. IZQ.</t>
  </si>
  <si>
    <t>AMORT. SUB. LEGACY DEL. IZQ. 92-99 STP</t>
  </si>
  <si>
    <t>AMORT. Sub. Legacy TRAS. izq.</t>
  </si>
  <si>
    <t>SU00522</t>
  </si>
  <si>
    <t>AMORT. SUB. LEGACY TRAS. IZQ. 91-99 ATSUKI</t>
  </si>
  <si>
    <t>AMORT. SUB. TRAS. DER. IMPREZA LEZACY 93-2002</t>
  </si>
  <si>
    <t>SU20130</t>
  </si>
  <si>
    <t>AMORT. SUBARU LEGACY TRAS.IZQ. ATSUKI</t>
  </si>
  <si>
    <t>KB-0500</t>
  </si>
  <si>
    <t>AMORT. SUUZKI APV DEL. DER.</t>
  </si>
  <si>
    <t>KB-0499</t>
  </si>
  <si>
    <t>AMORT. SUZUKI APV DEL. IZQ.</t>
  </si>
  <si>
    <t>G63799</t>
  </si>
  <si>
    <t>AMORT. SUZUKI PTA. OJO TRASERO GABRIEL</t>
  </si>
  <si>
    <t>AMORT. SZ AEREO DEL. DER. SIN BIELETA</t>
  </si>
  <si>
    <t>AMORT. SZ. SWIFT /05 DEL. DER.</t>
  </si>
  <si>
    <t>AMORT. SZ. AEREO DEL.DER.</t>
  </si>
  <si>
    <t>AMORT. SZ. AERIO BIELETA DEL. DER.</t>
  </si>
  <si>
    <t>AMORT. SZ. AERIO DEL IZQ. SIN BIELETA ATSUKI.</t>
  </si>
  <si>
    <t>AMORT. SZ. AERIO TRAS. IZQ.</t>
  </si>
  <si>
    <t>AMORT. SZ. AERO LIANA. TRAS.</t>
  </si>
  <si>
    <t>AMORT. SZ. ALTO 06/13 K10 DEL. IZQ.</t>
  </si>
  <si>
    <t>Z300040</t>
  </si>
  <si>
    <t>AMORT. SZ. ALTO 2006/ DEL. DER.</t>
  </si>
  <si>
    <t>Z300050</t>
  </si>
  <si>
    <t>AMORT. SZ. ALTO 2006/ DEL. IZQ.</t>
  </si>
  <si>
    <t>AMORT. SZ. ALTO K10 MARUTI TRAS.</t>
  </si>
  <si>
    <t>AMORT. SZ. ALTO MARUTI CELERIO IQ TRASERO</t>
  </si>
  <si>
    <t>AMORT. SZ. ALTO MARUTI TRAS. STP</t>
  </si>
  <si>
    <t>AMORT. SZ. ALTO SPARK MATIZ DEL. IZQ. BHORKE</t>
  </si>
  <si>
    <t>AMORT. SZ. ALTO SPARK MATIZ DER. BHORKE</t>
  </si>
  <si>
    <t>Z000500</t>
  </si>
  <si>
    <t>AMORT. SZ. BALENO DEL. DER.</t>
  </si>
  <si>
    <t>AMORT. SZ. BALENO DEL. IZQ.</t>
  </si>
  <si>
    <t>Z000502</t>
  </si>
  <si>
    <t>AMORT. SZ. BALENO TRAS. DER.</t>
  </si>
  <si>
    <t>Z000492</t>
  </si>
  <si>
    <t>AMORT. SZ. BALENO TRAS. IZQ.</t>
  </si>
  <si>
    <t>ES4761</t>
  </si>
  <si>
    <t>AMORT. SZ. BALENO. TRAS. DER.</t>
  </si>
  <si>
    <t>ES4762</t>
  </si>
  <si>
    <t>AMORT. SZ. BALENO. TRAS. IZQ.</t>
  </si>
  <si>
    <t>AMORT. SZ. CARRY DAMAS DEL. IZQ. HIDR.</t>
  </si>
  <si>
    <t>ES4814</t>
  </si>
  <si>
    <t>AMORT. SZ. CARRY DEL. IZQ.</t>
  </si>
  <si>
    <t>AMORT. SZ. CARRY TRAS.</t>
  </si>
  <si>
    <t>Z00240</t>
  </si>
  <si>
    <t>Z000240</t>
  </si>
  <si>
    <t>AMORT. SZ. CARRY TRASERO</t>
  </si>
  <si>
    <t>ES4813</t>
  </si>
  <si>
    <t>AMORT. SZ. CARRY. DEL. DER.</t>
  </si>
  <si>
    <t>G64052</t>
  </si>
  <si>
    <t>AMORT. SZ. GRAN NOMADE 06/17 TRASERO</t>
  </si>
  <si>
    <t>AMORT. SZ. GRAN NOMADE 09/16 DELANTERO</t>
  </si>
  <si>
    <t>AMORT. SZ. GRAN NOMADE 95/ DEL. DER.</t>
  </si>
  <si>
    <t>G52185</t>
  </si>
  <si>
    <t>AMORT. SZ. GRAN NOMADE DEL. DER.</t>
  </si>
  <si>
    <t>G52184</t>
  </si>
  <si>
    <t>AMORT. SZ. GRAN NOMADE DEL. IZQ.</t>
  </si>
  <si>
    <t>AMORT. SZ. GRAN NOMADE TRAS. OJO/OJO</t>
  </si>
  <si>
    <t>Z400080</t>
  </si>
  <si>
    <t>AMORT. SZ. GRAN VITARA 05/ DEL. DER. ATSUKI</t>
  </si>
  <si>
    <t>Z400090</t>
  </si>
  <si>
    <t>AMORT. SZ. GRAN VITARA 05/ DEL. IZQ. ATSUKI</t>
  </si>
  <si>
    <t>AMORT. SZ. GRAN VITARA 05/, DEL. IZQ. BHORKE</t>
  </si>
  <si>
    <t>Z400078</t>
  </si>
  <si>
    <t>AMORT. SZ. GRAN VITARA 06/ TRAS. OJO-OJO ATSUKI</t>
  </si>
  <si>
    <t>AMORT. SZ. GRAN VITARA DEL. DER 2005/ BHORKE</t>
  </si>
  <si>
    <t>P018379</t>
  </si>
  <si>
    <t>AMORT. SZ. GRAN VITARA NOMADE TRAS. OJO/OJO STP</t>
  </si>
  <si>
    <t>BB3435</t>
  </si>
  <si>
    <t>AMORT. SZ. GRAN VITARA TRAS.</t>
  </si>
  <si>
    <t>Z100270</t>
  </si>
  <si>
    <t>AMORT. SZ. IGNIS DEL. DER.</t>
  </si>
  <si>
    <t>Z100010</t>
  </si>
  <si>
    <t>AMORT. SZ. IGNIS DEL. IZQ. ATSIKI</t>
  </si>
  <si>
    <t>Z40009</t>
  </si>
  <si>
    <t>AMORT. SZ. JEEP GRAN VITARA 05/ DEL.</t>
  </si>
  <si>
    <t>AMORT. SZ. JEEP OJO - OJO TRASERO</t>
  </si>
  <si>
    <t>Z100540</t>
  </si>
  <si>
    <t>AMORT. SZ. JEEP SJ410/ SJ413. TRAS.</t>
  </si>
  <si>
    <t>AMORT. SZ. MARUTI /97 SPARK DEL. IZQ. ATSUKI</t>
  </si>
  <si>
    <t>Z300018</t>
  </si>
  <si>
    <t>AMORT. SZ. MARUTI /97 SPARK 04 DEL. IZQ.</t>
  </si>
  <si>
    <t>AMORT. SZ. MARUTI 97 SPARK DEL. DER. ATSUKI</t>
  </si>
  <si>
    <t>AMORT. SZ. MARUTI ALTO DEL. IZQ. OLIMITA</t>
  </si>
  <si>
    <t>AMORT. SZ. MARUTI ALTO FRONTE DEL. DER.</t>
  </si>
  <si>
    <t>Z300028</t>
  </si>
  <si>
    <t>AMORT. SZ. MARUTI DEL DER</t>
  </si>
  <si>
    <t>AMORT. SZ. MARUTI OJO-OJO TRAS.</t>
  </si>
  <si>
    <t>AMORT. SZ. MARUTI OJO/OJO TRAS.</t>
  </si>
  <si>
    <t>AMORT. SZ. MARUTI TRASEROS</t>
  </si>
  <si>
    <t>BB3420</t>
  </si>
  <si>
    <t>AMORT. SZ. MARUTI. OJO-OJO TRAS.</t>
  </si>
  <si>
    <t>G63613</t>
  </si>
  <si>
    <t>AMORT. SZ. PTA. - OJO TRAS.</t>
  </si>
  <si>
    <t>AMORT. SZ. PTA. - OJO TRAS. GABRIEL</t>
  </si>
  <si>
    <t>AMORT. SZ. SAMURAI 96/03 DEL.</t>
  </si>
  <si>
    <t>AMORT. SZ. SAMURAI. 95/03 DEL.</t>
  </si>
  <si>
    <t>Z100502</t>
  </si>
  <si>
    <t>AMORT. SZ. ST-90 DEL.</t>
  </si>
  <si>
    <t>AMORT. SZ. SWIFT /05 DEL. IZQ.</t>
  </si>
  <si>
    <t>AMORT. SZ. SWIFT TRAS. OJO-OJO ATSUKI</t>
  </si>
  <si>
    <t>AMORT. SZ. SWIFT. TRAS</t>
  </si>
  <si>
    <t>AMORT. SZ. SX4 2007/ TRAS.</t>
  </si>
  <si>
    <t>Z400070</t>
  </si>
  <si>
    <t>AMORT. SZ. VITARA /GRAN VITARA TRAS. PTA.-OJO</t>
  </si>
  <si>
    <t>AMORT. SZ. VITARA 1.6 TRAS. PTA./OJO</t>
  </si>
  <si>
    <t>Z001202</t>
  </si>
  <si>
    <t>AMORT. SZ. VITARA DEL. DER</t>
  </si>
  <si>
    <t>Z001102</t>
  </si>
  <si>
    <t>AMORT. SZ. VITARA DEL. IZQ. ATSUKI</t>
  </si>
  <si>
    <t>AMORT. SZ. VITARA TRAS OJO/OJO</t>
  </si>
  <si>
    <t>AMORT. SZ. VITARA TRAS. OJO-OJO</t>
  </si>
  <si>
    <t>AMORT. SZ. XL7 DEL. IZQ.</t>
  </si>
  <si>
    <t>AMORT. SZ.JEEP GRAN VITARA 057 DEL.</t>
  </si>
  <si>
    <t>AMORT. TOY. HILUX DEL. PTA. CORB. STP</t>
  </si>
  <si>
    <t>MD10358</t>
  </si>
  <si>
    <t>AMORT. TRAS IZQ MAZDA 323 98/</t>
  </si>
  <si>
    <t>AMORT. TRAS OJO-OJO SUZUKI JEEP</t>
  </si>
  <si>
    <t>AMORT. TRAS. CHV AVEO SAIL STP</t>
  </si>
  <si>
    <t>AMTRASELANTRA</t>
  </si>
  <si>
    <t>AMORT. TRAS. ELANTRA</t>
  </si>
  <si>
    <t>AMOTRASELAN</t>
  </si>
  <si>
    <t>AMTJE</t>
  </si>
  <si>
    <t>AMORT. TRAS. JEEP</t>
  </si>
  <si>
    <t>AMORT. TRAS. KIA RIO / ACCENT</t>
  </si>
  <si>
    <t>AMORCRUZTRA</t>
  </si>
  <si>
    <t>AMORTCRUZTRA</t>
  </si>
  <si>
    <t>AMORT. TRASERO CHEV. CRUZE</t>
  </si>
  <si>
    <t>G511060</t>
  </si>
  <si>
    <t>AMORT. TRASERO FORD - MAZDA</t>
  </si>
  <si>
    <t>TY20377</t>
  </si>
  <si>
    <t>AMORT. TY HILUX TRAS.</t>
  </si>
  <si>
    <t>AMORT. TY YARIS 99/05 TRAS.</t>
  </si>
  <si>
    <t>AMORT. TY, YARIS 14/17 DEL.</t>
  </si>
  <si>
    <t>AMORT. TY. COROLLA 88/02 DEL. DER.</t>
  </si>
  <si>
    <t>AMORT. TY. COROLLA 03/08 BRAS. TRAS</t>
  </si>
  <si>
    <t>ty11450</t>
  </si>
  <si>
    <t>TY11450</t>
  </si>
  <si>
    <t>AMORT. TY. COROLLA 03-08 TRAS.</t>
  </si>
  <si>
    <t>AMORT. TY. COROLLA 1.6 1.8 3ZZ 02/14 TRASERO</t>
  </si>
  <si>
    <t>AMORT. TY. COROLLA 2007/11 DEL. IZQ. STP</t>
  </si>
  <si>
    <t>AMORT. TY. COROLLA 88/02 DEL. IZQ.</t>
  </si>
  <si>
    <t>AMORT. TY. COROLLA 88/02 TRAS. DER.</t>
  </si>
  <si>
    <t>TY11440</t>
  </si>
  <si>
    <t>AMORT. TY. COROLLA BRAS. 03/08 DEL. IZQ.</t>
  </si>
  <si>
    <t>TY11430</t>
  </si>
  <si>
    <t>AMORT. TY. COROLLA BRASIL DEL. DER.</t>
  </si>
  <si>
    <t>AMORT. TY. COROLLA DEL. DER. 2007-11 STP</t>
  </si>
  <si>
    <t>AMORT. TY. COROLLA. 88/02 TRAS IZQ.</t>
  </si>
  <si>
    <t>G51793</t>
  </si>
  <si>
    <t>AMORT. TY. HILUX 05/ DEL. GABRIEL</t>
  </si>
  <si>
    <t>SPTY401303</t>
  </si>
  <si>
    <t>AMORT. TY. HILUX 2.5 5/15 OJO/OJO TRAS.</t>
  </si>
  <si>
    <t>AMORT. TY. HILUX 2005/ TRAS.</t>
  </si>
  <si>
    <t>TY30628</t>
  </si>
  <si>
    <t>AMORT. TY. HILUX 4 X 4 TRAS.</t>
  </si>
  <si>
    <t>TY20478</t>
  </si>
  <si>
    <t>AMORT. TY. HILUX 4WD. DEL.</t>
  </si>
  <si>
    <t>AMORT. TY. HILUX 4X4 86/ STP</t>
  </si>
  <si>
    <t>G63494</t>
  </si>
  <si>
    <t>AMORT. TY. HILUX 4X4 TRAS.</t>
  </si>
  <si>
    <t>AMORT. TY. HILUX 4X4 TRAS. BHORKE</t>
  </si>
  <si>
    <t>AMORT. TY. HILUX BESTA DEL. PTA./CORB.</t>
  </si>
  <si>
    <t>G63404</t>
  </si>
  <si>
    <t>AMORT. TY. HILUX DEL. PTA. OJO.</t>
  </si>
  <si>
    <t>AMORT. TY. HILUX KUN DEL. STP</t>
  </si>
  <si>
    <t>TY20578</t>
  </si>
  <si>
    <t>AMORT. TY. HILUX KUN. DEL.</t>
  </si>
  <si>
    <t>AMORT. TY. HILUX PTA. CORB. DEL.</t>
  </si>
  <si>
    <t>AMORT. TY. HILUX REF. OJO/OJO</t>
  </si>
  <si>
    <t>F2795</t>
  </si>
  <si>
    <t>AMORT. TY. HILUX TRASERO</t>
  </si>
  <si>
    <t>TY20376</t>
  </si>
  <si>
    <t>AMORT. TY. HILUX. 4X4 DEL.</t>
  </si>
  <si>
    <t>G63547</t>
  </si>
  <si>
    <t>AMORT. TY. HILUX. 4X4 DEL. DER.</t>
  </si>
  <si>
    <t>AMORT. TY. KUN 2010/ TRASERO</t>
  </si>
  <si>
    <t>TY20678</t>
  </si>
  <si>
    <t>AMORT. TY. KUN TRAS.</t>
  </si>
  <si>
    <t>PB3442</t>
  </si>
  <si>
    <t>AMORT. TY. NEW YARIS TRAS.</t>
  </si>
  <si>
    <t>TY10320 SPTY501313</t>
  </si>
  <si>
    <t>AMORT. TY. NEW YARIS 06/ TRAS.</t>
  </si>
  <si>
    <t>TY10310</t>
  </si>
  <si>
    <t>AMORT. TY. NEW YARIS 06/10. DEL. IZQ. ATSUKI</t>
  </si>
  <si>
    <t>AMORT. TY. NEW YARIS DEL. DER.</t>
  </si>
  <si>
    <t>AMORT. TY. NEW YARIS DEL. IZQ.</t>
  </si>
  <si>
    <t>TY10300</t>
  </si>
  <si>
    <t>AMORT. TY. NEW YARIS DER. 2006/10 DEL. ATSUKI</t>
  </si>
  <si>
    <t>G64026</t>
  </si>
  <si>
    <t>AMORT. TY. RAV 4 TRASERO GABRIEL</t>
  </si>
  <si>
    <t>AMORT. TY. TERCEL 90-93 DEL. DER. STP</t>
  </si>
  <si>
    <t>AMORT. TY. TERCEL 90-93 DEL. IZQ. STP</t>
  </si>
  <si>
    <t>AMORT. TY. TERCEL 90-94 DEL. DER. ATSUKI</t>
  </si>
  <si>
    <t>AMORT. TY. TERCEL 90/93 TRAS. DER.</t>
  </si>
  <si>
    <t>AMORT. TY. TERCEL 90/94 DEL. IZQ. ATSUKI</t>
  </si>
  <si>
    <t>AMORT. TY. TERCEL 95/ STP TRAS.</t>
  </si>
  <si>
    <t>TY20047</t>
  </si>
  <si>
    <t>AMORT. TY. TERCEL 95/ TRAS.</t>
  </si>
  <si>
    <t>TY20057</t>
  </si>
  <si>
    <t>AMORT. TY. TERCEL 95/99 DEL. DER.ATSUKI</t>
  </si>
  <si>
    <t>TY20037</t>
  </si>
  <si>
    <t>AMORT. TY. TERCEL 95/99 DEL. IZQ. ATSUKI</t>
  </si>
  <si>
    <t>AMORT. TY. TERCEL 95/99 DEL. IZQ. BHORKE</t>
  </si>
  <si>
    <t>AMORT. TY. TERCEL 95/99. DEL. DER. BHORKE</t>
  </si>
  <si>
    <t>TY200058</t>
  </si>
  <si>
    <t>AMORT. TY. TERCEL 95/99. DEL. IZQ.</t>
  </si>
  <si>
    <t>AMORT. TY. TERCEL DER. 95/ TRAS</t>
  </si>
  <si>
    <t>AMORT. TY. TERCEL. 90/94 DEL. DER.</t>
  </si>
  <si>
    <t>AMORT. TY. TUNDRA</t>
  </si>
  <si>
    <t>AMORT. TY. YARIS 06/10 STP TRASERO</t>
  </si>
  <si>
    <t>AMORT. TY. YARIS 14/17 TRASERO</t>
  </si>
  <si>
    <t>AMORT. TY. YARIS 14/17 TRAS.</t>
  </si>
  <si>
    <t>AMORT. TY. YARIS 17/18 DEL. IZQ</t>
  </si>
  <si>
    <t>AMORT. TY. YARIS 17/18 DEL.DER.</t>
  </si>
  <si>
    <t>TY10228 SPTY501203</t>
  </si>
  <si>
    <t>AMORT. TY. YARIS 99-05 DEL. GAS</t>
  </si>
  <si>
    <t>AMORT. TY. YARIS 99-05 TRAS. STP</t>
  </si>
  <si>
    <t>AMORT. TY. YARIS 99/05 TRAS. WURTEX GAS</t>
  </si>
  <si>
    <t>AMORT. TY. YARIS 99/05 DEL. STP</t>
  </si>
  <si>
    <t>TY10218</t>
  </si>
  <si>
    <t>AMORT. TY. YARIS 99/05 TRASERO</t>
  </si>
  <si>
    <t>AMORT. TY. YARIS 99/05 TRASERO GABRIEL</t>
  </si>
  <si>
    <t>AMORT. TY. YARIS NEW 06/ DEL. DER.</t>
  </si>
  <si>
    <t>AMORT. TY. YARIS NEW 06/. DEL. IZQ.</t>
  </si>
  <si>
    <t>AMORT. TY. YARIS TRASERO</t>
  </si>
  <si>
    <t>AMORT. V.W. BORA GOLF. DEL. GAS</t>
  </si>
  <si>
    <t>AMORT. VOL. AMAROK TRAS.</t>
  </si>
  <si>
    <t>AMORT. VOLSW TRASERO</t>
  </si>
  <si>
    <t>AMORT. VOLSW. TRASERO</t>
  </si>
  <si>
    <t>AMORT. VOLVO DEL. PTA. PTA.</t>
  </si>
  <si>
    <t>AMORT. DEL. MERCEDEZ BENZ</t>
  </si>
  <si>
    <t>AMORT. DEL. MERCEDEZ BENZ .</t>
  </si>
  <si>
    <t>AMORT.-CHEV-DMAX-TRAS</t>
  </si>
  <si>
    <t>AMORT. CHEV-DMAX TRAS</t>
  </si>
  <si>
    <t>AMORT. DEL DER X-TRAIL 301187</t>
  </si>
  <si>
    <t>AMORT. DEL IZQ X-TRAIL 301249</t>
  </si>
  <si>
    <t>AMORT. TRAS MERCEDES BENZ</t>
  </si>
  <si>
    <t>AMORT. TRAS MERCEDES BENZ .</t>
  </si>
  <si>
    <t>AMORT. DAEWOO DEL.</t>
  </si>
  <si>
    <t>AMORT. Chev s-10 silverado del bhorke</t>
  </si>
  <si>
    <t>AMORT. CHEVROLET SPARK</t>
  </si>
  <si>
    <t>fd40030</t>
  </si>
  <si>
    <t>AMORT. ford eco sport 2004/ trasero</t>
  </si>
  <si>
    <t>fFD40020</t>
  </si>
  <si>
    <t>fd40020</t>
  </si>
  <si>
    <t>AMORT. FORD ECOSPORT 2003/ DEL.</t>
  </si>
  <si>
    <t>AMORT. H 1 08/ 13 atsuki</t>
  </si>
  <si>
    <t>H002698</t>
  </si>
  <si>
    <t>AMORT. HY. ACCENT 94-99 DEL. IZQ.</t>
  </si>
  <si>
    <t>AMORT. HY. I10 11/18 DEL. DER. STP</t>
  </si>
  <si>
    <t>AMORT. HY. I10 11/18 DEL. IZQ. STP</t>
  </si>
  <si>
    <t>K272608</t>
  </si>
  <si>
    <t>AMORT. Kia_hilux pta./corb. Del. Atsuki</t>
  </si>
  <si>
    <t>AMORT. MAZDA 5 DER. DEL.</t>
  </si>
  <si>
    <t>AMORT. MIT. L-200 KATANA DEL. STP</t>
  </si>
  <si>
    <t>AMORT. MIT. LANCER 1.6 01-07 DEL. OLIMITA</t>
  </si>
  <si>
    <t>G64022</t>
  </si>
  <si>
    <t>AMORT. NS. NAVARA TRAS. GABRIEL</t>
  </si>
  <si>
    <t>AMORT. Peugeot 505 bhorke</t>
  </si>
  <si>
    <t>AMORT.  SUZUKI ALTO</t>
  </si>
  <si>
    <t>AMORT. SUZUKI ALTO</t>
  </si>
  <si>
    <t>AMORT. toyota rav 4</t>
  </si>
  <si>
    <t>HT-093</t>
  </si>
  <si>
    <t>HT 093</t>
  </si>
  <si>
    <t>AMPERIMETRO 30 AMP</t>
  </si>
  <si>
    <t>AMPOLLETA 9007 12V 100/80W</t>
  </si>
  <si>
    <t>AMPOLLETA H4 P43T 60/55 12V. SUPER LIGHT</t>
  </si>
  <si>
    <t>AMPOLLETA 1 C. 12V 10W 67</t>
  </si>
  <si>
    <t>AMPOLLETA 1 CONT 12 V. 3156</t>
  </si>
  <si>
    <t>AMPOLLETA 1 CONT. 21W 1141 12V.</t>
  </si>
  <si>
    <t>AMPOLLETA 1 CONT. 21W. 1073 12V.</t>
  </si>
  <si>
    <t>AMPOLLETA 1 CONT. AMBAR DESCENTRADA 12V.</t>
  </si>
  <si>
    <t>AMPOLLETA 1 CONTACTO 67 12V 55W</t>
  </si>
  <si>
    <t>AMPOLLETA 12 V. 2 C. DISP. 1034</t>
  </si>
  <si>
    <t>AMPOLLETA 12 V. H9 65W.</t>
  </si>
  <si>
    <t>AMPOLLETA 12V 67 PATENTE</t>
  </si>
  <si>
    <t>AMPOLLETA 12V H4 p43t 60/50W SUPER LIGHT BULBS</t>
  </si>
  <si>
    <t>AMPOLLETA 12V H4 P43T XENON 110W JG.</t>
  </si>
  <si>
    <t>AMPOLLETA 12V H7 55W. BOSCH</t>
  </si>
  <si>
    <t>AMPOLLETA 12V. 1 CONT. 93 1141</t>
  </si>
  <si>
    <t>AMPOLLETA 12V. 1 CONT. COLA PESC. T20 GRANDE</t>
  </si>
  <si>
    <t>AMPOLLETA 12V. 2 C. DISP. 1157</t>
  </si>
  <si>
    <t>AMPOLLETA 12V. 2 CONT. COLA DE PESC. T20</t>
  </si>
  <si>
    <t>AMPOLLETA 12V. 2 CONT. DISP. 1034</t>
  </si>
  <si>
    <t>AMPOLLETA 12V. 3156 1 CONT. AMBAR</t>
  </si>
  <si>
    <t>AIPS057142</t>
  </si>
  <si>
    <t>AMPOLLETA 12V. 67 1C.</t>
  </si>
  <si>
    <t>AMPOLLETA 12V. 9005 100W. XENON</t>
  </si>
  <si>
    <t>AMPOLLETA 12V. G40 P45T GLOBO CKT</t>
  </si>
  <si>
    <t>AMPOLLETA 12V. H11 55W. biolight</t>
  </si>
  <si>
    <t>AIPS057724</t>
  </si>
  <si>
    <t>AMPOLLETA 12V. H4 8000K KIT BIXENON</t>
  </si>
  <si>
    <t>AMPOLLETA 12V. H4 P43T 55/60W BOSCH</t>
  </si>
  <si>
    <t>AMPOLLETA 12V. H4 P43T 60/50W</t>
  </si>
  <si>
    <t>AMPOLLETA 12V. H4 P43T 60/55W CKT</t>
  </si>
  <si>
    <t>AMPOLLETA 12V. H7 100W BIOLIGHT</t>
  </si>
  <si>
    <t>AMPOLLETA 12V. H7 55W CKT</t>
  </si>
  <si>
    <t>AMPOLLETA 12V. H7 55W. BIO LIGHT</t>
  </si>
  <si>
    <t>AIPS057726</t>
  </si>
  <si>
    <t>AMPOLLETA 12V. H7 8000K KIT XENON</t>
  </si>
  <si>
    <t>AMPOLLETA 12V. H8</t>
  </si>
  <si>
    <t>AMPOLLETA 12V. PERTIGA ROJA 10-30V 4 LED</t>
  </si>
  <si>
    <t>AMPOLLETA 1CONTACTO 67 24V AMBAR</t>
  </si>
  <si>
    <t>AMPOLLETA 2 CONT. 3157 12V.</t>
  </si>
  <si>
    <t>AMPOLLETA 2 CONT. AMBAR COLA PESC. 12V</t>
  </si>
  <si>
    <t>AMPOLLETA 2 CONT. COLA PESC. 12V.</t>
  </si>
  <si>
    <t>AMPOLLETA 2 CONT. DESC. AMBAR 12V.</t>
  </si>
  <si>
    <t>AMPOLLETA 2 CONT. DISP. 1034 12V.</t>
  </si>
  <si>
    <t>AMPOLLETA 2 CONT. DISP. 12V 1034 CKT</t>
  </si>
  <si>
    <t>AMPOLLETA 2 CONT. DISP. 21/5W. 1034 12V. NOR.</t>
  </si>
  <si>
    <t>AMPOLLETA 2 CONT. PAR. 3157 12V.</t>
  </si>
  <si>
    <t>AMPOLLETA 24V H4 p43t 75/70W</t>
  </si>
  <si>
    <t>AL01924V-HIE</t>
  </si>
  <si>
    <t>AMPOLLETA 24V. 2C. DISP.</t>
  </si>
  <si>
    <t>AMPOLLETA 24V. H4 p43T</t>
  </si>
  <si>
    <t>AMPOLLETA 24V. H4 p43T 130/90W</t>
  </si>
  <si>
    <t>AMPOLLETA 24V. H7 70W</t>
  </si>
  <si>
    <t>AMPOLLETA 2CONT. DISP. 24V</t>
  </si>
  <si>
    <t>AS4630-1</t>
  </si>
  <si>
    <t>AMPOLLETA 2CONT. DISP. 24V BRITE</t>
  </si>
  <si>
    <t>AMPOLLETA 3157 12V AMBAR 2 CONT FLOSSER</t>
  </si>
  <si>
    <t>AMPOLLETA 880 12V 27W</t>
  </si>
  <si>
    <t>AMPOLLETA 881 12V 27W</t>
  </si>
  <si>
    <t>AMPOLLETA 893 12V 37W PGJ13</t>
  </si>
  <si>
    <t>AMPOLLETA 896 12V 37.5W</t>
  </si>
  <si>
    <t>AMPOLLETA 9004 12V 100/80W</t>
  </si>
  <si>
    <t>AMPOLLETA 9004 12V 65/45 BIOLIGHT</t>
  </si>
  <si>
    <t>AMPOLLETA 9005 100W 12V.</t>
  </si>
  <si>
    <t>AMPOLLETA 9005 12V 60W</t>
  </si>
  <si>
    <t>AMPOLLETA 9005 12V 65W</t>
  </si>
  <si>
    <t>CH-009-9006</t>
  </si>
  <si>
    <t>AMPOLLETA 9006 12V 55W FIRST</t>
  </si>
  <si>
    <t>AMPOLLETA 9006 55W 12V. HALOGENAS</t>
  </si>
  <si>
    <t>AMPOLLETA 9006 55W. 12V.</t>
  </si>
  <si>
    <t>AMPOLLETA 9007 12V 65/55</t>
  </si>
  <si>
    <t>AMPOLLETA BOSCH H7 XENON BLUE LOOK 12V. 55W</t>
  </si>
  <si>
    <t>AMPOLLETA COLA PESC. 5W T10 12V. MEDIANA</t>
  </si>
  <si>
    <t>AMPOLLETA COLA PESC. LUZ FRENO 12V.</t>
  </si>
  <si>
    <t>AMPOLLETA H1 12V 55W BOSCH</t>
  </si>
  <si>
    <t>AMPOLLETA H1 12V. 55W BIO LIGHT</t>
  </si>
  <si>
    <t>H124V</t>
  </si>
  <si>
    <t>AMPOLLETA H1 24V 100W CKT</t>
  </si>
  <si>
    <t>P14.5S</t>
  </si>
  <si>
    <t>H1 70W</t>
  </si>
  <si>
    <t>AMPOLLETA H1 24V 70W MEGALITE</t>
  </si>
  <si>
    <t>AMPOLLETA H1 70 W 12V.</t>
  </si>
  <si>
    <t>H10</t>
  </si>
  <si>
    <t>AMPOLLETA H10 12V 42W CKT</t>
  </si>
  <si>
    <t>AMPOLLETA H11 12V 55W</t>
  </si>
  <si>
    <t>AMPOLLETA H11 12V STP</t>
  </si>
  <si>
    <t>AMPOLLETA H11 55W BOSCH</t>
  </si>
  <si>
    <t>H12</t>
  </si>
  <si>
    <t>AMPOLLETA H12 12V 55W CLEAR</t>
  </si>
  <si>
    <t>AMPOLLETA H13 9008 12V. 60/55W</t>
  </si>
  <si>
    <t>AMPOLLETA H13 12. 60/55W</t>
  </si>
  <si>
    <t>AMPOLLETA H13 12V 55W</t>
  </si>
  <si>
    <t>H13</t>
  </si>
  <si>
    <t>AMPOLLETA H13 12V 60/55W CKT</t>
  </si>
  <si>
    <t>H3CKT</t>
  </si>
  <si>
    <t>AMPOLLETA H3 12V 55W CKT</t>
  </si>
  <si>
    <t>AMPOLLETA H3 12V 55W OSRAM</t>
  </si>
  <si>
    <t>H324V</t>
  </si>
  <si>
    <t>PK22S</t>
  </si>
  <si>
    <t>AMPOLLETA H3 24V 70W MEGALITE</t>
  </si>
  <si>
    <t>AMPOLLETA H4 12V 60/55W HELLA</t>
  </si>
  <si>
    <t>AMPOLLETA H4 12V 60/55W P43T MEGALITE</t>
  </si>
  <si>
    <t>BL0415</t>
  </si>
  <si>
    <t>AMPOLLETA H4 60/50W 12v. XENON BLUE BOSCH</t>
  </si>
  <si>
    <t>AMPOLLETA H4 60/55W XB</t>
  </si>
  <si>
    <t>AMPOLLETA H4 LED 80% VOLT 8/80</t>
  </si>
  <si>
    <t>H42800</t>
  </si>
  <si>
    <t>AMPOLLETA H4 LED 24W/6000K 12V. BESTE</t>
  </si>
  <si>
    <t>H4LED</t>
  </si>
  <si>
    <t>AMPOLLETA H4 LED JG.</t>
  </si>
  <si>
    <t>AMPOLLETA H4 P43T 60/55W 12V. OSRAM MADE IN GERMANY</t>
  </si>
  <si>
    <t>AMPOLLETA H4 P45T CLEAR 24V 75/70W</t>
  </si>
  <si>
    <t>H4/9003</t>
  </si>
  <si>
    <t>AMPOLLETA H4/9003 24V 130/90W HELIOLITE</t>
  </si>
  <si>
    <t>ACCU057453</t>
  </si>
  <si>
    <t>AMPOLLETA H7 12V 100W CKT</t>
  </si>
  <si>
    <t>AMPOLLETA H7 12V 100W H.O.D</t>
  </si>
  <si>
    <t>AMPOLLETA H7 12V 55/60W HELLA</t>
  </si>
  <si>
    <t>AMPOLLETA H7 12V 55W CKT</t>
  </si>
  <si>
    <t>AMPOLLETA H7 55W 12V. MEGALIFE</t>
  </si>
  <si>
    <t>H72800</t>
  </si>
  <si>
    <t>AMPOLLETA H7 LED 24W/6000K 12V. BESTE par</t>
  </si>
  <si>
    <t>AMPOLLETA H7 LED 85% VOLT 8/80</t>
  </si>
  <si>
    <t>AMPOLLETA H7 LED VEN LM2800</t>
  </si>
  <si>
    <t>PERTIGA</t>
  </si>
  <si>
    <t>AMPOLLETA PERTIGA ROJA</t>
  </si>
  <si>
    <t>AMPOLLETA T15 COLA PEZ LUZ FRENO</t>
  </si>
  <si>
    <t>MATERIAL</t>
  </si>
  <si>
    <t>ANCLA LATERAL CUADRADA SET 2</t>
  </si>
  <si>
    <t>TRANSMISION</t>
  </si>
  <si>
    <t>ANILLO SINCR CAJA MITS. ROSA 3Y 4 Y 5</t>
  </si>
  <si>
    <t>ANTENA CHEV LUV</t>
  </si>
  <si>
    <t>AIPS072300</t>
  </si>
  <si>
    <t>ANTENA CHEV. DMAX</t>
  </si>
  <si>
    <t>AIPS072865</t>
  </si>
  <si>
    <t>ANTENA NISSAN TERRANO</t>
  </si>
  <si>
    <t>ANTENA NISSAN V16</t>
  </si>
  <si>
    <t>ANTENA NS. D21</t>
  </si>
  <si>
    <t>ANTENA NS. TERRANO D22 YD25</t>
  </si>
  <si>
    <t>ANTENA pilar negra</t>
  </si>
  <si>
    <t>ANTENA PILAR UNVERSAL</t>
  </si>
  <si>
    <t>ES8178</t>
  </si>
  <si>
    <t>ANTENA TAPABARRO GOMA</t>
  </si>
  <si>
    <t>ANTENA TECHO NEGRA</t>
  </si>
  <si>
    <t>ES8593</t>
  </si>
  <si>
    <t>ANTENA TECHO UNIVERSAL</t>
  </si>
  <si>
    <t>PTAF01</t>
  </si>
  <si>
    <t>ANTICONGELANTE 151 1 LT. VERDE CONCENTRADO</t>
  </si>
  <si>
    <t>ptmo02</t>
  </si>
  <si>
    <t>ANTICONGELANTE 611 3.7LT. verde</t>
  </si>
  <si>
    <t>ANTICONGELANTE 611 ROJO 3.7 LT. VERSACHEM</t>
  </si>
  <si>
    <t>ANTICONGELANTE 711 20 lt</t>
  </si>
  <si>
    <t>PTAF12</t>
  </si>
  <si>
    <t>ANTICONGELANTE 711 GL. VERSACHEM</t>
  </si>
  <si>
    <t>PTAF09</t>
  </si>
  <si>
    <t>ANTICONGELANTE 911 3.7 GL. -16GR. ROJO</t>
  </si>
  <si>
    <t>PTAF08</t>
  </si>
  <si>
    <t>ANTICONGELANTE 911 3.7GL. -16GR. VERDE</t>
  </si>
  <si>
    <t>ANTICONGELANTE DIESEL FLIEB LIQUI MOLY</t>
  </si>
  <si>
    <t>ANTICONGELANTE LUBRISTONE AZUL 3.6 LT</t>
  </si>
  <si>
    <t>ANTICONGELANTE LUBRISTONE SALMON 3.7 LT</t>
  </si>
  <si>
    <t>ANTICONGELANTE LUBRISTONE VERDE 3.7 LT</t>
  </si>
  <si>
    <t>ANTICONGELANTE MIX-COOL 50/50 VERSACHEM</t>
  </si>
  <si>
    <t>AF6300</t>
  </si>
  <si>
    <t>ANTICONGELANTE PRESTON ASIAN BLUE 50/50</t>
  </si>
  <si>
    <t>AF6200</t>
  </si>
  <si>
    <t>ANTICONGELANTE PRESTONE 50/50 ASIAN 3.78L</t>
  </si>
  <si>
    <t>AF6400</t>
  </si>
  <si>
    <t>ANTICONGELANTE PRESTONE 50/50 EUROPEAN 3.78 LT.</t>
  </si>
  <si>
    <t>AF2033</t>
  </si>
  <si>
    <t>ANTICONGELANTE PRESTONE ALL VEHICLES 33% GL. ETIQUETA VERDE</t>
  </si>
  <si>
    <t>AF2100</t>
  </si>
  <si>
    <t>ANTICONGELANTE PRESTONE ALL VEHICLES 50%</t>
  </si>
  <si>
    <t>AF6600</t>
  </si>
  <si>
    <t>ANTICONGELANTE PRESTONE ASIAN GREEN 50/50 1 GL. VERDE</t>
  </si>
  <si>
    <t>AF850</t>
  </si>
  <si>
    <t>ANTICONGELANTE PRESTONE DEXCOOL 50/50 GM TAPA SALMON GL.</t>
  </si>
  <si>
    <t>PROANTI</t>
  </si>
  <si>
    <t>ANTICONGELANTE PROANTI 3000 -2 VERDE</t>
  </si>
  <si>
    <t>proanros</t>
  </si>
  <si>
    <t>proanzalm</t>
  </si>
  <si>
    <t>ANTICONGELANTE proanti 3000 rosado radiador chino -2</t>
  </si>
  <si>
    <t>PROANT-12R</t>
  </si>
  <si>
    <t>ANTICONGELANTE PROANTI ROSADO -12GR</t>
  </si>
  <si>
    <t>PROANT-7R</t>
  </si>
  <si>
    <t>ANTICONGELANTE PROANTI ROSADO -7GR</t>
  </si>
  <si>
    <t>PROANT-7V</t>
  </si>
  <si>
    <t>ANTICONGELANTE PROANTI VERDE -7GR</t>
  </si>
  <si>
    <t>PROANT-12V</t>
  </si>
  <si>
    <t>PRONAT-12V</t>
  </si>
  <si>
    <t>ANTICONGELANTE PROANTI VERDE -12GR</t>
  </si>
  <si>
    <t>ANTIOXIDO RADIADOR VERSACHEM</t>
  </si>
  <si>
    <t>AROMA AUTO NUEVO CYCLO</t>
  </si>
  <si>
    <t>AROMA BAYA SILVESTRE</t>
  </si>
  <si>
    <t>aromabot</t>
  </si>
  <si>
    <t>AROMABOT</t>
  </si>
  <si>
    <t>AROMA BOTELLA AROMATIC0 103 ML</t>
  </si>
  <si>
    <t>AROMA COCO CYCLO</t>
  </si>
  <si>
    <t>SMOKE</t>
  </si>
  <si>
    <t>AROMA EXTERMINADOR DE OLORES SONAX</t>
  </si>
  <si>
    <t>AROMA VAINILLA CYCLO</t>
  </si>
  <si>
    <t>AROMA WURTH AUTO FRESH GEL</t>
  </si>
  <si>
    <t>ART. CREMALLERA DIR. MAZDA 323 E3 E5</t>
  </si>
  <si>
    <t>ART. CREMALLERA HY ACCENT</t>
  </si>
  <si>
    <t>ART. CREMALLERA HY STA. FE / SONATA</t>
  </si>
  <si>
    <t>ART. CREMALLERA KIA AVELLA / RIO</t>
  </si>
  <si>
    <t>ART. CREMALLERA NS TIIDA</t>
  </si>
  <si>
    <t>ARTICULACION CAJA CAMBIO CHEV. AVEO</t>
  </si>
  <si>
    <t>ARTC/C</t>
  </si>
  <si>
    <t>ARTICULACION CAJA CAMBIO CORSA</t>
  </si>
  <si>
    <t>ARTICULACION CREM. NS NAVARA 2.5</t>
  </si>
  <si>
    <t>ARTICULACION CREMALLERA DIR. TY. YARIS</t>
  </si>
  <si>
    <t>ARTICULACION NISSAN</t>
  </si>
  <si>
    <t>MOTOR</t>
  </si>
  <si>
    <t>ASPA CHEV LUV 2.8</t>
  </si>
  <si>
    <t>ASPA CHEV LUV 89/94</t>
  </si>
  <si>
    <t>TY30004</t>
  </si>
  <si>
    <t>ASPA CHEV. LUV 2.3 HILUX</t>
  </si>
  <si>
    <t>aspmah</t>
  </si>
  <si>
    <t>ASPMAH</t>
  </si>
  <si>
    <t>ASPA MAHINDRA</t>
  </si>
  <si>
    <t>ASPA NS. D21</t>
  </si>
  <si>
    <t>ASPA NS. NAVARA</t>
  </si>
  <si>
    <t>ASPA NS. TERRANO 2.5 YD25</t>
  </si>
  <si>
    <t>ASPA TY HILUX 3.0</t>
  </si>
  <si>
    <t>AVANCE NISSAN CTAS J15 / J16</t>
  </si>
  <si>
    <t>AVANCE PEUGEOT 404 / 504</t>
  </si>
  <si>
    <t>AXIAL DIR. MEC. FORD ESCORT 91/99</t>
  </si>
  <si>
    <t>AXIAL DIR. NS SUNNY</t>
  </si>
  <si>
    <t>AXIAL DIR. NS. V16 98/ HIDR. HILO GRUESO</t>
  </si>
  <si>
    <t>AXIAL DIR. NS. V16 HILO FINO</t>
  </si>
  <si>
    <t>AXIAL DIR. OPEL CORSA 1.6</t>
  </si>
  <si>
    <t>FA70110</t>
  </si>
  <si>
    <t>AXIAL DIR. PUNTO 94/99</t>
  </si>
  <si>
    <t>AXIAL DIR.HID. FORD ESCORT 91/99</t>
  </si>
  <si>
    <t>AXIAL DIREC. TOYOTA</t>
  </si>
  <si>
    <t>AXIAL DIRECC. CHEV. SAIL 1.4</t>
  </si>
  <si>
    <t>AXIAL DIRECCION FORD RANGER</t>
  </si>
  <si>
    <t>AXIAL DIRECCION MAZDA</t>
  </si>
  <si>
    <t>AXIAL Direçcion opel corsa 1.6</t>
  </si>
  <si>
    <t>AXTY</t>
  </si>
  <si>
    <t>AXIAL DIRECCION TY. HILUX</t>
  </si>
  <si>
    <t>AXIAL DIRECCION VHEV. DMAX CTR</t>
  </si>
  <si>
    <t>AXIAL-KIA</t>
  </si>
  <si>
    <t>AXIAL KIA</t>
  </si>
  <si>
    <t>AXIAL NISSAN SUNNY 88/91</t>
  </si>
  <si>
    <t>AXIAL NISSAN TIIDA 1.6</t>
  </si>
  <si>
    <t>AXIAL NISSAN V 16</t>
  </si>
  <si>
    <t>TY50500</t>
  </si>
  <si>
    <t>AXIAL TY NEW YARIS</t>
  </si>
  <si>
    <t>AXIAL</t>
  </si>
  <si>
    <t>AXIAL DIRECC. SZ.</t>
  </si>
  <si>
    <t>AXIAL-SZ-C</t>
  </si>
  <si>
    <t>AXIAL SZ CELERIO</t>
  </si>
  <si>
    <t>BALANCIN</t>
  </si>
  <si>
    <t>BALANCIN ADM. HYUN. PORTER</t>
  </si>
  <si>
    <t>BALANCIN CHEV LUV 2.2 CORSA</t>
  </si>
  <si>
    <t>BALANCIN ESC. IZQ NISSAN D21</t>
  </si>
  <si>
    <t>BALRANGER</t>
  </si>
  <si>
    <t>BALANCIN FORD RANGER</t>
  </si>
  <si>
    <t>BALANCIN MITSUBISHI 16V.</t>
  </si>
  <si>
    <t>BALANCIN VAL. ESC. DER. NISSAN D21</t>
  </si>
  <si>
    <t>BALANCIN VALV. ADM DER NISSAN D21</t>
  </si>
  <si>
    <t>BALANCIN VALV. ADM. IZQ NISSAN D21</t>
  </si>
  <si>
    <t>L112600</t>
  </si>
  <si>
    <t>BALANCIN VALV. CHEV. LUV</t>
  </si>
  <si>
    <t>BALANCIN VALV. CHEV. LUV 2.2 CORSA</t>
  </si>
  <si>
    <t>BALANCIN VALV. ESC DER NISSAN D21</t>
  </si>
  <si>
    <t>H101348</t>
  </si>
  <si>
    <t>BALANCIN VALV. H100 H1 ADM.</t>
  </si>
  <si>
    <t>H101358</t>
  </si>
  <si>
    <t>BALANCIN VALV. H100 H1 ESC.</t>
  </si>
  <si>
    <t>FAROLES</t>
  </si>
  <si>
    <t>SYF205M-A</t>
  </si>
  <si>
    <t>BALIZA AMBAR MAGNETICA</t>
  </si>
  <si>
    <t>BALIZA ESTR. APERNADA AZUL</t>
  </si>
  <si>
    <t>BALIZA ESTR. MAGNETICA AZUL</t>
  </si>
  <si>
    <t>BANDEJA CHEV. AVEO DER.</t>
  </si>
  <si>
    <t>BANDEJA CHEV. AVEO IZQ.</t>
  </si>
  <si>
    <t>BANDEJA CHEV. AVEO SAIL DER. BHORKE</t>
  </si>
  <si>
    <t>BANDEJA CHEV. AVEO SAIL IZQ</t>
  </si>
  <si>
    <t>BANDEJA CHEV. AVEO SAIL IZQ.</t>
  </si>
  <si>
    <t>BANDCRUZE</t>
  </si>
  <si>
    <t>BANDEJA CHEV. CRUZE</t>
  </si>
  <si>
    <t>BANDEJA CHEV. D-MAX 4X4</t>
  </si>
  <si>
    <t>BANDEJA CHEV. OPTRA DER.</t>
  </si>
  <si>
    <t>BANDEJA CHEV. OPTRA IZQ.</t>
  </si>
  <si>
    <t>BANDEJA CHEV. SAIL 1.5 DER. WURTEX</t>
  </si>
  <si>
    <t>BANDEJA CHEV. SAIL 1.5 IZQ. WURTEX</t>
  </si>
  <si>
    <t>BANDEJA CHEV. SPARK GT DER.</t>
  </si>
  <si>
    <t>BANDEJA CHEV. SPARK GT IZQ WURTEX</t>
  </si>
  <si>
    <t>BANDEJA CHEV. SPARK MATIZ MARUTI BHORKE</t>
  </si>
  <si>
    <t>DH50068</t>
  </si>
  <si>
    <t>BANDEJA DAHIC TERIO 97/2001 INF.</t>
  </si>
  <si>
    <t>Z100060</t>
  </si>
  <si>
    <t>BANDEJA DER SZ BALENO 95/</t>
  </si>
  <si>
    <t>BANDEJA DER. NISSAN TIIDA</t>
  </si>
  <si>
    <t>BANDEJA DER. NISSAN V16</t>
  </si>
  <si>
    <t>TY03188</t>
  </si>
  <si>
    <t>BANDEJA DER. TY. YARIS 99/2005 NEP10/12</t>
  </si>
  <si>
    <t>BANDEJA DERECHA HYUNDAI ACCENT RD</t>
  </si>
  <si>
    <t>BANDEJA DERECHA SUZUKI</t>
  </si>
  <si>
    <t>BANELANDER</t>
  </si>
  <si>
    <t>BANDEJA ELANTRA DER.</t>
  </si>
  <si>
    <t>BANELANIZQ</t>
  </si>
  <si>
    <t>BANDEJA ELANTRA IZQ.</t>
  </si>
  <si>
    <t>BANDEJA HY ACCENT RB 12/ DEL. IZQ. SANKEI</t>
  </si>
  <si>
    <t>BANDEJA HY. ACCENT RB DER. WURTEX</t>
  </si>
  <si>
    <t>SPDT230202</t>
  </si>
  <si>
    <t>STD230202</t>
  </si>
  <si>
    <t>BANDEJA IZQ NISSAN V16</t>
  </si>
  <si>
    <t>Z100050</t>
  </si>
  <si>
    <t>BANDEJA IZQ SZ BALENO 95/</t>
  </si>
  <si>
    <t>TY50338</t>
  </si>
  <si>
    <t>BANDEJA IZQ TY YARIS 03/05</t>
  </si>
  <si>
    <t>BANDEJA</t>
  </si>
  <si>
    <t>BANDEJA IZQ. HYUNDAI I-10</t>
  </si>
  <si>
    <t>BANDEJA IZQ. NISSAN V16</t>
  </si>
  <si>
    <t>BANDEJA IZQ. NS TIIDA</t>
  </si>
  <si>
    <t>BANDEJA IZQ. NS. V-16 90/2008. COMPLETA.</t>
  </si>
  <si>
    <t>BANDEJA KIA</t>
  </si>
  <si>
    <t>BANDEJA musso</t>
  </si>
  <si>
    <t>MD11230</t>
  </si>
  <si>
    <t>BANDEJA MZ. 323 IZQ. 99/02</t>
  </si>
  <si>
    <t>BANDEJA NS TERRANO SUPERIOR DER. 4X2</t>
  </si>
  <si>
    <t>BANDEJA NS. D21 IZQ.</t>
  </si>
  <si>
    <t>BANDEJA NS. NAVARA</t>
  </si>
  <si>
    <t>BANDEJA NS. SENTRA II B14 DER.</t>
  </si>
  <si>
    <t>BJAINTERR</t>
  </si>
  <si>
    <t>BANDEJA NS. TERRANO INF.</t>
  </si>
  <si>
    <t>BANDEJA NS. TIIDA 06-15 DERECHA</t>
  </si>
  <si>
    <t>SPDT450202</t>
  </si>
  <si>
    <t>BANDEJA NS. TIIDA 06/16 IZQ.</t>
  </si>
  <si>
    <t>JPDT450201</t>
  </si>
  <si>
    <t>BANDEJA NS. TIIDA DER. JAPON</t>
  </si>
  <si>
    <t>BANDEJA NS. TIIDA IZQ.</t>
  </si>
  <si>
    <t>BANDEJA NS. V16 DER</t>
  </si>
  <si>
    <t>SPDT230201</t>
  </si>
  <si>
    <t>BANDEJA NS. V16 DERECHA</t>
  </si>
  <si>
    <t>BANDEJA NS. V16 IZQ.</t>
  </si>
  <si>
    <t>BANDEJA NS. V16 IZQUIERDA ATSUKI</t>
  </si>
  <si>
    <t>BANDEJA NS. VERSA 12/15 DEL. DER.</t>
  </si>
  <si>
    <t>BANDEJA NS. VERSA 12/15 DEL. IZQ.</t>
  </si>
  <si>
    <t>BANDEJA SAMSUNG SM3 DER.</t>
  </si>
  <si>
    <t>BANDEJA SAMSUNG SM3 IZQ.</t>
  </si>
  <si>
    <t>BANDEJA SM3 SENTRA 1.8 DER.</t>
  </si>
  <si>
    <t>BANDEJA SM3 SENTRA 1.8 IZQ.</t>
  </si>
  <si>
    <t>BANDEJA SUP IZQ NISSAN D22 4X4</t>
  </si>
  <si>
    <t>HD20270</t>
  </si>
  <si>
    <t>BANDEJA SUP. IZQ. INTEGRA</t>
  </si>
  <si>
    <t>DMAX</t>
  </si>
  <si>
    <t>BANDEJA SUPERIOR CHEV DMAX</t>
  </si>
  <si>
    <t>BANDEJA SUPERIOR CHEV. LUV 89/06 DER.</t>
  </si>
  <si>
    <t>BANDEJA SUPERIOR CHEV. LUV 89/06 IZQ.</t>
  </si>
  <si>
    <t>BANDEJA SUSPENSION . INF DEL DER. HYUNDAY</t>
  </si>
  <si>
    <t>KIA</t>
  </si>
  <si>
    <t>KIARIO</t>
  </si>
  <si>
    <t>BANDEJA SUSPENSION KIA RIO</t>
  </si>
  <si>
    <t>BANDEJA SUSPENSION SZ MARUTI</t>
  </si>
  <si>
    <t>BANDEJA SZ. FRONTE MARUTI</t>
  </si>
  <si>
    <t>BANDEJA SZ. MARUTI SPARK</t>
  </si>
  <si>
    <t>Z000418</t>
  </si>
  <si>
    <t>Z000418 0012942</t>
  </si>
  <si>
    <t>BANDEJA SZ. MARUTI SPARK MATIZ</t>
  </si>
  <si>
    <t>TY01388</t>
  </si>
  <si>
    <t>BANDEJA TOTOTA YARIS DER. 99/02</t>
  </si>
  <si>
    <t>TY50358</t>
  </si>
  <si>
    <t>TY50358 0028018</t>
  </si>
  <si>
    <t>BANDEJA TY NEW YARIS 06/11 IZQ.</t>
  </si>
  <si>
    <t>BANDEJA TY YARIS 2006/13 IZQ.</t>
  </si>
  <si>
    <t>BANDEJA TY YARIS 03-05 DER</t>
  </si>
  <si>
    <t>BANDEJA TY YARIS 03-05 IZQ.</t>
  </si>
  <si>
    <t>BANDEJA TY YARIS 2006/ DER.</t>
  </si>
  <si>
    <t>BANDEJA TY YARIS 2006/13 DER</t>
  </si>
  <si>
    <t>BANDEJA TY. HILUX 2.4 DER.</t>
  </si>
  <si>
    <t>BANDEJA TY. HILUX 2.4 INF. DER.</t>
  </si>
  <si>
    <t>BANDEJA TY. HILUX 2.4 INF. IZQ.</t>
  </si>
  <si>
    <t>BANDEJA TY. HILUX 2.4 IZQ.</t>
  </si>
  <si>
    <t>SPTY500212</t>
  </si>
  <si>
    <t>TY50353 0028019</t>
  </si>
  <si>
    <t>BANDEJA TY. NEW YARIS 06/11. DER .</t>
  </si>
  <si>
    <t>TY50348</t>
  </si>
  <si>
    <t>BANDEJA TY. YARIS 03/05 DERECHA</t>
  </si>
  <si>
    <t>SPTY500211</t>
  </si>
  <si>
    <t>TY50368</t>
  </si>
  <si>
    <t>BANDEJA TY. YARIS 06/11 DER.</t>
  </si>
  <si>
    <t>BANDEJA TY. YARIS 14/ DEL. DER.</t>
  </si>
  <si>
    <t>BANDEJA TY. YARIS 2003-05 14MM</t>
  </si>
  <si>
    <t>BANDEJA TY. YARIS 2003-05 DER. 14MM</t>
  </si>
  <si>
    <t>BANDEJA TY. YARIS 2014/ DEL. IZQ.</t>
  </si>
  <si>
    <t>BANDEJA TY. YARIS 99-05 DER. 12MM</t>
  </si>
  <si>
    <t>BANDEJA TY. YARIS 99-05 IZQ. 12MM</t>
  </si>
  <si>
    <t>TY03178</t>
  </si>
  <si>
    <t>BANDEJA TY. YARIS 99/02 IZQ. 12MM IZQ.</t>
  </si>
  <si>
    <t>BANDEJA--NP300</t>
  </si>
  <si>
    <t>BANDEJA DER NP300</t>
  </si>
  <si>
    <t>BANDEJA-IZQ-NP300</t>
  </si>
  <si>
    <t>BANDEJA IZQ NP300</t>
  </si>
  <si>
    <t>BARRA TENSORA HYUNDAI H100</t>
  </si>
  <si>
    <t>BASE TERM. HYUNDAI / KIA</t>
  </si>
  <si>
    <t>BASE TERM. LUV 96/</t>
  </si>
  <si>
    <t>BASE TERM. NISSAN V16</t>
  </si>
  <si>
    <t>BASE TERM. NISSAN V16 GA16 94/97</t>
  </si>
  <si>
    <t>BASE TERM. NS. V16 GA16</t>
  </si>
  <si>
    <t>BASE TERM. TAPA RADIADOR TY. YARIS</t>
  </si>
  <si>
    <t>BASE TERM. TY TERCEL</t>
  </si>
  <si>
    <t>BASE TERM. TY TERCEL 95/</t>
  </si>
  <si>
    <t>BASE TERM. TY. TERCEL 5E 97/</t>
  </si>
  <si>
    <t>AIPS055230</t>
  </si>
  <si>
    <t>BASTON SEGURIDAD AMARILLO</t>
  </si>
  <si>
    <t>AIPS055232</t>
  </si>
  <si>
    <t>BASTON SEGURIDAD NEGRO</t>
  </si>
  <si>
    <t>AIPS055238</t>
  </si>
  <si>
    <t>BASTON TIPO T AL VOLANTE</t>
  </si>
  <si>
    <t>TP-31-800S</t>
  </si>
  <si>
    <t>BATERIA 100 AMP TOPOWER</t>
  </si>
  <si>
    <t>BATERIA 150 AMP. DOLPHIN</t>
  </si>
  <si>
    <t>TR55S</t>
  </si>
  <si>
    <t>TR55D</t>
  </si>
  <si>
    <t>BATERIA 55 AMP. TROMAN</t>
  </si>
  <si>
    <t>BESTE100PI</t>
  </si>
  <si>
    <t>BATERIA BESTE 100 AMP. POS. IZQ.</t>
  </si>
  <si>
    <t>BESTE100PD</t>
  </si>
  <si>
    <t>BATERIA BESTE 100 AMP.POS. DER.</t>
  </si>
  <si>
    <t>BATERIA BESTE 120 AMP. POS. DER.</t>
  </si>
  <si>
    <t>BATERIA BESTE 150 AMP.</t>
  </si>
  <si>
    <t>BATERIA BESTE 200 AMP. POS. DER.</t>
  </si>
  <si>
    <t>BESTE35PD</t>
  </si>
  <si>
    <t>BATERIA BESTE 35 AMP. POS. DER.</t>
  </si>
  <si>
    <t>BATERIA BESTE 35 AMP. POS. IZQ. BORNE DELG.</t>
  </si>
  <si>
    <t>BATERIA BESTE 44 AMP. POS. DER. 3954449</t>
  </si>
  <si>
    <t>BESTE45PDD</t>
  </si>
  <si>
    <t>BATERIA BESTE 45 AMP. POS. DER. BORNE DELG. 39NS60LGB</t>
  </si>
  <si>
    <t>BESTE45PID</t>
  </si>
  <si>
    <t>BATERIA BESTE 45 AMP. POS. IZQ. BORNE DELG. 39NS60GB</t>
  </si>
  <si>
    <t>BESTE50PD</t>
  </si>
  <si>
    <t>BATERIA BESTE 50 AMP. POS. DER.</t>
  </si>
  <si>
    <t>CMF50AL</t>
  </si>
  <si>
    <t>BATERIA BESTE 50 AMP. POS. DER. CMF50AL</t>
  </si>
  <si>
    <t>BESTE55PD</t>
  </si>
  <si>
    <t>BATERIA BESTE 55 AMP POS. DER. 3955530GB</t>
  </si>
  <si>
    <t>BESTE55PI</t>
  </si>
  <si>
    <t>BATERIA BESTE 55 AMP. POS. IZQ.</t>
  </si>
  <si>
    <t>BATERIA BESTE 60 AMP. POS. DER.</t>
  </si>
  <si>
    <t>BESTE60PI</t>
  </si>
  <si>
    <t>BATERIA BESTE 60 AMP. POS. IZQ.</t>
  </si>
  <si>
    <t>BATERIA BESTE 62 AMP. POS. DER.</t>
  </si>
  <si>
    <t>BATERIA BESTE 62 AMP. POS. IZQ.</t>
  </si>
  <si>
    <t>BESTE70PD</t>
  </si>
  <si>
    <t>BATERIA BESTE 70 AMP. POS. DER</t>
  </si>
  <si>
    <t>BATERIA BESTE 70 AMP. POS. DER. ALTA</t>
  </si>
  <si>
    <t>BATERIA BESTE 70 AMP. POS. DER. BAJA 3957113GB</t>
  </si>
  <si>
    <t>BESTE70PI</t>
  </si>
  <si>
    <t>BATERIA BESTE 70 AMP. POS. IZQ.</t>
  </si>
  <si>
    <t>BATERIA BESTE 80 AMP. P. DER.</t>
  </si>
  <si>
    <t>BATERIA BESTE 90 AMP. 39NX120-7GB POS. IZQ.</t>
  </si>
  <si>
    <t>BESTE90PD</t>
  </si>
  <si>
    <t>BATERIA BESTE 90 AMP. POS. DER.</t>
  </si>
  <si>
    <t>BESTE90PI</t>
  </si>
  <si>
    <t>BATERIA BESTE 90 AMP. POS. IZQ.</t>
  </si>
  <si>
    <t>BATERIA BOSCH 10 AMP.</t>
  </si>
  <si>
    <t>BATERIA BOSCH 100 AMP. POS. IZQ. N100</t>
  </si>
  <si>
    <t>BATERIA BOSCH 35 AMP. POS. DER. NS40ZL</t>
  </si>
  <si>
    <t>BATERIA BOSCH 35 AMP. POS. IZQ.</t>
  </si>
  <si>
    <t>BATERIA BOSCH 40 AMP. POS. DER.</t>
  </si>
  <si>
    <t>BATERIA BOSCH 40 AMP. POS. IZQ.</t>
  </si>
  <si>
    <t>BATERIA BOSCH 45 AMP POS. IZQ. S545E</t>
  </si>
  <si>
    <t>BATERIA BOSCH 45 AMP. POS. DER.</t>
  </si>
  <si>
    <t>BATERIA BOSCH 45 AMP. POS. DER. DELGADO NS60L</t>
  </si>
  <si>
    <t>BATERIA BOSCH 45 AMP. POS. DER. S545D</t>
  </si>
  <si>
    <t>BATERIA BOSCH 45 AMP. POS. IZQ. DELG.</t>
  </si>
  <si>
    <t>BATERIA BOSCH 55 AMP. POS. DER. S355D</t>
  </si>
  <si>
    <t>BATERIA BOSCH 55 AMP. POS. IZQ. S355E</t>
  </si>
  <si>
    <t>BATERIA BOSCH 60 AMP POS. DER.</t>
  </si>
  <si>
    <t>BATERIA BOSCH 60 AMP POS. IZQ</t>
  </si>
  <si>
    <t>BATERIA BOSCH 60 AMP. IZQ. 3955D23RMF</t>
  </si>
  <si>
    <t>BATERIA BOSCH 60 AMP. POS. DER 39S560D-E</t>
  </si>
  <si>
    <t>BATERIA BOSCH 60 AMP. POS. DER.</t>
  </si>
  <si>
    <t>BATERIA BOSCH 60 AMP. POS. DER. 55D23L</t>
  </si>
  <si>
    <t>BATERIA BOSCH 60 AMP. POS. IZQ.</t>
  </si>
  <si>
    <t>BATERIA BOSCH 62 AMP. DER. ALTA</t>
  </si>
  <si>
    <t>BATERIA BOSCH 70 AMP. POS. DER.</t>
  </si>
  <si>
    <t>BATERIA BOSCH 70 AMP. POS. IZQ.</t>
  </si>
  <si>
    <t>BATERIA BOSCH 70 AMP. POS. IZQ. NX110-5MF</t>
  </si>
  <si>
    <t>BATERIA BOSCH 72 AMP. POS. DER. FORD</t>
  </si>
  <si>
    <t>BATERIA BOSCH 72 AMP. POS. IZQ.</t>
  </si>
  <si>
    <t>BATERIA BOSCH 75 AMP</t>
  </si>
  <si>
    <t>BATERIA BOSCH 75 AMP. POS. IZQ. FORD EXPLORER</t>
  </si>
  <si>
    <t>BATERIA BOSCH 80 AMP. POS. DER.</t>
  </si>
  <si>
    <t>BATERIA BOSCH 90 AMP POS. IZQ. NX120-7MF</t>
  </si>
  <si>
    <t>BATERIA BOSCH 90 AMP. POS. DER. NX120-7L</t>
  </si>
  <si>
    <t>BATERIA BOSCH 92 AMP. POS. DER. 39NX120-7LT</t>
  </si>
  <si>
    <t>BATERIA BOSCH 92 AMP. POS. IZQ. 39NX120-7T</t>
  </si>
  <si>
    <t>BK31-800S</t>
  </si>
  <si>
    <t>BATERIA BULK 100 AMP. CON PERNO</t>
  </si>
  <si>
    <t>BK31-800B</t>
  </si>
  <si>
    <t>BATERIA BULK 100 AMP. C/BORNE</t>
  </si>
  <si>
    <t>BK150D</t>
  </si>
  <si>
    <t>BATERIA BULK 150 AMP.</t>
  </si>
  <si>
    <t>BK55D</t>
  </si>
  <si>
    <t>BATERIA BULK 55 AMP. POS. DER.</t>
  </si>
  <si>
    <t>BK55E</t>
  </si>
  <si>
    <t>BATERIA BULK 55 AMP. POS. IZQ.</t>
  </si>
  <si>
    <t>BK70D</t>
  </si>
  <si>
    <t>BATERIA BULK 70 AMP. DER.</t>
  </si>
  <si>
    <t>BK70E</t>
  </si>
  <si>
    <t>BATERIA BULK 70 AMP. IZQ.</t>
  </si>
  <si>
    <t>BK90D</t>
  </si>
  <si>
    <t>BATERIA BULK 90 AMP. DER.</t>
  </si>
  <si>
    <t>BK90E</t>
  </si>
  <si>
    <t>BATERIA BULK 90 AMP. POS. IZQ.</t>
  </si>
  <si>
    <t>BATE.CAM</t>
  </si>
  <si>
    <t>BATERIA CAMIONETA DODGE</t>
  </si>
  <si>
    <t>NS40ZLD</t>
  </si>
  <si>
    <t>BATERIA DOLPHIN 35 AMP. POS. DER.</t>
  </si>
  <si>
    <t>NS60-S-D</t>
  </si>
  <si>
    <t>NS60-D</t>
  </si>
  <si>
    <t>BATERIA DOLPHIN 45 AMP. NS60-D POS. IZQ.</t>
  </si>
  <si>
    <t>BATERIA DOLPHIN 55 AMP. POS. DER.</t>
  </si>
  <si>
    <t>BATERIA DOLPHIN 71 AMP. POS. DER.</t>
  </si>
  <si>
    <t>N90D</t>
  </si>
  <si>
    <t>BATERIA DOLPHIN 90 AMP. DER.</t>
  </si>
  <si>
    <t>N90L</t>
  </si>
  <si>
    <t>BATERIA DOLPHIN 90 AMP. IZQ.</t>
  </si>
  <si>
    <t>BATDUR.</t>
  </si>
  <si>
    <t>BATDUR</t>
  </si>
  <si>
    <t>BATERIA DURANGO</t>
  </si>
  <si>
    <t>DT55D</t>
  </si>
  <si>
    <t>BATERIA DURATRACK 55 AMP POS. DER.</t>
  </si>
  <si>
    <t>BATERIA ECOBAT 100 AMP.</t>
  </si>
  <si>
    <t>BATERIA ECOBAT 100 AMP. 30H102-E</t>
  </si>
  <si>
    <t>NS60-S-E</t>
  </si>
  <si>
    <t>NS60 S-E</t>
  </si>
  <si>
    <t>BATERIA ECOBAT 45 AMP. POS. IZQ.</t>
  </si>
  <si>
    <t>BATERIA ECOBAT 55AMP. POS. DER.</t>
  </si>
  <si>
    <t>BATERIA ECOBAT 60 AMP. POS. DER.</t>
  </si>
  <si>
    <t>BATERIA ECOBAT 70 POS. DER.</t>
  </si>
  <si>
    <t>N90L-E</t>
  </si>
  <si>
    <t>BATERIA ECOBAT 90 AMP. POS. DER</t>
  </si>
  <si>
    <t>N90E</t>
  </si>
  <si>
    <t>BATERIA ECOBAT 90 AMP. POS. IZQ.</t>
  </si>
  <si>
    <t>E-55548</t>
  </si>
  <si>
    <t>BATERIA ECOBAT POS. IZQ.</t>
  </si>
  <si>
    <t>ENER-N150</t>
  </si>
  <si>
    <t>BATERIA ENERGIZER 150 AMP.</t>
  </si>
  <si>
    <t>ENER-55530</t>
  </si>
  <si>
    <t>BATERIA ENERGIZER 55 AMP POS. DER ENER-55530</t>
  </si>
  <si>
    <t>BATERIA ENERGIZER 55 AMP. POS. IZQ.</t>
  </si>
  <si>
    <t>ENERG-55D23R</t>
  </si>
  <si>
    <t>BATERIA ENERGIZER 60 AMP.</t>
  </si>
  <si>
    <t>ENER-57112L</t>
  </si>
  <si>
    <t>BATERIA ENERGIZER 70 AMP. POS. DER. BAJA</t>
  </si>
  <si>
    <t>ENER-57113R</t>
  </si>
  <si>
    <t>BATERIA ENERGIZER 70 AMP. POS. IZQ. BAJA ENER-57113R</t>
  </si>
  <si>
    <t>BATERIA HYUNDAI 100 AMP. C/PERNO POS. IZQ.</t>
  </si>
  <si>
    <t>BATERIA HYUNDAI 100 AMP. CMF 100L POS. DER.</t>
  </si>
  <si>
    <t>CMF60038</t>
  </si>
  <si>
    <t>CMF60038 072220032</t>
  </si>
  <si>
    <t>BATERIA HYUNDAI 100 AMP. POS. DER.</t>
  </si>
  <si>
    <t>CMF100L</t>
  </si>
  <si>
    <t>CMFN120</t>
  </si>
  <si>
    <t>BATERIA HYUNDAI 120 POS. DER.</t>
  </si>
  <si>
    <t>CMN150</t>
  </si>
  <si>
    <t>BATERIA HYUNDAI 150 AMP. POS DER.</t>
  </si>
  <si>
    <t>CMFN200</t>
  </si>
  <si>
    <t>BATERIA HYUNDAI 200 AMP. CMFN200</t>
  </si>
  <si>
    <t>NS40ZL</t>
  </si>
  <si>
    <t>BATERIA HYUNDAI 35 AMP. POS. DER. NS40ZL DELGADO</t>
  </si>
  <si>
    <t>BATERIA HYUNDAI 35 AMP. POS. DER. NS40ZL BHD</t>
  </si>
  <si>
    <t>BATERIA HYUNDAI 35 AMP. POS. IZQ. BORNE DELG. 42B19R BHD</t>
  </si>
  <si>
    <t>CMF54459</t>
  </si>
  <si>
    <t>BATERIA HYUNDAI 44 AMP. POS. DER. C/ PEST.</t>
  </si>
  <si>
    <t>NS60LHY</t>
  </si>
  <si>
    <t>BATERIA HYUNDAI 45 AMP. DELG. POS. DER.</t>
  </si>
  <si>
    <t>NS60L</t>
  </si>
  <si>
    <t>BATERIA HYUNDAI 45 AMP. POS. DER. NS60L</t>
  </si>
  <si>
    <t>NS60RSHY</t>
  </si>
  <si>
    <t>BATERIA HYUNDAI 45 AMP. POS. IZQ. DELG.</t>
  </si>
  <si>
    <t>NS60</t>
  </si>
  <si>
    <t>BATERIA HYUNDAI 45 AMP. POS. IZQ. NS60</t>
  </si>
  <si>
    <t>CMF50ALH</t>
  </si>
  <si>
    <t>BATERIA HYUNDAI 50 AMP. POS. DER. CMF50L</t>
  </si>
  <si>
    <t>CMF55457</t>
  </si>
  <si>
    <t>BATERIA HYUNDAI 54 AMP. POS. DER. CMF55457</t>
  </si>
  <si>
    <t>CMF55458</t>
  </si>
  <si>
    <t>BATERIA HYUNDAI 54 AMP. POS. IZQ.</t>
  </si>
  <si>
    <t>BATERIA HYUNDAI 54 AMP. POS. IZQ. CMF55458</t>
  </si>
  <si>
    <t>BATERIA HYUNDAI 60 AMP POS. DER. CMF60AL</t>
  </si>
  <si>
    <t>BATERIA HYUNDAI 60 AMP. POS. DER.</t>
  </si>
  <si>
    <t>CMF56219</t>
  </si>
  <si>
    <t>BATERIA HYUNDAI 62 AMP. POS. DER. CMF56219</t>
  </si>
  <si>
    <t>CMF56220</t>
  </si>
  <si>
    <t>BATERIA HYUNDAI 62 AMP. POS. IZQ. CMF56220</t>
  </si>
  <si>
    <t>N70-BHD</t>
  </si>
  <si>
    <t>BATERIA HYUNDAI 70 AMP POS IZQ.</t>
  </si>
  <si>
    <t>N70L-BHD</t>
  </si>
  <si>
    <t>BATERIA HYUNDAI 70 AMP. POS. DER.</t>
  </si>
  <si>
    <t>CMF57113</t>
  </si>
  <si>
    <t>BATERIA HYUNDAI 71 AMP. POS. DER.</t>
  </si>
  <si>
    <t>CMF57115</t>
  </si>
  <si>
    <t>BATERIA HYUNDAI 71 AMP. POS. IZQ.</t>
  </si>
  <si>
    <t>CMF57412</t>
  </si>
  <si>
    <t>BATERIA HYUNDAI 75 AMP. POS. DER.</t>
  </si>
  <si>
    <t>CMF57413</t>
  </si>
  <si>
    <t>BATERIA HYUNDAI 75 AMP. POS. IZQ.</t>
  </si>
  <si>
    <t>CMF58014</t>
  </si>
  <si>
    <t>BATERIA HYUNDAI 80 AMP. POS. DER. BAJA CMF58014</t>
  </si>
  <si>
    <t>nx120-7lhy</t>
  </si>
  <si>
    <t>NX120-7LHY</t>
  </si>
  <si>
    <t>BATERIA HYUNDAI 90 AMP. POS. DER.</t>
  </si>
  <si>
    <t>NX120-7L-BHD</t>
  </si>
  <si>
    <t>BATERIA HYUNDAI 90 AMP. POS. DER. NX120-7L-BHD</t>
  </si>
  <si>
    <t>BATERIA HYUNDAI 90 AMP. POS. IZQ.</t>
  </si>
  <si>
    <t>NX120-7 BHD</t>
  </si>
  <si>
    <t>BATERIA HYUNDAI 90 AMP. POS. IZQ.NX120-7 BHD</t>
  </si>
  <si>
    <t>SMF58014</t>
  </si>
  <si>
    <t>BATERIA LUCAS 100 AMP. POS. DER.</t>
  </si>
  <si>
    <t>SMFN120</t>
  </si>
  <si>
    <t>BATERIA LUCAS 120 AMP. LIBRE MANTENCION</t>
  </si>
  <si>
    <t>SMFN150</t>
  </si>
  <si>
    <t>BATERIA LUCAS 150 AMP</t>
  </si>
  <si>
    <t>SMFU1R-230</t>
  </si>
  <si>
    <t>BATERIA LUCAS 24 AMP. U1R-230</t>
  </si>
  <si>
    <t>SMFNS40ZL</t>
  </si>
  <si>
    <t>BATERIA LUCAS 35 AMP POS DER. DELG. SMFNS40ZL</t>
  </si>
  <si>
    <t>SMFNS40Z</t>
  </si>
  <si>
    <t>BATERIA LUCAS 35 AMP. POS. IZQ. DELG. SMFNS40Z</t>
  </si>
  <si>
    <t>SMFNS40ZS</t>
  </si>
  <si>
    <t>BATERIA LUCAS 35 AMP. POS. IZQ. SMFNS40ZS</t>
  </si>
  <si>
    <t>SMFNX100S6S</t>
  </si>
  <si>
    <t>NX100S6S</t>
  </si>
  <si>
    <t>BATERIA LUCAS 45 AMP POS. IZQ. SMFNX100S6S</t>
  </si>
  <si>
    <t>SMF54316</t>
  </si>
  <si>
    <t>BATERIA LUCAS 45 AMP. POS. DER. FORD 54316</t>
  </si>
  <si>
    <t>SMFNX100S6L</t>
  </si>
  <si>
    <t>BATERIA LUCAS 45 AMP. POS. DER. NX100S6L</t>
  </si>
  <si>
    <t>SMF55D23R</t>
  </si>
  <si>
    <t>BATERIA LUCAS 55 A. POS. DER. ALTA</t>
  </si>
  <si>
    <t>SMF55457</t>
  </si>
  <si>
    <t>BATERIA LUCAS 55 AMP. POS. DER 55457</t>
  </si>
  <si>
    <t>SMFR85BR60K</t>
  </si>
  <si>
    <t>BATERIA LUCAS 55 AMP. POS. IZQ. 85BR60K</t>
  </si>
  <si>
    <t>SMF85B60K</t>
  </si>
  <si>
    <t>BATERIA LUCAS 55 POS. DER. 85B60K</t>
  </si>
  <si>
    <t>SMF75660</t>
  </si>
  <si>
    <t>BATERIA LUCAS 75 AMP. AMERICANA 75660</t>
  </si>
  <si>
    <t>SMFNX110-5L</t>
  </si>
  <si>
    <t>BATERIA LUCAS 75 AMP. NX110-5L POS. DER.</t>
  </si>
  <si>
    <t>SMF57220</t>
  </si>
  <si>
    <t>BATERIA LUCAS 75 AMP. POS. DER. 57220</t>
  </si>
  <si>
    <t>SMFNX110-5</t>
  </si>
  <si>
    <t>BATERIA LUCAS 75 AMP. POS. IZQ. SMFNX110-5</t>
  </si>
  <si>
    <t>SMF65-700</t>
  </si>
  <si>
    <t>BATERIA LUCAS 85 AMP. F. EXPLORER 304X191X192 SMF65-700</t>
  </si>
  <si>
    <t>SMF59095</t>
  </si>
  <si>
    <t>BATERIA LUCAS 90 AMP POS. IZQ. SMF59095</t>
  </si>
  <si>
    <t>SMF77219</t>
  </si>
  <si>
    <t>SMF57219</t>
  </si>
  <si>
    <t>BATERIA LUCAS PREMIUN 72 AMP. POS. DER.</t>
  </si>
  <si>
    <t>SMF60044</t>
  </si>
  <si>
    <t>BATERIA LUCAS100 AMP POS. DER. 60044</t>
  </si>
  <si>
    <t>BATERIA MAXBAT 150 SMF N150</t>
  </si>
  <si>
    <t>SMFNS40ZLM</t>
  </si>
  <si>
    <t>SMF NS40ZL</t>
  </si>
  <si>
    <t>BATERIA MAXBAT 35 AMP. POS. DER. DELG. SMFNS40ZL</t>
  </si>
  <si>
    <t>SMFNS60LS-BHD</t>
  </si>
  <si>
    <t>BATERIA MAXBAT 45 AMP ANCHO POS. DER. SMFNS60LS-BHD</t>
  </si>
  <si>
    <t>BATERIA MAXBAT 45 AMP DELG. POS. DER. SMFNS60L-BHD</t>
  </si>
  <si>
    <t>MAXBATSMF55457</t>
  </si>
  <si>
    <t>BATERIA MAXBAT 55 AMP. POS. DER.</t>
  </si>
  <si>
    <t>MAXBATSMF55458</t>
  </si>
  <si>
    <t>BATERIA MAXBAT 55 AMP. POS. IZQ.</t>
  </si>
  <si>
    <t>SMF55D23L</t>
  </si>
  <si>
    <t>BATERIA MAXBAT 60 AMP. POS. DER.</t>
  </si>
  <si>
    <t>SMF56219 BHD</t>
  </si>
  <si>
    <t>SMF56219 070350061</t>
  </si>
  <si>
    <t>BATERIA MAXBAT 62 AMP. POS. DER.</t>
  </si>
  <si>
    <t>SMF56217</t>
  </si>
  <si>
    <t>BATERIA MAXBAT 62 AMP. POS. IZQ.</t>
  </si>
  <si>
    <t>NX110-5LMAX</t>
  </si>
  <si>
    <t>BATERIA MAXBAT 70 AMP. POS. DER.</t>
  </si>
  <si>
    <t>SMF57113</t>
  </si>
  <si>
    <t>BATERIA MAXBAT 71 AMP. POS. DER. SMF57113</t>
  </si>
  <si>
    <t>SMF58014M</t>
  </si>
  <si>
    <t>BATERIA MAXBAT 80 AMP. POS IZQ. SMF58014</t>
  </si>
  <si>
    <t>BATERIA MAXBAT 88 AMP. SMF 58827 POS. DER.</t>
  </si>
  <si>
    <t>SMFNX120-7L-BH</t>
  </si>
  <si>
    <t>BATERIA MAXBAT 90 AMP. POS. DER.</t>
  </si>
  <si>
    <t>SMFNS40ZM</t>
  </si>
  <si>
    <t>BATERIA MAXBAT POS. IZQ. DELGADO SMFNS40Z</t>
  </si>
  <si>
    <t>pmx90d</t>
  </si>
  <si>
    <t>PMX90D</t>
  </si>
  <si>
    <t>BATERIA POWERMAX 90 AMP. POS. DER.</t>
  </si>
  <si>
    <t>PMX90E</t>
  </si>
  <si>
    <t>BATERIA POWERMAX 90 AMP. POS. IZQ.</t>
  </si>
  <si>
    <t>BATERIA ROCK 55 AMP</t>
  </si>
  <si>
    <t>BATERIA ROCKET 100 AMP CON PERNO</t>
  </si>
  <si>
    <t>BATERIA ROCKET 100 AMP.</t>
  </si>
  <si>
    <t>BATERIA ROCKET 100 AMP. 3930H-74RK</t>
  </si>
  <si>
    <t>BATERIA ROCKET 120 AMP 39N120RK</t>
  </si>
  <si>
    <t>BATERIA ROCKET 150 AMP. 39N150RK</t>
  </si>
  <si>
    <t>BATERIA ROCKET 200 AMP.</t>
  </si>
  <si>
    <t>BATERIA ROCKET 35 AMP POS. DER. 39NS40ZLRK</t>
  </si>
  <si>
    <t>BATERIA ROCKET 35 AMP. POS. IZQ. 39NS40ZRK</t>
  </si>
  <si>
    <t>BATERIA ROCKET 45 AMP</t>
  </si>
  <si>
    <t>BATERIA ROCKET 55 AMP</t>
  </si>
  <si>
    <t>BATERIA ROCKET 60 AMP</t>
  </si>
  <si>
    <t>BATERIA ROCKET 62 AMP POS.</t>
  </si>
  <si>
    <t>BATERIA ROCKET 70 AMP.</t>
  </si>
  <si>
    <t>BATERIA ROCKET 70 AMP. POS. IZQ.</t>
  </si>
  <si>
    <t>batroc72der</t>
  </si>
  <si>
    <t>BATROC72DER</t>
  </si>
  <si>
    <t>BATERIA ROCKET 72 AMP POS. DER</t>
  </si>
  <si>
    <t>BATERIA ROCKET 75 AMP POS. IZQ.</t>
  </si>
  <si>
    <t>BATERIA ROCKET 75 AMP. POS. DER.</t>
  </si>
  <si>
    <t>BATERIA ROCKET 80 POS. DER.</t>
  </si>
  <si>
    <t>BATERIA ROCKET 90 AMP. POS. DER.</t>
  </si>
  <si>
    <t>BATERIA ROCKET 90 AMP. POS. IZQ.</t>
  </si>
  <si>
    <t>TP100E</t>
  </si>
  <si>
    <t>BATERIA TOPOWER 100 AMP POS. IZQ. TP100E</t>
  </si>
  <si>
    <t>TP31-800B</t>
  </si>
  <si>
    <t>BATERIA TOPOWER 100 AMP. PERNO CENTRO</t>
  </si>
  <si>
    <t>TPN94</t>
  </si>
  <si>
    <t>BATERIA TOPOWER 120 AMP.</t>
  </si>
  <si>
    <t>TP150D</t>
  </si>
  <si>
    <t>BATERIA TOPOWER 150 AMP. 150D</t>
  </si>
  <si>
    <t>TPN200</t>
  </si>
  <si>
    <t>BATERIA TOPOWER 200 AMP.</t>
  </si>
  <si>
    <t>TPNS40LS</t>
  </si>
  <si>
    <t>BATERIA TOPOWER 35 AMP. POS. DER. DEL. NS40LS GR.</t>
  </si>
  <si>
    <t>TPNS40L</t>
  </si>
  <si>
    <t>BATERIA TOPOWER 35 AMP. POS. DER. DELG. TPNS40L</t>
  </si>
  <si>
    <t>TPNS40</t>
  </si>
  <si>
    <t>BATERIA TOPOWER 35 AMP. POS. IZQ. DEL. TPNS40</t>
  </si>
  <si>
    <t>TPNS60L</t>
  </si>
  <si>
    <t>BATERIA TOPOWER 45 AMP. POS. DER. NS60L DELG.</t>
  </si>
  <si>
    <t>TPNS60LS</t>
  </si>
  <si>
    <t>BATERIA TOPOWER 45 AMP. POS. DER. NS60LS</t>
  </si>
  <si>
    <t>TPNS60S</t>
  </si>
  <si>
    <t>BATERIA TOPOWER 45 AMP. POS. IZQ. TPNS60S</t>
  </si>
  <si>
    <t>TP55D</t>
  </si>
  <si>
    <t>BATERIA TOPOWER 55 AMP POS. DER.</t>
  </si>
  <si>
    <t>TPAL55</t>
  </si>
  <si>
    <t>BATERIA TOPOWER 55 AMP. POS. DER. CUADRADA</t>
  </si>
  <si>
    <t>TP55E</t>
  </si>
  <si>
    <t>BATERIA TOPOWER 55 AMP. POS. IZQ.</t>
  </si>
  <si>
    <t>TP60D</t>
  </si>
  <si>
    <t>BATERIA TOPOWER 60 AMP. POS. DER</t>
  </si>
  <si>
    <t>TP55D23L</t>
  </si>
  <si>
    <t>BATERIA TOPOWER 60 AMP. POS. DER. ALTA</t>
  </si>
  <si>
    <t>TP60E</t>
  </si>
  <si>
    <t>BATERIA TOPOWER 60 AMP. POS. IZQ.</t>
  </si>
  <si>
    <t>TP55D23R</t>
  </si>
  <si>
    <t>BATERIA TOPOWER 60 AMP. POS. IZQ. ALTA</t>
  </si>
  <si>
    <t>TP70D</t>
  </si>
  <si>
    <t>BATERIA TOPOWER 70 AMP. POS. DER. 70D</t>
  </si>
  <si>
    <t>TP70E</t>
  </si>
  <si>
    <t>BATERIA TOPOWER 70 AMP. POS. IZQ.</t>
  </si>
  <si>
    <t>TPNX110-5L</t>
  </si>
  <si>
    <t>BATERIA TOPOWER 75 AMP. POS. DER. NX110-5L</t>
  </si>
  <si>
    <t>TPNX110-5</t>
  </si>
  <si>
    <t>BATERIA TOPOWER 75 AMP. POS. IZQ. NX110-5</t>
  </si>
  <si>
    <t>TP90D</t>
  </si>
  <si>
    <t>BATERIA TOPOWER 90 AMP. POS. DER. TP90D</t>
  </si>
  <si>
    <t>TP90E</t>
  </si>
  <si>
    <t>BATERIA TOPOWER 90 AMP. POS. IZQ. TP90E</t>
  </si>
  <si>
    <t>TP60044</t>
  </si>
  <si>
    <t>BATERIA TOPOWER 100 AMP BAJA LARGA</t>
  </si>
  <si>
    <t>TPNS60</t>
  </si>
  <si>
    <t>BATERIA TOPOWER 45 AMP POS. IZQ. DELGADO TPNS60</t>
  </si>
  <si>
    <t>BATTPAW55</t>
  </si>
  <si>
    <t>BATERIA TOPOWER 55 RAV4</t>
  </si>
  <si>
    <t>TP56219</t>
  </si>
  <si>
    <t>BATERIA TOPOWER 62 AMP. DER.</t>
  </si>
  <si>
    <t>TP58014</t>
  </si>
  <si>
    <t>BATERIA TOPOWER 80 AMP. POS DER.</t>
  </si>
  <si>
    <t>N150T</t>
  </si>
  <si>
    <t>BATERIA TOTEM 150 AMP</t>
  </si>
  <si>
    <t>NS60LT</t>
  </si>
  <si>
    <t>BATERIA TOTEM 45 AMP. POS. DER. DELG. NS60LT</t>
  </si>
  <si>
    <t>BATERIA TOTEM 55 AMP. POS. DER.</t>
  </si>
  <si>
    <t>BATERIA TOTEM 55 AMP. POS. IZQ.</t>
  </si>
  <si>
    <t>BATERIA TOTEM 60 AMP. POS. DER</t>
  </si>
  <si>
    <t>N50ZL</t>
  </si>
  <si>
    <t>BATERIA TOTEM 60 AMP. POS. DER.ALTA</t>
  </si>
  <si>
    <t>N90LT</t>
  </si>
  <si>
    <t>BATERIA TOTEM 90 AMP. POS. DER.</t>
  </si>
  <si>
    <t>N90T</t>
  </si>
  <si>
    <t>BATERIA TOTEM 90 AMP. POS. IZQ.</t>
  </si>
  <si>
    <t>TP150</t>
  </si>
  <si>
    <t>BATERIA TP150</t>
  </si>
  <si>
    <t>Bateria bosch 64 amp</t>
  </si>
  <si>
    <t>BBA ACEITE HY. ACCENT RB</t>
  </si>
  <si>
    <t>BBA ACEITE CHEV CRUZE / SONIC</t>
  </si>
  <si>
    <t>BBA ACEITE CHEV. AVEO 1.4 OPTRA 1.6 MANDO</t>
  </si>
  <si>
    <t>BBA ACEITE MITS. L200 2.5</t>
  </si>
  <si>
    <t>bba-agua-apv</t>
  </si>
  <si>
    <t>BBA AGUA APV</t>
  </si>
  <si>
    <t>BBA AGUA SZ. ALTO 1.0 11/ K10 CELERIO GWS-45 TOTO</t>
  </si>
  <si>
    <t>RADIADOR</t>
  </si>
  <si>
    <t>BBA AGUA CHEV CRUZE/TRACKER SONIC TOTO</t>
  </si>
  <si>
    <t>BBA AGUA CHEV. CORSA GWO 13 STP</t>
  </si>
  <si>
    <t>BBA AGUA CHEV. LUV 2.3 GWIS 22</t>
  </si>
  <si>
    <t>BBA AGUA FORD FIESTA 10/</t>
  </si>
  <si>
    <t>BBA AGUA NS. TIIDA GWN 88 TOTO</t>
  </si>
  <si>
    <t>bba-bencina</t>
  </si>
  <si>
    <t>BBA BENCINA CUADRADA</t>
  </si>
  <si>
    <t>BBA BENCINA DELGADA CORSA/V16/TIIDA 3 BAR</t>
  </si>
  <si>
    <t>BBADIR</t>
  </si>
  <si>
    <t>BBA DIREC. DISTRIBUCION JBC</t>
  </si>
  <si>
    <t>BBA DIREC. HIDRA. ACTYON</t>
  </si>
  <si>
    <t>EMBRAGUES</t>
  </si>
  <si>
    <t>BBA EMBR. CHEV DMAX 05/11 WURTEX</t>
  </si>
  <si>
    <t>BBA EMBR. CHEV SAIL 1.5</t>
  </si>
  <si>
    <t>BBA EMBR. CHEV, LUV / DMAX 3.0</t>
  </si>
  <si>
    <t>SMG321</t>
  </si>
  <si>
    <t>BBA EMBR. CHEV. LUV 2.3</t>
  </si>
  <si>
    <t>BBA EMBR. CHEV. S10 2.2 2.4</t>
  </si>
  <si>
    <t>BBA EMBR. CHEV. SAIL 1.5 16/18</t>
  </si>
  <si>
    <t>BBA EMBR. HY ACCENT RB 1.4 11/</t>
  </si>
  <si>
    <t>H100788</t>
  </si>
  <si>
    <t>BBA EMBR. HY H100 PORTER</t>
  </si>
  <si>
    <t>H201640</t>
  </si>
  <si>
    <t>BBA EMBR. HYUNDAI H1 08/11</t>
  </si>
  <si>
    <t>SMM5034Y</t>
  </si>
  <si>
    <t>BBA EMBR. MITS. L200 2.5 2.4 16/ YUSIN</t>
  </si>
  <si>
    <t>BBA EMBR. NISSAN SENTRA 1.8 QG1</t>
  </si>
  <si>
    <t>FEDT455403</t>
  </si>
  <si>
    <t>BBA EMBR. NISSAN TIIDA ALTERNATIVA</t>
  </si>
  <si>
    <t>BBA EMBR. NS. TERRANO 2.5</t>
  </si>
  <si>
    <t>BBA EMBR. NS. TERRANO D22 2.5</t>
  </si>
  <si>
    <t>BBA EMBR. NS. TIIDA</t>
  </si>
  <si>
    <t>BBA EMBR. SAMSUNG SM3</t>
  </si>
  <si>
    <t>BBA EMBR. SSANYONG ACTYON</t>
  </si>
  <si>
    <t>BBA EMBR. SUZUKI GRAN VITARA</t>
  </si>
  <si>
    <t>BBA EMBR. TOYOTA TERCEL 1.5 5/8</t>
  </si>
  <si>
    <t>BBA EMBR. TY YARIS 1.3 / 1.5</t>
  </si>
  <si>
    <t>SMT1368Y</t>
  </si>
  <si>
    <t>BBA EMBR. TY. HILUX KUN 05/13</t>
  </si>
  <si>
    <t>BBA. ACEITE CHEV LUV 2.2</t>
  </si>
  <si>
    <t>BBA. ACEITE CHEV. AVEO OPTRA DAEWOO REDONDA</t>
  </si>
  <si>
    <t>BBA. ACEITE CHEV. CORSA HEXAGONAL</t>
  </si>
  <si>
    <t>BBA. ACEITE CHEV. CORSA DW RC POI HEXAGONAL</t>
  </si>
  <si>
    <t>BBACEDMAX</t>
  </si>
  <si>
    <t>BBA. ACEITE CHEV. DMAX</t>
  </si>
  <si>
    <t>BBA. ACEITE CHEV. LUV</t>
  </si>
  <si>
    <t>BBA. ACEITE CHEV. LUV 2.2</t>
  </si>
  <si>
    <t>BBA. ACEITE CHEV. LUV 2.2 MONZA</t>
  </si>
  <si>
    <t>L111030</t>
  </si>
  <si>
    <t>BBA. ACEITE CHEV. LUV 2.3</t>
  </si>
  <si>
    <t>L111035</t>
  </si>
  <si>
    <t>BBA. ACEITE CHEV. LUV 89 ADEL. FALLONE ARGENTINA</t>
  </si>
  <si>
    <t>BBA. ACEITE CHEV. LUV 89/</t>
  </si>
  <si>
    <t>BBA. ACEITE CHEV. S-10 2.2 99/</t>
  </si>
  <si>
    <t>BBA. ACEITE DH. CHARADE G20 850</t>
  </si>
  <si>
    <t>BBA. ACEITE HONDA D15B</t>
  </si>
  <si>
    <t>BBA. ACEITE HY ACCENT G4AE</t>
  </si>
  <si>
    <t>BBA. ACEITE HY ACCENT RB 1.4</t>
  </si>
  <si>
    <t>BBA. ACEITE HY. ELANTRA TUCSON SPORTAGE</t>
  </si>
  <si>
    <t>BBAC</t>
  </si>
  <si>
    <t>BBA. ACEITE MOTOR</t>
  </si>
  <si>
    <t>BBA. ACEITE NS. 720 J 18</t>
  </si>
  <si>
    <t>BBA. ACEITE NS. D 21</t>
  </si>
  <si>
    <t>BBA. ACEITE NS. D21 KA24</t>
  </si>
  <si>
    <t>BBA. ACEITE NS. D21 KA24 Z20 Z24</t>
  </si>
  <si>
    <t>BBA. ACEITE NS. J18 TOW</t>
  </si>
  <si>
    <t>BBA. ACEITE NS. NAVARA YD25</t>
  </si>
  <si>
    <t>MTDT115500</t>
  </si>
  <si>
    <t>BBA. ACEITE NS. SUNNY 1.7 DIESEL</t>
  </si>
  <si>
    <t>BBA. ACEITE NS. TERRANO 2.5</t>
  </si>
  <si>
    <t>BBA. ACEITE NS. TERRANO 2.5 YD25DD</t>
  </si>
  <si>
    <t>BBA. ACEITE NS. V16 GA16</t>
  </si>
  <si>
    <t>BBA. ACEITE NS. V16 GA16 TOTO</t>
  </si>
  <si>
    <t>BBA. ACEITE NS. V16 GA16 T. PLOMA</t>
  </si>
  <si>
    <t>BBA. ACEITE TOYOTA 22R</t>
  </si>
  <si>
    <t>BBA. AGUA CARAVAN GWCR 27A 3.3</t>
  </si>
  <si>
    <t>BBA. AGUA CARAVAN GWCR 39A 6-14</t>
  </si>
  <si>
    <t>gwo-18</t>
  </si>
  <si>
    <t>BBA. AGUA CHEV CAPTIVA</t>
  </si>
  <si>
    <t>BBA. AGUA CHEV. 230 250 6 CIL. GWG-01</t>
  </si>
  <si>
    <t>BBA. AGUA CHEV. 350 96/ C/HILO</t>
  </si>
  <si>
    <t>BBA. AGUA CHEV. 350 V8 308-350</t>
  </si>
  <si>
    <t>BBA. AGUA CHEV. AVEO VIVANT GWG 92</t>
  </si>
  <si>
    <t>BBA. AGUA CHEV. AVEO GWG 92</t>
  </si>
  <si>
    <t>BBA. AGUA CHEV. AVEO OPTRA DW. GWG 87</t>
  </si>
  <si>
    <t>BBA. AGUA CHEV. AVEO OPTRA DW. GWG 92</t>
  </si>
  <si>
    <t>BBA. AGUA CHEV. CORSA 1.6 GWO 13</t>
  </si>
  <si>
    <t>BBA. AGUA CHEV. CORSA EVOL. MONTANA</t>
  </si>
  <si>
    <t>BBA. AGUA CHEV. CORSA GW0 13A GMB</t>
  </si>
  <si>
    <t>BBA. AGUA CHEV. CORSA GWO 13</t>
  </si>
  <si>
    <t>BBA. AGUA CHEV. CRUZE / SONIC</t>
  </si>
  <si>
    <t>BBA. AGUA CHEV. DMAX GWIS 25 DUNLOP</t>
  </si>
  <si>
    <t>BBA. AGUA CHEV. GWIS 25</t>
  </si>
  <si>
    <t>L112140</t>
  </si>
  <si>
    <t>BBA. AGUA CHEV. LUV 1.6 GWIS 29</t>
  </si>
  <si>
    <t>BBA. AGUA CHEV. LUV 2.0 1.6 /88</t>
  </si>
  <si>
    <t>BBA. AGUA CHEV. LUV 2.2</t>
  </si>
  <si>
    <t>BBA. AGUA CHEV. LUV 2.2 S10 GWIS-47</t>
  </si>
  <si>
    <t>BBA. AGUA CHEV. LUV 2.2 GWIS 47</t>
  </si>
  <si>
    <t>BBA. AGUA CHEV. LUV 2.2 GWIS 47 MONZA 96/ TOPAR</t>
  </si>
  <si>
    <t>BBA. AGUA CHEV. LUV 2.2 MONZA 96/</t>
  </si>
  <si>
    <t>L112070 MTCH234100</t>
  </si>
  <si>
    <t>BBA. AGUA CHEV. LUV 2.3 GWIS 22</t>
  </si>
  <si>
    <t>BBA. AGUA CHEV. LUV 2.3 GWIS 22 GMB</t>
  </si>
  <si>
    <t>BBA. AGUA CHEV. LUV 2.3 GWIS 22A JAPON</t>
  </si>
  <si>
    <t>BBA. AGUA CHEV. LUV 2.3 GWIS-22 4ZD1 GSK</t>
  </si>
  <si>
    <t>BBA. AGUA CHEV. LUV 2.5 GWIS 25 ISUZU</t>
  </si>
  <si>
    <t>BBA. AGUA CHEV. LUV GWIS 44 GMB</t>
  </si>
  <si>
    <t>BBA. AGUA CHEV. OPALA C10 GWO-01</t>
  </si>
  <si>
    <t>BBA. AGUA CHEV. S10 2.2 96/01</t>
  </si>
  <si>
    <t>BBA. AGUA CHEV. SAIL</t>
  </si>
  <si>
    <t>BBA. AGUA CHEV. SAIL TOPAR</t>
  </si>
  <si>
    <t>MTCH154100</t>
  </si>
  <si>
    <t>BBA. AGUA CHEV. SAIL 1.4</t>
  </si>
  <si>
    <t>BBA. AGUA CHEV. SAIL 1.4 STP</t>
  </si>
  <si>
    <t>BBA. AGUA CHEV. SAIL 1.5</t>
  </si>
  <si>
    <t>BBA. AGUA CHEV. SAIL 1.5 16/</t>
  </si>
  <si>
    <t>BBA. AGUA CHEV. SAIL GWG-108</t>
  </si>
  <si>
    <t>BBA. AGUA CHEV. SPARK 1.0 04/16 STP</t>
  </si>
  <si>
    <t>BBA. AGUA CHEV. SPARK GT</t>
  </si>
  <si>
    <t>BBA. AGUA CHEV. SPARK GT 1.2 COMPLETA</t>
  </si>
  <si>
    <t>BBA. AGUA CHEV. SPARK GT COMPLETA STP</t>
  </si>
  <si>
    <t>BBA. AGUA CHEVR. SPARK GWS 13A MATIZ TICO</t>
  </si>
  <si>
    <t>BBA. AGUA CHV CAPTIVA 2.4 BENC. STP</t>
  </si>
  <si>
    <t>BBA. AGUA DAEWOO LANOS 1.6 GWG 90 TOPART</t>
  </si>
  <si>
    <t>BBA. AGUA DAEWOO RACER GWG 46</t>
  </si>
  <si>
    <t>BBA. AGUA DAHIATSU 550 GWD 16 GMB</t>
  </si>
  <si>
    <t>BBA. AGUA DAHIATSU GWD 17 GMB</t>
  </si>
  <si>
    <t>BBA. AGUA DAIHATSU CHARADE GWD 15</t>
  </si>
  <si>
    <t>BBA. AGUA DH. GWD 32 GMB</t>
  </si>
  <si>
    <t>BBA. AGUA DODGE DURANGO RAM 3.6 16/17 GATES</t>
  </si>
  <si>
    <t>BBA. AGUA DW. NUBIRA LEGANZA</t>
  </si>
  <si>
    <t>BBA. AGUA FIAT PALIO</t>
  </si>
  <si>
    <t>BBA. AGUA FORD</t>
  </si>
  <si>
    <t>BBA.FORD</t>
  </si>
  <si>
    <t>FORD</t>
  </si>
  <si>
    <t>BBA. AGUA FORD EXPLORER</t>
  </si>
  <si>
    <t>BBA. AGUA FORD FIESTA ECOSPORT 11/16</t>
  </si>
  <si>
    <t>BBA. AGUA FORD FIESTA ESCORT 02/09</t>
  </si>
  <si>
    <t>BBA. AGUA FORD RANGER 2.5 2.8 DIESEL TOPAR</t>
  </si>
  <si>
    <t>BBAGREAT</t>
  </si>
  <si>
    <t>BBA. AGUA GREAT WALL 5</t>
  </si>
  <si>
    <t>BBA. AGUA GWHY-23 KIA RIO 06/11</t>
  </si>
  <si>
    <t>BBA. AGUA GWIS 25 LUV DIESEL</t>
  </si>
  <si>
    <t>GWM 32</t>
  </si>
  <si>
    <t>BBA. AGUA GWM 32</t>
  </si>
  <si>
    <t>BBA. AGUA GWM 52 HYUNDAI</t>
  </si>
  <si>
    <t>BBA. AGUA GWM 52 HYUNDAI WURTEX</t>
  </si>
  <si>
    <t>BBA. AGUA GWM-32 HYUNDAI MITS. STP</t>
  </si>
  <si>
    <t>BBA. AGUA GWMZ-31 KIA PRIDE AVELLA STP</t>
  </si>
  <si>
    <t>BBA. AGUA GWSU 12 SUBARU</t>
  </si>
  <si>
    <t>BBA. AGUA GWT 101 TY. YARIS</t>
  </si>
  <si>
    <t>BBA. AGUA GWT 101 YARIS TOPART</t>
  </si>
  <si>
    <t>BBA. AGUA GWT 54 TY. HILUX</t>
  </si>
  <si>
    <t>BBA. AGUA GWT 83A TOYOTA</t>
  </si>
  <si>
    <t>BBA. AGUA HY TUCSON GWHY 35</t>
  </si>
  <si>
    <t>BBA. AGUA HY. H1 2.5 12/16</t>
  </si>
  <si>
    <t>BBA. AGUA HY. ACCENT 2012/ ONNURI</t>
  </si>
  <si>
    <t>BBA. AGUA HY. ACCENT GWHY 23</t>
  </si>
  <si>
    <t>BBA. AGUA HY. ACCENT RB 1.4</t>
  </si>
  <si>
    <t>BBA. AGUA HY. ATOZ i10 MORNING</t>
  </si>
  <si>
    <t>BBAELANTRA</t>
  </si>
  <si>
    <t>BBA. AGUA HY. ELANTRA</t>
  </si>
  <si>
    <t>BBA. AGUA HY. GWHY-23 NEW ACCENT</t>
  </si>
  <si>
    <t>BBA. AGUA HY. GWM 17 JP.</t>
  </si>
  <si>
    <t>H080000</t>
  </si>
  <si>
    <t>BBA. AGUA HY. GWM-17A MITS.</t>
  </si>
  <si>
    <t>H180135</t>
  </si>
  <si>
    <t>BBA. AGUA HY. GWM-23 H100 L200 BENCINA SONATA</t>
  </si>
  <si>
    <t>BBA. AGUA HY. GWM-27 MITS. SONATA GALANT GMB</t>
  </si>
  <si>
    <t>H180146</t>
  </si>
  <si>
    <t>BBA. AGUA HY. GWM-32 H100 DIESEL ATSUKI</t>
  </si>
  <si>
    <t>H112014</t>
  </si>
  <si>
    <t>BBA. AGUA HY. GWM-32 H100 DIESEL MANDO</t>
  </si>
  <si>
    <t>H105644</t>
  </si>
  <si>
    <t>BBA. AGUA HY. H100 L200 2.5 GWM 52 JP.</t>
  </si>
  <si>
    <t>BBA. AGUA HY. H100 L200 2.5 GWM 52</t>
  </si>
  <si>
    <t>BBA. AGUA HY. I10 MORNING 1.0</t>
  </si>
  <si>
    <t>BBA. AGUA HYUNDAI KIA MORNING GWHY 15</t>
  </si>
  <si>
    <t>BBA. AGUA JEEP GRAN CHEROKEE 4.0 GWAM</t>
  </si>
  <si>
    <t>BBA. AGUA KORANDO</t>
  </si>
  <si>
    <t>BBA. AGUA MAZDA 323 BJ 99/03</t>
  </si>
  <si>
    <t>BBA. AGUA MAZDA BT50 GWMZ 49 TOPART</t>
  </si>
  <si>
    <t>BBA. AGUA MAZDA GWMZ-31 KIA GSK</t>
  </si>
  <si>
    <t>BBA. AGUA MAZDA GWMZ-41 2000CC FS BSM</t>
  </si>
  <si>
    <t>BBA. AGUA MAZDA KIA GWMZ 35</t>
  </si>
  <si>
    <t>BBA. AGUA MITS. GWM 12 L200 L300 1.6</t>
  </si>
  <si>
    <t>BBA. AGUA MITS. GWM 61</t>
  </si>
  <si>
    <t>BBA. AGUA MITS. GWM-61-A</t>
  </si>
  <si>
    <t>BBA. AGUA MITS. L200 07/13 STP</t>
  </si>
  <si>
    <t>bbanp300</t>
  </si>
  <si>
    <t>BBA. AGUA NP300</t>
  </si>
  <si>
    <t>BBA. AGUA NS. 150Y GWN 02</t>
  </si>
  <si>
    <t>BBA. AGUA NS. CD20</t>
  </si>
  <si>
    <t>GWN-40 283345</t>
  </si>
  <si>
    <t>BBA. AGUA NS. D21 GWN 40</t>
  </si>
  <si>
    <t>BBA. AGUA NS. D21 KA24 GMB</t>
  </si>
  <si>
    <t>BBA. AGUA NS. D21 KA24 GWN 40</t>
  </si>
  <si>
    <t>BBA. AGUA NS. D21 KA24 GWN 40 NPW</t>
  </si>
  <si>
    <t>BBA. AGUA NS. ED 33 GWN 38A</t>
  </si>
  <si>
    <t>BBA. AGUA NS. GWN 02 150 Y GMB</t>
  </si>
  <si>
    <t>BBA. AGUA NS. GWN 24 V16 E16</t>
  </si>
  <si>
    <t>BBA. AGUA NS. GWN 40 D21 KA24</t>
  </si>
  <si>
    <t>MTDT234100</t>
  </si>
  <si>
    <t>BBA. AGUA NS. GWN 42 V16 GA16 SEHUN</t>
  </si>
  <si>
    <t>BBA. AGUA NS. GWN-01 J18 ATSUKI</t>
  </si>
  <si>
    <t>BBA. AGUA NS. GWN-24 SUNNY V16 E16 ATSUKI</t>
  </si>
  <si>
    <t>BBA. AGUA NS. GWN-24 V16 T. ROJA E16 GSK</t>
  </si>
  <si>
    <t>BBA. AGUA NS. GWN-40 D21 KA24 GSK</t>
  </si>
  <si>
    <t>WP-653Y00</t>
  </si>
  <si>
    <t>BBA. AGUA NS. GWN-42 V16 GA16 GSK</t>
  </si>
  <si>
    <t>BBA. AGUA NS. GWN-42 V16 GA16 T. PLOMA MIZUMO</t>
  </si>
  <si>
    <t>BBA. AGUA NS. J18 GWN 01</t>
  </si>
  <si>
    <t>BBA. AGUA NS. J18 GWN 01 BSM</t>
  </si>
  <si>
    <t>BBA. AGUA NS. NP300 2.3 15/20</t>
  </si>
  <si>
    <t>BBA. AGUA NS. PRIMERA SQ5 GWN 48</t>
  </si>
  <si>
    <t>BBA. AGUA NS. TERRANO 2.5 GWN 84</t>
  </si>
  <si>
    <t>BBA. AGUA NS. TERRANO NAVARA GWN 84</t>
  </si>
  <si>
    <t>BBA. AGUA NS. TIIDA GWN 88 GMB</t>
  </si>
  <si>
    <t>BBA. AGUA NS. TIIDA GWN 89 FICH</t>
  </si>
  <si>
    <t>BBA. AGUA NS. TIIDA QASHAI JUKE STP</t>
  </si>
  <si>
    <t>BBA. AGUA NS. V16 E16 NPW GWN 24</t>
  </si>
  <si>
    <t>BBA. AGUA NS. V16 GA16 GSK</t>
  </si>
  <si>
    <t>BBA. AGUA NS. V16 GA16 GWN 42</t>
  </si>
  <si>
    <t>BBA. AGUA NS. V16 GA16 GWN-42 TOTO</t>
  </si>
  <si>
    <t>BBA. AGUA RENAULT 9</t>
  </si>
  <si>
    <t>BBA. AGUA SM3 NS. B15</t>
  </si>
  <si>
    <t>BBA. AGUA SM3 04/14</t>
  </si>
  <si>
    <t>BBA. AGUA SM3 SENTRA 1.8 B15</t>
  </si>
  <si>
    <t>BBA. AGUA SUB. GWSU-12 SUBARU ATSUKI</t>
  </si>
  <si>
    <t>BBA. AGUA SUZUKI GWS 16</t>
  </si>
  <si>
    <t>BBA. AGUA SZ. 2.0 2.3 GWS 36</t>
  </si>
  <si>
    <t>BBA. AGUA SZ. GWS 03</t>
  </si>
  <si>
    <t>Z000176 0013462</t>
  </si>
  <si>
    <t>BBA. AGUA SZ. GWS 03 CARRY ST-90 A</t>
  </si>
  <si>
    <t>BBA. AGUA SZ. GWS 03 GSK</t>
  </si>
  <si>
    <t>BBA. AGUA SZ. GWS 15A</t>
  </si>
  <si>
    <t>WP-673012</t>
  </si>
  <si>
    <t>BBA. AGUA SZ. GWS-03 ST90 CARRY</t>
  </si>
  <si>
    <t>BBA. AGUA TOYOTA GWT 83A 4A 5A</t>
  </si>
  <si>
    <t>BBA. AGUA TY. 2Y 3Y GWT 54</t>
  </si>
  <si>
    <t>BBA. AGUA TY. COROLLA 4A</t>
  </si>
  <si>
    <t>BBA. AGUA TY. COROLLA GEELY LIFAN GWT-83</t>
  </si>
  <si>
    <t>BBA. AGUA TY. GWT 54 2Y 3Y</t>
  </si>
  <si>
    <t>BBA. AGUA TY. GWT 58</t>
  </si>
  <si>
    <t>BBA. AGUA TY. GWT 64 A 22R</t>
  </si>
  <si>
    <t>BBA. AGUA TY. GWT 78</t>
  </si>
  <si>
    <t>BBA. AGUA TY. GWT 96 HILUX 2.4 2RZ</t>
  </si>
  <si>
    <t>WP-619106</t>
  </si>
  <si>
    <t>BBA. AGUA TY. GWT-93 TERCEL 5E</t>
  </si>
  <si>
    <t>BBA. AGUA TY. HILUX 2.4 GWT-96</t>
  </si>
  <si>
    <t>BBA. AGUA TY. HILUX 2.4 22R GWT 64</t>
  </si>
  <si>
    <t>BBA. AGUA TY. HILUX 2.4 22R GWT 64 JP.</t>
  </si>
  <si>
    <t>BBA. AGUA TY. HILUX 2.7 GWT 131</t>
  </si>
  <si>
    <t>BBA. AGUA TY. HILUX 2RZ GWT 96</t>
  </si>
  <si>
    <t>BBA. AGUA TY. HILUX 2Y 3Y GWT 54</t>
  </si>
  <si>
    <t>BBA. AGUA TY. KUN GWT 116</t>
  </si>
  <si>
    <t>BBA. AGUA TY. TERCEL 2E GWT 68</t>
  </si>
  <si>
    <t>BBA. AGUA TY. TERCEL GWT 93 BSM</t>
  </si>
  <si>
    <t>BBA. AGUA TY. TERCEL GWT-93 CON POLEA</t>
  </si>
  <si>
    <t>BBA. AGUA TY. YARIS GWT 101</t>
  </si>
  <si>
    <t>BBA. AGUA TY. YARIS 1.5 16/ GWT-162</t>
  </si>
  <si>
    <t>BBA. AGUA TY. YARIS 17/ TOTO</t>
  </si>
  <si>
    <t>TY03193</t>
  </si>
  <si>
    <t>BBA. AGUA TY. YARIS GWT 101 NPW</t>
  </si>
  <si>
    <t>TY03190</t>
  </si>
  <si>
    <t>BBA. AGUA TY. YARIS GWT 101A</t>
  </si>
  <si>
    <t>BBA. AGUA US-8938 CHEV. MONTANA</t>
  </si>
  <si>
    <t>BBA. BENC. CHE. CORSA 3 BAR COMPLETA ECHLIN</t>
  </si>
  <si>
    <t>BBA. BENC. CHEV. DW 495 89 ADEL. PATA C. EIKO</t>
  </si>
  <si>
    <t>BBA. BENC. CHEV. LUV 89/ DW 495 T</t>
  </si>
  <si>
    <t>BBA. BENC. CHEV. V6 V8 350 C1500</t>
  </si>
  <si>
    <t>BBA. BENC. ELEC. INY. 3 BAR BOSCH</t>
  </si>
  <si>
    <t>TE1438</t>
  </si>
  <si>
    <t>BBA. BENC. ELEC. INY. 4 BAR BOSCH</t>
  </si>
  <si>
    <t>BBA. BENC. FORD RANGER AEROSTAR</t>
  </si>
  <si>
    <t>BBA. BENC. TY. YARIS TODOS</t>
  </si>
  <si>
    <t>Z000122</t>
  </si>
  <si>
    <t>BBA. BENC. UNIVERSAL UCV4 ECLIN</t>
  </si>
  <si>
    <t>BBA. CEBABORA KIA</t>
  </si>
  <si>
    <t>BBA. CEBADORA HYUNDAI</t>
  </si>
  <si>
    <t>BBA. CEBADORA HYUNDAI COMPLETA</t>
  </si>
  <si>
    <t>BBACOMBU</t>
  </si>
  <si>
    <t>BBA. COMBUSTIBLE UNIVERSAL</t>
  </si>
  <si>
    <t>RCAD</t>
  </si>
  <si>
    <t>BBA. DE PETROLEO Y FILTROS DE INYECCION Y CAÑERIA CHEV DMAX</t>
  </si>
  <si>
    <t>BBA. DIR. HIDR. CHEV. SAIL 1.4</t>
  </si>
  <si>
    <t>H203120</t>
  </si>
  <si>
    <t>BBA. DIR/HIDR. 7PK H 1</t>
  </si>
  <si>
    <t>BBA. ELECTRICA UCV4 UNIVERSAL</t>
  </si>
  <si>
    <t>BBA. EMBR. CHEV. LUV 3.2 V6</t>
  </si>
  <si>
    <t>BBA. FRENO CHEV LUV /83</t>
  </si>
  <si>
    <t>BBA. FRENO CHEV. LUV 2.3</t>
  </si>
  <si>
    <t>BBA. FRENO COMP. NS TIIDA</t>
  </si>
  <si>
    <t>BBA. FRENO CORSA</t>
  </si>
  <si>
    <t>SMN4001Y</t>
  </si>
  <si>
    <t>BBA. FRENO NS. D21 TERRANO 2.5 YUSIN</t>
  </si>
  <si>
    <t>BBA. FRENO NS. TERRANO 2.5</t>
  </si>
  <si>
    <t>BBA. FRENO NS. V16 93/2008 WURTEX</t>
  </si>
  <si>
    <t>SMG320Y</t>
  </si>
  <si>
    <t>BBA. FRENO SMG320 CHEVROLET</t>
  </si>
  <si>
    <t>BBA. FRENO SZ VITARA</t>
  </si>
  <si>
    <t>BBA. FRENO TOYOTA</t>
  </si>
  <si>
    <t>SMT0K040Y</t>
  </si>
  <si>
    <t>SMT0K40Y</t>
  </si>
  <si>
    <t>BBA. FRENO TOYOTA HILUX</t>
  </si>
  <si>
    <t>BBAFTY</t>
  </si>
  <si>
    <t>BBFTY</t>
  </si>
  <si>
    <t>BBA. FRENO TOYOTA HILUX 2RZ JAPON</t>
  </si>
  <si>
    <t>BBA. NS. D21 GWN-40</t>
  </si>
  <si>
    <t>BBA. NS. D21 KA24 GWN 40 GMB</t>
  </si>
  <si>
    <t>BBA. terracan 2.9</t>
  </si>
  <si>
    <t>BBA. BENC. 3 BAR</t>
  </si>
  <si>
    <t>BBA. BENC. ACCENT RB ONNURI</t>
  </si>
  <si>
    <t>BBA. BENC. ANCHA CENTURY JP.</t>
  </si>
  <si>
    <t>MTDT233700</t>
  </si>
  <si>
    <t>BBA. BENC. ANCHA INYECCION</t>
  </si>
  <si>
    <t>F000TE1437 TE11A3 TE12H3</t>
  </si>
  <si>
    <t>BBA. BENC. BOSCH 3 BAR KIT</t>
  </si>
  <si>
    <t>BBA. BENC. CHEV C-250 230</t>
  </si>
  <si>
    <t>L000142</t>
  </si>
  <si>
    <t>BBA. BENC. CHEV D-MAX 2.4</t>
  </si>
  <si>
    <t>L100910</t>
  </si>
  <si>
    <t>BBA. BENC. CHEV LUV 89/ DW 495</t>
  </si>
  <si>
    <t>BBA. BENC. CHEV S10</t>
  </si>
  <si>
    <t>BBA. BENC. CHEV. CHEVETTE</t>
  </si>
  <si>
    <t>BBA. BENC. CHEV. DMAX 2.4 4 BAR STP</t>
  </si>
  <si>
    <t>BBA. BENC. CHEV. LUV 2.2 3.2</t>
  </si>
  <si>
    <t>BBA. BENC. CHEV. LUV 2.3 DW 495</t>
  </si>
  <si>
    <t>BBA. BENC. CHEV. MONZA</t>
  </si>
  <si>
    <t>BBA. BENC. CHEV. MONZA 3 BAR ECHLIN</t>
  </si>
  <si>
    <t>BBA. BENC. CHEV. S10 2.4 4 BAR WURTEX</t>
  </si>
  <si>
    <t>BBA. BENC. CHEVROLET MONZA</t>
  </si>
  <si>
    <t>BBA. BENC. COMPLETA BLAZER 4.3 V6 96</t>
  </si>
  <si>
    <t>BBA. BENC. DAIHATSU ELECTRICA EXT.</t>
  </si>
  <si>
    <t>BBA. BENC. DELGADA CON FILTRO UNIV.</t>
  </si>
  <si>
    <t>NPPN-002</t>
  </si>
  <si>
    <t>BBA. BENC. DELGADA ELECTRICA C/FILTRO</t>
  </si>
  <si>
    <t>BBA. BENC. DELGADA INYECCION</t>
  </si>
  <si>
    <t>BBA. BENC. DH. DW 412 FEROZA</t>
  </si>
  <si>
    <t>BBA. BENC. DODGE</t>
  </si>
  <si>
    <t>DAEWHA</t>
  </si>
  <si>
    <t>BBA. BENC. DW 004 MITS MONTERO</t>
  </si>
  <si>
    <t>BBA. BENC. DW 005 MITSUBISHI</t>
  </si>
  <si>
    <t>BBA. BENC. DW 116 TOY 2Y 3Y</t>
  </si>
  <si>
    <t>TS16949</t>
  </si>
  <si>
    <t>BBA. BENC. DW 127 TOYOTA</t>
  </si>
  <si>
    <t>BBA. BENC. DW 149 TOY 4Y</t>
  </si>
  <si>
    <t>BBA. BENC. DW 164 TY HIACE 2.0 2.4</t>
  </si>
  <si>
    <t>BBA. BENC. DW 204 NS. J18</t>
  </si>
  <si>
    <t>BBA. BENC. DW 216 SENTRA / SUNNY</t>
  </si>
  <si>
    <t>BBA. BENC. DW 216 SENTRA SUNNY</t>
  </si>
  <si>
    <t>BBA. BENC. DW 324 MAZDA 323 1.4 1.5</t>
  </si>
  <si>
    <t>BBA. BENC. DW 402 CHARADE G20</t>
  </si>
  <si>
    <t>BBA. BENC. DW 460 SUZUKI JEEP SJ410</t>
  </si>
  <si>
    <t>BBA. BENC. DW 484 ELECTRICA UNIVERSAL</t>
  </si>
  <si>
    <t>BBA. BENC. DW-204 NISSAN CTAS</t>
  </si>
  <si>
    <t>BBA. BENC. ELECTRICA CUADRADA</t>
  </si>
  <si>
    <t>BBA. BENC. ELECTRICA DELGADA STP</t>
  </si>
  <si>
    <t>NPPN-008</t>
  </si>
  <si>
    <t>BBA. BENC. ELECTRICA DELGADA C/FILTRO</t>
  </si>
  <si>
    <t>FE10103</t>
  </si>
  <si>
    <t>BBA. BENC. ELECTRICA DELGADA DELPHI COMPLETA</t>
  </si>
  <si>
    <t>WK-618-5</t>
  </si>
  <si>
    <t>WK 618-5</t>
  </si>
  <si>
    <t>BBA. BENC. FORD RANGER</t>
  </si>
  <si>
    <t>DW 332</t>
  </si>
  <si>
    <t>BBA. BENC. MAZDA DW 332</t>
  </si>
  <si>
    <t>BBA. BENC. NISSAN CTAS 2.0 DW 231</t>
  </si>
  <si>
    <t>DW-232-1</t>
  </si>
  <si>
    <t>BBA. BENC. NISSAN D 21</t>
  </si>
  <si>
    <t>DW-32-1</t>
  </si>
  <si>
    <t>BBA. BENC. NISSAN D 21 Z 20 - 24</t>
  </si>
  <si>
    <t>BBA. BENC. NISSAN D21 KA24 ELECTR. ANCHA</t>
  </si>
  <si>
    <t>BBA. BENC. NISSAN J16/J18</t>
  </si>
  <si>
    <t>BBA. BENC. NISSAN J18 DW 202</t>
  </si>
  <si>
    <t>BBA. BENC. NISSAN TIIDA</t>
  </si>
  <si>
    <t>BBA. BENC. NISSAN V16 1.4 GA14DS</t>
  </si>
  <si>
    <t>BBA. BENC. NS TIIDA QASQHAI PILA STP</t>
  </si>
  <si>
    <t>BBA. BENC. NS. D 21 KA24 COMPLETA</t>
  </si>
  <si>
    <t>BBA. BENC. NS. DW 237 DATSUN 150Y</t>
  </si>
  <si>
    <t>MTDT453710</t>
  </si>
  <si>
    <t>BBA. BENC. NS. TIIDA C/ENCHUFE NPPN</t>
  </si>
  <si>
    <t>BBA. BENC. NS. V16 ANCHA STP</t>
  </si>
  <si>
    <t>BBA. BENC. PEUGEOT 205-206</t>
  </si>
  <si>
    <t>BBA. BENC. RENAULT 19 TS</t>
  </si>
  <si>
    <t>BBA. BENC. SONATA/IMPREZA CHEROKKE</t>
  </si>
  <si>
    <t>DT-484</t>
  </si>
  <si>
    <t>BBA. BENC. SUBARU LOYALE UNIVERSAL</t>
  </si>
  <si>
    <t>BBA. BENC. SUBARU UNIVERSAL DW484</t>
  </si>
  <si>
    <t>DW-104</t>
  </si>
  <si>
    <t>BBA. BENC. TOYOTAN18R DW 104</t>
  </si>
  <si>
    <t>BBA. BENC. TY NEW YARIS 06/11</t>
  </si>
  <si>
    <t>BBA. BENC. TY. HILU 4Y DW 149</t>
  </si>
  <si>
    <t>BBA. BENC. TY. YARIS 06/</t>
  </si>
  <si>
    <t>BBA. BENC. TY. YARIS CORTA</t>
  </si>
  <si>
    <t>BBA. BENC. TY. YARIS STP</t>
  </si>
  <si>
    <t>BBA. BENC. UNIVERSAL 4 BAR</t>
  </si>
  <si>
    <t>BBA. BENC. UNIVERSAL CUADRADA</t>
  </si>
  <si>
    <t>P015989</t>
  </si>
  <si>
    <t>BBA. BENC. UNIVERSAL ELECTR.</t>
  </si>
  <si>
    <t>DE-4046-SB</t>
  </si>
  <si>
    <t>BBA. BENC. UNIVERSAL GRANDE</t>
  </si>
  <si>
    <t>BBA. BENC. VOLSWAGEN 1.3 1.6</t>
  </si>
  <si>
    <t>BBA. EMBR. CHEV LUV TROOPER</t>
  </si>
  <si>
    <t>SMG34320</t>
  </si>
  <si>
    <t>BBA. EMBR. CHEV. DMAX 5/8 NSC</t>
  </si>
  <si>
    <t>BBA. EMBR. CHEV. LUV 2.2</t>
  </si>
  <si>
    <t>BBA. EMBR. CHEV. LUV 2.3</t>
  </si>
  <si>
    <t>BBA. EMBR. CHEV. LUV 2.3 WURTEX</t>
  </si>
  <si>
    <t>BBA. EMBR. CHEV. S-10 2.4</t>
  </si>
  <si>
    <t>BBA. EMBR. DATSUN</t>
  </si>
  <si>
    <t>H8800</t>
  </si>
  <si>
    <t>BBA. EMBR. DIAGON NISSAN</t>
  </si>
  <si>
    <t>BBA. EMBR. EMBR. CHEV. LUV 89/</t>
  </si>
  <si>
    <t>BBA. EMBR. EMBR. NS. DIAGONAL 5/8</t>
  </si>
  <si>
    <t>BBA. EMBR. FORD FOCUS 98/</t>
  </si>
  <si>
    <t>BBA. EMBR. FORD RANGER 2.3 2.5</t>
  </si>
  <si>
    <t>BBA. EMBR. FORD RANGER 2.3 93/94</t>
  </si>
  <si>
    <t>BBA. EMBR. HY. TUCSON 2.2 STA. FE 2.2</t>
  </si>
  <si>
    <t>BBA. EMBR. HYUNDAI ACCENT 97/99</t>
  </si>
  <si>
    <t>BBA. EMBR. KIA FRONTIER</t>
  </si>
  <si>
    <t>BBA. EMBR. MAZDA B2000 2.5</t>
  </si>
  <si>
    <t>BBA. EMBR. MITS. KATANA L200</t>
  </si>
  <si>
    <t>BBA. EMBR. MITS. MONTERO SPORT 3.0</t>
  </si>
  <si>
    <t>BBA. EMBR. ND. D21 ATSUKI</t>
  </si>
  <si>
    <t>DEUSIC</t>
  </si>
  <si>
    <t>BBA. EMBR. NISSAN VANETTE</t>
  </si>
  <si>
    <t>BBA. EMBR. NS VERTICAL</t>
  </si>
  <si>
    <t>BBA. EMBR. NS. D21</t>
  </si>
  <si>
    <t>BBA. EMBR. NS. D21 KA24</t>
  </si>
  <si>
    <t>BBA. EMBR. NS. TERRANO 2.5 ATSUKI</t>
  </si>
  <si>
    <t>BBA. EMBR. NS. TIIDA WURTEX</t>
  </si>
  <si>
    <t>BBA. EMBR. NS. TIIDA COMPLETA</t>
  </si>
  <si>
    <t>JEDT455403</t>
  </si>
  <si>
    <t>BBA. EMBR. NS. TIIDA ORIGINAL</t>
  </si>
  <si>
    <t>BBA. EMBR. NS. TIIDA OSSCA</t>
  </si>
  <si>
    <t>BBA. EMBR. SAMSUNG SM3</t>
  </si>
  <si>
    <t>BBA. EMBR. SM3</t>
  </si>
  <si>
    <t>BBA. EMBR. TOYOTA 5/8</t>
  </si>
  <si>
    <t>BENDIX 11D 6E. CHEVROLET 99/04</t>
  </si>
  <si>
    <t>BENDIX 11D. FIAT</t>
  </si>
  <si>
    <t>BENDIX 8D X 10E. SUNNY / SUBARU</t>
  </si>
  <si>
    <t>BENDIX PEUGEOT / FIAT</t>
  </si>
  <si>
    <t>BIELA DE MOTOR CHEV. LUV 2.3</t>
  </si>
  <si>
    <t>BIELA MOTOR NS. TERRANO 2.5 YD25</t>
  </si>
  <si>
    <t>HD35</t>
  </si>
  <si>
    <t>BIELA MOTOR HD35</t>
  </si>
  <si>
    <t>BIELA-TRACKER</t>
  </si>
  <si>
    <t>BIELA MOTOR TRACKER</t>
  </si>
  <si>
    <t>BIELETA B/ESTAB. CHEV. SAIL 1.4 STP</t>
  </si>
  <si>
    <t>BIELETA CHEV. AVEO SAIL 1.4</t>
  </si>
  <si>
    <t>BIELCRUZE</t>
  </si>
  <si>
    <t>BIELETA CHEV. CRUZE</t>
  </si>
  <si>
    <t>BIELETA DEL. NS. V16 ATSUKI</t>
  </si>
  <si>
    <t>BIELETA DER. NISSAN NAVARA</t>
  </si>
  <si>
    <t>BIELETA DIR. CHEV. OPTRA DEL. DER.</t>
  </si>
  <si>
    <t>BIELETA DIR. CHEV. OPTRA DEL. IZQ.</t>
  </si>
  <si>
    <t>BIELETA DIR. TY. HILUX 2.4 DER.</t>
  </si>
  <si>
    <t>BIELETA DIR. TY. HILUX 2.4 IZQ</t>
  </si>
  <si>
    <t>BIELETA DIRECCION HY. ACCENT RB 11/18 STP</t>
  </si>
  <si>
    <t>BIELETA HY ACCENT RB</t>
  </si>
  <si>
    <t>BIELANTRA</t>
  </si>
  <si>
    <t>BIELETA HY. ELANTRA</t>
  </si>
  <si>
    <t>BIELETA HYUNDAI TUCSON</t>
  </si>
  <si>
    <t>BIELETA IZQ. CHEV. D-MAX</t>
  </si>
  <si>
    <t>H480120</t>
  </si>
  <si>
    <t>BIELETA KIA RIO 06/11</t>
  </si>
  <si>
    <t>BIENS</t>
  </si>
  <si>
    <t>BIELETA NISSAN</t>
  </si>
  <si>
    <t>BIELETA NISSAN TIIDA</t>
  </si>
  <si>
    <t>BIELETA NS. TIIDA</t>
  </si>
  <si>
    <t>BIELETA PEUGEOT</t>
  </si>
  <si>
    <t>TY50640</t>
  </si>
  <si>
    <t>BIELETA TOY. YARIS</t>
  </si>
  <si>
    <t>BIELETA TY. YARIS 06/13 STP</t>
  </si>
  <si>
    <t>CARROCERIA</t>
  </si>
  <si>
    <t>BISAGRA</t>
  </si>
  <si>
    <t>BISAGRA TY YARIS</t>
  </si>
  <si>
    <t>ENCENDIDOS</t>
  </si>
  <si>
    <t>BOBINA CHERY FULWIN HAFEI</t>
  </si>
  <si>
    <t>BOBINA CHERY IQ 800 2008/</t>
  </si>
  <si>
    <t>BOBINA CHEV CORSA 4PIN</t>
  </si>
  <si>
    <t>BOBINA CHEV N300</t>
  </si>
  <si>
    <t>BOBINA CHEV. ASTRA APACHE S10 2.2 2.4</t>
  </si>
  <si>
    <t>BOBINA CHEV. AVEO LUV 2.2</t>
  </si>
  <si>
    <t>BOBINA CHEV. CORSA</t>
  </si>
  <si>
    <t>BOBINA CHEV. CRUZE 1.8</t>
  </si>
  <si>
    <t>BOBINA CHEV. DMAX S-10 CYON 4 SAL.</t>
  </si>
  <si>
    <t>BOBINA CHEV. LUV 2.2 AVEO OPTRA SPARK CYON</t>
  </si>
  <si>
    <t>BOBINA CHEV. LUV 2.2 AVEO OPTRA SPARK ECHLIN</t>
  </si>
  <si>
    <t>BOBINA CHEV. LUV 2.3</t>
  </si>
  <si>
    <t>L511015</t>
  </si>
  <si>
    <t>BOBINA CHEV. LUV 2.3 93-98 ECHLIN</t>
  </si>
  <si>
    <t>BOBINA CHEV. LUV 2.3 93/98 CUADRADA ATSUKI</t>
  </si>
  <si>
    <t>BOBINA CHEV. LUV 2.3 CUADRADA</t>
  </si>
  <si>
    <t>BOBINA CHEV. OPTRA 1.6 NUBIRA 1.6 ECHLIN</t>
  </si>
  <si>
    <t>BOBINA CHEV. SAIL 1.4 ECHLIN</t>
  </si>
  <si>
    <t>BOBINA CHEV. SAIL 1.4 WURTEX</t>
  </si>
  <si>
    <t>BOBINA CHEV. SAIL 1.5 ECHLIN</t>
  </si>
  <si>
    <t>BOBINA CHEV. SONIC TRACKER</t>
  </si>
  <si>
    <t>BOBINA CHEV. SONIC TRACKER ASTRA 7 PIN</t>
  </si>
  <si>
    <t>BOBINA CHEV. SPARK 800 CC KOREA</t>
  </si>
  <si>
    <t>BOBINA CHEVR. S10 ASTRA 4PIN</t>
  </si>
  <si>
    <t>BOBINA DIRECTA NISSAN</t>
  </si>
  <si>
    <t>BOBINA FORD RANGER 2.3 2.5</t>
  </si>
  <si>
    <t>BOBINA FORD RANGER 3.0 4.0</t>
  </si>
  <si>
    <t>BOBINA GREAT WALL HOVER CYON</t>
  </si>
  <si>
    <t>BOBINA HONDA CIVIC 1.8</t>
  </si>
  <si>
    <t>BOBINA HY. ACCENT 06/11 WURTEX</t>
  </si>
  <si>
    <t>BOBINA HY. ACCENT RB</t>
  </si>
  <si>
    <t>BOBINA HY. ACCENT RB KIA RIO MANDO</t>
  </si>
  <si>
    <t>BOBINA HY. H100 BENC.</t>
  </si>
  <si>
    <t>BOBINA HYUNDAI ACCENT 1.3 / 1.5</t>
  </si>
  <si>
    <t>BOBINA MAZDA 323 90/92 B6</t>
  </si>
  <si>
    <t>BOBINA MITS.</t>
  </si>
  <si>
    <t>BOBINA NISSAN / RENAULT</t>
  </si>
  <si>
    <t>BOBINA NISSAN RENAULT ECLIN</t>
  </si>
  <si>
    <t>0T00190</t>
  </si>
  <si>
    <t>OT00190</t>
  </si>
  <si>
    <t>BOBINA NISSAN TIIDA</t>
  </si>
  <si>
    <t>BOBINA NS. JUKE NP300 VERSA XTRAIL</t>
  </si>
  <si>
    <t>BOBINA NS. PRIMERA 2.0</t>
  </si>
  <si>
    <t>BOBINA NS. SENTRA B15 2000-07 TEC</t>
  </si>
  <si>
    <t>BOBINA NS. V16 98/2005</t>
  </si>
  <si>
    <t>BOBINA NS. V16 E-16</t>
  </si>
  <si>
    <t>BOBINA NS. V16 T. PLOMA ECHLIN</t>
  </si>
  <si>
    <t>BOBINA NS. V16 T. ROJA</t>
  </si>
  <si>
    <t>PE40278</t>
  </si>
  <si>
    <t>BOBINA PEUGEOT 206 / 307 / 406 ATSUKI</t>
  </si>
  <si>
    <t>BOBINA PLOMA CON PLATINO BOSCH</t>
  </si>
  <si>
    <t>BOBINA ROJA ELECTRONICA BOSCH</t>
  </si>
  <si>
    <t>BOBINA SAM SM3 SENTRA 1.8 ECHLIN</t>
  </si>
  <si>
    <t>BOBINA SAMS.SM3 / NISSAN</t>
  </si>
  <si>
    <t>BOBINA SM3</t>
  </si>
  <si>
    <t>Z100418</t>
  </si>
  <si>
    <t>BOBINA SZ. BALENO</t>
  </si>
  <si>
    <t>BOBINA TAPA ROJA NISSAN V16 / D21</t>
  </si>
  <si>
    <t>BOBINA TY. YARIS</t>
  </si>
  <si>
    <t>TY50300</t>
  </si>
  <si>
    <t>BOBINA TY. YARIS ECHLIN</t>
  </si>
  <si>
    <t>BOBINA TY. YARIS FLAMMA JAPON</t>
  </si>
  <si>
    <t>TY51038</t>
  </si>
  <si>
    <t>BOBINA TY. YARIS WURTEX</t>
  </si>
  <si>
    <t>BOBINA TY. YARIS 18/</t>
  </si>
  <si>
    <t>BOBINA TY. YARIS 98/17 YEC</t>
  </si>
  <si>
    <t>GT-63</t>
  </si>
  <si>
    <t>BOBINA UNIVERSAL C/RESISTENCIA</t>
  </si>
  <si>
    <t>BOBINA UNIVERSAL ELECTRONICA</t>
  </si>
  <si>
    <t>BOBINA UNIVERSAL TW. C/R. INC.</t>
  </si>
  <si>
    <t>BOBINA VOLKSWAGEN GOLF</t>
  </si>
  <si>
    <t>AH0703</t>
  </si>
  <si>
    <t>BOCINA BOSCH PLATO 92MM 12/24V JG.</t>
  </si>
  <si>
    <t>BOCINA CARACOL BOSCH 12V. TM80</t>
  </si>
  <si>
    <t>BOCINA CARACOL CROMADA PAR</t>
  </si>
  <si>
    <t>BOCINA CARACOL NEGRO PAR</t>
  </si>
  <si>
    <t>BOCINA PAR CROMADA</t>
  </si>
  <si>
    <t>ADBOR</t>
  </si>
  <si>
    <t>BORNE ADAPTADOR</t>
  </si>
  <si>
    <t>AB01</t>
  </si>
  <si>
    <t>BORNE ADAPTADOR BATERIA CHICA LEC</t>
  </si>
  <si>
    <t>AIPS051410</t>
  </si>
  <si>
    <t>BORNE BATERIA</t>
  </si>
  <si>
    <t>BORNE BATERIA NEGRO ROJO</t>
  </si>
  <si>
    <t>BORNE BATERIA C/CORTA CORIENTE</t>
  </si>
  <si>
    <t>BT5B</t>
  </si>
  <si>
    <t>BORNE BATERIA COBRE</t>
  </si>
  <si>
    <t>BP-97U</t>
  </si>
  <si>
    <t>BORNE BATERIA DIESEL GRANDE</t>
  </si>
  <si>
    <t>TED3P</t>
  </si>
  <si>
    <t>BORNE BATERIA DIESEL PAR</t>
  </si>
  <si>
    <t>CL-3042</t>
  </si>
  <si>
    <t>CL.3042</t>
  </si>
  <si>
    <t>BORNE BATERIA PAR</t>
  </si>
  <si>
    <t>CFART-T02</t>
  </si>
  <si>
    <t>BORNE BATERIA PAR GRANDE CAR FRAN</t>
  </si>
  <si>
    <t>TE3P</t>
  </si>
  <si>
    <t>BORNE BATERIA UNIVERSAL PAR</t>
  </si>
  <si>
    <t>BT13C</t>
  </si>
  <si>
    <t>BORNE BATRIA ZINC</t>
  </si>
  <si>
    <t>TEJ3P</t>
  </si>
  <si>
    <t>BORNE CHICO JAPON CON FLANCHE PAR</t>
  </si>
  <si>
    <t>BOTIQUIN CAMION</t>
  </si>
  <si>
    <t>BRAZO AUX. CHEV. S10 2.2</t>
  </si>
  <si>
    <t>BRAZO AUXILIAR NISS. TERRANO</t>
  </si>
  <si>
    <t>BRAZO PITMAN CHEV CTAS S10</t>
  </si>
  <si>
    <t>BRAZO PITMAN DEL. MITS. L200</t>
  </si>
  <si>
    <t>BUJE BARRA EST. NISSAN</t>
  </si>
  <si>
    <t>ik16</t>
  </si>
  <si>
    <t>BUJIA IK16</t>
  </si>
  <si>
    <t>BUJIA BKR5E-11</t>
  </si>
  <si>
    <t>BKR6E</t>
  </si>
  <si>
    <t>BUJIA BKR6E NGK</t>
  </si>
  <si>
    <t>BUJIA BKR6E-11</t>
  </si>
  <si>
    <t>WR7DC</t>
  </si>
  <si>
    <t>BUJIA BOSCH +1 WR7DC</t>
  </si>
  <si>
    <t>BUJIA BOSCH FR78X 4 PTA. JG</t>
  </si>
  <si>
    <t>BUJIA BOSCH FR7DC+ SAIL</t>
  </si>
  <si>
    <t>BUJIA BOSCH HR7MPP302X PLATINUM</t>
  </si>
  <si>
    <t>YR8SII33U</t>
  </si>
  <si>
    <t>BUJIA BOSCH IRIDIO YR8SII33U</t>
  </si>
  <si>
    <t>BUJIA BOSCH K67COR = BKR5E-11</t>
  </si>
  <si>
    <t>VR7SPP33</t>
  </si>
  <si>
    <t>BUJIA BOSCH VR7SPP33 TIIDA PLATINUM</t>
  </si>
  <si>
    <t>BUJIA BOSCH VR8NII35U IRIDIO</t>
  </si>
  <si>
    <t>WR78X</t>
  </si>
  <si>
    <t>BUJIA BOSCH WR78X JG.</t>
  </si>
  <si>
    <t>BUJIA BOSCH YR6KI332S IRIDIO</t>
  </si>
  <si>
    <t>BPR4FS</t>
  </si>
  <si>
    <t>BUJIA BPR4FS NGK</t>
  </si>
  <si>
    <t>bpr6es</t>
  </si>
  <si>
    <t>BUJIA NGK bpr6es</t>
  </si>
  <si>
    <t>BUJIA CHAMPION 3401 PLATINUM</t>
  </si>
  <si>
    <t>BUJIA CHAMPION 7989</t>
  </si>
  <si>
    <t>BUJIA CHAMPION 9407 IRIDIUM RER8ZWYCB4</t>
  </si>
  <si>
    <t>BUJIA CHAMPION 9410 IRIDIUM</t>
  </si>
  <si>
    <t>BUJIA CHAMPION CEP14 CHEV. TAHOE</t>
  </si>
  <si>
    <t>J18YC</t>
  </si>
  <si>
    <t>BUJIA CHAMPION J18YC</t>
  </si>
  <si>
    <t>BUJIA CHAMPION L87YC</t>
  </si>
  <si>
    <t>N12YC</t>
  </si>
  <si>
    <t>BUJIA CHAMPION N12YC</t>
  </si>
  <si>
    <t>N9YC</t>
  </si>
  <si>
    <t>BUJIA CHAMPION N9YC</t>
  </si>
  <si>
    <t>RA8HC</t>
  </si>
  <si>
    <t>BUJIA CHAMPION RA8HC</t>
  </si>
  <si>
    <t>BUJIA CHAMPION RC12 PYP PLATINUM NISSAN</t>
  </si>
  <si>
    <t>BUJIA CHAMPION RC12PEC5</t>
  </si>
  <si>
    <t>BUJIA CHAMPION RC12YC</t>
  </si>
  <si>
    <t>RC21</t>
  </si>
  <si>
    <t>BUJIA CHAMPION RC21</t>
  </si>
  <si>
    <t>RE14PL5</t>
  </si>
  <si>
    <t>BUJIA CHAMPION RE14PLP5</t>
  </si>
  <si>
    <t>BUJIA CHAMPION REA8MX CITROEN HY.</t>
  </si>
  <si>
    <t>RER8MC</t>
  </si>
  <si>
    <t>BUJIA CHAMPION RER8MC 445</t>
  </si>
  <si>
    <t>BUJIA CHAMPION RF9YC</t>
  </si>
  <si>
    <t>BUJIA CHAMPION RN12YC 404</t>
  </si>
  <si>
    <t>BUJIA CHAMPION RN9YC</t>
  </si>
  <si>
    <t>BUJIA CHAMPION RN9YC 415</t>
  </si>
  <si>
    <t>RV12YC</t>
  </si>
  <si>
    <t>BUJIA CHAMPION RV12YC</t>
  </si>
  <si>
    <t>BUJIA CHAMPION V12YC</t>
  </si>
  <si>
    <t xml:space="preserve">BUJIA NGK BP5HS CORTA </t>
  </si>
  <si>
    <t>BUJIA NGK DCPR7E ALTO SPARK N300</t>
  </si>
  <si>
    <t xml:space="preserve">BUJIA NGK DCPR8E </t>
  </si>
  <si>
    <t>IK16</t>
  </si>
  <si>
    <t>BUJIA DENSO IK16</t>
  </si>
  <si>
    <t>IK20</t>
  </si>
  <si>
    <t>BUJIA DENSO IK20</t>
  </si>
  <si>
    <t>IKH16</t>
  </si>
  <si>
    <t>BUJIA DENSO IKH16 IRIDIUM</t>
  </si>
  <si>
    <t>IKH16TT</t>
  </si>
  <si>
    <t>BUJIA DENSO IKH16TT IRIDIUM</t>
  </si>
  <si>
    <t>IKH20</t>
  </si>
  <si>
    <t>BUJIA DENSO IKH20 IRIDIUM</t>
  </si>
  <si>
    <t>it16</t>
  </si>
  <si>
    <t>IT16</t>
  </si>
  <si>
    <t>BUJIA DENSO IT16</t>
  </si>
  <si>
    <t>ITL16</t>
  </si>
  <si>
    <t>BUJIA DENSO ITL16</t>
  </si>
  <si>
    <t>ITV20</t>
  </si>
  <si>
    <t>BUJIA DENSO ITV20 IRIDIUM</t>
  </si>
  <si>
    <t>IXEH20TT</t>
  </si>
  <si>
    <t>BUJIA DENSO IXEH20TT IRIDIUM TIIDA</t>
  </si>
  <si>
    <t>IXUH20I</t>
  </si>
  <si>
    <t>BUJIA DENSO IXUH20I IRIDIUM</t>
  </si>
  <si>
    <t>BUJIA DENSO IXUH22 IRIDIUM ACCENT SZ NUEVO</t>
  </si>
  <si>
    <t>IXUH221</t>
  </si>
  <si>
    <t>BUJIA DENSO IXUH221 IRIDIUM</t>
  </si>
  <si>
    <t>IXUH22I</t>
  </si>
  <si>
    <t>BUJIA DENSO IXUH22I IRIDIUM</t>
  </si>
  <si>
    <t>K16HPR-U11</t>
  </si>
  <si>
    <t>BUJIA DENSO K16HPR-U11 PEUGEOT</t>
  </si>
  <si>
    <t>BUJIA DENSO K16PR-U11</t>
  </si>
  <si>
    <t>K16TR-11</t>
  </si>
  <si>
    <t>BUJIA DENSO K16TR-11 2 ELECTRODOS</t>
  </si>
  <si>
    <t>PK16TT</t>
  </si>
  <si>
    <t>BUJIA DENSO PK16TT</t>
  </si>
  <si>
    <t>PKH16TT</t>
  </si>
  <si>
    <t>BUJIA DENSO PKH16TT</t>
  </si>
  <si>
    <t>PKH20TT</t>
  </si>
  <si>
    <t>BUJIA DENSO PKH20TT PLATINO</t>
  </si>
  <si>
    <t>PQ16TT</t>
  </si>
  <si>
    <t>BUJIA DENSO PQ16TT</t>
  </si>
  <si>
    <t>BUJIA DENSO PQ20TT</t>
  </si>
  <si>
    <t>PT16TT</t>
  </si>
  <si>
    <t>BUJIA DENSO PT16TT</t>
  </si>
  <si>
    <t>BUJIA DENSO PTV16TT</t>
  </si>
  <si>
    <t>BUJIA DENSO SC20HR11 TOYOTA</t>
  </si>
  <si>
    <t>BUJIA DENSO W16EX-U</t>
  </si>
  <si>
    <t>BUJIA DENSO W16EXR-U</t>
  </si>
  <si>
    <t>XE20HR-U9</t>
  </si>
  <si>
    <t>BUJIA DENSO XE20HR-U9 QASHQAI RENAULT</t>
  </si>
  <si>
    <t>XU22EPR-U</t>
  </si>
  <si>
    <t>BUJIA DENSO XU22EPR-U ALTO/CELERIO/SPARK/SAIL</t>
  </si>
  <si>
    <t>XU24EPR-U</t>
  </si>
  <si>
    <t>BUJIA DENSO XU24EPR-U</t>
  </si>
  <si>
    <t>F11YC</t>
  </si>
  <si>
    <t>BUJIA F11YC CHAMPION</t>
  </si>
  <si>
    <t>BUJIA FXE20HR11-4</t>
  </si>
  <si>
    <t>BUJIA INC- HYUNDAI B-120 JP.</t>
  </si>
  <si>
    <t>BUJIA INC. A-605 CAPTIVA</t>
  </si>
  <si>
    <t>BUJIA INC. A-605 CHEV. CAPTIVA CRUZE OPTRA</t>
  </si>
  <si>
    <t>BUJIA INC. B 121 SSANGYONG</t>
  </si>
  <si>
    <t>BUJIA INC. B 132 AMAROK</t>
  </si>
  <si>
    <t>BUJIA INC. B-081 CTR. FIAT PEUG</t>
  </si>
  <si>
    <t>BUJIA INC. B-121 SSANYONG JP.</t>
  </si>
  <si>
    <t>BUJIA INC. BT50 MZ. PZ 710</t>
  </si>
  <si>
    <t>BUJIA INC. CHEV PI-42</t>
  </si>
  <si>
    <t>BUJIA INC. CHEV. 2.5 2.8 DMAX 3.0</t>
  </si>
  <si>
    <t>BUJIA INC. CHEV. DMAX PI-175</t>
  </si>
  <si>
    <t>BUJIA INC. CHEV. S10 12V BERU</t>
  </si>
  <si>
    <t>BUJIA INC. CP 05 12V MITSUBISHI</t>
  </si>
  <si>
    <t>BUJIA INC. CP 72 TERRANO YD25</t>
  </si>
  <si>
    <t>BUJIA INC. CP 73 NISSAN TERRANO</t>
  </si>
  <si>
    <t>BUJIA INC. CP-06 MITS. DELICA</t>
  </si>
  <si>
    <t>BUJIA INC. CP-72 NS. TERRANO YD25</t>
  </si>
  <si>
    <t>BUJIA INC. CP-73 NS. TERRANO 12V.</t>
  </si>
  <si>
    <t>BUJIA INC. FORD PZ-710 RANGER BT-50</t>
  </si>
  <si>
    <t>BUJIA INC. H-100 PM 75 JP.</t>
  </si>
  <si>
    <t>BUJIA INC. H1 B-120</t>
  </si>
  <si>
    <t>BUJIA INC. H100</t>
  </si>
  <si>
    <t>BUJIA INC. H100 PM 75 DREIK</t>
  </si>
  <si>
    <t>BUJIA INC. HY. ACCENT B 110</t>
  </si>
  <si>
    <t>BUJIA INC. HY. ACCENT MATRIZ GETZ SELIM</t>
  </si>
  <si>
    <t>BUJIA INC. HY. H100 H1 PM 166</t>
  </si>
  <si>
    <t>BUJIA INC. HY. TUCSON STA. FE A 607</t>
  </si>
  <si>
    <t>BUJIA INC. ISUZU 4.3 NPR PI-50 23V.</t>
  </si>
  <si>
    <t>BUJIA INC. KIA BESTA VERDE GLOW PLUG</t>
  </si>
  <si>
    <t>BUJIA INC. MAHINDRA 2009/</t>
  </si>
  <si>
    <t>BUJIA INC. MAZDA CP 60</t>
  </si>
  <si>
    <t>PM-167</t>
  </si>
  <si>
    <t>BUJIA INC. MITS. L200 2.5 PM-167</t>
  </si>
  <si>
    <t>BUJIA INC. MITS. L200 PM 402 HKT</t>
  </si>
  <si>
    <t>BUJIA INC. NISSAN</t>
  </si>
  <si>
    <t>BUJIA INC. NS. NP300 NAVARA PN-901</t>
  </si>
  <si>
    <t>BUJIA INC. NS. TERRANO 2.5 CP-72</t>
  </si>
  <si>
    <t>BUJIA INC. NS. TERRANO CP-72</t>
  </si>
  <si>
    <t>BUJIA INC. PEUGEOT BOXER SZ,GRAN NOMADE B-089</t>
  </si>
  <si>
    <t>BUJIA INC. PI 173 ISUZU</t>
  </si>
  <si>
    <t>BUJIA INC. PI 42 CHEV. C190</t>
  </si>
  <si>
    <t>BUJIA INC. PI 46 12V CHEVR.</t>
  </si>
  <si>
    <t>BUJIA INC. PI 49 CHEV. LUV 2.8 12V. DREIK</t>
  </si>
  <si>
    <t>BUJIA INC. PI-176 12V DMAX</t>
  </si>
  <si>
    <t>BUJIA INC. PI-42 CHEV. DREIK JP.</t>
  </si>
  <si>
    <t>BUJIA INC. PI-46 CHEVROLET</t>
  </si>
  <si>
    <t>BUJIA INC. PM 164 MIT. L200</t>
  </si>
  <si>
    <t>BUJIA INC. PM 167 JP.</t>
  </si>
  <si>
    <t>BUJIA INC. PM 168 MITSUBISHI</t>
  </si>
  <si>
    <t>BUJIA INC. PM 402 MITS. L200</t>
  </si>
  <si>
    <t>BUJIA INC. PM 407 MITSUBISHI</t>
  </si>
  <si>
    <t>BUJIA INC. PM 75 HYUNDAI</t>
  </si>
  <si>
    <t>BUJIA INC. PM-165 MITS. 2.8 12V. HKT JP.</t>
  </si>
  <si>
    <t>BUJIA INC. PM-167 JP. MIT. L-200 KATANA</t>
  </si>
  <si>
    <t>BUJIA INC. PM-402 MITS. L200 DAKART HKT JP.</t>
  </si>
  <si>
    <t>BUJIA INC. PM-403 MAHINDRA</t>
  </si>
  <si>
    <t>BUJIA INC. PM-75 H100 12V FM T.</t>
  </si>
  <si>
    <t>PM 75</t>
  </si>
  <si>
    <t>BUJIA INC. PM-750 HYUNDAI H100</t>
  </si>
  <si>
    <t>BUJIA INC. PM75 JP.</t>
  </si>
  <si>
    <t>BUJIA INC. PN 138 NISSAN TERRANO 12V</t>
  </si>
  <si>
    <t>BUJIA INC. PN-13 NS. ED 33 HKT 24V JP.</t>
  </si>
  <si>
    <t>BUJIA INC. PT 157 TOYOTA HILUX</t>
  </si>
  <si>
    <t>BUJIA INC. PT-157 TY. HILUX</t>
  </si>
  <si>
    <t>BUJIA INC. PZ 30 KIA JP.</t>
  </si>
  <si>
    <t>BUJIA INC. PZ 39 MAZDA KIA</t>
  </si>
  <si>
    <t>BUJIA INC. SSANGYONG A-610</t>
  </si>
  <si>
    <t>bujsuz</t>
  </si>
  <si>
    <t>BUJSUZ</t>
  </si>
  <si>
    <t>BUJIA INC. SUZUKI</t>
  </si>
  <si>
    <t>BUJIA INC. V. AMAROK2.0 HC-602</t>
  </si>
  <si>
    <t>BUJIA INC. VERDE KIA BESTA</t>
  </si>
  <si>
    <t>HC-602</t>
  </si>
  <si>
    <t>hc 602</t>
  </si>
  <si>
    <t>BUJIA INC. VOLK. AMAROK HC 602</t>
  </si>
  <si>
    <t>BUJIA INCA. RANGER 3.2 BT50 PZ 713</t>
  </si>
  <si>
    <t>h107380</t>
  </si>
  <si>
    <t>BUJIA INCAN. PM 75 HYUNDAI</t>
  </si>
  <si>
    <t>BUJIA INCAN. ROJA KIA</t>
  </si>
  <si>
    <t>H201670</t>
  </si>
  <si>
    <t>BUJIA INCAND. HYUNDAI H1</t>
  </si>
  <si>
    <t>BUJIA INCAND. ISUZU CORSA 12V.</t>
  </si>
  <si>
    <t>BUJIA INCAND. NS. CP-72 TERRANO</t>
  </si>
  <si>
    <t>BUJIA INCAND. TOYOTA 24V PT 101</t>
  </si>
  <si>
    <t>BUJIA INCANDECENTE SSANGYONG</t>
  </si>
  <si>
    <t>BUJIA INCANDESCENTE 11V 4139</t>
  </si>
  <si>
    <t>BUJIA INCANDESCENTE HYUNDAI - KIA 12C 0ª</t>
  </si>
  <si>
    <t>BUJIA INCANDESENTE B-110 12 VOLT 11C</t>
  </si>
  <si>
    <t>BUJIA INCANDESENTE HYUNDAI-KIA</t>
  </si>
  <si>
    <t>PZ-39</t>
  </si>
  <si>
    <t>BUJIA INCANDESENTE MAZDA PZ 39 12V.</t>
  </si>
  <si>
    <t>BUJIA INCANDESENTE MITS. L200 2.4 CP-08</t>
  </si>
  <si>
    <t>BUJIA INCANDESENTE PI-59 12V. ISUZU DREIK</t>
  </si>
  <si>
    <t>BUJIA INCANDESENTE PT 151 TOYOTA</t>
  </si>
  <si>
    <t>BUJIA INCANDESENTE PZ-30 MAZDA - KIA</t>
  </si>
  <si>
    <t>IK22</t>
  </si>
  <si>
    <t>BUJIA IRIDIUM IK22#4</t>
  </si>
  <si>
    <t>IK24</t>
  </si>
  <si>
    <t>BUJIA IRIDIUM IK24 SUBARU IMPRESA</t>
  </si>
  <si>
    <t>ITV16</t>
  </si>
  <si>
    <t>BUJIA IRIDIUM ITV16#4 DENSO</t>
  </si>
  <si>
    <t>IXU24</t>
  </si>
  <si>
    <t>BUJIA IRIDIUM IXU24</t>
  </si>
  <si>
    <t>IXU22</t>
  </si>
  <si>
    <t>BUJIA IXU22 DENSO IRIDIUM</t>
  </si>
  <si>
    <t>BUJIA K16HPR-U11</t>
  </si>
  <si>
    <t>BUJIA LKR6D-10E NGK</t>
  </si>
  <si>
    <t>BUJIA LZKR6B-10E HYUNDAI</t>
  </si>
  <si>
    <t>P019695</t>
  </si>
  <si>
    <t>BUJIA MOBIS LFR5A11</t>
  </si>
  <si>
    <t>BUJIA NC. TY. KUN 2.5 PT 157</t>
  </si>
  <si>
    <t>BCPR5ES</t>
  </si>
  <si>
    <t>BUJIA NGK BCPR5ES 6130</t>
  </si>
  <si>
    <t>BUJIA NGK BKR5E BR.</t>
  </si>
  <si>
    <t>BUJIA NGK BKR5EKB-11 2 ELECTR.</t>
  </si>
  <si>
    <t>BUJIA NGK BKR5EYA-11</t>
  </si>
  <si>
    <t>BUJIA NGK BKR6EKC 2 ELECTR.</t>
  </si>
  <si>
    <t>BUJIA NGK BKR7E ALTA COMPRESION</t>
  </si>
  <si>
    <t>BUJIA NGK BP5ES</t>
  </si>
  <si>
    <t>BUJIA NGK BP5ES BR.</t>
  </si>
  <si>
    <t>BPR5EFS 0005331</t>
  </si>
  <si>
    <t>BUJIA NGK BPR5EFS</t>
  </si>
  <si>
    <t>BPR5ES</t>
  </si>
  <si>
    <t>BUJIA NGK BPR5ES</t>
  </si>
  <si>
    <t>BUJIA NGK BPR5ES BR.</t>
  </si>
  <si>
    <t>BUJIA NGK BPR5ES-11</t>
  </si>
  <si>
    <t>BUJIA NGK BPR6EFS</t>
  </si>
  <si>
    <t>BUJIA NGK DCPR7E</t>
  </si>
  <si>
    <t>BUJIA NGK DR8EA MOTO</t>
  </si>
  <si>
    <t>BUJIA NGK IFR6T JP.</t>
  </si>
  <si>
    <t>IFR6T11</t>
  </si>
  <si>
    <t>BUJIA NGK IFR6T11 IRIDIUM JP.</t>
  </si>
  <si>
    <t>ILTR5A</t>
  </si>
  <si>
    <t>BUJIA NGK ILTR5A-13G IRIDIUM</t>
  </si>
  <si>
    <t>BUJIA NGK LFR5A11</t>
  </si>
  <si>
    <t>BUJIA NGK LFR6A</t>
  </si>
  <si>
    <t>BUJIA NGK LFR6B</t>
  </si>
  <si>
    <t>BUJIA NGK LKR6D-10E MOBIS</t>
  </si>
  <si>
    <t>BUJIA NGK LZAR6AP-11 PLATINUM 6643</t>
  </si>
  <si>
    <t>BUJIA NGK LZKAR6AP PLATINUM</t>
  </si>
  <si>
    <t>LZKAR6AP-11</t>
  </si>
  <si>
    <t>BUJIA NGK LZKAR6AP-11</t>
  </si>
  <si>
    <t>BUJIA NGK PLFR5A-11 PLATINUM JAPON</t>
  </si>
  <si>
    <t>BUJIA NGK PLZKAR6A-11 TIIDA VERSA PLATINUM</t>
  </si>
  <si>
    <t>PTR5A-13</t>
  </si>
  <si>
    <t>BUJIA NGK PTR5A-13 PLATINUM FORD</t>
  </si>
  <si>
    <t>BUJIA NGK TR6B-10</t>
  </si>
  <si>
    <t>BUJIA NGK ZFR5E-11</t>
  </si>
  <si>
    <t>ZFR6K-11</t>
  </si>
  <si>
    <t>BUJIA NGK ZFR6K-11 HONDA</t>
  </si>
  <si>
    <t>ZKR7B-10</t>
  </si>
  <si>
    <t>BUJIA NGK ZKR7B-10 FIAT</t>
  </si>
  <si>
    <t>LFR5A-11</t>
  </si>
  <si>
    <t>BUJIA NISSAN LFR5A-11</t>
  </si>
  <si>
    <t>BUJIA PFR6J11 MONTERO</t>
  </si>
  <si>
    <t>BUJIA PLATINO NGK BKR5EGP</t>
  </si>
  <si>
    <t>PK20TT</t>
  </si>
  <si>
    <t>BUJIA PLATINO PK20TT</t>
  </si>
  <si>
    <t>BUJIA PN-123 INCANDESENTE NISSAN</t>
  </si>
  <si>
    <t>BUJIA PU835X FILTRO HILUX</t>
  </si>
  <si>
    <t>APP985</t>
  </si>
  <si>
    <t>BUJIA PUNTA PLATINO AUTOLITE</t>
  </si>
  <si>
    <t>R44XLS</t>
  </si>
  <si>
    <t>BUJIA R44XLS ACDELCO</t>
  </si>
  <si>
    <t>RC12LC4</t>
  </si>
  <si>
    <t>BUJIA RC12LC4 CHAMPION</t>
  </si>
  <si>
    <t>RC9YC</t>
  </si>
  <si>
    <t>BUJIA RC9YC CHAMPION</t>
  </si>
  <si>
    <t>RJ19LM</t>
  </si>
  <si>
    <t>BUJIA RJ19LM CHAMPION</t>
  </si>
  <si>
    <t>RV17YC</t>
  </si>
  <si>
    <t>BUJIA RV17YC CHAMPION</t>
  </si>
  <si>
    <t>BUJIA TOYOTA ORIGINAL</t>
  </si>
  <si>
    <t>BUJIA XTRAIL NISSAN LFR5A-11</t>
  </si>
  <si>
    <t>BUJIA YR7DC BOSCH</t>
  </si>
  <si>
    <t>BUJIA ZFR5F-11 NGK</t>
  </si>
  <si>
    <t>ZFR6U-9</t>
  </si>
  <si>
    <t>BUJIA ZFR6U-9 NGK</t>
  </si>
  <si>
    <t>PS134</t>
  </si>
  <si>
    <t>BULBO ACEITE BOTON</t>
  </si>
  <si>
    <t>BULBO ACEITE CHEV AVEO DW.</t>
  </si>
  <si>
    <t>BULBO ACEITE CORSA ASTRA ECHLIN</t>
  </si>
  <si>
    <t>H10260</t>
  </si>
  <si>
    <t>BULBO ACEITE HY H100</t>
  </si>
  <si>
    <t>BULBO ACEITE HY. H1,ACCENT ELANTRA</t>
  </si>
  <si>
    <t>BULBO ACEITE NS TIIDA1.8</t>
  </si>
  <si>
    <t>BULBO ACEITE PALETA NS. SZ. TY ATO</t>
  </si>
  <si>
    <t>PS153</t>
  </si>
  <si>
    <t>BULBO ACEITE PUNTA NISSAN</t>
  </si>
  <si>
    <t>BULBO ACEITE TOYOTA</t>
  </si>
  <si>
    <t>BULBO ELECTR. MAZDA SANKEI</t>
  </si>
  <si>
    <t>BULBO ELECTR. SZ. MARUTI FRONTE JP.</t>
  </si>
  <si>
    <t>WS2519</t>
  </si>
  <si>
    <t>BULBO ELECTRO TEMP. CORSA / CHEVETTE</t>
  </si>
  <si>
    <t>WS2586</t>
  </si>
  <si>
    <t>BULBO ELECTRO VENT. CORSA</t>
  </si>
  <si>
    <t>TS2769</t>
  </si>
  <si>
    <t>BULBO ELECTROV. CHEV. CORSA TS2769</t>
  </si>
  <si>
    <t>BULBO ELECTROV. CORSA TS1958</t>
  </si>
  <si>
    <t>BULBO FRENO MONZA / CORSA</t>
  </si>
  <si>
    <t>BULBO FRENO MONZA DAEWOO</t>
  </si>
  <si>
    <t>BULBO FRENO NS. V16 JP.</t>
  </si>
  <si>
    <t>BULBO FRENO UNIVERSAL</t>
  </si>
  <si>
    <t>BULBO FRENO UNIVERSAL LUV</t>
  </si>
  <si>
    <t>BULBO HONDA</t>
  </si>
  <si>
    <t>BULBO LECTROVENTILADOR TOYOTA</t>
  </si>
  <si>
    <t>BULBO NS. TERRANO D22 MARCHA ATRAS</t>
  </si>
  <si>
    <t>swch</t>
  </si>
  <si>
    <t>BULBO retroceso chevr spark</t>
  </si>
  <si>
    <t>BULBO RETROCESO CORSA / DAEWOO</t>
  </si>
  <si>
    <t>BRTHY</t>
  </si>
  <si>
    <t>BULBO RETROCESO HYUN DAI</t>
  </si>
  <si>
    <t>BULBO TEMP / LUZ. CHEVROLET</t>
  </si>
  <si>
    <t>BULBO TEMP. 3 PIN HY ACCENT</t>
  </si>
  <si>
    <t>BULBO TEMP. CHEV. CORSA MZ. CHEVETTE</t>
  </si>
  <si>
    <t>BULBO TEMP. CHEV. LUV 2.3</t>
  </si>
  <si>
    <t>BULBO TEMP. CHEV. LUV SZ. TY.</t>
  </si>
  <si>
    <t>BULBO TEMP. CHEV. SAIL 1.4</t>
  </si>
  <si>
    <t>BULBO TEMP. DATSUN</t>
  </si>
  <si>
    <t>BULBO TEMP. LUV TY. SZ.</t>
  </si>
  <si>
    <t>BULBO TEMP. LUV TY. SZ. UBIC. C/TEMP.1</t>
  </si>
  <si>
    <t>BULBO TEMP. NISSAN CTA. TERMINAL PALETA</t>
  </si>
  <si>
    <t>BULBO TEMP. PALETA TOYOTA</t>
  </si>
  <si>
    <t>BULBO TEMP. ROJO NS V16 SUNNY</t>
  </si>
  <si>
    <t>BULBO TEMP. S/ HILO DATSUN</t>
  </si>
  <si>
    <t>BULBO TEMP. S/N HILO DATSUN</t>
  </si>
  <si>
    <t>BULBO TEMP. TY HILUX</t>
  </si>
  <si>
    <t>BULBO TEMP. TY. YARIS HILUX</t>
  </si>
  <si>
    <t>BULBO TEMPERATURA LUV TY. SZ.</t>
  </si>
  <si>
    <t>BULBO TEMPERATURA SUZUKI</t>
  </si>
  <si>
    <t>BZ</t>
  </si>
  <si>
    <t>BUZO PAPEL</t>
  </si>
  <si>
    <t>C0RREA A 55</t>
  </si>
  <si>
    <t>CABLE ACEL. CHEV. LUV 2.3 92/</t>
  </si>
  <si>
    <t>CABLE ACEL. NS. V16 93-97</t>
  </si>
  <si>
    <t>CABLE ACEL. NS. V16 E16 T. ROJA</t>
  </si>
  <si>
    <t>CABLE ACEL. NS. V16 GA16 LARGA</t>
  </si>
  <si>
    <t>CABLE ACEL. SZ. MARUTI ALTO</t>
  </si>
  <si>
    <t>CABLE ACELERADOR CHEVETTE</t>
  </si>
  <si>
    <t>CABLE ACELERADOR GRAN NOMADE XL7</t>
  </si>
  <si>
    <t>CABLE ACELERADOR CHEV. 2000 ASTRA</t>
  </si>
  <si>
    <t>CABLE ACELERADOR CHEV. 88/98 LUV 1.6</t>
  </si>
  <si>
    <t>CABLE ACELERADOR CHEV. LUV</t>
  </si>
  <si>
    <t>CABLE ACELERADOR CHEV. LUV 81/88.</t>
  </si>
  <si>
    <t>CABLE ACELERADOR CHEV. SPARK CHV.</t>
  </si>
  <si>
    <t>MB011755</t>
  </si>
  <si>
    <t>CABLE ACELERADOR MIS. L-100.</t>
  </si>
  <si>
    <t>CABLE ACELERADOR NISSAN 720</t>
  </si>
  <si>
    <t>CABLE ACELERADOR NISSAN J18</t>
  </si>
  <si>
    <t>CABLE ACELERADOR NS SUNNY</t>
  </si>
  <si>
    <t>H8802</t>
  </si>
  <si>
    <t>CABLE ACELERADOR NS. 150Y</t>
  </si>
  <si>
    <t>CABLE ACELERADOR NS. 720.</t>
  </si>
  <si>
    <t>CABLE ACELERADOR NS. L18 PLUSIC</t>
  </si>
  <si>
    <t>CABLE ACELERADOR NS. SENTRA</t>
  </si>
  <si>
    <t>CABLE ACELERADOR NS. SENTRA B12.</t>
  </si>
  <si>
    <t>CABLE ACELERADOR NS. SENTRA.</t>
  </si>
  <si>
    <t>CABLE ACELERADOR NS. SUNNY</t>
  </si>
  <si>
    <t>CABLE ACELERADOR NS. V-16</t>
  </si>
  <si>
    <t>CABLE ACELERADOR NS. V16 CORTA</t>
  </si>
  <si>
    <t>CABLE ACELERADOR NS. V16 T.PL.</t>
  </si>
  <si>
    <t>CABLE ACELERADOR SZ. BALENO</t>
  </si>
  <si>
    <t>CABLE ACELERADOR SZ. CARRY.</t>
  </si>
  <si>
    <t>CABLE ACELERADOR SZ. ST-90</t>
  </si>
  <si>
    <t>CABLE ACELERADOR SZ. VITARA 1.6 89/92 82MM CARB C-6</t>
  </si>
  <si>
    <t>CABLE ACELERADOR SZ. VITARA 1.6 93/97 90MM</t>
  </si>
  <si>
    <t>CABLE ACELERADOR TY. HILUX</t>
  </si>
  <si>
    <t>CABLE ACELERADOR TY. YARIS.</t>
  </si>
  <si>
    <t>CABLE AHOGUE CTA. NISSAN</t>
  </si>
  <si>
    <t>CABLE AHOGUE NS. CTA.</t>
  </si>
  <si>
    <t>CABLE AHOGUE SZ. CARRY</t>
  </si>
  <si>
    <t>CABATE</t>
  </si>
  <si>
    <t>CABLE BATERIA</t>
  </si>
  <si>
    <t>CABLE BUJIA CHEV S10 2.2</t>
  </si>
  <si>
    <t>CABLE CAMBIO V. SPARK 2005.</t>
  </si>
  <si>
    <t>CABLE CAPOT DAEWOO DW70</t>
  </si>
  <si>
    <t>CABLE CAPOT DAEWOO POI/RAC/93</t>
  </si>
  <si>
    <t>CABLE CTA. KM. CHEV. OPALA DODGE</t>
  </si>
  <si>
    <t>CABLE CTA. KM. DH. CHARADE G-20.</t>
  </si>
  <si>
    <t>CABLE CTA. KM. MIT. L-200</t>
  </si>
  <si>
    <t>MB-803899</t>
  </si>
  <si>
    <t>CABLE CTA. KM. MITS. LANCER PROTON.</t>
  </si>
  <si>
    <t>CABLE CTA. KM. NISSAN.</t>
  </si>
  <si>
    <t>CABLE CTA. KM. NS. V-16</t>
  </si>
  <si>
    <t>CABLE CTA. KM. NS. V1-6 GA16</t>
  </si>
  <si>
    <t>CABLE CTA. KM. NS. V16 SUNNY 92/2.</t>
  </si>
  <si>
    <t>CABLE CTA. KM. SUZUKI L-100.</t>
  </si>
  <si>
    <t>CABLE CTA. KM. SZ. ST - 90</t>
  </si>
  <si>
    <t>CABLE CTA. KM. TY. HILUX 2RZ</t>
  </si>
  <si>
    <t>CABLE CTA. KM. TY. HILUX 4X2.</t>
  </si>
  <si>
    <t>CABLE CTA. KM. TY. HILUX S/TACOMETRO.</t>
  </si>
  <si>
    <t>CABLE CTA. KM. TY. TERCEL</t>
  </si>
  <si>
    <t>CABLE cuenta kn nissan j18</t>
  </si>
  <si>
    <t>CABLE ELECTRICO 14 NEGRO</t>
  </si>
  <si>
    <t>CABLE ELECTRICO 14 ROJO</t>
  </si>
  <si>
    <t>CABLE EMBR NS. V16 JAPON TSK</t>
  </si>
  <si>
    <t>CABLE EMBR. CHERY IQ</t>
  </si>
  <si>
    <t>CABLE EMBR. CHEV CORSA 94/</t>
  </si>
  <si>
    <t>CABLE EMBR. CHEV SAIL</t>
  </si>
  <si>
    <t>CABLE EMBR. CHEV. LUV 81/88</t>
  </si>
  <si>
    <t>CABLE EMBR. CHEV. SAIL</t>
  </si>
  <si>
    <t>CABLE EMBR. CHEV. SAIL 1.4 11/ DCROER</t>
  </si>
  <si>
    <t>CABLE EMBR. CHEV. SPARK 06/</t>
  </si>
  <si>
    <t>CABLE EMBR. CHEV. SPARK 1000 B10</t>
  </si>
  <si>
    <t>CABLE EMBR. CHEV. SPARK GT</t>
  </si>
  <si>
    <t>CABLE EMBR. CHEV. SPARK GT 10/12</t>
  </si>
  <si>
    <t>CABLE EMBR. NS SENTRA B12 1.6</t>
  </si>
  <si>
    <t>CABLE EMBR. NS SENTRA B12 1.6 JAPON</t>
  </si>
  <si>
    <t>CABLE EMBR. NS. V16</t>
  </si>
  <si>
    <t>CABLE EMBR. SZ BALENO</t>
  </si>
  <si>
    <t>CABLE EMBR. SZ. ALTO</t>
  </si>
  <si>
    <t>CABLE EMBR. SZ. ALTO 800 F8D</t>
  </si>
  <si>
    <t>CABLE EMBR. SZ. APV 1.6 C-6</t>
  </si>
  <si>
    <t>CABLE EMBR. SZ. MARUTI</t>
  </si>
  <si>
    <t>CABLE EMBR. SZ. ST-90 HI-LEX C-9</t>
  </si>
  <si>
    <t>CABLE EMBR.ORIGINAL V16</t>
  </si>
  <si>
    <t>CABLE EMBRAGUE CHEV. LUV /88</t>
  </si>
  <si>
    <t>CABLE EMBRAGUE CHEV. LUV 1.6 81/88</t>
  </si>
  <si>
    <t>CABLE EMBRAGUE CHEV. LUV 89/</t>
  </si>
  <si>
    <t>L111945</t>
  </si>
  <si>
    <t>CABLE EMBRAGUE CHEV. SPARK 1.0 2006/</t>
  </si>
  <si>
    <t>CABLE EMBRAGUE CHEV. SPARK 800</t>
  </si>
  <si>
    <t>CABLE EMBRAGUE DAIHATSU FURGON S60</t>
  </si>
  <si>
    <t>CABLE EMBRAGUE DAIHATSU G-20</t>
  </si>
  <si>
    <t>CABLE EMBRAGUE DAIHATSU GIRO</t>
  </si>
  <si>
    <t>CABLE EMBRAGUE KIA AVELLA RIO C-9</t>
  </si>
  <si>
    <t>CABLE EMBRAGUE KIA AVELLA RIO</t>
  </si>
  <si>
    <t>CABLE EMBRAGUE MAZDA</t>
  </si>
  <si>
    <t>MB-012117</t>
  </si>
  <si>
    <t>CABLE EMBRAGUE MITS. GALANT</t>
  </si>
  <si>
    <t>MB-012451</t>
  </si>
  <si>
    <t>CABLE EMBRAGUE MITS. L-100.</t>
  </si>
  <si>
    <t>CABLE EMBRAGUE NISSAN MARCH</t>
  </si>
  <si>
    <t>CABLE EMBRAGUE NS. SUNNY.</t>
  </si>
  <si>
    <t>CABLE EMBRAGUE NS. V-16 CAHSA</t>
  </si>
  <si>
    <t>JIDT230301</t>
  </si>
  <si>
    <t>CABLE EMBRAGUE NS. V-16 ORIGINAL</t>
  </si>
  <si>
    <t>CABLE EMBRAGUE NS. V-16. JAPON BOSS</t>
  </si>
  <si>
    <t>CABLE EMBRAGUE SUZUKI ALTO</t>
  </si>
  <si>
    <t>CABLE EMBRAGUE SUZUKI ALTO 1000CC. C-6</t>
  </si>
  <si>
    <t>CABLE EMBRAGUE SUZUKI CARRY</t>
  </si>
  <si>
    <t>CABLE EMBRAGUE SUZUKI MARUTI</t>
  </si>
  <si>
    <t>CABLE EMBRAGUE SUZUKI MASTER VAN 1.3 1780MM</t>
  </si>
  <si>
    <t>CABLE EMBRAGUE SUZUKI MASTERVAN 1.3</t>
  </si>
  <si>
    <t>CABLE EMBRAGUE SUZUKI SAMURAI II 1.3 G13B 96/</t>
  </si>
  <si>
    <t>CABLE EMBRAGUE SUZUKI SAMURAI II. SJ413 1.3 96/</t>
  </si>
  <si>
    <t>CABLE EMBRAGUE SUZUKI ST-90</t>
  </si>
  <si>
    <t>CABLE EMBRAGUE SUZUKI VITARA 89-01 C-6</t>
  </si>
  <si>
    <t>CABLE EMBRAGUE SZ. ALTO 800 2007/</t>
  </si>
  <si>
    <t>CABLE EMBRAGUE SZ. APV 1.6 05/14</t>
  </si>
  <si>
    <t>CABLE EMBRAGUE SZ. CELERIO 1.0 ARROW</t>
  </si>
  <si>
    <t>CABLE EMBRAGUE SZ. MARUTI 800</t>
  </si>
  <si>
    <t>CABLE EMBRAGUE. TOYOTA STARLET.</t>
  </si>
  <si>
    <t>CABLE EMBRUGUE MAZDA E-5</t>
  </si>
  <si>
    <t>CABLE FRENO HILUX 2.4 MANO TRAS.</t>
  </si>
  <si>
    <t>L113445</t>
  </si>
  <si>
    <t>CABLE FRENO MANO CHEV LUV.</t>
  </si>
  <si>
    <t>CABLE freno mano ns. d21</t>
  </si>
  <si>
    <t>CABLE FRENO MANO ST90 TRAS.</t>
  </si>
  <si>
    <t>CABLE FRENO MANO TOYOTA HILUX</t>
  </si>
  <si>
    <t>CABLE FRENO MANO TY. HILUX DEL.</t>
  </si>
  <si>
    <t>CABLE FRENO TRAS IZQ. SZ VITARA 1.6</t>
  </si>
  <si>
    <t>CABLE FRENO TRAS. DER2 TOYOTA</t>
  </si>
  <si>
    <t>CABLE FRENO TRAS. IZ. RIO 03/06</t>
  </si>
  <si>
    <t>CABLE INST. 14 AZUL</t>
  </si>
  <si>
    <t>CABLE INST. 14 BLANCO</t>
  </si>
  <si>
    <t>CABLE INST. 14 NEGRO</t>
  </si>
  <si>
    <t>CABLE INST. 14 ROJO</t>
  </si>
  <si>
    <t>CABLE PARALELO 18GAX2 NEGRO ROJO</t>
  </si>
  <si>
    <t>AIPS051306</t>
  </si>
  <si>
    <t>CABLE PASA CORRIENTE 200 AMP.</t>
  </si>
  <si>
    <t>AIPSO51307</t>
  </si>
  <si>
    <t>CABLE PASA CORRIENTE 400 AMP</t>
  </si>
  <si>
    <t>CABLE PASA CORRIENTE 500 AMP. 220 mm.</t>
  </si>
  <si>
    <t>CABLE PASA CORRIENTE 600 AMP. 3 MT.</t>
  </si>
  <si>
    <t>CABLE PASA CORRIENTE 800 mp. 11MM. 2.5 MT.</t>
  </si>
  <si>
    <t>CABLE SELECTOR CHEV. SAIL 1.4</t>
  </si>
  <si>
    <t>CABLE SELECTOR SUZUKI MASTER PALANCA CAMBIO IZQ.</t>
  </si>
  <si>
    <t>CABLE SELECTORA HY. PORTER</t>
  </si>
  <si>
    <t>CABLE SELECTORA HYUNDAI</t>
  </si>
  <si>
    <t>CADENA 2.6 MAZDA COMPENSADOR</t>
  </si>
  <si>
    <t>CADENA 90 MAZDA 2.60COMPEMSADOR</t>
  </si>
  <si>
    <t>CADENA 92-D CHEV. LUV 1.6</t>
  </si>
  <si>
    <t>CADENA BBA. ACA. DAIHATSU CHARADE</t>
  </si>
  <si>
    <t>CADENA CHEV. S-10 3.4 46 ESL.</t>
  </si>
  <si>
    <t>CADENA CHEVROLET 350</t>
  </si>
  <si>
    <t>CADENA CORTA 16V.BENC NISSAN D22 - KA24DE</t>
  </si>
  <si>
    <t>CADENA DIST. LARGA NISSAN V-16 GA16</t>
  </si>
  <si>
    <t>MD154048</t>
  </si>
  <si>
    <t>CADENA DIST. 102 DOBLE MAZDA</t>
  </si>
  <si>
    <t>CADENA DIST. 124E NEW YARIS 1.5</t>
  </si>
  <si>
    <t>CADENA DIST. 58D CAVALIER 2.2 - S-10 2.2</t>
  </si>
  <si>
    <t>CADENA DIST. CTA. MAZDA B 1.2 / RENAULT</t>
  </si>
  <si>
    <t>CADENA DIST. MITSUBISHI 102 ESLABONES</t>
  </si>
  <si>
    <t>CADENA DIST. NISSAN D21</t>
  </si>
  <si>
    <t>CADENA DIST. NISSAN D21 KA24</t>
  </si>
  <si>
    <t>CADENA DIST. TOYOTA HILUX 2.4</t>
  </si>
  <si>
    <t>NEWEL</t>
  </si>
  <si>
    <t>CADENA DISTR. 40 ESLABONES</t>
  </si>
  <si>
    <t>SPLICER</t>
  </si>
  <si>
    <t>CADENA DISTR. 51 ESLABONES</t>
  </si>
  <si>
    <t>CADENA DISTR. CORTA NS V16 GA16</t>
  </si>
  <si>
    <t>CADENA DISTR. NISSAN D21 KA24 102E.</t>
  </si>
  <si>
    <t>CADENA DISTR. NISSAN TERRANO</t>
  </si>
  <si>
    <t>CADENA DISTR. NS. D21 KA24 102 D. JP.</t>
  </si>
  <si>
    <t>CADENA DISTR. NS. D22 KA24 DE 48ES. JP</t>
  </si>
  <si>
    <t>CADENA DISTR. SZ. GRAN NOMADE 56 ESL.</t>
  </si>
  <si>
    <t>CADENA DISTR. SZ. GRAN NOMADE 98 ESL.</t>
  </si>
  <si>
    <t>CADENA DISTRIBUCION NISSAN 54 DOBLE 068</t>
  </si>
  <si>
    <t>CADENA DOBLE NISSAN J18</t>
  </si>
  <si>
    <t>CADENA LARGA 16V. BENC NISSAN D21 - KA24DE</t>
  </si>
  <si>
    <t>CADENA NS. V16 GA16 80 ESL. INF.</t>
  </si>
  <si>
    <t>CAJA EJE SELECTOR DAEWOO</t>
  </si>
  <si>
    <t>LL-83010</t>
  </si>
  <si>
    <t>CAJA HERRAMIENTA</t>
  </si>
  <si>
    <t>TX 104</t>
  </si>
  <si>
    <t>CAJA REG. 4 SAL. FORD ELECTR.</t>
  </si>
  <si>
    <t>CAJA REG. C/ TERM. CHEVROLET</t>
  </si>
  <si>
    <t>CAJA REG. CHEV. LUV 2.3 BOSCH</t>
  </si>
  <si>
    <t>IB375</t>
  </si>
  <si>
    <t>CAJA REG. CHEV. LUV 2.3 TRANSPO</t>
  </si>
  <si>
    <t>CAJA REG. MITS. IM284 12.</t>
  </si>
  <si>
    <t>CAJA REG. MITS. IM846 12V.</t>
  </si>
  <si>
    <t>CAJA REG. MITS. IM847 L200 2.5 KATANA</t>
  </si>
  <si>
    <t>CAJA REG. MITS. L200 2.5 4D56T</t>
  </si>
  <si>
    <t>CAJA REG. NS. V16 YRV16 E16 GA16</t>
  </si>
  <si>
    <t>CAJA REGULADORA CHARADE AVR-551</t>
  </si>
  <si>
    <t>AVR-565</t>
  </si>
  <si>
    <t>CAJA REGULADORA CHARADE AVR-565</t>
  </si>
  <si>
    <t>CAJA TERMOSTATO FORD FIESTA</t>
  </si>
  <si>
    <t>CAÑERIA EMBR. NISS. TIIDA</t>
  </si>
  <si>
    <t>CRCH150311</t>
  </si>
  <si>
    <t>CAPOT CHEV. SAIL 1.5 16/</t>
  </si>
  <si>
    <t>CAPOT CHEV. SAIL 1.4</t>
  </si>
  <si>
    <t>CAPOT CHEV. SAIL 1.4 11/</t>
  </si>
  <si>
    <t>CAPOT CHEV. SAIL 1.5</t>
  </si>
  <si>
    <t>CRCH150301</t>
  </si>
  <si>
    <t>CAPOT CHEV. SAIL 11/14</t>
  </si>
  <si>
    <t>CRCH050303</t>
  </si>
  <si>
    <t>CAPOT CHEV. SPARK 11/16</t>
  </si>
  <si>
    <t>CAPOT CHEVROLET AVEO AÑO 04/07.</t>
  </si>
  <si>
    <t>CAPOT HY ACCENT RB. 2013/</t>
  </si>
  <si>
    <t>CAPOT HY. TUCSON 05/09</t>
  </si>
  <si>
    <t>CAPOT HYUNDAI ACCENT</t>
  </si>
  <si>
    <t>KIA-MORNING-1.0</t>
  </si>
  <si>
    <t>CAPOT KIA MORNING 1.0</t>
  </si>
  <si>
    <t>CAPOT NS. TERRANO 1997/2000</t>
  </si>
  <si>
    <t>CRDT450302</t>
  </si>
  <si>
    <t>CAPOT NS. TIIDA 2010/</t>
  </si>
  <si>
    <t>CRDT230311</t>
  </si>
  <si>
    <t>CRDT230301</t>
  </si>
  <si>
    <t>CAPOT NS. V16 BICIM.</t>
  </si>
  <si>
    <t>CAPOT SUZUKI BALENO 95/98.</t>
  </si>
  <si>
    <t>CAPOT SZ. CELERIO</t>
  </si>
  <si>
    <t>CRTY500361</t>
  </si>
  <si>
    <t>TY30540</t>
  </si>
  <si>
    <t>CAPOT TOYOTA YARIS AÑO 06/115.</t>
  </si>
  <si>
    <t>CAPOT--YARIS</t>
  </si>
  <si>
    <t>CAPOT TY YARIS</t>
  </si>
  <si>
    <t>CARBONES</t>
  </si>
  <si>
    <t>CARBONES VARIOS</t>
  </si>
  <si>
    <t>RETENES</t>
  </si>
  <si>
    <t>carcaza</t>
  </si>
  <si>
    <t>TERRANO</t>
  </si>
  <si>
    <t>CARCAZA EJE PILOTO NISS. TERRANO</t>
  </si>
  <si>
    <t>CARTER CHEV SAIL 1.4</t>
  </si>
  <si>
    <t>CARTER CHEV SAIL 1.5</t>
  </si>
  <si>
    <t>CARTER CHEV. SAIL 1.4</t>
  </si>
  <si>
    <t>CATALICO 2 " UNIVERSAL OVALADO</t>
  </si>
  <si>
    <t>CATALICO CHEV. LUV</t>
  </si>
  <si>
    <t>CATALICO CHEV. LUV 89/ FREENOX</t>
  </si>
  <si>
    <t>CATALICO LUV 2" OVALADO</t>
  </si>
  <si>
    <t>CATALICO NS. V16 D21</t>
  </si>
  <si>
    <t>CATALICO NS. V16 D-21 OVA. FREENOX</t>
  </si>
  <si>
    <t>CATALICO UNIVERSAL 2 1/2 OVALADO</t>
  </si>
  <si>
    <t>CAT-005</t>
  </si>
  <si>
    <t>CATALITICO NS. V16 D-21 GABRIEL</t>
  </si>
  <si>
    <t>CATALITICO 2 '' OVALADO</t>
  </si>
  <si>
    <t>CATALITICO OVALADO TY TERCEL</t>
  </si>
  <si>
    <t>CAZOLETA AVEO SAIL SPARK DEL.</t>
  </si>
  <si>
    <t>CAZOLETA CHEV AVEO SAIL SPARK</t>
  </si>
  <si>
    <t>CAZOLETA CHEV. SAIL 1.4 MANDO</t>
  </si>
  <si>
    <t>CAZOLETA DEL. DER. NS. TIIDA</t>
  </si>
  <si>
    <t>CAZOLETA DEL. IZQ. NS. TIIDA</t>
  </si>
  <si>
    <t>CAZOLETA DEL. NS TIIDA IZQ.</t>
  </si>
  <si>
    <t>TY50610</t>
  </si>
  <si>
    <t>CAZOLETA DEL. TY. YARIS 2006/</t>
  </si>
  <si>
    <t>cazely</t>
  </si>
  <si>
    <t>CAZELY</t>
  </si>
  <si>
    <t>CAZOLETA ELYSEE</t>
  </si>
  <si>
    <t>CAZOLETA HY. ACCENT 1.3 1.5 DEL.</t>
  </si>
  <si>
    <t>H000368</t>
  </si>
  <si>
    <t>HOOO368</t>
  </si>
  <si>
    <t>CAZOLETA HY. ACCENT 94-99 DEL.</t>
  </si>
  <si>
    <t>CAZOLETA NS. MARCH VERSA DEL.</t>
  </si>
  <si>
    <t>CAZOLETA NS. TIIDA DEL.</t>
  </si>
  <si>
    <t>CAZOLETA NS. TIIDA DEL. DER.</t>
  </si>
  <si>
    <t>CAZOLETA NS. TIIDA DEL. IZQ.</t>
  </si>
  <si>
    <t>CAZOLETA NS. TIIDA DER.</t>
  </si>
  <si>
    <t>CAZOLETA SAMSUMG SM3 DEL.</t>
  </si>
  <si>
    <t>CAZOLETA SM3 DEL. DER.</t>
  </si>
  <si>
    <t>CAZOLETA TRAS. SUZUKI AERIO</t>
  </si>
  <si>
    <t>CAZOLETA TY. YARIS 06/13 WURTEX</t>
  </si>
  <si>
    <t>CAZOLETA V16</t>
  </si>
  <si>
    <t>CBLE CABLE BUJIAS TERCEL 5E</t>
  </si>
  <si>
    <t>CBLE CABLE EMBRIAGUE VITARA</t>
  </si>
  <si>
    <t>DW700</t>
  </si>
  <si>
    <t>CBLE CAPOT. DAEWOO.</t>
  </si>
  <si>
    <t>FILTRO</t>
  </si>
  <si>
    <t>CEBADOR FILTRO PETR. NAVARA</t>
  </si>
  <si>
    <t>CEBADOR H100 KIA COMPLETO C/SENSOR</t>
  </si>
  <si>
    <t>CEBADOR HYUNDAI H100 DIESEL</t>
  </si>
  <si>
    <t>CEBADOR PETROLEO HY. H100</t>
  </si>
  <si>
    <t>CEBADOR PETROLEO HYUNDAI H100</t>
  </si>
  <si>
    <t>CEBADOR PETROLEO KIA</t>
  </si>
  <si>
    <t>CEMENTO RADIADOR VERSACHEM BOLSA 50gr.</t>
  </si>
  <si>
    <t>CENTRIFUGO CHEV. LUV</t>
  </si>
  <si>
    <t>L111040</t>
  </si>
  <si>
    <t>CENTRIFUGO CHEV. LUV 2.8</t>
  </si>
  <si>
    <t>CENTRIFUGO CHEV. LUV DMAX</t>
  </si>
  <si>
    <t>CENTRIFUGO CHEVROLET</t>
  </si>
  <si>
    <t>CENTRIFUGO FUSO</t>
  </si>
  <si>
    <t>CENTRIFUGO HY. H1 KIA</t>
  </si>
  <si>
    <t>CENTRIFUGO MIT. L200 2.5</t>
  </si>
  <si>
    <t>CENTRIFUGO navara 2.5</t>
  </si>
  <si>
    <t>CENTRIFUGO NISSAN TERRANO 2.5</t>
  </si>
  <si>
    <t>CENTRIFUGO NS. D21</t>
  </si>
  <si>
    <t>CENTRIFUGO NS. TERRANO</t>
  </si>
  <si>
    <t>CENTRIFUGO TY. HILUX 3.0</t>
  </si>
  <si>
    <t>CERA CREMA LUBRISTONE CON ESPONJA</t>
  </si>
  <si>
    <t>CERARMO</t>
  </si>
  <si>
    <t>CERA ABRILANTADORA ARMORAL</t>
  </si>
  <si>
    <t>CERA LUBRISTONE HIGH POLISH 500 m</t>
  </si>
  <si>
    <t>CERA SONAX BLANCA POLISH WAS COLOR 500ml.</t>
  </si>
  <si>
    <t>CERA SPRAY KLINKAR 360ml.</t>
  </si>
  <si>
    <t>CERCHA 100D SUZUKI</t>
  </si>
  <si>
    <t>CERCHA 109D DAIHATSU</t>
  </si>
  <si>
    <t>CERCHA 110 HYUNDAI</t>
  </si>
  <si>
    <t>CERCHA 115D CHEV LUV / ISUZU</t>
  </si>
  <si>
    <t>CERCHA 120D NISSAN J18</t>
  </si>
  <si>
    <t>CERCHA 132D VOLKSWAGEN</t>
  </si>
  <si>
    <t>CERCHA 146 D NISSAN</t>
  </si>
  <si>
    <t>CHALECO REFLECTANTE L</t>
  </si>
  <si>
    <t>CHALECO REFLECTANTE M</t>
  </si>
  <si>
    <t>CHALECO REFLECTANTE XL</t>
  </si>
  <si>
    <t>AIPS059012</t>
  </si>
  <si>
    <t>CHANCHITO PARTIDA</t>
  </si>
  <si>
    <t>CHAPA CIERRE CENTRALIZADO</t>
  </si>
  <si>
    <t>CHAPA CIERRE MALETA NS. V16 INFERIOR STRIKER</t>
  </si>
  <si>
    <t>CHAPA CIERRE MALETA NS. V16 SUPERIOR</t>
  </si>
  <si>
    <t>AIPS061046</t>
  </si>
  <si>
    <t>CHAPA CILINDRO SEGURIDAD</t>
  </si>
  <si>
    <t>I-US-14</t>
  </si>
  <si>
    <t>CHAPA CONTACTO 12V. 24V.</t>
  </si>
  <si>
    <t>CHAPA CONTACTO NS. 720</t>
  </si>
  <si>
    <t>CHAPA CONTACTO NS. D-21</t>
  </si>
  <si>
    <t>CHAPA CONTACTO NS. TERRANO YD25</t>
  </si>
  <si>
    <t>CHAPA CONTACTO NS. V16</t>
  </si>
  <si>
    <t>CHAPA LUZ CHEV CORSA</t>
  </si>
  <si>
    <t>CHAPA MALETA C/SENSOR NISSAN V16</t>
  </si>
  <si>
    <t>CHAPA PTA.DEL.DER. NISSAN D21</t>
  </si>
  <si>
    <t>YD-0312R</t>
  </si>
  <si>
    <t>CHAPA PUERTA NS TERRANO</t>
  </si>
  <si>
    <t>CHAPA PUERTA NS. V16 DEL. DER.</t>
  </si>
  <si>
    <t>CS-5001</t>
  </si>
  <si>
    <t>CHAPA SEGURIDAD DIFORZA</t>
  </si>
  <si>
    <t>CHI100</t>
  </si>
  <si>
    <t>CHICLER CARBURADOR 100</t>
  </si>
  <si>
    <t>CHI105</t>
  </si>
  <si>
    <t>CHICLER CARBURADOR 105</t>
  </si>
  <si>
    <t>CHI110</t>
  </si>
  <si>
    <t>CHICLER CARBURADOR 110</t>
  </si>
  <si>
    <t>CHI120</t>
  </si>
  <si>
    <t>CHICLER CARBURADOR 120</t>
  </si>
  <si>
    <t>CHI140</t>
  </si>
  <si>
    <t>CHICLER CARBURADOR 140</t>
  </si>
  <si>
    <t>CHI150</t>
  </si>
  <si>
    <t>CHICLER CARBURADOR 150</t>
  </si>
  <si>
    <t>CHI160</t>
  </si>
  <si>
    <t>CHICLER CARBURADOR 160</t>
  </si>
  <si>
    <t>CHI170</t>
  </si>
  <si>
    <t>CHICLER CARBURADOR 170</t>
  </si>
  <si>
    <t>CHI60</t>
  </si>
  <si>
    <t>CHICLER CARBURADOR 60 CHICO</t>
  </si>
  <si>
    <t>CHI65</t>
  </si>
  <si>
    <t>CHICLER CARBURADOR 65</t>
  </si>
  <si>
    <t>CHI70</t>
  </si>
  <si>
    <t>CHICLER CARBURADOR 70</t>
  </si>
  <si>
    <t>CHI75</t>
  </si>
  <si>
    <t>CHICLER CARBURADOR 75</t>
  </si>
  <si>
    <t>CHI80</t>
  </si>
  <si>
    <t>CHICLER CARBURADOR 80</t>
  </si>
  <si>
    <t>CHI85</t>
  </si>
  <si>
    <t>CHICLER CARBURADOR 85</t>
  </si>
  <si>
    <t>CHI90</t>
  </si>
  <si>
    <t>CHICLER CARBURADOR 90</t>
  </si>
  <si>
    <t>CHI95</t>
  </si>
  <si>
    <t>CHICLER CARBURADOR 95</t>
  </si>
  <si>
    <t>CHICLER</t>
  </si>
  <si>
    <t>CHICLER CARBURADOR TODOS</t>
  </si>
  <si>
    <t>CHICLER ELECTR. CHEV. 2Y 3Y</t>
  </si>
  <si>
    <t>CIGUEÑAL CHEV. CORSA 1.6 8VAL.</t>
  </si>
  <si>
    <t>CIGUEÑAL CHEV. SAIL 1.4</t>
  </si>
  <si>
    <t>CIL. EMBR. CHEV DMAX</t>
  </si>
  <si>
    <t>CIL. EMBR. CHEV. LUV 89/</t>
  </si>
  <si>
    <t>L112630</t>
  </si>
  <si>
    <t>CIL. EMBR. CHV. LUV. 2.3</t>
  </si>
  <si>
    <t>CIL. EMBR. MITSUBISHI</t>
  </si>
  <si>
    <t>CIL. EMBR. NS. J-18 JT</t>
  </si>
  <si>
    <t>CIL. EMBR.TOYOTA HILUX 2RZ.</t>
  </si>
  <si>
    <t>CJCH231201</t>
  </si>
  <si>
    <t>CIL. PTA DER CHRV LUV</t>
  </si>
  <si>
    <t>CJTY201202</t>
  </si>
  <si>
    <t>CIL. PTA IZQ TY HILUX</t>
  </si>
  <si>
    <t>CJTY201201</t>
  </si>
  <si>
    <t>CIL. PTA.DER TY HILUX</t>
  </si>
  <si>
    <t>CIL. PTA.NISSAN V-16</t>
  </si>
  <si>
    <t>AIPS061041</t>
  </si>
  <si>
    <t>CIL. SEGURIDAD SET 3</t>
  </si>
  <si>
    <t>CIL. EMBR 3/4 HYUNDAI</t>
  </si>
  <si>
    <t>FD89124Y</t>
  </si>
  <si>
    <t>CIL. EMBR CHEV LUV</t>
  </si>
  <si>
    <t>CIL. EMBR CHEV LUV 2.2</t>
  </si>
  <si>
    <t>CIL. EMBR CHEV. DMAX 3.0 /09</t>
  </si>
  <si>
    <t>L112660</t>
  </si>
  <si>
    <t>CIL. EMBR CHEV. LUV 2.2 WURTEX</t>
  </si>
  <si>
    <t>CIL. EMBR CHEV. LUV 2.3</t>
  </si>
  <si>
    <t>CIL. EMBR CHEV. LUV 2.3 13/16</t>
  </si>
  <si>
    <t>CIL. EMBR CHEV. S-10</t>
  </si>
  <si>
    <t>CIL. EMBR CHEV. S-10 APACHE</t>
  </si>
  <si>
    <t>FD87707Y</t>
  </si>
  <si>
    <t>CIL. EMBR DATSUN 150Y</t>
  </si>
  <si>
    <t>H700150</t>
  </si>
  <si>
    <t>CIL. EMBR HY TUCSON BENC.</t>
  </si>
  <si>
    <t>CIL. EMBR HY. STA FE</t>
  </si>
  <si>
    <t>CIL. EMBR HYUNDAI ACCENT</t>
  </si>
  <si>
    <t>CIL. EMBR LUV 2.2</t>
  </si>
  <si>
    <t>CILL200</t>
  </si>
  <si>
    <t>CIL. EMBR MIT. KATANA</t>
  </si>
  <si>
    <t>FD9818Y</t>
  </si>
  <si>
    <t>FD89818Y</t>
  </si>
  <si>
    <t>CIL. EMBR MITS. L200 2.5 2006/</t>
  </si>
  <si>
    <t>CIL. EMBR NISSAN D21</t>
  </si>
  <si>
    <t>CIL. EMBR NS. 150Y</t>
  </si>
  <si>
    <t>FD87720I</t>
  </si>
  <si>
    <t>CIL. EMBR NS. TERRANO 2.5</t>
  </si>
  <si>
    <t>CIL. EMBR SUZUKI GRAN VITARA</t>
  </si>
  <si>
    <t>CIL. EMBR TERRACAN</t>
  </si>
  <si>
    <t>CIL. EMBR TOYOTA YARIS</t>
  </si>
  <si>
    <t>CIL. EMBR TY. YARIS 06/13 BHORKE</t>
  </si>
  <si>
    <t>CINTURON 2 PUNTA UNIVERSAL</t>
  </si>
  <si>
    <t>CINTURON RETRACTIL 3 PUNTA NEGRO</t>
  </si>
  <si>
    <t>CINTURON SEG. 2 PTA. NEGRO</t>
  </si>
  <si>
    <t>CINTURON SEGURIDAD RETRACTIL</t>
  </si>
  <si>
    <t>REPESCA</t>
  </si>
  <si>
    <t>CODIFICACION DE INYECTORES CTA. MITSUB.</t>
  </si>
  <si>
    <t>CONDENSO 0.22 CENTURY</t>
  </si>
  <si>
    <t>CONDENSO 0.25 SC-158 CENTURY</t>
  </si>
  <si>
    <t>CONDENSO 0.27 CENTURY</t>
  </si>
  <si>
    <t>CONDENSO CHEVETTE</t>
  </si>
  <si>
    <t>CONDENSO CONDENSO DAIHATSU</t>
  </si>
  <si>
    <t>CONDENSO FORD 292</t>
  </si>
  <si>
    <t>CONDENSO LARGO CHEVETTE</t>
  </si>
  <si>
    <t>CONDENSO MAZDA</t>
  </si>
  <si>
    <t>CONDENSO MAZDA CND-939</t>
  </si>
  <si>
    <t>CONDENSO NISSAN DOBLE SC-262</t>
  </si>
  <si>
    <t>CONDENSO UNIVERSAL</t>
  </si>
  <si>
    <t>ORUTRAX</t>
  </si>
  <si>
    <t>OROTRAX</t>
  </si>
  <si>
    <t>CONTACTOR NISSAN SUNNY V16</t>
  </si>
  <si>
    <t>LCP-2</t>
  </si>
  <si>
    <t>CORCHOPREN 2 90X60</t>
  </si>
  <si>
    <t>LCP-2.5</t>
  </si>
  <si>
    <t>CORCHOPREN 2.5 90X60</t>
  </si>
  <si>
    <t>LCP-3</t>
  </si>
  <si>
    <t>CORCHOPREN 3 90X60</t>
  </si>
  <si>
    <t>CORREAS</t>
  </si>
  <si>
    <t>CORREA 3PK 550 MITSUBOSHI</t>
  </si>
  <si>
    <t>CORREA 3PK 635 MITSUBOSHI</t>
  </si>
  <si>
    <t>CORREA 3PK 665</t>
  </si>
  <si>
    <t>CORREA 3PK 850 DONGIL</t>
  </si>
  <si>
    <t>CORREA 3PK 865</t>
  </si>
  <si>
    <t>CORREA 3PK 865 SM3 EIKO</t>
  </si>
  <si>
    <t>CORREA 3PK 866 SM3</t>
  </si>
  <si>
    <t>CORREA 3PK 870 MITSUBOSHI</t>
  </si>
  <si>
    <t>CORREA 3PK DONGIL</t>
  </si>
  <si>
    <t>CORREA 4 PK 1080 TOYOTA HILUX 2.4</t>
  </si>
  <si>
    <t>CORREA 4PK 1000 DONGIL</t>
  </si>
  <si>
    <t>CORREA 4PK 1010 DONGIL</t>
  </si>
  <si>
    <t>CORREA 4PK 1020 DONGIL</t>
  </si>
  <si>
    <t>CORREA 4PK 1030 DONGIL</t>
  </si>
  <si>
    <t>CORREA 4PK 1040 DONGIL</t>
  </si>
  <si>
    <t>CORREA 4PK 1040 DORCO</t>
  </si>
  <si>
    <t>CORREA 4PK 1040 MITSUBOSHI</t>
  </si>
  <si>
    <t>CORREA 4PK 1050 DONGIL</t>
  </si>
  <si>
    <t>CORREA 4PK 1060 MITSUBISHI</t>
  </si>
  <si>
    <t>CORREA 4PK 1070 BANDO</t>
  </si>
  <si>
    <t>CORREA 4PK 1080 DONGIL</t>
  </si>
  <si>
    <t>CORREA 4PK 1115 EIKO</t>
  </si>
  <si>
    <t>CORREA 4PK 1120 DONGIL</t>
  </si>
  <si>
    <t>CORREA 4PK 1120 MITSUBISHI</t>
  </si>
  <si>
    <t>CORREA 4PK 1140 DORCO</t>
  </si>
  <si>
    <t>CORREA 4PK 1145 DORCO</t>
  </si>
  <si>
    <t>CORREA 4PK 1170 STP</t>
  </si>
  <si>
    <t>CORREA 4PK 1210 DONGIL</t>
  </si>
  <si>
    <t>CORREA 4PK 1440 DORCO</t>
  </si>
  <si>
    <t>CORREA 4PK 1495 EIKO</t>
  </si>
  <si>
    <t>CORREA 4PK 1560 MITSUBOSHI</t>
  </si>
  <si>
    <t>CORREA 4PK 1640 DAIHATSU</t>
  </si>
  <si>
    <t>CORREA 4PK 605 DORKO</t>
  </si>
  <si>
    <t>CORREA 4PK 610 DONGIL</t>
  </si>
  <si>
    <t>CORREA 4PK 610 MITSUBOSHI</t>
  </si>
  <si>
    <t>CORREA 4PK 665 CHEV SPARK</t>
  </si>
  <si>
    <t>CORREA 4PK 710 DONGIL</t>
  </si>
  <si>
    <t>CORREA 4PK 715 BANDO</t>
  </si>
  <si>
    <t>CORREA 4PK 775 DAIHATSU</t>
  </si>
  <si>
    <t>CORREA 4PK 780 EIKO</t>
  </si>
  <si>
    <t>CORREA 4PK 800 DORCO</t>
  </si>
  <si>
    <t>CORREA 4PK 805 DONGIL</t>
  </si>
  <si>
    <t>CORREA 4PK 805 DORCO</t>
  </si>
  <si>
    <t>CORREA 4PK 805 EIKO</t>
  </si>
  <si>
    <t>CORREA 4PK 805 NS. V16</t>
  </si>
  <si>
    <t>CORREA 4PK 810 DONGIL</t>
  </si>
  <si>
    <t>CORREA 4PK 810 DORKO</t>
  </si>
  <si>
    <t>CORREA 4PK 810 EIKO</t>
  </si>
  <si>
    <t>CORREA 4PK 810 NISSAN</t>
  </si>
  <si>
    <t>CORREA 4PK 810 NS. V16</t>
  </si>
  <si>
    <t>CORREA 4PK 815</t>
  </si>
  <si>
    <t>CORREA 4PK 820</t>
  </si>
  <si>
    <t>CORREA 4PK 825 DOKO</t>
  </si>
  <si>
    <t>CORREA 4PK 830</t>
  </si>
  <si>
    <t>CORREA 4PK 835 DONGIL</t>
  </si>
  <si>
    <t>CORREA 4PK 840</t>
  </si>
  <si>
    <t>CORREA 4PK 840 BANDO</t>
  </si>
  <si>
    <t>CORREA 4PK 845</t>
  </si>
  <si>
    <t>CORREA 4PK 848 EIKO</t>
  </si>
  <si>
    <t>CORREA 4PK 855</t>
  </si>
  <si>
    <t>CORREA 4PK 855 DONGIL</t>
  </si>
  <si>
    <t>CORREA 4PK 855 MITSUBOSHI</t>
  </si>
  <si>
    <t>CORREA 4PK 875 MITSUBOSHI</t>
  </si>
  <si>
    <t>CORREA 4PK 885</t>
  </si>
  <si>
    <t>CORREA 4PK 885 MITSUBOSHI</t>
  </si>
  <si>
    <t>CORREA 4PK 890 DONGIL</t>
  </si>
  <si>
    <t>CORREA 4PK 895 HY.</t>
  </si>
  <si>
    <t>CORREA 4PK 895 DONGIL</t>
  </si>
  <si>
    <t>CORREA 4PK 900 DONGIL</t>
  </si>
  <si>
    <t>CORREA 4PK 900 MITSUBOSHI</t>
  </si>
  <si>
    <t>CORREA 4PK 910 DONGIL</t>
  </si>
  <si>
    <t>CORREA 4PK 910 NS. V16</t>
  </si>
  <si>
    <t>CORREA 4PK 920</t>
  </si>
  <si>
    <t>CORREA 4PK 920 DORKO</t>
  </si>
  <si>
    <t>CORREA 4PK 920 DAYCO</t>
  </si>
  <si>
    <t>CORREA 4PK 920 ROFAN</t>
  </si>
  <si>
    <t>CORREA 4PK 925 DORKO</t>
  </si>
  <si>
    <t>CORREA 4PK 930 DORKO</t>
  </si>
  <si>
    <t>CORREA 4PK 930 DONGIL</t>
  </si>
  <si>
    <t>CORREA 4PK 940</t>
  </si>
  <si>
    <t>CORREA 4PK 940 MITSUBOSHI</t>
  </si>
  <si>
    <t>CORREA 4PK 940 DONGIL</t>
  </si>
  <si>
    <t>CORREA 4PK 950 DORKO</t>
  </si>
  <si>
    <t>CORREA 4PK 985</t>
  </si>
  <si>
    <t>CORREA 4PK 990 DONGIL</t>
  </si>
  <si>
    <t>CORREA 5PK - 865 MITSUBISHI LANCER</t>
  </si>
  <si>
    <t>CORREA 5PK 1040</t>
  </si>
  <si>
    <t>CORREA 5PK 1050 DAEWOO</t>
  </si>
  <si>
    <t>CORREA 5PK 1165</t>
  </si>
  <si>
    <t>CORREA 5PK 1215 DAYCO</t>
  </si>
  <si>
    <t>CORREA 5PK 1250</t>
  </si>
  <si>
    <t>CORREA 5PK 1545 MITSUBOSHI</t>
  </si>
  <si>
    <t>CORREA 5PK 1615 MITSUBOSHI</t>
  </si>
  <si>
    <t>CORREA 5PK 1700 EIKO</t>
  </si>
  <si>
    <t>CORREA 5PK 1700 MITSUBOSHI</t>
  </si>
  <si>
    <t>CORREA 5PK 1790 CAVALIER MITSUBOSHI</t>
  </si>
  <si>
    <t>CORREA 5PK 1790 FENNER</t>
  </si>
  <si>
    <t>CORREA 5PK 1795 HANCHANG</t>
  </si>
  <si>
    <t>CORREA 5PK 990</t>
  </si>
  <si>
    <t>CORREA 5PK 990 TOYOTA</t>
  </si>
  <si>
    <t>CORREA 5PK1330</t>
  </si>
  <si>
    <t>CORREA 6PK 1115</t>
  </si>
  <si>
    <t>CORREA 6PK 1250 EIKO</t>
  </si>
  <si>
    <t>CORREA 6PK 1255</t>
  </si>
  <si>
    <t>CORREA 6PK 1460 CORSA</t>
  </si>
  <si>
    <t>CORREA 6PK 1460 STP</t>
  </si>
  <si>
    <t>CORREA 6PK 1500 EIKO</t>
  </si>
  <si>
    <t>CORREA 6PK 1530 EIKO</t>
  </si>
  <si>
    <t>CORREA 6PK 1560 EIKO</t>
  </si>
  <si>
    <t>CORREA 6PK 1715</t>
  </si>
  <si>
    <t>CORREA 6PK 1755 MITSUBOSHI</t>
  </si>
  <si>
    <t>CORREA 6PK 1785 EIKO</t>
  </si>
  <si>
    <t>CORREA 6PK 1795 aire acond. corsa</t>
  </si>
  <si>
    <t>CORREA 6PK 1800</t>
  </si>
  <si>
    <t>CORREA 6PK 1810 TY. COROLLA</t>
  </si>
  <si>
    <t>CORREA 6PK 1815 F. RANGER</t>
  </si>
  <si>
    <t>CORREA 6PK 1875</t>
  </si>
  <si>
    <t>CORREA 6PK 1945</t>
  </si>
  <si>
    <t>CORREA 6PK 2205 DORKO</t>
  </si>
  <si>
    <t>CORREA 6PK 2240 MITSUBOSHI</t>
  </si>
  <si>
    <t>CORREA 6PK 2250 SSANGYONG</t>
  </si>
  <si>
    <t>CORREA 6PK 2325 HANCHANG</t>
  </si>
  <si>
    <t>CORREA 6PK 2350 MITSUBOSHI</t>
  </si>
  <si>
    <t>CORREA 6PK 2425 EIKO</t>
  </si>
  <si>
    <t>CORREA 6PK 2430 S-10 4.3 DORKO</t>
  </si>
  <si>
    <t>CORREA 6PK 2550</t>
  </si>
  <si>
    <t>CORREA 6PK 2605 EIKO</t>
  </si>
  <si>
    <t>CORREA 6PK 820</t>
  </si>
  <si>
    <t>CORREA 6PK1110</t>
  </si>
  <si>
    <t>CORREA 6PK1280</t>
  </si>
  <si>
    <t>CORREA 7PK 1050</t>
  </si>
  <si>
    <t>CORREA 7PK 1140</t>
  </si>
  <si>
    <t>CORREA 7PK 1140 STP</t>
  </si>
  <si>
    <t>CORREA 7pk 1515 mitsuboshi</t>
  </si>
  <si>
    <t>CORREA 7PK 1730 H1 BANDO</t>
  </si>
  <si>
    <t>CORREA 7PK 1740 EIKO</t>
  </si>
  <si>
    <t>CORREA 7PK 2235 DURANGO 5.9 MITSUBOSHI</t>
  </si>
  <si>
    <t>CORREA 8PK 1340</t>
  </si>
  <si>
    <t>CORREA 8PK 1855</t>
  </si>
  <si>
    <t>CORREA 8PK 1895 YUJIANG</t>
  </si>
  <si>
    <t>CORREA 9.5 x 1000</t>
  </si>
  <si>
    <t>CORREA 9.5 X 1025 LISA</t>
  </si>
  <si>
    <t>CORREA 9.5 X 1050 LISA</t>
  </si>
  <si>
    <t>CORREA 9.5 X 1075 DENTADA</t>
  </si>
  <si>
    <t>CORREA 9.5 X 1075 LISA</t>
  </si>
  <si>
    <t>CORREA 9.5 X 1083</t>
  </si>
  <si>
    <t>CORREA 9.5 X 1100</t>
  </si>
  <si>
    <t>CORREA 9.5 X 1125</t>
  </si>
  <si>
    <t>CORREA 9.5 X 1150</t>
  </si>
  <si>
    <t>CORREA 9.5 X 1175</t>
  </si>
  <si>
    <t>CORREA 9.5 X 1250</t>
  </si>
  <si>
    <t>CORREA 9.5 X 1275</t>
  </si>
  <si>
    <t>CORREA 9.5 X 1300</t>
  </si>
  <si>
    <t>CORREA 9.5 X 622 DENTADA</t>
  </si>
  <si>
    <t>CORREA 9.5 X 825</t>
  </si>
  <si>
    <t>CORREA 9.5 X 935</t>
  </si>
  <si>
    <t>CORREA 9.5 X 938</t>
  </si>
  <si>
    <t>CORREA 9.5X1016</t>
  </si>
  <si>
    <t>CORREA 9.5X1225</t>
  </si>
  <si>
    <t>CORREA 9.5X1450</t>
  </si>
  <si>
    <t>CORREA 9.5X1500</t>
  </si>
  <si>
    <t>CORREA 9.5X635</t>
  </si>
  <si>
    <t>CORREA 9.5X675</t>
  </si>
  <si>
    <t>CORREA 9.5X750</t>
  </si>
  <si>
    <t>CORREA 9.5X775 DENTADA MITS.</t>
  </si>
  <si>
    <t>CORREA 9.5X800</t>
  </si>
  <si>
    <t>CORREA 9.5X825</t>
  </si>
  <si>
    <t>CORREA 9.5X825 DENTADA</t>
  </si>
  <si>
    <t>CORREA 9.5X850</t>
  </si>
  <si>
    <t>CORREA 9.5X875</t>
  </si>
  <si>
    <t>CORREA 9.5X900</t>
  </si>
  <si>
    <t>CORREA 9.5X925</t>
  </si>
  <si>
    <t>CORREA 9.5X950</t>
  </si>
  <si>
    <t>CORREA 9.5X975 MITSUB.</t>
  </si>
  <si>
    <t>CORREA 9PK 1755 DAYCO</t>
  </si>
  <si>
    <t>CORREA A 26</t>
  </si>
  <si>
    <t>CORREA A 27</t>
  </si>
  <si>
    <t>CORREA A 28</t>
  </si>
  <si>
    <t>CORREA A 29 DENTADA</t>
  </si>
  <si>
    <t>CORREA A 29 LISA</t>
  </si>
  <si>
    <t>CORREA A 30</t>
  </si>
  <si>
    <t>CORREA A 31</t>
  </si>
  <si>
    <t>CORREA A 31 GATES</t>
  </si>
  <si>
    <t>CORREA A 31 DENTADA</t>
  </si>
  <si>
    <t>CORREA A 32</t>
  </si>
  <si>
    <t>CORREA A 32 GATES</t>
  </si>
  <si>
    <t>CORREA A 33</t>
  </si>
  <si>
    <t>CORREA A 33 DENTADA</t>
  </si>
  <si>
    <t>CORREA A 33 GATES</t>
  </si>
  <si>
    <t>CORREA A 34</t>
  </si>
  <si>
    <t>CORREA A 35</t>
  </si>
  <si>
    <t>CORREA A 35 DENTADA</t>
  </si>
  <si>
    <t>CORREA A 36 DENTADA</t>
  </si>
  <si>
    <t>CORREA A 36 LISA</t>
  </si>
  <si>
    <t>CORREA A 37</t>
  </si>
  <si>
    <t>CORREA A 37 DENTADA</t>
  </si>
  <si>
    <t>CORREA A 38</t>
  </si>
  <si>
    <t>CORREA A 38 DENTADA MITSUBOSHI</t>
  </si>
  <si>
    <t>CORREA A 39</t>
  </si>
  <si>
    <t>CORREA A 39 DENTADA</t>
  </si>
  <si>
    <t>CORREA A 40 GATES</t>
  </si>
  <si>
    <t>CORREA A 40 DENTADA</t>
  </si>
  <si>
    <t>CORREA A 40 MITSUBOSHI</t>
  </si>
  <si>
    <t>CORREA A 41</t>
  </si>
  <si>
    <t>CORREA A 41 GATES</t>
  </si>
  <si>
    <t>CORREA A 42 DENTADA</t>
  </si>
  <si>
    <t>CORREA A 42 LISA</t>
  </si>
  <si>
    <t>CORREA A 43</t>
  </si>
  <si>
    <t>CORREA A 43 DENTADA</t>
  </si>
  <si>
    <t>CORREA A 43 NISSAN</t>
  </si>
  <si>
    <t>CORREA A 44</t>
  </si>
  <si>
    <t>CORREA A 44 GATES</t>
  </si>
  <si>
    <t>CORREA A 44 DENTADA</t>
  </si>
  <si>
    <t>CORREA A 44 LISA</t>
  </si>
  <si>
    <t>CORREA A 45 MITSUBOSHI</t>
  </si>
  <si>
    <t>A 46</t>
  </si>
  <si>
    <t>CORREA A 46 LISA</t>
  </si>
  <si>
    <t>CORREA A 47 LISA</t>
  </si>
  <si>
    <t>A48DEN</t>
  </si>
  <si>
    <t>CORREA A 48 DENTADA</t>
  </si>
  <si>
    <t>CORREA A 48 LISA</t>
  </si>
  <si>
    <t>CORREA A 49 DENTADA</t>
  </si>
  <si>
    <t>CORREA A 49 MITSUBOSHI</t>
  </si>
  <si>
    <t>CORREA A 50</t>
  </si>
  <si>
    <t>CORREA A 51</t>
  </si>
  <si>
    <t>CORREA A 51 DENTADA</t>
  </si>
  <si>
    <t>CORREA A 52 MITSUBOSHI</t>
  </si>
  <si>
    <t>CORREA A 53</t>
  </si>
  <si>
    <t>CORREA A 54</t>
  </si>
  <si>
    <t>CORREA A 55 DENTADA</t>
  </si>
  <si>
    <t>a56</t>
  </si>
  <si>
    <t>CORREA A 56</t>
  </si>
  <si>
    <t>CORREA A 57</t>
  </si>
  <si>
    <t>CORREA A 58 MITSUBOSHI</t>
  </si>
  <si>
    <t>CORREA A 59</t>
  </si>
  <si>
    <t>CORREA A 59 DENTADA</t>
  </si>
  <si>
    <t>CORREA A 60</t>
  </si>
  <si>
    <t>CORREA A 62 LISA</t>
  </si>
  <si>
    <t>CORREA A 65</t>
  </si>
  <si>
    <t>CORREA A 67</t>
  </si>
  <si>
    <t>A68</t>
  </si>
  <si>
    <t>CORREA A 68</t>
  </si>
  <si>
    <t>CORREA A 69 DENTADA</t>
  </si>
  <si>
    <t>CORREA A 84</t>
  </si>
  <si>
    <t>CORREA A-34 DENTADA</t>
  </si>
  <si>
    <t>CORREA A-36 DENTADA GATES</t>
  </si>
  <si>
    <t>CORREA A-38 DENTADA</t>
  </si>
  <si>
    <t>CORREA A-42 DENTADA GATES</t>
  </si>
  <si>
    <t>CORREA A-45 DENTADA GATES</t>
  </si>
  <si>
    <t>CORREA A-46 DENTADA GATES</t>
  </si>
  <si>
    <t>CORREA ALTERNADOR AIRE ACONDICIONADO DODGE DURANGO</t>
  </si>
  <si>
    <t>CORREA B 28 LISA</t>
  </si>
  <si>
    <t>B-30</t>
  </si>
  <si>
    <t>B 30</t>
  </si>
  <si>
    <t>CORREA B 30 LISA</t>
  </si>
  <si>
    <t>B31</t>
  </si>
  <si>
    <t>B-31</t>
  </si>
  <si>
    <t>CORREA B 31 DENTADA</t>
  </si>
  <si>
    <t>B 31</t>
  </si>
  <si>
    <t>CORREA B 31 LISA</t>
  </si>
  <si>
    <t>B-33</t>
  </si>
  <si>
    <t>B 33</t>
  </si>
  <si>
    <t>CORREA B 33 LISA</t>
  </si>
  <si>
    <t>B34</t>
  </si>
  <si>
    <t>B-34</t>
  </si>
  <si>
    <t>CORREA B 34 DENTADA</t>
  </si>
  <si>
    <t>B 34</t>
  </si>
  <si>
    <t>CORREA B 34 LISA</t>
  </si>
  <si>
    <t>B-35</t>
  </si>
  <si>
    <t>B 35</t>
  </si>
  <si>
    <t>CORREA B 35 LISA</t>
  </si>
  <si>
    <t>B36</t>
  </si>
  <si>
    <t>CORREA B 36</t>
  </si>
  <si>
    <t>B-36</t>
  </si>
  <si>
    <t>B 36</t>
  </si>
  <si>
    <t>CORREA B 36 LISA INDUS</t>
  </si>
  <si>
    <t>B/36</t>
  </si>
  <si>
    <t>CORREA B 36 LISA JASON</t>
  </si>
  <si>
    <t>CORREA B 37</t>
  </si>
  <si>
    <t>CORREA B 38 DENTADA MITSUBOSHI</t>
  </si>
  <si>
    <t>B38LI</t>
  </si>
  <si>
    <t>B38L</t>
  </si>
  <si>
    <t>CORREA B 38 LISA</t>
  </si>
  <si>
    <t>CORREA B 39 LISA</t>
  </si>
  <si>
    <t>CORREA B 43 LISA</t>
  </si>
  <si>
    <t>CORREA B 44 LISA</t>
  </si>
  <si>
    <t>CORREA B 45</t>
  </si>
  <si>
    <t>CORREA B 46</t>
  </si>
  <si>
    <t>b-48</t>
  </si>
  <si>
    <t>b 48</t>
  </si>
  <si>
    <t>CORREA b 48</t>
  </si>
  <si>
    <t>LB-480</t>
  </si>
  <si>
    <t>CORREA B 48 LISA DORCO</t>
  </si>
  <si>
    <t>CORREA B 51</t>
  </si>
  <si>
    <t>CORREA B 52</t>
  </si>
  <si>
    <t>B-55</t>
  </si>
  <si>
    <t>B 55</t>
  </si>
  <si>
    <t>CORREA B 55 DENTADA</t>
  </si>
  <si>
    <t>CORREA B 58</t>
  </si>
  <si>
    <t>B-59</t>
  </si>
  <si>
    <t>B 59</t>
  </si>
  <si>
    <t>CORREA B 59 LISA</t>
  </si>
  <si>
    <t>CORREA B 61</t>
  </si>
  <si>
    <t>CORREA B 62</t>
  </si>
  <si>
    <t>CORREA B 63</t>
  </si>
  <si>
    <t>CORREA B 64</t>
  </si>
  <si>
    <t>LB-650</t>
  </si>
  <si>
    <t>CORREA B 65 LISA DORCO</t>
  </si>
  <si>
    <t>B-66</t>
  </si>
  <si>
    <t>B 66</t>
  </si>
  <si>
    <t>CORREA B 66 DENTADA</t>
  </si>
  <si>
    <t>B-67</t>
  </si>
  <si>
    <t>B 67</t>
  </si>
  <si>
    <t>CORREA B 67 LISA</t>
  </si>
  <si>
    <t>B-68</t>
  </si>
  <si>
    <t>B 68</t>
  </si>
  <si>
    <t>CORREA B 68 LISA</t>
  </si>
  <si>
    <t>B69</t>
  </si>
  <si>
    <t>CORREA B 69 DENTADA</t>
  </si>
  <si>
    <t>B-69</t>
  </si>
  <si>
    <t>B 69</t>
  </si>
  <si>
    <t>CORREA B 69 LISA</t>
  </si>
  <si>
    <t>CORREA B 74</t>
  </si>
  <si>
    <t>CORREA B 84</t>
  </si>
  <si>
    <t>CORREA B 86</t>
  </si>
  <si>
    <t>B-90</t>
  </si>
  <si>
    <t>B 900</t>
  </si>
  <si>
    <t>CORREA B 90 LISA</t>
  </si>
  <si>
    <t>B-91</t>
  </si>
  <si>
    <t>B 91</t>
  </si>
  <si>
    <t>CORREA B 91 LISA</t>
  </si>
  <si>
    <t>B-92</t>
  </si>
  <si>
    <t>B 92</t>
  </si>
  <si>
    <t>CORREA B 92 LISA</t>
  </si>
  <si>
    <t>B-96</t>
  </si>
  <si>
    <t>B 96</t>
  </si>
  <si>
    <t>CORREA B 96 LISA</t>
  </si>
  <si>
    <t>CORREA B-38</t>
  </si>
  <si>
    <t>CORREA B-54</t>
  </si>
  <si>
    <t>CORREA CHEV S-10 149D.</t>
  </si>
  <si>
    <t>CORREA chevrolet S-10 ALTERNADOR</t>
  </si>
  <si>
    <t>CORREA COMP. HONDA</t>
  </si>
  <si>
    <t>CORREA DIREC. 5PK 1395</t>
  </si>
  <si>
    <t>CORREA DIRECC. TY TUNDRA</t>
  </si>
  <si>
    <t>CORREA DIST. 145 XY 22 KIA MZ. MITSUB.</t>
  </si>
  <si>
    <t>CORREA DIST. AVEO 1.4 127 SPR 25</t>
  </si>
  <si>
    <t>CORREA DIST. CHEV LUV 2.2 148 ZA 20</t>
  </si>
  <si>
    <t>CORREA DIST. CHEV LUV 2.5 DIESEL 119 X 32</t>
  </si>
  <si>
    <t>CORREA DIST. CHEV. AVEO 127 XR 25 MITSUB. DW. TY.</t>
  </si>
  <si>
    <t>CORREA DIST. CHEV. CHEVETTE 99 ZA 15 MITS.</t>
  </si>
  <si>
    <t>CORREA DIST. CHEV. CORSA 1.6 111 MR 17</t>
  </si>
  <si>
    <t>CORREA DIST. CHEV. LUV 2.2 148 S8M 20 MITSUB.</t>
  </si>
  <si>
    <t>CORREA DIST. CHEV. LUV. 2.3 115 ZA 19 MITS.</t>
  </si>
  <si>
    <t>CORREA DIST. CHEV. LUV. 2.3 115 ZA 19. NINWOO</t>
  </si>
  <si>
    <t>CORREA DIST. CHEV. MONZA 125 ZBS 20</t>
  </si>
  <si>
    <t>CORREA DIST. CHEV. OPTRA 168 S8M 23.5 DAYCO</t>
  </si>
  <si>
    <t>CORREA DIST. CHEV. SPARK 107 MY 25</t>
  </si>
  <si>
    <t>CORREA DIST. CHEV. SPARK 124 MR 24</t>
  </si>
  <si>
    <t>CORREA DIST. CHEV.LUV 1.6 109ZA 19</t>
  </si>
  <si>
    <t>CORREA DIST. CHEVROLET SPARK. 109 XY 25 MITSUB.</t>
  </si>
  <si>
    <t>CORREA DIST. CHRYSLER 112 XR 29</t>
  </si>
  <si>
    <t>CORREA DIST. CHV ASTRA 169 X 24</t>
  </si>
  <si>
    <t>CORREA DIST. CITROEN AX1.1-ZX-C15-SAXO 101 X 17</t>
  </si>
  <si>
    <t>CORREA DIST. CITROEN ZX 101 X 17</t>
  </si>
  <si>
    <t>CORREA DIST. CORSA 1.6 111 MR 17 NTB.</t>
  </si>
  <si>
    <t>CORREA DIST. CORSA 169 S8M 20.</t>
  </si>
  <si>
    <t>CORREA DIST. DAEWOO 104 MR 17</t>
  </si>
  <si>
    <t>*169STPM24OH*</t>
  </si>
  <si>
    <t>STP</t>
  </si>
  <si>
    <t>CORREA DIST. DAEWOO 169 STP 24</t>
  </si>
  <si>
    <t>CORREA DIST. DAEWOO NUBIRA 1.8 2.0 83 X 24</t>
  </si>
  <si>
    <t>BEIL</t>
  </si>
  <si>
    <t>CORREA DIST. DAEWOO TICO 107 MR 25</t>
  </si>
  <si>
    <t>CORREA DIST. DAIH GRAN NOMADE 11 X 25</t>
  </si>
  <si>
    <t>CORREA DIST. DAIHATSU 103 MY 19</t>
  </si>
  <si>
    <t>CORREA DIST. DAIHATSU 109 MR 32 DIESEL.</t>
  </si>
  <si>
    <t>CORREA DIST. DAIHATSU 91 XR 19</t>
  </si>
  <si>
    <t>CORREA DIST. DAIHATSU 91 ZA 19</t>
  </si>
  <si>
    <t>CORREA DIST. DAIHATSU 93 XR 25</t>
  </si>
  <si>
    <t>CORREA DIST. DAIHATSU 95 XR 25</t>
  </si>
  <si>
    <t>CORREA DIST. DAIHATSU CUORE 850 103 XY 19</t>
  </si>
  <si>
    <t>CORREA DIST. ELANTRA 105 RU 22.</t>
  </si>
  <si>
    <t>CORREA DIST. FIAT 120 ZA 15</t>
  </si>
  <si>
    <t>CORREA DIST. FIAT 121 X 15</t>
  </si>
  <si>
    <t>CORREA DIST. FIAT 124 X 22</t>
  </si>
  <si>
    <t>CORREA DIST. FIAT 147 1050 118 ZA 15</t>
  </si>
  <si>
    <t>CORREA DIST. FIAT 168 MY 22</t>
  </si>
  <si>
    <t>CORREA DIST. FIAT 68 ZA 15</t>
  </si>
  <si>
    <t>CORREA DIST. FORD ESCORT 97 RR 25</t>
  </si>
  <si>
    <t>CORREA DIST. FORD ESCORT 97 ZA 25</t>
  </si>
  <si>
    <t>TIMING</t>
  </si>
  <si>
    <t>CORREA DIST. FORD RANGER 129 X 31</t>
  </si>
  <si>
    <t>CORREA DIST. FORD RANGER 129 ZA 22</t>
  </si>
  <si>
    <t>CORREA DIST. FORD RANGER 131 XR 22</t>
  </si>
  <si>
    <t>CORREA DIST. FORD RANGER 2.3 129 MR 22.5</t>
  </si>
  <si>
    <t>CORREA DIST. HONDA 112 MR 24</t>
  </si>
  <si>
    <t>CORREA DIST. HONDA 2.3 127 X 24</t>
  </si>
  <si>
    <t>CORREA DIST. HONDA ACCORD 113 XR 24</t>
  </si>
  <si>
    <t>CORREA DIST. HONDA CIVIC 1.6 124 XR 24</t>
  </si>
  <si>
    <t>CORREA DIST. HONDA INTEGRA 125 XR 26</t>
  </si>
  <si>
    <t>CORREA DIST. HONDA INTEGRA 129 MR 24</t>
  </si>
  <si>
    <t>CORREA DIST. HY ACCENT /95 92 RU 22</t>
  </si>
  <si>
    <t>CORREA DIST. HY ELANTRA 16 VAL 111 X 25</t>
  </si>
  <si>
    <t>CORREA DIST. HY SONATA 1.8 122 X 19</t>
  </si>
  <si>
    <t>CORREA DIST. HY SONATA 1.8 122 X 24</t>
  </si>
  <si>
    <t>CORREA DIST. HY STA FE 207 HTA 32</t>
  </si>
  <si>
    <t>CORREA DIST. HY- MITS 65 XY 13</t>
  </si>
  <si>
    <t>CORREA DIST. HY-KIA 65 S8M 13</t>
  </si>
  <si>
    <t>CORREA DIST. HY-MITS 123 MR 28 DONGIL</t>
  </si>
  <si>
    <t>CORREA DIST. HY-MITS 92 MR 22</t>
  </si>
  <si>
    <t>CORREA DIST. HY. ACCENT 105 XR 22</t>
  </si>
  <si>
    <t>CORREA DIST. HY. ACCENT 123 XR 28</t>
  </si>
  <si>
    <t>CORREA DIST. HY. ACCENT PRIME 110 S8M 22</t>
  </si>
  <si>
    <t>CORREA DIST. HY. ACCENT PRIME 110 SM8 22</t>
  </si>
  <si>
    <t>CORREA DIST. HY. ATOZ 101 XY 20 KIA MORNING 1.1</t>
  </si>
  <si>
    <t>CORREA DIST. HY. ELANTR 16V. 115 SP 25.4 DAYCO</t>
  </si>
  <si>
    <t>CORREA DIST. HY. ELENTRA 151 XR 29 MITSUB.</t>
  </si>
  <si>
    <t>CORREA DIST. HY. ELENTRA 153 MR 29 MITSUB.</t>
  </si>
  <si>
    <t>CORREA DIST. HY. EXEL 92 ZA 19 MITSUB.</t>
  </si>
  <si>
    <t>CORREA DIST. HY. H-100 BENC. 123 ZBS 19</t>
  </si>
  <si>
    <t>CORREA DIST. HY. H-100 BENC. 55 BS 13</t>
  </si>
  <si>
    <t>CORREA DIST. HY. H-100 DIESEL 163 MR 25 NTB</t>
  </si>
  <si>
    <t>CORREA DIST. HY. H-100 DIESEL 83 ZBS 19</t>
  </si>
  <si>
    <t>CORREA DIST. HY. H-100 DIESEL 99 XY 19</t>
  </si>
  <si>
    <t>CORREA DIST. HY. H-100 DIESEL162 XR 25 MITSUB.</t>
  </si>
  <si>
    <t>CORREA DIST. HY. SONATA 122 ZBS 19 MITSUB.</t>
  </si>
  <si>
    <t>CORREA DIST. HY.163 ZBS 25 ANTIGUO</t>
  </si>
  <si>
    <t>CORREA DIST. HYUNDAI 104 X 16</t>
  </si>
  <si>
    <t>CORREA DIST. HYUNDAI 111 XR 25</t>
  </si>
  <si>
    <t>UNISOL</t>
  </si>
  <si>
    <t>CORREA DIST. HYUNDAI 207 SHP 32</t>
  </si>
  <si>
    <t>CORREA DIST. HYUNDAI 99 MY 19</t>
  </si>
  <si>
    <t>CORREA DIST. ISUZO 125 ZBS 20</t>
  </si>
  <si>
    <t>CORREA DIST. ISUZU 137 S8M 25</t>
  </si>
  <si>
    <t>CORREA DIST. ISUZU 3.2 218 S8M 32</t>
  </si>
  <si>
    <t>CORREA DIST. ISUZU NKR 119 ZBS 32</t>
  </si>
  <si>
    <t>CORREA DIST. KIA CARENS 154 XY 22</t>
  </si>
  <si>
    <t>CORREA DIST. KIA CARNIVAL 2.5 22 SHP 59</t>
  </si>
  <si>
    <t>CORREA DIST. KIA CARNIVAL 2.5 59 MR 22</t>
  </si>
  <si>
    <t>CORREA DIST. KIA CLARUS 168 XY 25 MITSUB.</t>
  </si>
  <si>
    <t>CORREA DIST. KIA MZ. 107 XY 22</t>
  </si>
  <si>
    <t>CORREA DIST. KIA OPTIMA 173 S8M 29</t>
  </si>
  <si>
    <t>K502075</t>
  </si>
  <si>
    <t>CORREA DIST. KIA POP/AVELLA RIO 1.3 107 YU 22</t>
  </si>
  <si>
    <t>CORREA DIST. KIA PRIDE 107 MY 22</t>
  </si>
  <si>
    <t>CORREA DIST. KIA RIO 137 S8M 22</t>
  </si>
  <si>
    <t>CORREA DIST. KIA SPORTAGE 162 S8M 25</t>
  </si>
  <si>
    <t>CORREA DIST. LANCER 1.6 16V 151 X 29</t>
  </si>
  <si>
    <t>CORREA DIST. LUV 3.2 191 X 32</t>
  </si>
  <si>
    <t>CORREA DIST. MAZDA 104 MR 30</t>
  </si>
  <si>
    <t>CORREA DIST. MAZDA 108 MR 25</t>
  </si>
  <si>
    <t>CORREA DIST. MAZDA 110 XR 25</t>
  </si>
  <si>
    <t>CORREA DIST. MAZDA 135 XY 25</t>
  </si>
  <si>
    <t>CORREA DIST. MAZDA 137 ZBS 30</t>
  </si>
  <si>
    <t>CORREA DIST. MAZDA 626 12V 104 X 25</t>
  </si>
  <si>
    <t>CORREA DIST. MAZDA FRONTEGE 1.5 125 XY 22</t>
  </si>
  <si>
    <t>QS9000</t>
  </si>
  <si>
    <t>CORREA DIST. MAZDA MPV 3.0 173 S8M 30</t>
  </si>
  <si>
    <t>CORREA DIST. MAZDA. 123 MY 22 MITSUB.</t>
  </si>
  <si>
    <t>CORREA DIST. MIT. CHARRIOT 123 XR 29 MITSUB.</t>
  </si>
  <si>
    <t>CORREA DIST. MIT. GALANT 122 MR 29</t>
  </si>
  <si>
    <t>CORREA DIST. MIT. L-200 120 ZBS 19 MITSUB.</t>
  </si>
  <si>
    <t>CORREA DIST. MIT. L-200 123 MR 19</t>
  </si>
  <si>
    <t>CORREA DIST. MIT. L-200 154 RU 25</t>
  </si>
  <si>
    <t>CORREA DIST. MIT. LANCER 111 MY 29</t>
  </si>
  <si>
    <t>CORREA DIST. MIT. LANCER 111 MY 29 MITSUB.</t>
  </si>
  <si>
    <t>CORREA DIST. MIT. LANCER 117 XY 29</t>
  </si>
  <si>
    <t>CORREA DIST. MITS GALANT V6 226 X 30</t>
  </si>
  <si>
    <t>CORREA DIST. MITS LANCER 1.6 16 VAL -RUNNER 151 X 29</t>
  </si>
  <si>
    <t>CORREA DIST. MITS MONTERO SPORT 3.5</t>
  </si>
  <si>
    <t>CORREA DIST. NISSAN 107 MY 19</t>
  </si>
  <si>
    <t>CORREA DIST. NISSAN 79 XR 19</t>
  </si>
  <si>
    <t>CORREA DIST. NISSAN 98 ZA 19</t>
  </si>
  <si>
    <t>CORREA DIST. NISSAN BLUE BIRD 2.0 143 ZBS 30</t>
  </si>
  <si>
    <t>CORREA DIST. NISSAN CA18 88791 151 S8M 19</t>
  </si>
  <si>
    <t>CORREA DIST. NISSAN CD20 DIESEL 76 ZBS 19</t>
  </si>
  <si>
    <t>CORREA DIST. NISSAN MARCH 1.0 MA10 KA10 107 X 19</t>
  </si>
  <si>
    <t>CORREA DIST. NS. BLUE BIR 69 ZA 19</t>
  </si>
  <si>
    <t>CORREA DIST. NS. PAFHINDER 133 X 25</t>
  </si>
  <si>
    <t>CORREA DIST. NS. SUNNY 106 ZA 19</t>
  </si>
  <si>
    <t>CORREA DIST. NS. SUNNY DIESEL 117 ZBS 25</t>
  </si>
  <si>
    <t>CORREA DIST. NS. SUNNY DIESEL 76 ZBS 19</t>
  </si>
  <si>
    <t>CORREA DIST. OPEL COMBO 1.7</t>
  </si>
  <si>
    <t>CORREA DIST. OPEL CORSA 1.6 C16NZ SOHC 169 S8M 20</t>
  </si>
  <si>
    <t>CORREA DIST. PEUGEOT BOXER 2.2 143 X 25</t>
  </si>
  <si>
    <t>CORREA DIST. PEUGEOT BOXER 2.5 DIESEL 141 X 28</t>
  </si>
  <si>
    <t>CORREA DIST. PEUGEOT DIESEL 136 X 25</t>
  </si>
  <si>
    <t>CORREA DIST. PEUGEOT DIESEL 141 S8M 25</t>
  </si>
  <si>
    <t>DAYCO</t>
  </si>
  <si>
    <t>CORREA DIST. PEUGEOT DIESEL 141 X 25</t>
  </si>
  <si>
    <t>CORREA DIST. PEUGOT 104 MR 17</t>
  </si>
  <si>
    <t>CORREA DIST. PEUGOT 114 MR 17</t>
  </si>
  <si>
    <t>CORREA DIST. PEUGOT 140 X 25</t>
  </si>
  <si>
    <t>CORREA DIST. REANUL 127 X19</t>
  </si>
  <si>
    <t>CORREA DIST. REANUL 137 X 25</t>
  </si>
  <si>
    <t>CORREA DIST. RENAUL TRAFI 148 X 1</t>
  </si>
  <si>
    <t>CORREA DIST. RENAULT 116 ZA 19</t>
  </si>
  <si>
    <t>CORREA DIST. RENAULT 132 X 27 CLIO MEGA PLATINA 1.6</t>
  </si>
  <si>
    <t>CORREA DIST. RENAULT 137 X 25</t>
  </si>
  <si>
    <t>CORREA DIST. RENAULT 19 ECLAIRE DIESEL 153 X 31</t>
  </si>
  <si>
    <t>CORREA DIST. SANTAMO/SONATA 2.0 122 MR 19</t>
  </si>
  <si>
    <t>CORREA DIST. SPARK TICO DAMAS 107 MY 25</t>
  </si>
  <si>
    <t>CORREA DIST. SUBARU 119 FS 9.525M</t>
  </si>
  <si>
    <t>CORREA DIST. SUBARU 211 XY 30</t>
  </si>
  <si>
    <t>CORREA DIST. SUBARU 223 YU 26</t>
  </si>
  <si>
    <t>CORREA DIST. SUBARU 85 ZA 19</t>
  </si>
  <si>
    <t>CORREA DIST. SUBARU 98 FS9.525M19</t>
  </si>
  <si>
    <t>CORREA DIST. SUBARU LEGACY DORCO</t>
  </si>
  <si>
    <t>CORREA DIST. SUBARU LOYALE LEONE 98 X 19</t>
  </si>
  <si>
    <t>CORREA DIST. SUZUKI 106 MY 25 ALTO</t>
  </si>
  <si>
    <t>CORREA DIST. SUZUKI 119 MR 19</t>
  </si>
  <si>
    <t>CORREA DIST. SUZUKI 119 MR25</t>
  </si>
  <si>
    <t>CORREA DIST. SUZUKI 83 ZA 19</t>
  </si>
  <si>
    <t>CORREA DIST. SUZUKI 84 ZA 19.</t>
  </si>
  <si>
    <t>CORREA DIST. SUZUKI 88 ZA 19 MITS.</t>
  </si>
  <si>
    <t>CORREA DIST. SUZUKI 89 MR 19 JUSTY</t>
  </si>
  <si>
    <t>CORREA DIST. SUZUKI 89 MR 25.</t>
  </si>
  <si>
    <t>CORREA DIST. SUZUKI 89 XR 25</t>
  </si>
  <si>
    <t>CORREA DIST. SUZUKI 95 XR 19</t>
  </si>
  <si>
    <t>CORREA DIST. SUZUKI 97 MR 25</t>
  </si>
  <si>
    <t>CORREA DIST. SUZUKI 97 XR 25</t>
  </si>
  <si>
    <t>CORREA DIST. SUZUKI FORZA 1.3 119 X 19</t>
  </si>
  <si>
    <t>CORREA DIST. SUZUKI SWIFT 1.3 89 X 19</t>
  </si>
  <si>
    <t>CORREA DIST. SZ SWIFT / CHEV SPRINT</t>
  </si>
  <si>
    <t>CORREA DIST. TOYOTA 121 MY 24</t>
  </si>
  <si>
    <t>CORREA DIST. TOYOTA 129 MR 32</t>
  </si>
  <si>
    <t>CORREA DIST. TOYOTA 163 S8M 27</t>
  </si>
  <si>
    <t>CORREA DIST. TOYOTA 2.2 2.4</t>
  </si>
  <si>
    <t>CORREA DIST. TOYOTA DIESEL 129 ZA 25</t>
  </si>
  <si>
    <t>CORREA DIST. TY COROLLA 1.6 94 ZA 19</t>
  </si>
  <si>
    <t>CORREA DIST. TY. 129 MR 29</t>
  </si>
  <si>
    <t>CORREA DIST. TY. HILUX 97 MR 25</t>
  </si>
  <si>
    <t>CORREA DIST. TY. TERCEL 121 MY 21</t>
  </si>
  <si>
    <t>CORREA DIST. TY. TERCEL 2E 123 MY 24</t>
  </si>
  <si>
    <t>CORREA DIST. TY. TERCEL 3E 127 MY 24</t>
  </si>
  <si>
    <t>CORREA DIST. TY. TERCEL 5E 128 MY 26</t>
  </si>
  <si>
    <t>CORREA DIST. TY. TERCEL 5E128 MY 26</t>
  </si>
  <si>
    <t>UNICORN</t>
  </si>
  <si>
    <t>CORREA DIST. UNIVERSAL 107 YU 22 UNICORD</t>
  </si>
  <si>
    <t>JASON</t>
  </si>
  <si>
    <t>CORREA DIST. UNIVERSAL 111 X 20 JASON</t>
  </si>
  <si>
    <t>YEAR</t>
  </si>
  <si>
    <t>CORREA DIST. UNIVERSAL 111 X 20 YEAR</t>
  </si>
  <si>
    <t>SUMI</t>
  </si>
  <si>
    <t>CORREA DIST. UNIVERSAL 125 ZA 19 SUMITOMO</t>
  </si>
  <si>
    <t>CORREA DIST. V-16 102 ZA19. 1.3</t>
  </si>
  <si>
    <t>CORREA DIST. VOLKSWAGEN 121 ZA 19 BANDO</t>
  </si>
  <si>
    <t>CORREA DIST. VOLSW 119 XY 25</t>
  </si>
  <si>
    <t>CORREA DIST. VOLSW 138 X 23</t>
  </si>
  <si>
    <t>CORREA DIST. VOLSWAGENS 121 X 18 DAYCO</t>
  </si>
  <si>
    <t>CORREA DIST.CHEV CRUZE SONIC 146</t>
  </si>
  <si>
    <t>CORREA DIST.HONDA CIVIC 1.3 1.5 101 MR 24</t>
  </si>
  <si>
    <t>CORREA DIST.TY TERCEL 127 MY 24</t>
  </si>
  <si>
    <t>CORREA DISTR HY. MIT 113XR25</t>
  </si>
  <si>
    <t>CORREA DISTR. CHEV. 149 X 20 S-10 DAYCO</t>
  </si>
  <si>
    <t>CORREA DISTR. DH. CHARADE 90 ZA 19</t>
  </si>
  <si>
    <t>CORREA DISTR. FORD RANGER 129 MR 22</t>
  </si>
  <si>
    <t>CORREA DISTR. HONDA 106XR24 CIVIC D13B D15B</t>
  </si>
  <si>
    <t>CORREA DISTR. HY. H100 163 XR 25</t>
  </si>
  <si>
    <t>CORREA DISTR. MAZDA 104 XR 25 MITSUBOSHI</t>
  </si>
  <si>
    <t>CORREA DISTR. MITS L200 KATANA 154 XR 25</t>
  </si>
  <si>
    <t>CORREA DISTR. MZ 109MR19</t>
  </si>
  <si>
    <t>CORREA DISTR. NISSAN 149 ZBS 30</t>
  </si>
  <si>
    <t>CORREA DISTR. NS. TERRANO 3.0 V6 133XR25</t>
  </si>
  <si>
    <t>CORREA DISTR. TY. HILUX 97 MR 25</t>
  </si>
  <si>
    <t>CORREA PK 897 HY. ACCENT</t>
  </si>
  <si>
    <t>CORREA SUZUKI CELERIO</t>
  </si>
  <si>
    <t>A-61</t>
  </si>
  <si>
    <t>CORREA VENTILADOR A 61</t>
  </si>
  <si>
    <t>CORREA DISTR. 107 MY 21 UNIVERSAL</t>
  </si>
  <si>
    <t>CORREA DISTR. 123 XR 19 MIT. L200 2.4</t>
  </si>
  <si>
    <t>CORREA DISTR. C. DIST. CHERY IQ 1.1 107 DIENTES. UBIC 1-1-5</t>
  </si>
  <si>
    <t>CORREA DISTR. C. DISTR . 92X22 HY ACCENT CONTINENTAL. UBIC 1-5-3</t>
  </si>
  <si>
    <t>CORREA DISTR. C. DISTR. / CHARADE 850 91 ZA 19. STP UBIC: 1-4-3</t>
  </si>
  <si>
    <t>CORREA DISTR. C. DISTR. DAIHATSU 90 ZA19 UBIC: 1-1-1</t>
  </si>
  <si>
    <t>CORREA DISTR. CHE. S-10 2.4 149 D. GATES .. UBIC: 1-2-3</t>
  </si>
  <si>
    <t>CORREA DISTR. CHEV LUV 2.3 115 ZA 19 UBIC: 1-0-2</t>
  </si>
  <si>
    <t>CORREA DISTR. CHEV. AVEO 127 25.4</t>
  </si>
  <si>
    <t>CORREA DISTR. CHEV. CORSA 111 X 17 DAEWOO UBIC 1-2-4</t>
  </si>
  <si>
    <t>CORREA DISTR. CHEV. CRUZE 146X24 STP. UBIC: 1-4-5</t>
  </si>
  <si>
    <t>CORREA DISTR. CHEV. LUV 2.3 115 x 19 CONTINENTAL</t>
  </si>
  <si>
    <t>CORREA DISTR. CHEV. LUV 2.3 115 ZA 19 GATES UBI- 1-0-4</t>
  </si>
  <si>
    <t>CORREA DISTR. CHEV. LUV 2.3 115 ZA 19 SUN JP.</t>
  </si>
  <si>
    <t>CORREA DISTR. CHEV. SPARK 1.0 109X25</t>
  </si>
  <si>
    <t>CORREA DISTR. CHEVR. 146 S8M 20</t>
  </si>
  <si>
    <t>CORREA DISTR. FIAT 121 ZA 17</t>
  </si>
  <si>
    <t>CORREA DISTR. FIAT PALIO 124 X 22</t>
  </si>
  <si>
    <t>CORREA DISTR. FORD RANGER 2.3 2.5 131 MR 22</t>
  </si>
  <si>
    <t>CORREA DISTR. GREAT WALL L200 2.4 124 XR 29</t>
  </si>
  <si>
    <t>CORREA DISTR. HY 65 X 12.7</t>
  </si>
  <si>
    <t>CORREA DISTR. HY. ACCENT 1.5 110X22</t>
  </si>
  <si>
    <t>H103535</t>
  </si>
  <si>
    <t>CORREA DISTR. HY. H100 2.5</t>
  </si>
  <si>
    <t>CORREA DISTR. HY. H100 2.5 99 XY 19 CONTINENTAL</t>
  </si>
  <si>
    <t>CORREA DISTR. HY. H100 2.5 163 X 25 CONTINENTAL UBIC: 1-2-5</t>
  </si>
  <si>
    <t>H103545</t>
  </si>
  <si>
    <t>CORREA DISTR. HYUN. H-100 2.5</t>
  </si>
  <si>
    <t>CORREA DISTR. HYUNDAI 92 ZBS 19</t>
  </si>
  <si>
    <t>CORREA DISTR. HYUNDAI 105 X 22 CONTINENTAL</t>
  </si>
  <si>
    <t>H403685</t>
  </si>
  <si>
    <t>H403685 9943353</t>
  </si>
  <si>
    <t>CORREA DISTR. HYUNDAI ACCENT 105 XR 22 STP. UBIC: 1-5-3</t>
  </si>
  <si>
    <t>CORREA DISTR. HYUNDAI MITS. 92 XR 22</t>
  </si>
  <si>
    <t>CORREA DISTR. ISUZU GEMINI 136 ZA 25</t>
  </si>
  <si>
    <t>CORREA DISTR. ISUZU TROPPER 223 S8M</t>
  </si>
  <si>
    <t>CORREA DISTR. LUV 2.2 148 S8M 20 STP. UBIC: 1-0-6</t>
  </si>
  <si>
    <t>CORREA DISTR. MAZDA 110MR 25 MITSUBOSHI. UBIC: 1-4-4</t>
  </si>
  <si>
    <t>CORREA DISTR. MAZDA 135 MY 25</t>
  </si>
  <si>
    <t>CORREA DISTR. MITS. L200 154 RU 25 SUN</t>
  </si>
  <si>
    <t>CORREA DISTR. MITS. L200 2.8 124 MR 29 DORCO</t>
  </si>
  <si>
    <t>CORREA DISTR. MITS. L200 2.5. 124 X 25 DONGIL. UBIC: 1-6-4</t>
  </si>
  <si>
    <t>CORREA DISTR. MITSUBISHI 2.5 86X19</t>
  </si>
  <si>
    <t>CORREA DISTR. NISSAN - HONDA 95 ZA 19</t>
  </si>
  <si>
    <t>CORREA DISTR. NS. PLATINA 132 MR 27</t>
  </si>
  <si>
    <t>CORREA DISTR. NS. V16 106 ZA 19 CONTINENTAL</t>
  </si>
  <si>
    <t>CORREA DISTR. NS. V16 E16 106D UBIC 1-2-1</t>
  </si>
  <si>
    <t>CORREA DISTR. POP AVELLA RIO 1.3 107 XY 22</t>
  </si>
  <si>
    <t>CORR103</t>
  </si>
  <si>
    <t>CORREA DISTR. RANGER. BT50. 103X26. UBIC: 1-6-2 . STP</t>
  </si>
  <si>
    <t>CORREA DISTR. SUBARU 223 MY 26</t>
  </si>
  <si>
    <t>CORREA DISTR. SUBARU 281 XY 30</t>
  </si>
  <si>
    <t>CORREA DISTR. SUZUKI 1.9 136 MR 25</t>
  </si>
  <si>
    <t>CORREA DISTR. SUZUKI 103 MR 25</t>
  </si>
  <si>
    <t>CORREA DISTR. SUZUKI 89 ZA 19</t>
  </si>
  <si>
    <t>CORREA DISTR. SUZUKI 89XR 19</t>
  </si>
  <si>
    <t>CORREA DISTR. SUZUKI 95 DI. CONTINENTAL. UBIC: 1-5-1</t>
  </si>
  <si>
    <t>CORREA DISTR. SUZUKI ALTO 106 X 25</t>
  </si>
  <si>
    <t>CORREA DISTR. SUZUKI BALENO 103 X 25 STP</t>
  </si>
  <si>
    <t>CORREA DISTR. SUZUKI MARUTI 88 X 19</t>
  </si>
  <si>
    <t>CORREA DISTR. SZ. 103 MR 25 16V.</t>
  </si>
  <si>
    <t>CORREA DISTR. SZ. 103 MR 25</t>
  </si>
  <si>
    <t>CORREA DISTR. TOYOTA 117 MY 21</t>
  </si>
  <si>
    <t>CORREA DISTR. TOYOTA 177 MY 25</t>
  </si>
  <si>
    <t>CORREA DISTR. TOYOTA HILUX</t>
  </si>
  <si>
    <t>CORREA DISTR. TY. HILUX L</t>
  </si>
  <si>
    <t>CORREA DISTR. TY. TERCEL 3E 127 MY 24 STP</t>
  </si>
  <si>
    <t>CORREA DISTR. TY. TERCEL 5E 128 X 26</t>
  </si>
  <si>
    <t>W-MAXCORTA</t>
  </si>
  <si>
    <t>CORTACARTON9</t>
  </si>
  <si>
    <t>CORTA CARTON 9mm W-MAX</t>
  </si>
  <si>
    <t>AIPS060046</t>
  </si>
  <si>
    <t>CORTA CORRIENTE UNIVERSAL 12V.</t>
  </si>
  <si>
    <t>CORTA HUMO 350CC. MOLYKOTE</t>
  </si>
  <si>
    <t>CORTA HUMO LIQUI MOLY 300 ML.</t>
  </si>
  <si>
    <t>CREMALLERA ALZA VIDR. NS. D22 IZQ. MEC.</t>
  </si>
  <si>
    <t>CREMALLERA ALZA VIDRIO CHEV. LUV IZQ.</t>
  </si>
  <si>
    <t>CREMALLERA ALZA VIDRIO CHEV. SAIL 1.4 DER.</t>
  </si>
  <si>
    <t>CREMALLERA ALZA VIDRIO CHEV. SAIL 1.4 IZQ. ELECTR.</t>
  </si>
  <si>
    <t>CREMALLERA ALZA VIDRIO DER. SUZUKI ST-90</t>
  </si>
  <si>
    <t>CREMALLERA ALZA VIDRIO IZQ. CHEV LUV 89/</t>
  </si>
  <si>
    <t>CREMALLERA DEL. IZQ. CHEV AVEO</t>
  </si>
  <si>
    <t>SPCH159023</t>
  </si>
  <si>
    <t>CREMALLERA DIR. CHEV. SAIL. 1.5 16/</t>
  </si>
  <si>
    <t>CREMALLERA DIR. CHEV. SPARK 1.0</t>
  </si>
  <si>
    <t>CREMALLERA DIR. HIDR. NS. V16</t>
  </si>
  <si>
    <t>cremh1</t>
  </si>
  <si>
    <t>CREMH1</t>
  </si>
  <si>
    <t>CREMALLERA DIR. HY. H1</t>
  </si>
  <si>
    <t>CREMALLERA DIR. NS. TIIDA</t>
  </si>
  <si>
    <t>CREMALLERA DIR. NS. V16 HIDRAULICA</t>
  </si>
  <si>
    <t>SPCH159003 0023438</t>
  </si>
  <si>
    <t>CREMALLERA DIRECCION CHEV. SAIL 1.4 HIDRAULICA</t>
  </si>
  <si>
    <t>CREMALLERA DIRECCION HY. TUCSON G4NA 16/18</t>
  </si>
  <si>
    <t>CREMMB1</t>
  </si>
  <si>
    <t>CREMM</t>
  </si>
  <si>
    <t>CREMALLERA DIRECCION MB. VITO</t>
  </si>
  <si>
    <t>SPMT079013</t>
  </si>
  <si>
    <t>CREMALLERA DIRECCIÓN MITS. L200 2007/</t>
  </si>
  <si>
    <t>SPDT459003</t>
  </si>
  <si>
    <t>SPDR459003</t>
  </si>
  <si>
    <t>CREMALLERA DIRECCION NS. TIIDA</t>
  </si>
  <si>
    <t>cremsz</t>
  </si>
  <si>
    <t>CREMSZ</t>
  </si>
  <si>
    <t>CREMALLERA DIRECCION SZ. GRAN NOMADE</t>
  </si>
  <si>
    <t>cremallera-navara</t>
  </si>
  <si>
    <t>CREMALLERA DIRECC. NAVARA</t>
  </si>
  <si>
    <t>CRUCETA 16,05X40 ST-1640 HY. DIRECCION</t>
  </si>
  <si>
    <t>CRUCETA 20.01X59 GUS-2 SUZUKI</t>
  </si>
  <si>
    <t>CRUCETA 20.06X52,8 GUN-45 150Y</t>
  </si>
  <si>
    <t>CRUCETA 20X57 TY COROLLA GUT-11</t>
  </si>
  <si>
    <t>CRUCETA 20X59 SUZUKI GUS-2</t>
  </si>
  <si>
    <t>CRUCETA 20X60 GUS-6</t>
  </si>
  <si>
    <t>CRUCETA 22X54 SUZUKI GUA-3</t>
  </si>
  <si>
    <t>CRUCETA 23.82X61.3 GU-500</t>
  </si>
  <si>
    <t>CRUCETA 25X63.8 GUM 81</t>
  </si>
  <si>
    <t>CRUCETA 25X63.8 GUS - 7</t>
  </si>
  <si>
    <t>CRUCETA 25X65 GUN 27</t>
  </si>
  <si>
    <t>CRUCETA 25X65 GUN-27</t>
  </si>
  <si>
    <t>CRUCETA 25X66. GUS-1</t>
  </si>
  <si>
    <t>CRUCETA 25X76.8 GUM 91 L200</t>
  </si>
  <si>
    <t>CRUCETA 25X76.80 GUM-88 L200 GMB</t>
  </si>
  <si>
    <t>CRUCETA 25X80 SUZUKI CARRI GUS.1</t>
  </si>
  <si>
    <t>CRUCETA 26.50X72 GUMZ-9 KIA</t>
  </si>
  <si>
    <t>CRUCETA 26.9X92,1 GUT.26. TOYOTA</t>
  </si>
  <si>
    <t>CRUCETA 26X67 GUT-13</t>
  </si>
  <si>
    <t>CRUCETA 26X72 GUMZ 9</t>
  </si>
  <si>
    <t>CRUCETA 26X80 GUT-12</t>
  </si>
  <si>
    <t>CRUCETA 27X62 GU-1210</t>
  </si>
  <si>
    <t>CRUCETA 27X62 GU-1210 CHEV. OPALA</t>
  </si>
  <si>
    <t>CRUCETA 27X75 GUN 50 NAVARA</t>
  </si>
  <si>
    <t>CRUCETA 27X75 GUN-46 D21</t>
  </si>
  <si>
    <t>CRUCETA 27X75 GUN-46 D21 GMB</t>
  </si>
  <si>
    <t>CRUCETA 27X81,75 GU-1000</t>
  </si>
  <si>
    <t>CRUCETA 27X81.75 GU-1000 GMB</t>
  </si>
  <si>
    <t>CRUCETA 27X82 GUN 52 NAVARA</t>
  </si>
  <si>
    <t>CRUCETA 27X82.00 GUK-12 HYUNDAI</t>
  </si>
  <si>
    <t>CRUCETA 27X83 G5 - 135</t>
  </si>
  <si>
    <t>CRUCETA 27X83 G5-153</t>
  </si>
  <si>
    <t>CRUCETA 27X83 G5-153 FORD UBIC. 8-5-2</t>
  </si>
  <si>
    <t>CRUCETA 27X92 GUMZ-16</t>
  </si>
  <si>
    <t>CRUCETA 27X93 G5-213 CHEV.</t>
  </si>
  <si>
    <t>CRUCETA 28.6X91.9 GS-3105 SEG. INT. CHEVR.</t>
  </si>
  <si>
    <t>CRUCETA 28.75X80 GUT-27 TY 2RZ</t>
  </si>
  <si>
    <t>CRUCETA 28X79.5 GUN 29</t>
  </si>
  <si>
    <t>CRUCETA 28X79.5 GUN 29 NISSAN SEG. INT.</t>
  </si>
  <si>
    <t>CRUCETA 28X80 MAZDA GUMZ-6</t>
  </si>
  <si>
    <t>CRUCETA 29X49 GUT-23</t>
  </si>
  <si>
    <t>CRUCETA 29X49 TOYOTA GUT-17</t>
  </si>
  <si>
    <t>CRUCETA 29X78 CHEV LUV 3.2 GUIS-71</t>
  </si>
  <si>
    <t>CRUCETA 29X78 GUT -21</t>
  </si>
  <si>
    <t>CRUCETA 29X78 GUT-21SEG. INT.</t>
  </si>
  <si>
    <t>CRUCETA 29X79 TY HILUX GUT-23</t>
  </si>
  <si>
    <t>CRUCETA 29X95 GUIS 74</t>
  </si>
  <si>
    <t>CRUCETA 30 X 92.5 GU 2200</t>
  </si>
  <si>
    <t>CRUCETA 30.18X106 GU-2000 FORD</t>
  </si>
  <si>
    <t>CRUCETA 30.18X106.3 GU 2000</t>
  </si>
  <si>
    <t>CRUCETA 30X71.1 GUM 99 L200 TRAS.</t>
  </si>
  <si>
    <t>CRUCETA 30X84 GUM 93 GMB</t>
  </si>
  <si>
    <t>CRUCETA 30X93 G5-178X</t>
  </si>
  <si>
    <t>CRUCETA 30X94 GUM-93 MIT MONTERO</t>
  </si>
  <si>
    <t>CRUCETA 31.75 X102 MITS. GMB</t>
  </si>
  <si>
    <t>CRUCETA 32.X92.00 GUT-20 TY. DYNA GMB</t>
  </si>
  <si>
    <t>CRUCETA 35X107 HYUNDAI</t>
  </si>
  <si>
    <t>CRUCETA 35X99X106 HYUNDAI KOYO</t>
  </si>
  <si>
    <t>CRUCETA 433 27X92 FORD RANGER</t>
  </si>
  <si>
    <t>CRUCETA 534G 27X82</t>
  </si>
  <si>
    <t>CRUCETA CHEVROLET GU-500 23.82X61.30</t>
  </si>
  <si>
    <t>CRUCETA CHV LUV 2.3 GUT-21 29X78</t>
  </si>
  <si>
    <t>CRUCETA FORD G5-3105X 28.5X92</t>
  </si>
  <si>
    <t>G5-1200X</t>
  </si>
  <si>
    <t>CRUCETA G5-1200X 27X82 NISSAN</t>
  </si>
  <si>
    <t>CRUCETA G5-170 23.8X59</t>
  </si>
  <si>
    <t>CRUCETA G5-170X 23.8X59 UNIVERSAL</t>
  </si>
  <si>
    <t>CRUCETA G5-297 30 X 82 FMX</t>
  </si>
  <si>
    <t>GU-2200</t>
  </si>
  <si>
    <t>CRUCETA GU 2200 30X92</t>
  </si>
  <si>
    <t>CRUCETA GU 500 23.87X61.3</t>
  </si>
  <si>
    <t>CRUCETA GU 7280 28X77 JP.</t>
  </si>
  <si>
    <t>CRUCETA GU-1000 27X81.75 STP</t>
  </si>
  <si>
    <t>CRUCETA GU-1100 27X74 UNIVERSAL</t>
  </si>
  <si>
    <t>CRUCETA GU-2500 31X50</t>
  </si>
  <si>
    <t>GU-7300</t>
  </si>
  <si>
    <t>CRUCETA GU-7300</t>
  </si>
  <si>
    <t>CRUCETA GUD 81 20.02X54.8 DAHIATSU</t>
  </si>
  <si>
    <t>CRUCETA GUIS 66</t>
  </si>
  <si>
    <t>CRUCETA GUIS-70 29X79</t>
  </si>
  <si>
    <t>CRUCETA GUK 12 HYUNDAI 27X82</t>
  </si>
  <si>
    <t>CRUCETA GUM 81 25X63.8 FMX</t>
  </si>
  <si>
    <t>CRUCETA GUM 88 25 X 76.8</t>
  </si>
  <si>
    <t>CRUCETA GUM 91 25 X 76.8</t>
  </si>
  <si>
    <t>CRUCETA GUM 99 30X103</t>
  </si>
  <si>
    <t>GUM-79</t>
  </si>
  <si>
    <t>CRUCETA GUM-81 SZ CARRY / MITS.</t>
  </si>
  <si>
    <t>GUM-91</t>
  </si>
  <si>
    <t>GUM 91</t>
  </si>
  <si>
    <t>CRUCETA GUM-91 25X76.8 MITSUBISHI</t>
  </si>
  <si>
    <t>CRUCETA GUMZ 7 25 X 64</t>
  </si>
  <si>
    <t>GUMZ-10</t>
  </si>
  <si>
    <t>CRUCETA GUMZ-10 MAZDZA 22.5X37.9</t>
  </si>
  <si>
    <t>CRUCETA GUMZ-16 27X92 NS. NP300</t>
  </si>
  <si>
    <t>CRUCETA GUN 46 27X 73 NISSAN</t>
  </si>
  <si>
    <t>CRUCETA GUN 46 27X75</t>
  </si>
  <si>
    <t>GUN46</t>
  </si>
  <si>
    <t>CRUCETA GUN 48 27X81.8</t>
  </si>
  <si>
    <t>GMB</t>
  </si>
  <si>
    <t>GMBGUN26</t>
  </si>
  <si>
    <t>CRUCETA GUN-26 23.8X61.3</t>
  </si>
  <si>
    <t>CRUCETA GUN-46 27X73 NS D21</t>
  </si>
  <si>
    <t>CRUCETA GUS 7 25 X 63.8</t>
  </si>
  <si>
    <t>CRUCETA GUT 12 26 X 80</t>
  </si>
  <si>
    <t>l100040 020280025</t>
  </si>
  <si>
    <t>CRUCETA GUT 21 29X78</t>
  </si>
  <si>
    <t>CRUCETA GUT-11 20X57</t>
  </si>
  <si>
    <t>GUT-12</t>
  </si>
  <si>
    <t>CRUCETA GUT-12</t>
  </si>
  <si>
    <t>GUT 21</t>
  </si>
  <si>
    <t>CRUCETA GUT-21</t>
  </si>
  <si>
    <t>CRUCETA GUT-23 29 X 52</t>
  </si>
  <si>
    <t>GUT 29</t>
  </si>
  <si>
    <t>CRUCETA GUT-29 27X92 TY. KUN</t>
  </si>
  <si>
    <t>CRUCETA MAZDA B2200 GUMZ-12</t>
  </si>
  <si>
    <t>CRUCETA ST-1640 16X40 CARDAN DIRECC. HY. UBIC. 8-6-5</t>
  </si>
  <si>
    <t>CRUCETA TOYOTA GUT-11 20X57</t>
  </si>
  <si>
    <t>o6b14b-m</t>
  </si>
  <si>
    <t>cubre volante amarillo negro</t>
  </si>
  <si>
    <t>cubre volante GRIS</t>
  </si>
  <si>
    <t>CUERPO ACELERACION C/TPS CHEV. SAIL 1.4</t>
  </si>
  <si>
    <t>CUERPO MARIPOSA CHEV SAIL 1.5</t>
  </si>
  <si>
    <t>CULATA CHEV. CORSA 1.6 8V.</t>
  </si>
  <si>
    <t>CULATA CHEV. CORSA 1.6 8VAL.</t>
  </si>
  <si>
    <t>CULATA CHEV. LUV 2.2 2.4</t>
  </si>
  <si>
    <t>CULATA CHEV. LUV 2.3</t>
  </si>
  <si>
    <t>CULATA CHEV. LUV 2.3 ALSACIA</t>
  </si>
  <si>
    <t>CULATA CHEV. LUV 2.3 COMPLETA</t>
  </si>
  <si>
    <t>CULATA CHEVR. LUV 2.3</t>
  </si>
  <si>
    <t>CULMOT</t>
  </si>
  <si>
    <t>CULATA DE MOTOR</t>
  </si>
  <si>
    <t>CULATA FORD RANGER 2.5 BT50 WL 16/12</t>
  </si>
  <si>
    <t>CULATA HY. H1 2.5 VALV. SALIENTE</t>
  </si>
  <si>
    <t>CULATA HY. H100 L200</t>
  </si>
  <si>
    <t>CULATA MAXUS T60 2.8 17/22 COMPLETA</t>
  </si>
  <si>
    <t>CULATA MIT. L200 2.5 DAKAR 4D56T 07/13 SOLA</t>
  </si>
  <si>
    <t>CULATA MITS. L200 2.5 16V. 4D56 06/15</t>
  </si>
  <si>
    <t>CULATA NISSAN TERRANO 2.5</t>
  </si>
  <si>
    <t>CULATA NS. D22 KA24DE BENC. TERRANO</t>
  </si>
  <si>
    <t>CULATA NS. NAVARA 2.5 14/ 16 VALV.</t>
  </si>
  <si>
    <t>CULTERRANO25</t>
  </si>
  <si>
    <t>CULATA NS. TERRANO 2.5</t>
  </si>
  <si>
    <t>CULATA NS. TERRANO 2.5 02/10 COMPLETA</t>
  </si>
  <si>
    <t>CULATA NS. TERRANO 2.5 YD25 COMPLETA</t>
  </si>
  <si>
    <t>Z100608</t>
  </si>
  <si>
    <t>CULATA SUZUKI 1.6 16V.</t>
  </si>
  <si>
    <t>CULATIN CORSA DW RACER</t>
  </si>
  <si>
    <t>DADO 1/2 11MM</t>
  </si>
  <si>
    <t>DADO 1/2 13MM</t>
  </si>
  <si>
    <t>DADO 1/2 15MM</t>
  </si>
  <si>
    <t>DADO 1/2 16MM</t>
  </si>
  <si>
    <t>DADO 13MM</t>
  </si>
  <si>
    <t>DADO 19MM</t>
  </si>
  <si>
    <t>DADO 5/8</t>
  </si>
  <si>
    <t>DENNIS</t>
  </si>
  <si>
    <t>DENNIS .</t>
  </si>
  <si>
    <t>DEP. AGUA RADIADOR I10 08/13</t>
  </si>
  <si>
    <t>H480038</t>
  </si>
  <si>
    <t>DEP. AUX. HY. NEW ACCENT 06/</t>
  </si>
  <si>
    <t>DEP. L/ PARABRISA CHEV SAIL 1.4</t>
  </si>
  <si>
    <t>DEP. L/ PARABRISA KIA RIO / HY ACCENT</t>
  </si>
  <si>
    <t>H480250</t>
  </si>
  <si>
    <t>DEP. L/ PARABRISA NEW ACCENT 06/10</t>
  </si>
  <si>
    <t>DEP. L/ PARABRISA NS TERRANO</t>
  </si>
  <si>
    <t>DEP. L/ PARABRISA NS TIIDA</t>
  </si>
  <si>
    <t>DEP. L/ PARABRISA TY YARIS 07/11</t>
  </si>
  <si>
    <t>DEP. L/PARABRISA NS. V16</t>
  </si>
  <si>
    <t>DEPOSITO-LIMP.-VERNA</t>
  </si>
  <si>
    <t>DEPOS. LIMPI. PARACR. VERNA</t>
  </si>
  <si>
    <t>DEPOSITO AUX. RAD. CHEV. AVEO 1.4</t>
  </si>
  <si>
    <t>DEPOSITO AUX. RAD. CHEV.OPTRA</t>
  </si>
  <si>
    <t>DEPOSITO AUX. RAD. CHV SAIL 1.4</t>
  </si>
  <si>
    <t>DEPOSITO DIR. HIDR. SAIL 1.5</t>
  </si>
  <si>
    <t>DEPOSITO HIDRAULICO CHEV. SAIL</t>
  </si>
  <si>
    <t>DEPOSITO L/PARABRISA HY. ACCENT RB 11/</t>
  </si>
  <si>
    <t>DEPOSITO LIMP. PARABR. NEW YARIS</t>
  </si>
  <si>
    <t>DEPOSITO LIMPIA PARABRISA NEW YARIS</t>
  </si>
  <si>
    <t>DEPL200</t>
  </si>
  <si>
    <t>DEPOSITO MIT. L200 DAKAR IZQ.</t>
  </si>
  <si>
    <t>DRAD</t>
  </si>
  <si>
    <t>DEPOSITO RADIADOR</t>
  </si>
  <si>
    <t>DEPOSITO RADIADOR AUX. CHEV. AVEO 04/</t>
  </si>
  <si>
    <t>JCDT233310</t>
  </si>
  <si>
    <t>DEPOSITO RADIADOR NS. V16 ORIGINAL</t>
  </si>
  <si>
    <t>DEPOSITO AUX. RAD. CHEV CRUZE 1.8 ORLANDO</t>
  </si>
  <si>
    <t>DEPOSITO AUX. RAD. CHEV. SPARK 800 1.0</t>
  </si>
  <si>
    <t>DEPOSITO AUX. RAD. V16</t>
  </si>
  <si>
    <t>TP75</t>
  </si>
  <si>
    <t>DIFERENCIA BATERIA 75AMP.</t>
  </si>
  <si>
    <t>difdis</t>
  </si>
  <si>
    <t>DIFERENCIA disco freno</t>
  </si>
  <si>
    <t>SALDOHOM</t>
  </si>
  <si>
    <t>DIFERENCIA HOMOC</t>
  </si>
  <si>
    <t>DIFKIT</t>
  </si>
  <si>
    <t>DIFERENCIA KIT EMBRAGUE AEREO</t>
  </si>
  <si>
    <t>DIFERENCIA-REPUESTOS</t>
  </si>
  <si>
    <t>DIFERENCIA REPUESTOS</t>
  </si>
  <si>
    <t>retcor</t>
  </si>
  <si>
    <t>RETCOR</t>
  </si>
  <si>
    <t>DIFERENCIA TOYOTA COROLLA</t>
  </si>
  <si>
    <t>DILYST</t>
  </si>
  <si>
    <t>DILUYENTE SINTETICO 1 LT. VERSACHEM</t>
  </si>
  <si>
    <t>DISCO EMBRAGUE 225X23 MITS. L300</t>
  </si>
  <si>
    <t>DISCO EMBRAGUE CHANGAN BENNI</t>
  </si>
  <si>
    <t>DISCO EMBRAGUE CHERY IQ. 180 X 18</t>
  </si>
  <si>
    <t>DISCO EMBRAGUE CHERY TIGGO 2.0 225X20</t>
  </si>
  <si>
    <t>DISCO EMBRAGUE CHEV LUV D-MAX</t>
  </si>
  <si>
    <t>DISCO EMBRAGUE CHEV. AVEO 215X24.</t>
  </si>
  <si>
    <t>DISCO EMBRAGUE CHEV. C10</t>
  </si>
  <si>
    <t>DISCO EMBRAGUE CHEV. CAPTIVA 235X23 VALEO UBIC. K2-8</t>
  </si>
  <si>
    <t>DISCO EMBRAGUE CHEV. CAVALIER 215X14 VALEO UBIC. K2-13</t>
  </si>
  <si>
    <t>DISCO EMBRAGUE CHEV. CORSA 1.4. 190X14.</t>
  </si>
  <si>
    <t>DISCO EMBRAGUE CHEV. CORSA 200X14.</t>
  </si>
  <si>
    <t>DISCO EMBRAGUE CHEV. CORSA 200X14X18,7</t>
  </si>
  <si>
    <t>DISCO EMBRAGUE CHEV. CRUZE 236 X 23 VALEO</t>
  </si>
  <si>
    <t>DISCO EMBRAGUE CHEV. DMAX NS. 250X24 B. WAGNER</t>
  </si>
  <si>
    <t>DISCO EMBRAGUE CHEV. LUV 1.6 200 X 24 VALEO</t>
  </si>
  <si>
    <t>DISCO EMBRAGUE CHEV. LUV 2.2 215X24 VALEO</t>
  </si>
  <si>
    <t>DISCO EMBRAGUE CHEV. LUV 2.3 215X24</t>
  </si>
  <si>
    <t>DISCO EMBRAGUE CHEV. LUV 2.8.</t>
  </si>
  <si>
    <t>DISCO EMBRAGUE CHEV. LUV 3.2 260X24</t>
  </si>
  <si>
    <t>DISCO EMBRAGUE CHEV. LUV DMAX 240 X 24 VALEO</t>
  </si>
  <si>
    <t>DISCO EMBRAGUE CHEV. MONZA 1.8 210X24.</t>
  </si>
  <si>
    <t>DISCO EMBRAGUE CHEV. NPR</t>
  </si>
  <si>
    <t>DISCO EMBRAGUE CHEV. SAIL 200 X 18 VALEO</t>
  </si>
  <si>
    <t>DISCO EMBRAGUE CHEV. SPARK GT 190 X 18</t>
  </si>
  <si>
    <t>DISCO EMBRAGUE CHEVETTE 200X14.</t>
  </si>
  <si>
    <t>DISCO EMBRAGUE CHEVR. SPARK 800 180 X 18</t>
  </si>
  <si>
    <t>DISCO EMBRAGUE CORSA EVOL. 200 MONTANA</t>
  </si>
  <si>
    <t>DISCO EMBRAGUE DAEWOO 170X18.</t>
  </si>
  <si>
    <t>DISCO EMBRAGUE DAIH 1.0 173.</t>
  </si>
  <si>
    <t>DISCO EMBRAGUE DAIH. FEROZA 1.6 200X20</t>
  </si>
  <si>
    <t>DISCO EMBRAGUE DAIHATSU 160 X 18 VALEO</t>
  </si>
  <si>
    <t>DISCO EMBRAGUE DAIHATSU 190 X 20 VALEO</t>
  </si>
  <si>
    <t>DISCO EMBRAGUE DAIHATSU APLAUSE 190X20</t>
  </si>
  <si>
    <t>DISCO EMBRAGUE DH. CHARADE 160X18.</t>
  </si>
  <si>
    <t>DISCO EMBRAGUE DH. FEROZA 200 X 20</t>
  </si>
  <si>
    <t>DISCO EMBRAGUE DH. TERIOS 1.3 190 X 20</t>
  </si>
  <si>
    <t>DISCO EMBRAGUE DH. TERIOS 200X20 VALEO</t>
  </si>
  <si>
    <t>DISCO EMBRAGUE DMAX 250X24</t>
  </si>
  <si>
    <t>DISCO EMBRAGUE DW. RACER. 200X24X20.7</t>
  </si>
  <si>
    <t>DISCO EMBRAGUE F. ESCAPE 225X22 VALEO</t>
  </si>
  <si>
    <t>DISCO EMBRAGUE F. PUNTO 180X18.</t>
  </si>
  <si>
    <t>DISCO EMBRAGUE FIAT 170X17.</t>
  </si>
  <si>
    <t>DISCO EMBRAGUE FIAT 17MM</t>
  </si>
  <si>
    <t>DISCO EMBRAGUE FIAT 17MM.</t>
  </si>
  <si>
    <t>DISCO EMBRAGUE FIAT 180X17.</t>
  </si>
  <si>
    <t>DISCO EMBRAGUE FIAT 190.</t>
  </si>
  <si>
    <t>DISCO EMBRAGUE FIAT PALIO 190 X 20 VALEO</t>
  </si>
  <si>
    <t>DISCO EMBRAGUE FORD FIESRA 1.6 ECOSPORT 190mm</t>
  </si>
  <si>
    <t>DISCO EMBRAGUE FORD KA1.3 180X17</t>
  </si>
  <si>
    <t>MBD109</t>
  </si>
  <si>
    <t>DISCO EMBRAGUE FORD RANGER 275 DAIKIN</t>
  </si>
  <si>
    <t>DISCO EMBRAGUE FORD RANGER 225X23.</t>
  </si>
  <si>
    <t>DISCO EMBRAGUE FORD. ECOSPORT 220 X 17</t>
  </si>
  <si>
    <t>DISCO EMBRAGUE H-100 240X14.</t>
  </si>
  <si>
    <t>DISCO EMBRAGUE H1. 240X23</t>
  </si>
  <si>
    <t>DISCO EMBRAGUE H100 225X23.</t>
  </si>
  <si>
    <t>DISCO EMBRAGUE HONDA 190X19.</t>
  </si>
  <si>
    <t>DISCO EMBRAGUE HONDA 212X20</t>
  </si>
  <si>
    <t>DISCO EMBRAGUE HY GALLOPER 2.5 225X23MM</t>
  </si>
  <si>
    <t>DISCO EMBRAGUE HY. 180 X24</t>
  </si>
  <si>
    <t>hd'138</t>
  </si>
  <si>
    <t>DISCO EMBRAGUE HY. ACCENT 215 X 22</t>
  </si>
  <si>
    <t>DISCO EMBRAGUE HY. ELANTRA 225X20.</t>
  </si>
  <si>
    <t>DISCO EMBRAGUE HY. EXCEL 184 X 20 VALEO</t>
  </si>
  <si>
    <t>DISCO EMBRAGUE HY. H-1 240X23.</t>
  </si>
  <si>
    <t>DISCO EMBRAGUE HY. H-1 242.</t>
  </si>
  <si>
    <t>DISCO EMBRAGUE HY. H-1 NEX 08.</t>
  </si>
  <si>
    <t>DISCO EMBRAGUE HY. H-100 225X23.</t>
  </si>
  <si>
    <t>DISCO EMBRAGUE HY. I-10 190X24</t>
  </si>
  <si>
    <t>DISCO EMBRAGUE HY. I10 MORNING RIO 192 X 24</t>
  </si>
  <si>
    <t>DISCO EMBRAGUE HY. SONATA VITARA 225X20 VALEO</t>
  </si>
  <si>
    <t>DISCO EMBRAGUE HYUNDAI 184-127</t>
  </si>
  <si>
    <t>DISCO EMBRAGUE HYUNDAI 200X20</t>
  </si>
  <si>
    <t>DISCO EMBRAGUE HYUNDAI 200X22.</t>
  </si>
  <si>
    <t>DISCO EMBRAGUE HYUNDAI 225X22</t>
  </si>
  <si>
    <t>DISCO EMBRAGUE HYUNDAI H1 250X23MM</t>
  </si>
  <si>
    <t>DISCO EMBRAGUE KIA 225X22</t>
  </si>
  <si>
    <t>DISCO EMBRAGUE KIA AVELLA 200X20 RIO VALEO</t>
  </si>
  <si>
    <t>DISCO EMBRAGUE KIA K3500 260X12MM</t>
  </si>
  <si>
    <t>KY 0215090</t>
  </si>
  <si>
    <t>DISCO EMBRAGUE KIA PRIDE POP 180X18.</t>
  </si>
  <si>
    <t>KY02-16460</t>
  </si>
  <si>
    <t>DISCO EMBRAGUE KIA PRIDE POP.</t>
  </si>
  <si>
    <t>DISCO EMBRAGUE MAZDA 190X20</t>
  </si>
  <si>
    <t>DISCO EMBRAGUE MAZDA 200X20.</t>
  </si>
  <si>
    <t>DISCO EMBRAGUE MAZDA 4000 275X12MM</t>
  </si>
  <si>
    <t>DISCO EMBRAGUE MAZDA 626 929.</t>
  </si>
  <si>
    <t>DISCO EMBRAGUE MAZDA B2200 225X23.</t>
  </si>
  <si>
    <t>DISCO EMBRAGUE MAZDA B2200. 225X23.</t>
  </si>
  <si>
    <t>DISCO EMBRAGUE MAZDA B2500 240X22</t>
  </si>
  <si>
    <t>DISCO EMBRAGUE MAZDA B2500 240X22MM</t>
  </si>
  <si>
    <t>DISCO EMBRAGUE MAZDA B2600</t>
  </si>
  <si>
    <t>DISCO EMBRAGUE MAZDA B2900 240X23MM</t>
  </si>
  <si>
    <t>DISCO EMBRAGUE MIT. L-200 225X23.</t>
  </si>
  <si>
    <t>DISCO EMBRAGUE MIT. L200 HY. 225X23 VALEO</t>
  </si>
  <si>
    <t>DISCO EMBRAGUE MIT. MONTERO 240X14.</t>
  </si>
  <si>
    <t>DISCO EMBRAGUE MITS 250X23.</t>
  </si>
  <si>
    <t>DISCO EMBRAGUE MITS. L200 225X23.</t>
  </si>
  <si>
    <t>DISCO EMBRAGUE MITS. LANCER 225</t>
  </si>
  <si>
    <t>DISCO EMBRAGUE MITSUBISHI 275 X 23 VALEO</t>
  </si>
  <si>
    <t>DISCO EMBRAGUE NISSAN FD42 275X24MM</t>
  </si>
  <si>
    <t>DISCO EMBRAGUE NISSAN SUNNY V-16 180X18 VALEO</t>
  </si>
  <si>
    <t>DISCO EMBRAGUE NISSAN TIIDA 200MM</t>
  </si>
  <si>
    <t>DISCO EMBRAGUE NISSAN V-16. 190X18.</t>
  </si>
  <si>
    <t>DISCO EMBRAGUE NS TERRANO D22 250X24</t>
  </si>
  <si>
    <t>DISCO EMBRAGUE NS. 215 X 18 VALEO</t>
  </si>
  <si>
    <t>DISCO EMBRAGUE NS. D21 240 X 24 VALEO</t>
  </si>
  <si>
    <t>DISCO EMBRAGUE NS. D21 240X24 VALEO</t>
  </si>
  <si>
    <t>DISCO EMBRAGUE NS. JL 225X24.</t>
  </si>
  <si>
    <t>disnav</t>
  </si>
  <si>
    <t>DISNAV</t>
  </si>
  <si>
    <t>DISCO EMBRAGUE NS. NAVARA</t>
  </si>
  <si>
    <t>DISCO EMBRAGUE NS. PATHFINDER 250 X 24</t>
  </si>
  <si>
    <t>DISCO EMBRAGUE NS. TERRANO 250.</t>
  </si>
  <si>
    <t>DISCO EMBRAGUE NS. TERRANO 250X24 VALEO</t>
  </si>
  <si>
    <t>DISCO EMBRAGUE NS. TIIDA 215 VALEO</t>
  </si>
  <si>
    <t>DISCO EMBRAGUE NS. TIIDA 200X26 VALEO</t>
  </si>
  <si>
    <t>DISCO EMBRAGUE NS. TIIDA 200X26.</t>
  </si>
  <si>
    <t>DISCO EMBRAGUE NS. TIIDA 215</t>
  </si>
  <si>
    <t>DISCO EMBRAGUE NS. V16 VALEO</t>
  </si>
  <si>
    <t>DISCO EMBRAGUE OPEL CORSA 190X14MM</t>
  </si>
  <si>
    <t>DISCO EMBRAGUE REF. PEUGEOT 504</t>
  </si>
  <si>
    <t>DISCO EMBRAGUE SAMSUNG 215X18</t>
  </si>
  <si>
    <t>DISCO EMBRAGUE SAMSUNG SM3 200MM</t>
  </si>
  <si>
    <t>DISCO EMBRAGUE SAMSUNG SM3 215X18.</t>
  </si>
  <si>
    <t>DISCO EMBRAGUE SAMSUNG SM5225X24</t>
  </si>
  <si>
    <t>DISCO EMBRAGUE SM3 200X18</t>
  </si>
  <si>
    <t>DISCO EMBRAGUE SM3 200X18.</t>
  </si>
  <si>
    <t>DISCO EMBRAGUE SN SM3 215X18 VALEO</t>
  </si>
  <si>
    <t>DISCO EMBRAGUE SPARK 180X18</t>
  </si>
  <si>
    <t>DISCO EMBRAGUE SPARK 184X18.</t>
  </si>
  <si>
    <t>DISCO EMBRAGUE SSANGYONG 240</t>
  </si>
  <si>
    <t>DISCO EMBRAGUE SSANGYONG 240X22.</t>
  </si>
  <si>
    <t>DISCO EMBRAGUE SUBARU 190X21MM</t>
  </si>
  <si>
    <t>DISCO EMBRAGUE SUBARU 200X21.</t>
  </si>
  <si>
    <t>DISCO EMBRAGUE SUBARU 200X23</t>
  </si>
  <si>
    <t>DISCO EMBRAGUE SUBARU IMPRESA 215X24</t>
  </si>
  <si>
    <t>DISCO EMBRAGUE SUBARU JUSTY 1.2.</t>
  </si>
  <si>
    <t>DISCO EMBRAGUE SUZUKI 190X20 VALEO</t>
  </si>
  <si>
    <t>DISCO EMBRAGUE SUZUKI 180 X 18 VALEO</t>
  </si>
  <si>
    <t>DISCO EMBRAGUE SUZUKI 32X17X35.</t>
  </si>
  <si>
    <t>DISCO EMBRAGUE SUZUKI ALTO 170X18.</t>
  </si>
  <si>
    <t>DISCO EMBRAGUE SUZUKI GRAN NOMADE 2.0</t>
  </si>
  <si>
    <t>DISCO EMBRAGUE SUZUKI GRAN NOMADE 225MM</t>
  </si>
  <si>
    <t>DISCO EMBRAGUE SUZUKI VALEO 201 00</t>
  </si>
  <si>
    <t>DISCO EMBRAGUE SZ 190 X 18 BALENO VALEO</t>
  </si>
  <si>
    <t>DISCO EMBRAGUE SZ ALTO 170X18</t>
  </si>
  <si>
    <t>DISCO EMBRAGUE SZ ALTO 170X18 DAIH .VALEO</t>
  </si>
  <si>
    <t>DISCO EMBRAGUE SZ GRAN NOMADE 240X20.</t>
  </si>
  <si>
    <t>DISCO EMBRAGUE SZ MARUTI FR. 160X32 VALEO</t>
  </si>
  <si>
    <t>DISCO EMBRAGUE SZ. 225 X 20 VALEO</t>
  </si>
  <si>
    <t>DISCO EMBRAGUE SZ. AERIO 200X20.</t>
  </si>
  <si>
    <t>DISCO EMBRAGUE SZ. ALTO TICO 170X18 DAIHATSU VALEO</t>
  </si>
  <si>
    <t>DISCO EMBRAGUE SZ. APV 215 X 20</t>
  </si>
  <si>
    <t>DISCO EMBRAGUE SZ. ATOS MORN 180X24.</t>
  </si>
  <si>
    <t>DISCO EMBRAGUE SZ. CELERIO 190 X 118 ARROW</t>
  </si>
  <si>
    <t>DISCO EMBRAGUE SZ. GRAN NOMADE. 225X21</t>
  </si>
  <si>
    <t>DISCO EMBRAGUE Sz. Gran vitara 225x21 valeo</t>
  </si>
  <si>
    <t>DISCO EMBRAGUE SZ. MARUTI 160X32X17,35</t>
  </si>
  <si>
    <t>DISCO EMBRAGUE SZ. ST90 180X18 HAFEI CHANGAN VALEO</t>
  </si>
  <si>
    <t>DISCO EMBRAGUE SZ. VITARA 1.6 215 X 21 VALEO UBIC. K3-4</t>
  </si>
  <si>
    <t>DISCO EMBRAGUE SZ. VITARA 200 X 20 VALEO</t>
  </si>
  <si>
    <t>DISCO EMBRAGUE SZ. VITARA 215X21</t>
  </si>
  <si>
    <t>DISCO EMBRAGUE TOYOTA 180X19</t>
  </si>
  <si>
    <t>DISCO EMBRAGUE TOYOTA 212X21</t>
  </si>
  <si>
    <t>DISCO EMBRAGUE TY. HILUX 224 X 21</t>
  </si>
  <si>
    <t>DISCO EMBRAGUE TY. HILUX.</t>
  </si>
  <si>
    <t>DISCO EMBRAGUE TY. KUN 275 X 21 VALEO</t>
  </si>
  <si>
    <t>DISCO EMBRAGUE TY. RAV 4 235 X 21</t>
  </si>
  <si>
    <t>DISCO EMBRAGUE TY. TERCEL 200X21</t>
  </si>
  <si>
    <t>DISCO EMBRAGUE TY. YARIS 212 X 21 VALEO</t>
  </si>
  <si>
    <t>DISCO EMBRAGUE WINGLE 250.</t>
  </si>
  <si>
    <t>FRENOS</t>
  </si>
  <si>
    <t>DFDM</t>
  </si>
  <si>
    <t>DISCO FRENO CHEV DMAX</t>
  </si>
  <si>
    <t>DISCO FRENO CHEV DMAX 3.0 / 3.5</t>
  </si>
  <si>
    <t>DISCO FRENO CHEV LUV 89/08</t>
  </si>
  <si>
    <t>DISCO FRENO CHEV SAIL</t>
  </si>
  <si>
    <t>DISCO</t>
  </si>
  <si>
    <t>DISCO FRENO CHEV. AVEO SAIL 1.4 SPARK GT</t>
  </si>
  <si>
    <t>DISCO FRENO CHEV. AVEO SAIL SPARK GT 235mm</t>
  </si>
  <si>
    <t>FECH011623</t>
  </si>
  <si>
    <t>DISCO FRENO CHEV. CORSA DW. VENTILADO</t>
  </si>
  <si>
    <t>DISCO FRENO chev. sail 1.5</t>
  </si>
  <si>
    <t>DISCO FRENO CHEV. SPARK MATIZ IQ. 236</t>
  </si>
  <si>
    <t>DISCO FRENO CORSA - DAEWOO</t>
  </si>
  <si>
    <t>DISCO FRENO DAEWOO</t>
  </si>
  <si>
    <t>FD50028</t>
  </si>
  <si>
    <t>DISCO FRENO FORD FOCUS ECOSPORT</t>
  </si>
  <si>
    <t>DISCO FRENO HY. KIA 262</t>
  </si>
  <si>
    <t>DISCO FRENO HY. ELANTRA 1.6 1.8 2.0 01/07 CERATO 257MM</t>
  </si>
  <si>
    <t>DISCO FRENO HYUNDAI ACCENT PRIME</t>
  </si>
  <si>
    <t>DISCO FRENO HYUNDAI H100 99/</t>
  </si>
  <si>
    <t>DISCO FRENO HYUNDAI TERRACAN</t>
  </si>
  <si>
    <t>DISCO FRENO MAZDA 3 5 6 04/17 300MM</t>
  </si>
  <si>
    <t>DISCO FRENO NISSAN 720</t>
  </si>
  <si>
    <t>DISCO FRENO NISSAN D21 260X6</t>
  </si>
  <si>
    <t>DISCO FRENO NISSAN D22 4X4</t>
  </si>
  <si>
    <t>0B00038</t>
  </si>
  <si>
    <t>0B0003S</t>
  </si>
  <si>
    <t>DISCO FRENO NS. SENTRA 1.8 SM3 PRIMERA ATSUKI</t>
  </si>
  <si>
    <t>DISCO FRENO NS. TIIDA</t>
  </si>
  <si>
    <t>FEDT231603</t>
  </si>
  <si>
    <t>DISCO FRENO NS. V-16. VENTILADO</t>
  </si>
  <si>
    <t>FEDT111603</t>
  </si>
  <si>
    <t>DISCO FRENO NS. V16 SOLIDO</t>
  </si>
  <si>
    <t>DISCO FRENO NS. V16 SOLIDO STP</t>
  </si>
  <si>
    <t>DISCO FRENO NS. V16 VENTILADO</t>
  </si>
  <si>
    <t>DISCO FRENO NS. VERSA STP</t>
  </si>
  <si>
    <t>DISCO FRENO SAMSUNG SM3</t>
  </si>
  <si>
    <t>OP00289</t>
  </si>
  <si>
    <t>DISCO FRENO SAMSUNG SM3 05/ PRIMERA ALMERA</t>
  </si>
  <si>
    <t>DISCO FRENO SM3 TIIDA</t>
  </si>
  <si>
    <t>DISCO FRENO SUZUKI ALTO 06/ 231MM</t>
  </si>
  <si>
    <t>Z100018</t>
  </si>
  <si>
    <t>DISCO FRENO SZ MARUTI SK410</t>
  </si>
  <si>
    <t>DISCO FRENO SZ. MARUTI FRONTE 89-95</t>
  </si>
  <si>
    <t>DISCO FRENO TY. YARIS</t>
  </si>
  <si>
    <t>DISCO FRENO TY. YARIS 06/15 VENT.</t>
  </si>
  <si>
    <t>TY10328</t>
  </si>
  <si>
    <t>DISCO FRENO TY. YARIS 2006/2010</t>
  </si>
  <si>
    <t>DISCO FRENO TY. YARIS 99/05</t>
  </si>
  <si>
    <t>VW143</t>
  </si>
  <si>
    <t>DISCO FRENO VOLKSWAGEN GOL 1.6 SAVEIRO VOYAGE 256</t>
  </si>
  <si>
    <t>TY10318</t>
  </si>
  <si>
    <t>DISCO FRENO YARIS.99/05.</t>
  </si>
  <si>
    <t>DISTRIBUIDOR NS. D21 KA24 WURTEX</t>
  </si>
  <si>
    <t>AMORTIGUADOR-DUSTER</t>
  </si>
  <si>
    <t>DUSTER</t>
  </si>
  <si>
    <t>H103180</t>
  </si>
  <si>
    <t>EJE LEVA H100 H1 2.5</t>
  </si>
  <si>
    <t>EJE-TRASERO</t>
  </si>
  <si>
    <t>EJE TRASERO HY ACCENT</t>
  </si>
  <si>
    <t>EJE LEVA CHEV. CORSA DW.</t>
  </si>
  <si>
    <t>EJE LEVA CHEV. LUV 2.2 MONZA DW.</t>
  </si>
  <si>
    <t>EJE LEVA CHEV. LUV 2.3</t>
  </si>
  <si>
    <t>EJE LEVA CORSA DW RACER</t>
  </si>
  <si>
    <t>h102218</t>
  </si>
  <si>
    <t>EJE LEVA hy. h100 diesel</t>
  </si>
  <si>
    <t>EJE LEVA ns. terrano 2.5 jg.</t>
  </si>
  <si>
    <t>EJE LEVA SUZUKI ST90</t>
  </si>
  <si>
    <t>ELECTR0VENTILADOR 1.4</t>
  </si>
  <si>
    <t>ELKI154000</t>
  </si>
  <si>
    <t>ELECTR0VENTILADOR KIA CERATO 09/12 UB. RB3-2</t>
  </si>
  <si>
    <t>ELKIR</t>
  </si>
  <si>
    <t>ELECTR0VENTILADOR KIA RIO 4</t>
  </si>
  <si>
    <t>ELECTR0VENTILADOR NS. V16 SENTRA II</t>
  </si>
  <si>
    <t>ELECTR0VENTILADOR NS. V16 COMPLETO</t>
  </si>
  <si>
    <t>ELECTR0VENTILADOR TY. COROLLA 1.6 1.8 ZZ 02/08 UB. RC4-3</t>
  </si>
  <si>
    <t>ELECTRICO AMPOLLETA LED AZUL</t>
  </si>
  <si>
    <t>ELECTRICO AMPOLLETA LED BLANCO 12 V</t>
  </si>
  <si>
    <t>ELECTRICO AMPOLLETA LED ROJO 12 V</t>
  </si>
  <si>
    <t>ELECTRICO AMPOLLETA LED VERDE</t>
  </si>
  <si>
    <t>ELECTRICO BENDIX 8D 8E HY-MITS</t>
  </si>
  <si>
    <t>ELECTRICO BENDIX 8D NISSAN-KIA RIO</t>
  </si>
  <si>
    <t>ELECTRICO BENDIX 9D 10E DAIHATSU-SUZUKI</t>
  </si>
  <si>
    <t>ELECTRICO BENDIX 9D ISUZU 2.8 4JB1</t>
  </si>
  <si>
    <t>ELECTRICO BENDIX 9D NISSAN V-16</t>
  </si>
  <si>
    <t>AIPS077220</t>
  </si>
  <si>
    <t>ELECTRICO ENCHUFE CERAMICA H 4</t>
  </si>
  <si>
    <t>AIPS077236</t>
  </si>
  <si>
    <t>ELECTRICO ENCHUFE CERAMICA H 7</t>
  </si>
  <si>
    <t>ELECTRICO FUSIBLE LOSA 16 AMP.</t>
  </si>
  <si>
    <t>ELECTRICO FUSIBLE LOSA 20AMP.</t>
  </si>
  <si>
    <t>PORTA-FUSIBLE</t>
  </si>
  <si>
    <t>PORTA FUSIBLE</t>
  </si>
  <si>
    <t>ELECTRICO PORTA FUSIBLE</t>
  </si>
  <si>
    <t>ELECTROLITO GALON</t>
  </si>
  <si>
    <t>ELECTRV</t>
  </si>
  <si>
    <t>ELECTROV. CON HORQUILLA C/AUTOMATICA</t>
  </si>
  <si>
    <t>ELECTROV.-KIA-MORNING-1.0</t>
  </si>
  <si>
    <t>ELECTROV. KIA MORNING 1.0</t>
  </si>
  <si>
    <t>ELECTROVENTILADOR CHEV. AVEO 1.4</t>
  </si>
  <si>
    <t>ELECTROVENTILADOR CHEV. AVEO 1.4 04/13</t>
  </si>
  <si>
    <t>ELECTROVENTILADOR CHEV. CORSA 1.6 99/ C/AIRE UB. RD4-3</t>
  </si>
  <si>
    <t>ELCH154000</t>
  </si>
  <si>
    <t>ELECTR.</t>
  </si>
  <si>
    <t>ELECTROVENTILADOR CHEV. SAIL</t>
  </si>
  <si>
    <t>ELECTROVENTILADOR CHEV. SAIL 1.5 16/</t>
  </si>
  <si>
    <t>ELECTROVENTILADOR CHEV. SAIL 1.5 16/ UB. RC4-1</t>
  </si>
  <si>
    <t>ELECTROVENTILADOR CHEV. SAIL 1.5 UB. RD4-3</t>
  </si>
  <si>
    <t>ELECTROVENTILADOR CHEV. SPARK GT COMPLETO 2 PIN UB. RD3-2</t>
  </si>
  <si>
    <t>ELECTROVENTILADOR HONDA CIVIC 1.8 07/12</t>
  </si>
  <si>
    <t>ELECTROVENTILADOR HY. ACCENT RB</t>
  </si>
  <si>
    <t>ELECTROVENTILADOR HY. ACCENT RB 1.4 11/</t>
  </si>
  <si>
    <t>ELECTROVENTILADOR HY. ACCENT RB 11/18 UB. RC4-2</t>
  </si>
  <si>
    <t>ELECTROVENTILADOR HY. ACCENT RB. 1.6 11/20 UB. RB4-1</t>
  </si>
  <si>
    <t>ELECTROVENTILADOR HY. ELANTRA 1.6 17/18 UB. RD4-2</t>
  </si>
  <si>
    <t>ELECTROVENTILADOR HY. TUCSON 2.0 10/13 UB. RB3-1</t>
  </si>
  <si>
    <t>ELECTR</t>
  </si>
  <si>
    <t>ELECTROVENTILADOR HYUNDAI I-10</t>
  </si>
  <si>
    <t>ELECTROVENTILADOR NS. TIIDA</t>
  </si>
  <si>
    <t>ELECTROVENTILADOR NS. TIIDA 06/ UB RC3-1-4</t>
  </si>
  <si>
    <t>ELECTROVENTILADOR TY. COROLLA 1.6 3ZZ 02/08 BRASIL UB. RC4-3-2</t>
  </si>
  <si>
    <t>ELECTROVENTILADOR TY. YARIS 2006/</t>
  </si>
  <si>
    <t>ELECTROVENTILADOR TY. YARIS 99/05 UB. RB1-3</t>
  </si>
  <si>
    <t>MAGCHEV</t>
  </si>
  <si>
    <t>EMBRAGUE CENTRIFUGO CHEV. TRAILBLAZER</t>
  </si>
  <si>
    <t>EMBRAGUE MAGNETICO HY. H100 2.5 DIESEL</t>
  </si>
  <si>
    <t>EMBRAGUE MAGNETICO NS. D21</t>
  </si>
  <si>
    <t>EMBUDO ELECTROV. HY. H1 07/10 UB. RB3-3</t>
  </si>
  <si>
    <t>EMP.</t>
  </si>
  <si>
    <t>EMP MULT. ESC. AVEO 1.4 / OPTRA 1.6</t>
  </si>
  <si>
    <t>EMP MULT. ESC. BLUE BIRD 2.0</t>
  </si>
  <si>
    <t>EMP MULT. ESC. CHARADE</t>
  </si>
  <si>
    <t>EMP MULT. ESC. FORD</t>
  </si>
  <si>
    <t>EMP MULT. ESC. HONDA ACCORD 1.6</t>
  </si>
  <si>
    <t>EMP MULT. ESC. HY ACCENT 1.5</t>
  </si>
  <si>
    <t>EMP MULT. ESC. HYUNDAI / MITSUBISHI</t>
  </si>
  <si>
    <t>EMP MULT. ESC. MITS. LANCER 1.6</t>
  </si>
  <si>
    <t>EMP MULT. ESC. NISSAN XTRAIL 2.5</t>
  </si>
  <si>
    <t>EMPMEV16</t>
  </si>
  <si>
    <t>EMP MULT. ESC. NS. V16</t>
  </si>
  <si>
    <t>EMP MULT. ESC. OPEL CORSA</t>
  </si>
  <si>
    <t>EMP MULT. ESC. RENAULT R12 / R18 GTS</t>
  </si>
  <si>
    <t>EMP MULT. ESC. TOYOTA HIACE</t>
  </si>
  <si>
    <t>EMP MULT. ESCAPE NISSAN</t>
  </si>
  <si>
    <t>EMP MULT.ESC. NISSAN V16 E16</t>
  </si>
  <si>
    <t>EMP05</t>
  </si>
  <si>
    <t>EMP MULTIPLE CHEV LUV</t>
  </si>
  <si>
    <t>EMP MULTIPLE ESC. CHEV LUV 2.2</t>
  </si>
  <si>
    <t>EMP SALIDA ESCAPE PICARON CHV LUV</t>
  </si>
  <si>
    <t>EMP07</t>
  </si>
  <si>
    <t>EMP SALIDA MULTIPLE CHEV LUV 2.2</t>
  </si>
  <si>
    <t>EMPVE16</t>
  </si>
  <si>
    <t>EMP TAPA VALV NISSAN</t>
  </si>
  <si>
    <t>EMP TAPA VALV. AVEO OPTRA VIVANT TOTO</t>
  </si>
  <si>
    <t>VELUMD</t>
  </si>
  <si>
    <t>EMP VELUMOIDE DELGADO</t>
  </si>
  <si>
    <t>EMP MULT. ADM. CHEV LUV</t>
  </si>
  <si>
    <t>EMP MULT. ADM. CHEV LUV 1.6 / 1.8 / 2.0</t>
  </si>
  <si>
    <t>EMP MULT. ADM. KIA BESTA 2,2 / MZ</t>
  </si>
  <si>
    <t>EMP MULT. ADM. KIA K3500</t>
  </si>
  <si>
    <t>EMP MULT. ADM. NISSAN V16 GA16</t>
  </si>
  <si>
    <t>EMP MULT. ADM. NISSAN V16 SUNNY</t>
  </si>
  <si>
    <t>EMP MULT. ADM. NS SENTRA II / V16 GA16</t>
  </si>
  <si>
    <t>EMP MULT. ADM. NS. V16 SUNNY</t>
  </si>
  <si>
    <t>EMP MULT. ADM. OPEL CORSA 1.6</t>
  </si>
  <si>
    <t>EMP MULT. ADM. TERRANO 2.4 / KA24E</t>
  </si>
  <si>
    <t>EMP. CARTER CHEV LUV 1.6 / 2.0 /88</t>
  </si>
  <si>
    <t>EMP. CARTER CHEV LUV 2.3</t>
  </si>
  <si>
    <t>EMP. CARTER CHEV LUV 4X4</t>
  </si>
  <si>
    <t>EMP. CARTER CHEV LUV 89/</t>
  </si>
  <si>
    <t>EMP. CARTER CHEV. LUV 2.2 SABO</t>
  </si>
  <si>
    <t>EMP. CARTER HYUNDAI H-100</t>
  </si>
  <si>
    <t>EMP. CARTER ISUZU</t>
  </si>
  <si>
    <t>EMP. CARTER KIA K3500</t>
  </si>
  <si>
    <t>EMP. CARTER MAZDA</t>
  </si>
  <si>
    <t>EMP. CARTER MONZA</t>
  </si>
  <si>
    <t>EMP. CARTER NISSAN TERRANO 2.5</t>
  </si>
  <si>
    <t>EMP. CARTER NISSAN V16 GA16DE</t>
  </si>
  <si>
    <t>EMP. CARTER OPEL CORSA 1.6</t>
  </si>
  <si>
    <t>EMP. CARTER PEUGEOT 307</t>
  </si>
  <si>
    <t>CP2-2227</t>
  </si>
  <si>
    <t>EMP. CARTER SUBARU</t>
  </si>
  <si>
    <t>EMP. CARTER SUBARU JUSTY</t>
  </si>
  <si>
    <t>EMP. CARTER SUZUKI ST-90</t>
  </si>
  <si>
    <t>EMP. CARTER SZ. ST90</t>
  </si>
  <si>
    <t>EMP. CULATA CHEV. 250-230 6 CIL.</t>
  </si>
  <si>
    <t>EMP. CULATA CHEV. 350 302-307-327 E-4</t>
  </si>
  <si>
    <t>EMP. CULATA CHEV. CHEVETTE E-3</t>
  </si>
  <si>
    <t>EMP. CULATA CHEV. CORSA 1.6 81MM SABO E-3</t>
  </si>
  <si>
    <t>EMP. CULATA CHEV. LUV 1.6 4ZA1 89/</t>
  </si>
  <si>
    <t>EMP. CULATA CHEV. LUV 1.6 4ZA1 89/ E-1</t>
  </si>
  <si>
    <t>EMP. CULATA CHEV. LUV 2.0 G200</t>
  </si>
  <si>
    <t>EMP. CULATA CHEV. LUV 2.2 SABO E-2</t>
  </si>
  <si>
    <t>EMP. CULATA CHEV. LUV 2.8 4JB1 1.60MM.</t>
  </si>
  <si>
    <t>EMP. CULATA CHEV. LUV. 3.2 V6</t>
  </si>
  <si>
    <t>EMP. CULATA CHEV. S-10 2.2 98/</t>
  </si>
  <si>
    <t>EMP. CULATA CHEV. S10 2.4 DIMAX</t>
  </si>
  <si>
    <t>EMP. CULATA CHEV. S10 2.8 MWM DIESEL ABR</t>
  </si>
  <si>
    <t>EMP. CULATA CHEV. SPARK 1.0</t>
  </si>
  <si>
    <t>EMP. CULATA CHEV. VIVANT DW LANOS 1.6 E-2</t>
  </si>
  <si>
    <t>EMP. CULATA DAEWO ESPERO 1.5 92-94 RACER 1.5 95-99</t>
  </si>
  <si>
    <t>EMP. CULATA DAEWO. LANOS 1.5 98-03</t>
  </si>
  <si>
    <t>EMP. CULATA DAIHATSU 1.3 1.6</t>
  </si>
  <si>
    <t>EMP. CULATA DW. ESPERO RACER 1.5</t>
  </si>
  <si>
    <t>EMP. CULATA DW. LANOS VIVANT 1.6</t>
  </si>
  <si>
    <t>EMP. CULATA FORD AEROSTAR 3.0 183 IZQ. V6 RANGER E-4</t>
  </si>
  <si>
    <t>EMP. CULATA FORD AEROSTAR 3.0 DER. 183 V6 E-4</t>
  </si>
  <si>
    <t>EMP. CULATA FORD RANGER 4.0 90-2000 E-4</t>
  </si>
  <si>
    <t>EMP. CULATA HONDA ACCORD 2.0 90-94 PRELUDE</t>
  </si>
  <si>
    <t>EMP. CULATA HONDA ACCORD 2.2 95-97 F22B E-6</t>
  </si>
  <si>
    <t>EMP. CULATA HONDA ACCORD PRELUDE 1.6 79-81 E-6</t>
  </si>
  <si>
    <t>EMP. CULATA HY D4EA</t>
  </si>
  <si>
    <t>EMP. CULATA HY. ATOS MORNING E-5</t>
  </si>
  <si>
    <t>EMP. CULATA HY. H 100 2.5 DIESEL</t>
  </si>
  <si>
    <t>H101570</t>
  </si>
  <si>
    <t>EMP. CULATA HY. H-100 2.4</t>
  </si>
  <si>
    <t>EMP. CULATA HY. H100 DIESEL</t>
  </si>
  <si>
    <t>EMP. CULATA HYUNDAI D4CB</t>
  </si>
  <si>
    <t>EMP. CULATA ISUZU GEMINI 1.8 81</t>
  </si>
  <si>
    <t>EMP. CULATA ISUZU NPR 4800 99</t>
  </si>
  <si>
    <t>EMP. CULATA KIA AVELLA 1.3 98-01 PRIDE 1.1 1.3 93-01</t>
  </si>
  <si>
    <t>EMP. CULATA KIA AVELLA 1.5 B5 96-98</t>
  </si>
  <si>
    <t>EMP. CULATA KIA AVELLA II 1.5 B5 98-2001</t>
  </si>
  <si>
    <t>EMP. CULATA KIA CLARUS 96/2000 SEPHIA 1.8 98/2004</t>
  </si>
  <si>
    <t>EMP. CULATA KIA CLARUS SEPHIA 1.8 96/04</t>
  </si>
  <si>
    <t>EMP. CULATA KIA K2400 BESTA TOPIC 90-95</t>
  </si>
  <si>
    <t>K500118</t>
  </si>
  <si>
    <t>EMP. CULATA KIA POP 1.1 1.3</t>
  </si>
  <si>
    <t>EMP. CULATA KIA SPORTAGE 2.0 94-98</t>
  </si>
  <si>
    <t>EMP. CULATA MAZDA ARTIS 16V.</t>
  </si>
  <si>
    <t>EMP. CULATA MIT. 4G54 MONTERO 2.6 82/ MAZDA B2600 94/</t>
  </si>
  <si>
    <t>EMP. CULATA MIT. COLT LANCER 1.6 4G92 97-2001</t>
  </si>
  <si>
    <t>EMP. CULATA MIT. GALANT HY. STELLAR 1.6 86/</t>
  </si>
  <si>
    <t>EMP. CULATA MIT. GALANT L200 L300 1.6 87-93</t>
  </si>
  <si>
    <t>EMP. CULATA MZ. B2600 96-99</t>
  </si>
  <si>
    <t>EMP. CULATA MZ. BT-50 METALICA</t>
  </si>
  <si>
    <t>EMP. CULATA NS. 150 Y</t>
  </si>
  <si>
    <t>EMP. CULATA NS. TERRANO 0.95MM</t>
  </si>
  <si>
    <t>EMP. CULATA NS. TERRANO 2.5 1 MM</t>
  </si>
  <si>
    <t>EMP. CULATA NS. TERRANO 2.5 2.1MM</t>
  </si>
  <si>
    <t>EMP. CULATA NS. TERRANO 3.2 QD32</t>
  </si>
  <si>
    <t>EMP. CULATA SUZ. CARRY 1000 SJ410</t>
  </si>
  <si>
    <t>EMP. CULATA SUZ. GRAN NOMADE 16V. J20A</t>
  </si>
  <si>
    <t>EMP. CULATA SUZ. ST-90</t>
  </si>
  <si>
    <t>EMP. CULATA 16 V SUZUKI BALENO</t>
  </si>
  <si>
    <t>EMP. CULATA CARTER CHEV. 230 250 C-10-20 6 CIL.</t>
  </si>
  <si>
    <t>EMP. CULATA CHEV AVEO 1.4 / OPTRA E-1</t>
  </si>
  <si>
    <t>EMP. CULATA CHEV AVEO 1.4 / OPTRA 1.6 03-05</t>
  </si>
  <si>
    <t>EMP. CULATA CHEV CAVALIER 2.4</t>
  </si>
  <si>
    <t>EMP. CULATA CHEV SONIC 1.6 12/</t>
  </si>
  <si>
    <t>EMP. CULATA CHEV SPARK</t>
  </si>
  <si>
    <t>EMP. CULATA CHEV. AVEO 1.4 METAL</t>
  </si>
  <si>
    <t>EMP. CULATA CHEV. AVEO 1.4 OPTRA 1.6</t>
  </si>
  <si>
    <t>EMP. CULATA CHEV. AVEO 1.4 OPTRA 1.6 03-06</t>
  </si>
  <si>
    <t>EMP. CULATA CHEV. AVEO 1.4 SABO GRAFITO</t>
  </si>
  <si>
    <t>EMP. CULATA CHEV. AVEO OPTRA VIVANR</t>
  </si>
  <si>
    <t>EMP. CULATA CHEV. BLAZER 4.3</t>
  </si>
  <si>
    <t>EMP. CULATA CHEV. CAPTIVA 2.4</t>
  </si>
  <si>
    <t>EMP. CULATA CHEV. CORSA 1.4 16V.</t>
  </si>
  <si>
    <t>EMP. CULATA CHEV. CRUZE 1.8 SONIC 1.6 TRACKER 1.8 ONNURI</t>
  </si>
  <si>
    <t>EMP. CULATA CHEV. DMAX 3.0 E-3</t>
  </si>
  <si>
    <t>EMP. CULATA CHEV. DMAX 3.0 1.3MM E-3</t>
  </si>
  <si>
    <t>EMP. CULATA CHEV. LUV 1.6 G16 HASTA 88</t>
  </si>
  <si>
    <t>EMP. CULATA CHEV. LUV 2.3 JAPON</t>
  </si>
  <si>
    <t>EMP. CULATA CHEV. LUV 2.3 4ZD1 / E-2</t>
  </si>
  <si>
    <t>EMP. CULATA CHEV. LUV 2.3 TOTO</t>
  </si>
  <si>
    <t>EMP. CULATA CHEV. SAIL 1.4 16V. SABO 11/17</t>
  </si>
  <si>
    <t>EMP. CULATA CHEV. SPARK DAMAS TICO E-5</t>
  </si>
  <si>
    <t>EMP. CULATA CHEVROLET</t>
  </si>
  <si>
    <t>EMP. CULATA chevrolet dimax</t>
  </si>
  <si>
    <t>EMP. CULATA chevrolet n300</t>
  </si>
  <si>
    <t>EMP. CULATA CULATA HY TUCSON SPORTAGE 2.0 04-10 E-5</t>
  </si>
  <si>
    <t>EMP. CULATA DAIHATSU TERIOS</t>
  </si>
  <si>
    <t>EMP. CULATA ESC. CHEV LUV 89</t>
  </si>
  <si>
    <t>EMP. CULATA EV. LUV 1.6 4ZA1 89/</t>
  </si>
  <si>
    <t>EMP. CULATA FORD ECOSPORT FIESTA 11/18</t>
  </si>
  <si>
    <t>EMP. CULATA FORD FIESTA</t>
  </si>
  <si>
    <t>EMP. CULATA FORD FIESTA 1.3 E-4</t>
  </si>
  <si>
    <t>EMCURANGER</t>
  </si>
  <si>
    <t>EMP. CULATA FORD RANGER</t>
  </si>
  <si>
    <t>EMP. CULATA FORD RANGER 4.0 90/00 E-4</t>
  </si>
  <si>
    <t>EMP. CULATA FORD RENGER 2.8</t>
  </si>
  <si>
    <t>EMP. CULATA FRONTE MARUTI</t>
  </si>
  <si>
    <t>EMP. CULATA HONDA 2.2 F22 E-6</t>
  </si>
  <si>
    <t>EMP. CULATA HY H100 DIESEL E-5</t>
  </si>
  <si>
    <t>EMP. CULATA HY. ACCENT 06/11</t>
  </si>
  <si>
    <t>EMP. CULATA HY. ACCENT 1.4 11/ METAL TOTO</t>
  </si>
  <si>
    <t>H000860</t>
  </si>
  <si>
    <t>EMP. CULATA HY. ACCENT 1.5 94/99</t>
  </si>
  <si>
    <t>H000850</t>
  </si>
  <si>
    <t>EMP. CULATA HY. ACCENT 94/06</t>
  </si>
  <si>
    <t>EMP. CULATA HY. ACCENT KIA RIO JB 06/11 GETZ</t>
  </si>
  <si>
    <t>H107328</t>
  </si>
  <si>
    <t>EMP. CULATA HY. H100 4D56 METAL</t>
  </si>
  <si>
    <t>EMP. CULATA HY. H100 2.4 MITS. L200 2.4 BENC.</t>
  </si>
  <si>
    <t>EMP. CULATA HY. H100 2.5 L200 E-5</t>
  </si>
  <si>
    <t>EMP. CULATA HYUNDAI ACCENT 1.5</t>
  </si>
  <si>
    <t>EMP. CULATA HYUNDAIACCENT 1.5</t>
  </si>
  <si>
    <t>EMP. CULATA KIA FE</t>
  </si>
  <si>
    <t>EMP. CULATA KIA CARENS</t>
  </si>
  <si>
    <t>EMP. CULATA KIA CARNIVAL 2.5</t>
  </si>
  <si>
    <t>EMP. CULATA KIA FRONTIER 2.7 MANDO</t>
  </si>
  <si>
    <t>EMP. CULATA KIA K2400</t>
  </si>
  <si>
    <t>EMP. CULATA KIA SPORTAGE RF SUZUKI</t>
  </si>
  <si>
    <t>L111011</t>
  </si>
  <si>
    <t>EMP. CULATA LUV 2.3</t>
  </si>
  <si>
    <t>EMPCULMBENZ</t>
  </si>
  <si>
    <t>EMP. CULATA M. BENZ</t>
  </si>
  <si>
    <t>EMP. CULATA MAZDA 323 1.6</t>
  </si>
  <si>
    <t>EMP. CULATA MAZDA ARTIS 1.6 B6</t>
  </si>
  <si>
    <t>EMP. CULATA MAZDA BT50 2.5</t>
  </si>
  <si>
    <t>EMP. CULATA MAZDA BT50 RANGER 2.5 ATSUKI</t>
  </si>
  <si>
    <t>EMP. CULATA MIT. L200 2.5 KATANA E-5</t>
  </si>
  <si>
    <t>EMP. CULATA MIT. L200 2.5 07/ 16V. 1mm</t>
  </si>
  <si>
    <t>EMP. CULATA MIT. L200 2.5 KATANA</t>
  </si>
  <si>
    <t>EMP. CULATA MIT. LANCER 4G13 92-96</t>
  </si>
  <si>
    <t>EMP. CULATA MITS. 3.3 4D31</t>
  </si>
  <si>
    <t>EMP. CULATA MITS. 3.5 V6 6G 24V. ERISTIC</t>
  </si>
  <si>
    <t>EMP. CULATA MITS. 4D56 / HY H1</t>
  </si>
  <si>
    <t>EMP. CULATA MITS. L200</t>
  </si>
  <si>
    <t>EMP. CULATA MITS. L200 KATANA 2.5 16V. 16V. 1.05 TOTO</t>
  </si>
  <si>
    <t>EN17345</t>
  </si>
  <si>
    <t>EMP. CULATA MULT. ADM. CHEV. LUV 89 ADEL.</t>
  </si>
  <si>
    <t>EMP. CULATA MZ. 323 1.6 BJ 16V.</t>
  </si>
  <si>
    <t>EMP. CULATA MZ. 626 929 1.8 2.0 81/</t>
  </si>
  <si>
    <t>EMP. CULATA MZ. 626 B2200 F2 FE 86/</t>
  </si>
  <si>
    <t>EMP. CULATA MZ. 626 E1.6 B1.6 78/ JAPAN</t>
  </si>
  <si>
    <t>EMP. CULATA MZ. B-T50</t>
  </si>
  <si>
    <t>ECMZBT50</t>
  </si>
  <si>
    <t>EMP. CULATA MZ. BT50</t>
  </si>
  <si>
    <t>EMP. CULATA ND. D21 KA24</t>
  </si>
  <si>
    <t>EMP. CULATA NISSAN 1.6 CA16S</t>
  </si>
  <si>
    <t>EMP. CULATA NISSAN 150Y</t>
  </si>
  <si>
    <t>EMP. CULATA NISSAN D21 Z20</t>
  </si>
  <si>
    <t>EMP. CULATA NISSAN D22 2.4</t>
  </si>
  <si>
    <t>EMP. CULATA NISSAN TERRANO 2.5</t>
  </si>
  <si>
    <t>EMP. CULATA NISSAN TERRANO 3.0</t>
  </si>
  <si>
    <t>EMP. CULATA NISSAN XTRAIL 2.2</t>
  </si>
  <si>
    <t>EMP. CULATA NS SUNNY V16 E16</t>
  </si>
  <si>
    <t>EMP. CULATA NS TERRANO 0-0 MUESCAS 0.900</t>
  </si>
  <si>
    <t>EMP. CULATA NS TERRANO 0-1 MUESCAS 0.925</t>
  </si>
  <si>
    <t>EMP. CULATA NS TERRANO 0-2 MUESCAS 0.950</t>
  </si>
  <si>
    <t>EMP. CULATA NS TERRANO 0-3 MUESCAS 0.975</t>
  </si>
  <si>
    <t>EMP. CULATA NS TERRANO 1-3 MUESCAS 1.000</t>
  </si>
  <si>
    <t>EMP. CULATA NS TERRANO 2.4</t>
  </si>
  <si>
    <t>EMP. CULATA NS. ALTIMA U12 CA20</t>
  </si>
  <si>
    <t>EMP. CULATA NS. D 21 K24</t>
  </si>
  <si>
    <t>EMP. CULATA ns. d21 jp</t>
  </si>
  <si>
    <t>EMP. CULATA NS. D21 KA24 JP.</t>
  </si>
  <si>
    <t>EMP. CULATA NS. J-16</t>
  </si>
  <si>
    <t>EMP. CULATA NS. J18</t>
  </si>
  <si>
    <t>EMP. CULATA NS. LAUREL 2.0</t>
  </si>
  <si>
    <t>EMPNSNP300</t>
  </si>
  <si>
    <t>EMPNSP300</t>
  </si>
  <si>
    <t>EMP. CULATA NS. NP300</t>
  </si>
  <si>
    <t>EMP. CULATA NS. PRIMERA 2.0</t>
  </si>
  <si>
    <t>EMP. CULATA NS. PRIMERA 2.0 SR20DE 96-03</t>
  </si>
  <si>
    <t>EMP. CULATA NS. SD23 25</t>
  </si>
  <si>
    <t>EMP. CULATA NS. SENTRA 1.8 B15</t>
  </si>
  <si>
    <t>EMP. CULATA NS. SM3 1.6 05/ QG16DE</t>
  </si>
  <si>
    <t>EMP. CULATA NS. SUNNY V16 ATSUKI</t>
  </si>
  <si>
    <t>EMP. CULATA NS. TERRANO 2-3 MUESCAS 1.025</t>
  </si>
  <si>
    <t>EMP. CULATA NS. TERRANO 2.4 KA24DE BENC.</t>
  </si>
  <si>
    <t>EMP. CULATA NS. TERRANO 2.4 STONE JP.</t>
  </si>
  <si>
    <t>EMP. CULATA NS. TERRANO 2.5 YD25</t>
  </si>
  <si>
    <t>EMP. CULATA NS. TERRANO 2.5 YD25 1 MUESCA 0.925 TOTO</t>
  </si>
  <si>
    <t>EMP. CULATA NS. TERRANO 2.5 YD25 2 MUESCA 0.950 STONE</t>
  </si>
  <si>
    <t>EMP. CULATA NS. TERRANO 2.5 YD25 3 MUESCA 0.950 TOTO</t>
  </si>
  <si>
    <t>EMP. CULATA NS. TERRANO 2.5 YD25 4 MUESCA 1 MM TOTO</t>
  </si>
  <si>
    <t>EMP. CULATA NS. TERRANO 2.5 YD25 ERISTIC</t>
  </si>
  <si>
    <t>EMP. CULATA NS. TERRANO 3.0</t>
  </si>
  <si>
    <t>EMP. CULATA NS. TERRANO 3.0 ERISTIC</t>
  </si>
  <si>
    <t>EMP. CULATA NS. TERRANO D22 2.4 KA24DE BENC.</t>
  </si>
  <si>
    <t>EMP. CULATA NS. TERRANO YD25</t>
  </si>
  <si>
    <t>EMP. CULATA NS. TIIDA 1.6 10/</t>
  </si>
  <si>
    <t>EMP. CULATA NS. V-16 GA16</t>
  </si>
  <si>
    <t>EMP. CULATA NS. V16 E16 SUNNY TOTO</t>
  </si>
  <si>
    <t>EMP. CULATA NS. V16 GA16 / E-10</t>
  </si>
  <si>
    <t>EMP. CULATA NS. V16 GA16 JP.</t>
  </si>
  <si>
    <t>EMP. CULATA NS. V16 GA16 DE 93/97</t>
  </si>
  <si>
    <t>EMP. CULATA NS. Z20</t>
  </si>
  <si>
    <t>EMP. CULATA PEUGEOT 1.8/1.9</t>
  </si>
  <si>
    <t>EMP. CULATA PEUGEOT 106 206</t>
  </si>
  <si>
    <t>EMP. CULATA PEUGEOT 405</t>
  </si>
  <si>
    <t>EMP. CULATA PEUGEOT 504 505 2.0</t>
  </si>
  <si>
    <t>EMP. CULATA PICARON CHEV. LUV</t>
  </si>
  <si>
    <t>EMP. CULATA SSANGYONG ACTYON DIESEL</t>
  </si>
  <si>
    <t>EMP. CULATA SUBARU EJ20T</t>
  </si>
  <si>
    <t>EMP. CULATA SUBARU LEGACY IMPREZA 1.8 93-98</t>
  </si>
  <si>
    <t>EMP. CULATA SUZ AEREO</t>
  </si>
  <si>
    <t>EMP. CULATA SUZ. ALTO 1.1</t>
  </si>
  <si>
    <t>EMP. CULATA SUZ. APV</t>
  </si>
  <si>
    <t>EMP. CULATA SUZ. BALENO VIT. 1.6 95/ JAPAN</t>
  </si>
  <si>
    <t>EMP. CULATA SUZ. FRONTIE 550 79-80</t>
  </si>
  <si>
    <t>EMP. CULATA SUZ. G. NOM. 2.0 RHW 16V</t>
  </si>
  <si>
    <t>EMP. CULATA SUZ. IGNIS JIMMY 1.3 01-06</t>
  </si>
  <si>
    <t>EMP. CULATA SUZ. MARUTI</t>
  </si>
  <si>
    <t>EMP. CULATA SUZ. MASTERVAN 1.3</t>
  </si>
  <si>
    <t>Z900030</t>
  </si>
  <si>
    <t>EMP. CULATA SUZ. SJ413</t>
  </si>
  <si>
    <t>EMP. CULATA SUZ. ST90 JAPAN</t>
  </si>
  <si>
    <t>EMP. CULATA SUZUKI MARUTI</t>
  </si>
  <si>
    <t>EMP. CULATA SUZUKI ALTO</t>
  </si>
  <si>
    <t>EMP. CULATA SUZUKI ALTO 800</t>
  </si>
  <si>
    <t>EMP. CULATA SUZUKI ST-90</t>
  </si>
  <si>
    <t>EMP. CULATA SZ GRAN NOMADE 2.0</t>
  </si>
  <si>
    <t>EMP. CULATA SZ MARUTI 800</t>
  </si>
  <si>
    <t>EMP. CULATA SZ. 1.3 1.6 RH M13 M16 RG</t>
  </si>
  <si>
    <t>EMP. CULATA SZ. 1.3 G13 SJ413</t>
  </si>
  <si>
    <t>EMP. CULATA SZ. 1.6 BALENO VIT. 16V. E-12</t>
  </si>
  <si>
    <t>EMP. CULATA SZ. ALTO 1.1 E-9</t>
  </si>
  <si>
    <t>Z900008</t>
  </si>
  <si>
    <t>EMP. CULATA SZ. CARRY SJ410</t>
  </si>
  <si>
    <t>EMP. CULATA SZ. CARRY SJ410 E-7</t>
  </si>
  <si>
    <t>EMP. CULATA SZ. MARUTI 800 F8B TOTO</t>
  </si>
  <si>
    <t>EMP. CULATA SZ. MARUTI FRONTE</t>
  </si>
  <si>
    <t>EMP. CULATA TAPA VAL. CHEV. LUV 89/</t>
  </si>
  <si>
    <t>EMP. CULATA TAPA VALV. HONDA CIVIC</t>
  </si>
  <si>
    <t>EMP. CULATA TAPA VALV. NS. V16 GA16 T.PLOMA</t>
  </si>
  <si>
    <t>EMP. CULATA TAPA VALVULA SAMSUNG SM5 03-08 ORIGINAL</t>
  </si>
  <si>
    <t>EMP. CULATA TOY.</t>
  </si>
  <si>
    <t>EMP. CULATA TOYOTA YARIS</t>
  </si>
  <si>
    <t>EMP. CULATA TOYOTA . 2.8 3L</t>
  </si>
  <si>
    <t>EMP. CULATA TOYOTA 2.0 3S</t>
  </si>
  <si>
    <t>EMP. CULATA TOYOTA 4A</t>
  </si>
  <si>
    <t>EMP. CULATA TOYOTA 4Y E-8</t>
  </si>
  <si>
    <t>EMP. CULATA TOYOTA RAV 4</t>
  </si>
  <si>
    <t>EMP. CULATA TOYOTS YARIS E-5</t>
  </si>
  <si>
    <t>EMP. CULATA TY TERCEL 5E</t>
  </si>
  <si>
    <t>EMP. CULATA TY. 1.3 A 2A</t>
  </si>
  <si>
    <t>EMP. CULATA TY. 22R</t>
  </si>
  <si>
    <t>TY30918</t>
  </si>
  <si>
    <t>EMP. CULATA TY. 2RZ</t>
  </si>
  <si>
    <t>EMP. CULATA TY. 3K KGK</t>
  </si>
  <si>
    <t>EMP. CULATA TY. 4A 1.6 16v.</t>
  </si>
  <si>
    <t>EMP. CULATA TY. 4A 16V.</t>
  </si>
  <si>
    <t>EMP. CULATA TY. 4Y</t>
  </si>
  <si>
    <t>EMP. CULATA TY. DINA 3000 B</t>
  </si>
  <si>
    <t>EMP. CULATA TY. HILUX 1.6 12R 73-83</t>
  </si>
  <si>
    <t>EMP. CULATA TY. HILUX 2Y - 3Y E-8</t>
  </si>
  <si>
    <t>EMP. CULATA TY. HILUX 3.0 1 mm</t>
  </si>
  <si>
    <t>EMP. CULATA TY. HILUX 4Y GREAT WALL</t>
  </si>
  <si>
    <t>EMP. CULATA TY. TERCEL 1.5 5E 95/</t>
  </si>
  <si>
    <t>EMP. CULATA TY. TERCEL 1.5 5E JAPAN</t>
  </si>
  <si>
    <t>EMP. CULATA TY. TERCEL 2E</t>
  </si>
  <si>
    <t>EMP. CULATA TY. TERCEL 2E E-7</t>
  </si>
  <si>
    <t>EMP. CULATA TY. TERCEL 2E E-6</t>
  </si>
  <si>
    <t>EMP. CULATA TY. TERCEL 5E</t>
  </si>
  <si>
    <t>EMP. CULATA TY. YARIS 99/ TOTO</t>
  </si>
  <si>
    <t>EMP. CULATA TY. YARIS ERISTIC</t>
  </si>
  <si>
    <t>EMP. CULATA TY. YARIS METALICA</t>
  </si>
  <si>
    <t>EMP. TAPA. VAL. DELGADA. CHEV CORSA / DAEWOO</t>
  </si>
  <si>
    <t>EMP. TAPA. VAL. BESTA 2.2</t>
  </si>
  <si>
    <t>EMP. TAPA. VAL. CHEV CORSA 16V</t>
  </si>
  <si>
    <t>EMP. TAPA. VAL. CHEV DMAX 3.0 / LUV 2.5 / 2.8</t>
  </si>
  <si>
    <t>EMP. TAPA. VAL. CHEV LUV 2.2 / S-10</t>
  </si>
  <si>
    <t>EMP. TAPA. VAL. CHEV LUV S10</t>
  </si>
  <si>
    <t>EMP. TAPA. VAL. CHEV SPARK / DW MATIZ</t>
  </si>
  <si>
    <t>v 39693 vm</t>
  </si>
  <si>
    <t>EMP. TAPA. VAL. CHEV. 250 230</t>
  </si>
  <si>
    <t>EMP. TAPA. VAL. CHEV. ASTRA VECTRA NUBIRA BHORKE</t>
  </si>
  <si>
    <t>EMP. TAPA. VAL. CHEV. AVEO VIVANT DW.</t>
  </si>
  <si>
    <t>EMP. TAPA. VAL. CHEV. CRUZE SONIC</t>
  </si>
  <si>
    <t>EMP. TAPA. VAL. CHEV. D-MAX</t>
  </si>
  <si>
    <t>EMP. TAPA. VAL. CHEV. LUV 2.0 1.8</t>
  </si>
  <si>
    <t>EMP. TAPA. VAL. CHEV. MONZA CORCHO</t>
  </si>
  <si>
    <t>EMP. TAPA. VAL. CHEVROLET / DAEWOO</t>
  </si>
  <si>
    <t>EMP. TAPA. VAL. CRYSLER</t>
  </si>
  <si>
    <t>EMP. TAPA. VAL. DAEWOO</t>
  </si>
  <si>
    <t>EMP. TAPA. VAL. DAEWOO 2.0</t>
  </si>
  <si>
    <t>EMP. TAPA. VAL. DAEWOO MATIZ / TICO</t>
  </si>
  <si>
    <t>EMP. TAPA. VAL. DAIH. CHARADE</t>
  </si>
  <si>
    <t>CP2.5-2651</t>
  </si>
  <si>
    <t>EMP. TAPA. VAL. DAIHATSU CHARMANT</t>
  </si>
  <si>
    <t>EMP. TAPA. VAL. HONDA ACCORD 2.0 / 2.2</t>
  </si>
  <si>
    <t>EMP. TAPA. VAL. HY ACCENT / KIA</t>
  </si>
  <si>
    <t>HU01265</t>
  </si>
  <si>
    <t>EMP. TAPA. VAL. HY ELANTRA 1.8 2.0 TUCSON 2.0</t>
  </si>
  <si>
    <t>EMP. TAPA. VAL. HY EXCEL / MITS LANCER</t>
  </si>
  <si>
    <t>EMP. TAPA. VAL. HY H100 / MITS L200</t>
  </si>
  <si>
    <t>EMP. TAPA. VAL. HY H100 2.5 PETR. / MITSUBISHI</t>
  </si>
  <si>
    <t>EMP. TAPA. VAL. HY. ACCENT 06/11 RIO GETZ TOTO</t>
  </si>
  <si>
    <t>EMP. TAPA. VAL. HY. ACCENT 1.5 94/99</t>
  </si>
  <si>
    <t>EMP. TAPA. VAL. HY. H100 2.5 DIESEL</t>
  </si>
  <si>
    <t>EMP. TAPA. VAL. HYUNDAI H100 BENC.</t>
  </si>
  <si>
    <t>EMP. TAPA. VAL. KIA - MAZDA</t>
  </si>
  <si>
    <t>EMP. TAPA. VAL. KIA / MAZDA 1.6</t>
  </si>
  <si>
    <t>EMP. TAPA. VAL. KIA AVELLA / MAZDA</t>
  </si>
  <si>
    <t>EMP. TAPA. VAL. KIA BESTA / FRONTIER</t>
  </si>
  <si>
    <t>EMP. TAPA. VAL. KIA CAREN 1.8</t>
  </si>
  <si>
    <t>EMP. TAPA. VAL. KIA K2400</t>
  </si>
  <si>
    <t>EMP. TAPA. VAL. KIA MORNING / HY i10</t>
  </si>
  <si>
    <t>KR00370</t>
  </si>
  <si>
    <t>EMP. TAPA. VAL. KIA RIO 1.5 16V. 00/06</t>
  </si>
  <si>
    <t>EMP. TAPA. VAL. MAZDA B 2200</t>
  </si>
  <si>
    <t>EMP. TAPA. VAL. MAZDA FS</t>
  </si>
  <si>
    <t>EMP. TAPA. VAL. MAZDA MPV 3.0</t>
  </si>
  <si>
    <t>EMP. TAPA. VAL. NISSAN D21 2.4 KA24E</t>
  </si>
  <si>
    <t>EMP. TAPA. VAL. NS PRIMERA 2.0 96/03</t>
  </si>
  <si>
    <t>EMP. TAPA. VAL. NS SENTRA II 1.6 / V16</t>
  </si>
  <si>
    <t>VK500</t>
  </si>
  <si>
    <t>EMP. TAPA. VAL. NS TERRANO 2.5 DIESEL</t>
  </si>
  <si>
    <t>EMP. TAPA. VAL. NS. D21 KA24</t>
  </si>
  <si>
    <t>EMP. TAPA. VAL. NS. V16 GA16DNE</t>
  </si>
  <si>
    <t>EMP. TAPA. VAL. SUZUKI</t>
  </si>
  <si>
    <t>EMP. TAPA. VAL. SUZUKI 1.3 / 1.6</t>
  </si>
  <si>
    <t>EMP. TAPA. VAL. SUZUKI CELERIO ALTO 1.0</t>
  </si>
  <si>
    <t>EMP. TAPA. VAL. SUZUKI ST-90</t>
  </si>
  <si>
    <t>EMP. TAPA. VAL. SZ MARUTI / FRONTIER</t>
  </si>
  <si>
    <t>EMP. TAPA. VAL. SZ. MARUTI 800</t>
  </si>
  <si>
    <t>EMP. TAPA. VAL. TOYOTA COROLLA</t>
  </si>
  <si>
    <t>EMP. TAPA. VAL. TOYOTA HILUX 2.4</t>
  </si>
  <si>
    <t>EMP. TAPA. VAL. TY TERCEL 1.5 5E</t>
  </si>
  <si>
    <t>EMP. TAPA. VAL. TY. YARIS</t>
  </si>
  <si>
    <t>TY50420</t>
  </si>
  <si>
    <t>EMP. TAPA. VAL. TY. YARIS 99/</t>
  </si>
  <si>
    <t>EMPAQ.-CULATA-MITS-ECLIPSE</t>
  </si>
  <si>
    <t>EMPAQ. CULATA MITS. ECLIPSE</t>
  </si>
  <si>
    <t>EMPAQ. TAPA VALV. DMAX</t>
  </si>
  <si>
    <t>EMPAQUETADURA BELUMOIDE</t>
  </si>
  <si>
    <t>EMPAQUETADURA BELUMOIDE 1.5M</t>
  </si>
  <si>
    <t>ENCENDEDOR C/LUZ</t>
  </si>
  <si>
    <t>AIPS65019</t>
  </si>
  <si>
    <t>ENCENDEDOR CON LUZ</t>
  </si>
  <si>
    <t>ENCENDEDOR CON LUZ UNIVERSAL</t>
  </si>
  <si>
    <t>H1</t>
  </si>
  <si>
    <t>ENCHUFE AMPOLLETA H1</t>
  </si>
  <si>
    <t>H7</t>
  </si>
  <si>
    <t>ENCHUFE AMPOLLETA H7</t>
  </si>
  <si>
    <t>ENCHUFE CERAMICA 9004 / 6</t>
  </si>
  <si>
    <t>ENCHUFE CERAMICA H7</t>
  </si>
  <si>
    <t>P9006</t>
  </si>
  <si>
    <t>ENCHUFE CERAMICA P9006</t>
  </si>
  <si>
    <t>TCH-5909</t>
  </si>
  <si>
    <t>ENCHUFE HEMBRA 7 SAL. 24V</t>
  </si>
  <si>
    <t>AL-018-941002</t>
  </si>
  <si>
    <t>ENCHUFE HEMBRA 7 SALIDA</t>
  </si>
  <si>
    <t>SW803</t>
  </si>
  <si>
    <t>ENCHUFE MACHO</t>
  </si>
  <si>
    <t>TCH-5809</t>
  </si>
  <si>
    <t>ENCHUFE MACHO 7 SAL. 24V.</t>
  </si>
  <si>
    <t>AL-018-918002</t>
  </si>
  <si>
    <t>ENCHUFE MACHO 7 SALIDA</t>
  </si>
  <si>
    <t>ENCHUFE SILVIN H4 CERAMICA</t>
  </si>
  <si>
    <t>ENFRIADOR ACEITE NS. TERRANO 2.5</t>
  </si>
  <si>
    <t>ENFRIADOR ACEITE SONIC TRACKER</t>
  </si>
  <si>
    <t>ESPEJO--CHEV--N400</t>
  </si>
  <si>
    <t>ESPEJO CHEV N400</t>
  </si>
  <si>
    <t>ESPEJO CHEV AVEO DER. NEGRO MANUAL</t>
  </si>
  <si>
    <t>ESPEJO CHEV AVEO IZQ. NEGRO MANUAL</t>
  </si>
  <si>
    <t>ESPEJO CHEV LUV 2.2 08/ IZQ. NEGRO</t>
  </si>
  <si>
    <t>ESPDMAX</t>
  </si>
  <si>
    <t>ESPEJO CHEV. DMAX</t>
  </si>
  <si>
    <t>ACCH233202</t>
  </si>
  <si>
    <t>ESPEJO CHEV. LUV 2.3 89/ IZQ. NEGRO</t>
  </si>
  <si>
    <t>ESPEJO CHEV. LUV 89/ IZQ. CROMADO</t>
  </si>
  <si>
    <t>ACCH233201</t>
  </si>
  <si>
    <t>ESPEJO CHEV. LUV DER. NEGRO 89/</t>
  </si>
  <si>
    <t>ESPEJO CHEV. SAIL 1.4 ELECTR. DER.</t>
  </si>
  <si>
    <t>ESPEJO CHEV. SAIL 1.4 ELECTR. IZQ.</t>
  </si>
  <si>
    <t>ESPEJO CHEV. SAIL 1.5 16/ IZQ. ELECTR.</t>
  </si>
  <si>
    <t>ESPEJO CHEV. SAIL 1.5 DER. ELECTR.</t>
  </si>
  <si>
    <t>ESPEJO CHEV. SAIL 1.5 IZQ. ELECTR.</t>
  </si>
  <si>
    <t>ESPEJO CHV ASTRA DER.</t>
  </si>
  <si>
    <t>ESPEJO CHV ASTRA IZQ. 1999</t>
  </si>
  <si>
    <t>ESPEJO CHV AVEO DER. 2004 MANUAL</t>
  </si>
  <si>
    <t>ESPEJO CHV AVEO IZQ. 2006</t>
  </si>
  <si>
    <t>ESPEJO CHV CAVALIER DER.</t>
  </si>
  <si>
    <t>ESPEJO CHV CORSA EVOLUTION IZQ. 2003</t>
  </si>
  <si>
    <t>ESPEJO CHV CORSA EVOLUTION IZQ. MANUAL</t>
  </si>
  <si>
    <t>ESPEJO CHV LUV DER. 1989</t>
  </si>
  <si>
    <t>ESPEJO CHV LUV IZQ. 1989 CROMADO</t>
  </si>
  <si>
    <t>ESPEJO CHV. CHEVETTE 85/ RETROV.</t>
  </si>
  <si>
    <t>ESPEJO CHV. LUV. 89-96. DER. CROM.</t>
  </si>
  <si>
    <t>ESPEJO CITROEN BERLINGO</t>
  </si>
  <si>
    <t>IPS67208</t>
  </si>
  <si>
    <t>ESPEJO CROMADO UNIVERSAL</t>
  </si>
  <si>
    <t>ESPEJO DER KIA NEW RIO 1.4</t>
  </si>
  <si>
    <t>ESPEJO DER PUERTA SZ ALTO</t>
  </si>
  <si>
    <t>ESPEJO DER. CROM. 720 84/</t>
  </si>
  <si>
    <t>ESPEJO DER. ELECTR. CHEV SAIL</t>
  </si>
  <si>
    <t>MD10537</t>
  </si>
  <si>
    <t>ESPEJO DER. ELECTR. MAZDA 323 94/98</t>
  </si>
  <si>
    <t>FIAT</t>
  </si>
  <si>
    <t>ESPEJO DER. FIAT QUBO 2015</t>
  </si>
  <si>
    <t>H004418</t>
  </si>
  <si>
    <t>ESPEJO DER. HY NEW ACCENT 0/10</t>
  </si>
  <si>
    <t>H202660</t>
  </si>
  <si>
    <t>ESPEJO DER. HYUNDAI H1 08/</t>
  </si>
  <si>
    <t>ESPEJO DER. MAZDA B2000</t>
  </si>
  <si>
    <t>ESPEJO DER. NEGRO LUV. 98. CHINA.</t>
  </si>
  <si>
    <t>ESPEJO DER. SUNNY. NEGRO</t>
  </si>
  <si>
    <t>TY11818</t>
  </si>
  <si>
    <t>ESPEJO DER. TY COROLLA 88/92</t>
  </si>
  <si>
    <t>ESPEJO DER. TY TERCEL 95/99</t>
  </si>
  <si>
    <t>ESPEJO DER.ELECTR. MITS. LANCER 08/</t>
  </si>
  <si>
    <t>ESPEJO DER.ELECTR. NS TIIDA 2010/</t>
  </si>
  <si>
    <t>ESPEJO DW ESPERO DER.</t>
  </si>
  <si>
    <t>ESPEJO FORD RANGER DER. ELECTRICO</t>
  </si>
  <si>
    <t>HD20437</t>
  </si>
  <si>
    <t>ESPEJO HONDA CIVIC IZQ. 92/95</t>
  </si>
  <si>
    <t>ESPEJO HY ACCENT IZQ. MANUAL</t>
  </si>
  <si>
    <t>ESPEJO HY NEW ACCENT IZQ. 2006</t>
  </si>
  <si>
    <t>H004428</t>
  </si>
  <si>
    <t>TH-1203</t>
  </si>
  <si>
    <t>ESPEJO INTERIOR CHEV LUV</t>
  </si>
  <si>
    <t>ESPEJO INTERIOR UNIVERSAL</t>
  </si>
  <si>
    <t>HU00338</t>
  </si>
  <si>
    <t>ESPEJO IZQ ELECTRICO HY TUCSON 05/09</t>
  </si>
  <si>
    <t>ESPEJO IZQ KIA NEW RIO 1.4</t>
  </si>
  <si>
    <t>ESPEJO IZQ. CROMADO. LUV. 97/</t>
  </si>
  <si>
    <t>0T00108</t>
  </si>
  <si>
    <t>ESPEJO IZQ. ELECT. NS TIIDA 05/08</t>
  </si>
  <si>
    <t>ESPEJO IZQ. ELECTRICO NISSAN VERSA</t>
  </si>
  <si>
    <t>ESPEJO IZQ. HILUX 98/03</t>
  </si>
  <si>
    <t>ESPEJO IZQ. HY. ACCENT PRIME 00/03</t>
  </si>
  <si>
    <t>K402128</t>
  </si>
  <si>
    <t>ESPEJO IZQ. KIA FRONTIER II 2005/</t>
  </si>
  <si>
    <t>YT7038BL</t>
  </si>
  <si>
    <t>ESPEJO IZQ. NEGRO TY HILUX 98/03</t>
  </si>
  <si>
    <t>ESPEJO IZQ. TOYOTA YARIS 99/</t>
  </si>
  <si>
    <t>ESPEJO IZQ. TOYOTA HIACE</t>
  </si>
  <si>
    <t>TY11808</t>
  </si>
  <si>
    <t>ESPEJO IZQ. TY COROLLA 88/92</t>
  </si>
  <si>
    <t>TY40700</t>
  </si>
  <si>
    <t>ESPEJO IZQ. TY TERCEL 90/94</t>
  </si>
  <si>
    <t>ESPEJO IZQ.NEGRO CHEV LUV 89/</t>
  </si>
  <si>
    <t>KC00388</t>
  </si>
  <si>
    <t>ESPEJO KIA CERATO DER. 2010 ELECTRICO</t>
  </si>
  <si>
    <t>KC00378</t>
  </si>
  <si>
    <t>ESPEJO KIA CERATO IZQ. 2010</t>
  </si>
  <si>
    <t>ESPEJO KIA RIO 5 12/16 DER.</t>
  </si>
  <si>
    <t>ESPEJO LAT. CHEV. CORSA DER. NEGRO</t>
  </si>
  <si>
    <t>ESPEJO LAT. CHEV. CORSA IZQ.</t>
  </si>
  <si>
    <t>ESPEJO LAT. CHEV. LUV 89/ CROM. IZQ.</t>
  </si>
  <si>
    <t>ESPEJO LAT. CHEV. LUV 89/ NEGRO DER.</t>
  </si>
  <si>
    <t>ESPEJO LAT. CHEV. LUV 89/ NEGRO IZQ.</t>
  </si>
  <si>
    <t>ESPEJO LAT. CHEV. LUV 98/ CROM. DER.</t>
  </si>
  <si>
    <t>ESPEJO LAT. CHEV. LUV 98/ CROM. IZQ.</t>
  </si>
  <si>
    <t>ESPEJO LAT. CHEV. LUV 98/ NEGRO DER.</t>
  </si>
  <si>
    <t>ESPEJO LAT. CHEV. LUV 98/ NEGRO IZQ.</t>
  </si>
  <si>
    <t>ESPEJO LAT. FORD RANGER ELECTR. DER.</t>
  </si>
  <si>
    <t>ESPEJO LAT. IZQ.NEGRO CHEV LUV 89/96</t>
  </si>
  <si>
    <t>ESPEJO LAT. NS. NAVARA DER.</t>
  </si>
  <si>
    <t>ESPEJO LAT. NS. SENTRA B12 DER.</t>
  </si>
  <si>
    <t>ESPEJO LAT. NS. V16 IZQ.</t>
  </si>
  <si>
    <t>ESPEJO LAT. NS. XTRAIL IZQ.</t>
  </si>
  <si>
    <t>ESPEJO</t>
  </si>
  <si>
    <t>ESPEJO LATERAL</t>
  </si>
  <si>
    <t>NA036</t>
  </si>
  <si>
    <t>ESPEJO LATERAL CAMION</t>
  </si>
  <si>
    <t>ESPEJO LATERAL CROM. RECT.</t>
  </si>
  <si>
    <t>SW-5501</t>
  </si>
  <si>
    <t>ESPEJO LATERAL SZ MARUTI</t>
  </si>
  <si>
    <t>ESPEJO M. BENZ CAMION</t>
  </si>
  <si>
    <t>ESPEJO MITS. LANCER IZQ. ELECTRICO</t>
  </si>
  <si>
    <t>TH-1568</t>
  </si>
  <si>
    <t>ESPEJO NEGRO UNIVERSAL</t>
  </si>
  <si>
    <t>ESPEJO NS NAVARA 4X2 IZQ.</t>
  </si>
  <si>
    <t>ESPEJO NS NAVARA 4X4 IZQ.</t>
  </si>
  <si>
    <t>ESPEJO NS SENTRA 1.8 IZQ. ELECTRICO</t>
  </si>
  <si>
    <t>ESPEJO NS SENTRA 1.8 IZQ. MECANICO</t>
  </si>
  <si>
    <t>ESPEJO NS TIIDA DER.</t>
  </si>
  <si>
    <t>ESPEJO NS TIIDA DER. 05/08 ELECTRICO</t>
  </si>
  <si>
    <t>ESPEJO NS TIIDA DER. MANUAL</t>
  </si>
  <si>
    <t>OT00108</t>
  </si>
  <si>
    <t>ESPEJO NS TIIDA IZQ. 05/08 ELECTRICO</t>
  </si>
  <si>
    <t>ESPEJO NS TIIDA IZQ. MANUAL</t>
  </si>
  <si>
    <t>ESPEJO NS XTRAIL IZQ.</t>
  </si>
  <si>
    <t>ESPEJO NS. TIIDA 10/ DER. FIJO</t>
  </si>
  <si>
    <t>ACDT453212</t>
  </si>
  <si>
    <t>ESPEJO NS. TIIDA 2008/ IZQ.</t>
  </si>
  <si>
    <t>ESPEJO NS. TIIDA DERECHO</t>
  </si>
  <si>
    <t>ESPEJO NS. V16 IZQUIERDO</t>
  </si>
  <si>
    <t>ACDT233211</t>
  </si>
  <si>
    <t>ESPEJO NS. V16 DER. ABATIBLE</t>
  </si>
  <si>
    <t>ACDT233221</t>
  </si>
  <si>
    <t>ESPEJO NS. V16 DER. NEGRO FIJO</t>
  </si>
  <si>
    <t>ACDT233313</t>
  </si>
  <si>
    <t>ESPEJO NS. V16 INTERIOR</t>
  </si>
  <si>
    <t>ACDT233212</t>
  </si>
  <si>
    <t>ESPEJO NS. V16 IZQ. ABATIBLE</t>
  </si>
  <si>
    <t>ACDT233222</t>
  </si>
  <si>
    <t>ESPEJO NS. V16 IZQ. NEGRO FIJO</t>
  </si>
  <si>
    <t>ESPEJO NS. VERSA IZQ. ELECTR. N17X</t>
  </si>
  <si>
    <t>IPS67207</t>
  </si>
  <si>
    <t>IPS67607</t>
  </si>
  <si>
    <t>ESPEJO SILVERADO CAMION</t>
  </si>
  <si>
    <t>Z001490</t>
  </si>
  <si>
    <t>ESPEJO SZ CARRY IZQ.</t>
  </si>
  <si>
    <t>ESPEJO TERRANO IZQ. 2003.</t>
  </si>
  <si>
    <t>ESPEJO TY HILUX IZQ. CROMADO</t>
  </si>
  <si>
    <t>TY21160</t>
  </si>
  <si>
    <t>ESPEJO TY TERCEL 95/ DER.</t>
  </si>
  <si>
    <t>TY21170</t>
  </si>
  <si>
    <t>ESPEJO TY TERCEL 95/ IZQ.</t>
  </si>
  <si>
    <t>TY0090</t>
  </si>
  <si>
    <t>ESPEJO TY YARIS DER. 2006 MECANICO</t>
  </si>
  <si>
    <t>ESPEJO TY YARIS DER. MANUAL</t>
  </si>
  <si>
    <t>TY0089</t>
  </si>
  <si>
    <t>ESPEJO TY YARIS IZQ. 2006</t>
  </si>
  <si>
    <t>ESPEJO TY YARIS IZQ. MANUAL</t>
  </si>
  <si>
    <t>ESPEJO TY. COROLLA 09/10 IZQ. ELECT</t>
  </si>
  <si>
    <t>ESPEJO TY. COROLLA 1.6 08/10 IZQUIERDO</t>
  </si>
  <si>
    <t>ESPEJO TY. COROLLA 1Z 3Z DER.</t>
  </si>
  <si>
    <t>TY21150</t>
  </si>
  <si>
    <t>ESPEJO TY. YARIS 05/ IZQ. ELECTR.</t>
  </si>
  <si>
    <t>TY51268</t>
  </si>
  <si>
    <t>ESPEJO TY. YARIS 06/ DER. ELECTR.</t>
  </si>
  <si>
    <t>TY51258</t>
  </si>
  <si>
    <t>ESPEJO TY. YARIS 06/ IZQ. ELECTR.</t>
  </si>
  <si>
    <t>ESPEJO TY. YARIS 14/16 DER. S/LUZ</t>
  </si>
  <si>
    <t>ESPEJO TY. YARIS 14/17 IZQ. ELECTR. S/LUZ</t>
  </si>
  <si>
    <t>ACTY513211</t>
  </si>
  <si>
    <t>ESPEJO TY. YARIS 2014/ DER. ELECTR.</t>
  </si>
  <si>
    <t>ESPEJO UNIVERSAL</t>
  </si>
  <si>
    <t>ESPEJO VW. GOL IZQ. MANUAL 2 PUERTA</t>
  </si>
  <si>
    <t>ESPEJO-KIA-MORNING</t>
  </si>
  <si>
    <t>ESPEJO KIA MORNING 11/</t>
  </si>
  <si>
    <t>ESPEJO-CELERIO</t>
  </si>
  <si>
    <t>ESPEJO SZ. CELERIO</t>
  </si>
  <si>
    <t>ESPIRAL CHEV. CORSA DEL.</t>
  </si>
  <si>
    <t>ESPIRAL DEL. NS. V.16</t>
  </si>
  <si>
    <t>ESPIRAL HY. ACCENT RB DELANTERO PAR</t>
  </si>
  <si>
    <t>ESPIRAL HY. ACCENT RB DELANTERO</t>
  </si>
  <si>
    <t>ESPIRAL HY. ACCENT RB TRASERO</t>
  </si>
  <si>
    <t>ESPIRAL NS. TIIDA DEL. WURTEX (u)</t>
  </si>
  <si>
    <t>ESPIRAL NS. TIIDA TRAS. WURTEX (u)</t>
  </si>
  <si>
    <t>ESPIRAL TRAS NISSAN V16</t>
  </si>
  <si>
    <t>ESPIRAL TY. YARIS 06/13 DELANTERO UNIDAD</t>
  </si>
  <si>
    <t>ESPIRAL TY. YARIS 14/17 DEL. U.</t>
  </si>
  <si>
    <t>ESPIRAL TY. YARIS 14/17 TRASERO PAR</t>
  </si>
  <si>
    <t>ESPIRAL TY. YARIS 99/05 DEL.</t>
  </si>
  <si>
    <t>ESPUMA POLIURETANO SPRAY 3M 250ML</t>
  </si>
  <si>
    <t>FAROL CHEV. LUV 97/ TRAS. DER.</t>
  </si>
  <si>
    <t>L110080</t>
  </si>
  <si>
    <t>FAROL CHEV. LUV PTA. DER. 89/96 CROM.</t>
  </si>
  <si>
    <t>FAROL CHEV. LUV.89. TRAS. IZQ.</t>
  </si>
  <si>
    <t>FAROL NS. D21 TRAS. IZQ. TYC</t>
  </si>
  <si>
    <t>FAROL NS. V16 95/98 PTA. IZQ.</t>
  </si>
  <si>
    <t>peugeot0</t>
  </si>
  <si>
    <t>PEUGEOT</t>
  </si>
  <si>
    <t>FAROL TRASERO PEUGEOT BIPPER</t>
  </si>
  <si>
    <t>TY00520</t>
  </si>
  <si>
    <t>FAROL TY. HILUX 98/2001 IZQ. GRIS</t>
  </si>
  <si>
    <t>FMUN005102</t>
  </si>
  <si>
    <t>FAROL 6052 12V. RECTANGULAR</t>
  </si>
  <si>
    <t>FAROL CHEV DMAX</t>
  </si>
  <si>
    <t>FTRASSPATK</t>
  </si>
  <si>
    <t>FTRSP</t>
  </si>
  <si>
    <t>FAROL CHEV SPARK TRAS</t>
  </si>
  <si>
    <t>FAROL CHEV. AVEO TRAS. DER. 07/</t>
  </si>
  <si>
    <t>FAROL CHEV. CORSA 00/ IZQ.</t>
  </si>
  <si>
    <t>FAROL CHEV. CORSA 00/ TRAS. DER.</t>
  </si>
  <si>
    <t>FAROL CHEV. CORSA 3 PTA PICH UP 00/08 TRAS. IZQ. F10-30</t>
  </si>
  <si>
    <t>FAROL CHEV. CORSA OPTICO DER.</t>
  </si>
  <si>
    <t>FAROL CHEV. CORSA TRAS. DER.</t>
  </si>
  <si>
    <t>FAROL CHEV. CORSA TRAS. DER. 3PTA</t>
  </si>
  <si>
    <t>FAROL CHEV. CORSA. PUNTA DER</t>
  </si>
  <si>
    <t>FAROL CHEV. D-MAX 09/14 DER</t>
  </si>
  <si>
    <t>FAROL CHEV. D-MAX 09/14 IZQ.</t>
  </si>
  <si>
    <t>FAROL CHEV. DMAX 02-07 TRAS. IZQ.</t>
  </si>
  <si>
    <t>FAROL CHEV. DMAX 07/11 TRAS. DER.</t>
  </si>
  <si>
    <t>FAROL CHEV. DMAX 14/ TRAS. DER.</t>
  </si>
  <si>
    <t>FAROL CHEV. DMAX 14/ TRAS. IZQ.</t>
  </si>
  <si>
    <t>FAROL CHEV. DMAX 2.5 15/17 TRAS. IZQ.</t>
  </si>
  <si>
    <t>L110360</t>
  </si>
  <si>
    <t>FAROL CHEV. DMAX 2005/9 TRAS. DER.</t>
  </si>
  <si>
    <t>FAROL CHEV. DMAX 2014/ TRAS. DER.</t>
  </si>
  <si>
    <t>FAROL CHEV. DMAX 2014/ TRAS. IZQ.</t>
  </si>
  <si>
    <t>FAROL CHEV. DMAX 2015/ TRAS. IZQ.</t>
  </si>
  <si>
    <t>FAROL CHEV. DMAX 2017/</t>
  </si>
  <si>
    <t>L110365</t>
  </si>
  <si>
    <t>FAROL CHEV. DMAX TRAS. 2005</t>
  </si>
  <si>
    <t>FMCH330701</t>
  </si>
  <si>
    <t>FAROL CHEV. LUV 97/ TRAS. DER</t>
  </si>
  <si>
    <t>YX08008YR</t>
  </si>
  <si>
    <t>FAROL CHEV. LUV 00-06 PARACH.</t>
  </si>
  <si>
    <t>FAROL CHEV. LUV 01-06 TRAS. IZQ.</t>
  </si>
  <si>
    <t>FAROL CHEV. LUV 02/ PTA. DER.</t>
  </si>
  <si>
    <t>L110160</t>
  </si>
  <si>
    <t>FAROL CHEV. LUV 02/ PTA. IZQ.</t>
  </si>
  <si>
    <t>L110100</t>
  </si>
  <si>
    <t>FAROL CHEV. LUV 02/ TRAS. DER.</t>
  </si>
  <si>
    <t>L110110</t>
  </si>
  <si>
    <t>FAROL CHEV. LUV 02/ TRAS. IZQ.</t>
  </si>
  <si>
    <t>FMCH331023</t>
  </si>
  <si>
    <t>FAROL CHEV. LUV 02/04 PATENTE</t>
  </si>
  <si>
    <t>FAROL CHEV. LUV 2.3 PUNTA DER.</t>
  </si>
  <si>
    <t>FAROL CHEV. LUV 2.3 PUNTA IZQ.</t>
  </si>
  <si>
    <t>FAROL CHEV. LUV 2.3 TRAS. DER.</t>
  </si>
  <si>
    <t>YX08075</t>
  </si>
  <si>
    <t>FAROL CHEV. LUV 89. PTA. IZQ. CROM.</t>
  </si>
  <si>
    <t>FMCH230312</t>
  </si>
  <si>
    <t>FAROL CHEV. LUV 89/ PTA. IZQ.</t>
  </si>
  <si>
    <t>FMCH230311</t>
  </si>
  <si>
    <t>FAROL CHEV. LUV 89/ PTA. DER.</t>
  </si>
  <si>
    <t>L110040</t>
  </si>
  <si>
    <t>L110050</t>
  </si>
  <si>
    <t>FAROL CHEV. LUV 89/ PTA. IZQ. NEGRO</t>
  </si>
  <si>
    <t>FMCH230702</t>
  </si>
  <si>
    <t>FAROL CHEV. LUV 89/ TRAS. IZQ.</t>
  </si>
  <si>
    <t>L110180</t>
  </si>
  <si>
    <t>FAROL CHEV. LUV 97/ TRAS. IZQ.</t>
  </si>
  <si>
    <t>L110140</t>
  </si>
  <si>
    <t>FAROL CHEV. LUV 97/2001 PTA. IZQ.</t>
  </si>
  <si>
    <t>L110150</t>
  </si>
  <si>
    <t>FAROL CHEV. LUV 97/2001 PTA. DER.</t>
  </si>
  <si>
    <t>FAROL CHEV. LUV 98/ PTA. DER.</t>
  </si>
  <si>
    <t>FAROL CHEV. LUV DMAX DER. 2010/</t>
  </si>
  <si>
    <t>L110367</t>
  </si>
  <si>
    <t>FAROL CHEV. LUV DMAX 05/09 TRAS. DER.</t>
  </si>
  <si>
    <t>FAROL CHEV. LUV DMAX 07/11 TRAS. DER. TYC</t>
  </si>
  <si>
    <t>FAROL CHEV. LUV DMAX 07/11 TRAS. IZQ.</t>
  </si>
  <si>
    <t>L110357</t>
  </si>
  <si>
    <t>FAROL CHEV. LUV DMAX TRAS. IZQ. 05/09</t>
  </si>
  <si>
    <t>FAROL CHEV. LUV DMAX TRAS. IZQ. 2010/</t>
  </si>
  <si>
    <t>FAROL CHEV. LUV PTA. 8/ IZQ.</t>
  </si>
  <si>
    <t>FAROL CHEV. LUV TRAS. 89/96 DER. AMBAR</t>
  </si>
  <si>
    <t>L110190</t>
  </si>
  <si>
    <t>FAROL CHEV. LUV TRAS. 97/ DER.</t>
  </si>
  <si>
    <t>FAROL CHEV. LUV TRAS. DER. 01-06</t>
  </si>
  <si>
    <t>FAROL CHEV. LUV TRAS. DER. 01/06</t>
  </si>
  <si>
    <t>FAROL CHEV. LUV TRAS. IZQ. 89/96 AMBAR</t>
  </si>
  <si>
    <t>FAROL CHEV. LUV TRAS. IZQ. 97/</t>
  </si>
  <si>
    <t>L110170</t>
  </si>
  <si>
    <t>FAROL CHEV. LUV. 02/ PTA. DER.</t>
  </si>
  <si>
    <t>FAROL CHEV. MONTANA TRAS.</t>
  </si>
  <si>
    <t>FAROL CHEV. SAIL 1.4 TRAS. DER. F15-56</t>
  </si>
  <si>
    <t>FAROL CHEV. SAIL 1.5 TRAS. DER.</t>
  </si>
  <si>
    <t>FAROL CHEV. SAIL 1.5 TRAS. IZQ.</t>
  </si>
  <si>
    <t>FAROL CHEV. SAIL 1.5 TRAS. IZQ. F10-32</t>
  </si>
  <si>
    <t>FMCH150702</t>
  </si>
  <si>
    <t>FMCH150702 0006932</t>
  </si>
  <si>
    <t>FAROL CHEV. SAIL 10-15 TRAS. IZQ.</t>
  </si>
  <si>
    <t>FMCH150701</t>
  </si>
  <si>
    <t>FAROL CHEV. SAIL 10-15 TRAS. DER.</t>
  </si>
  <si>
    <t>FAROL CHEV. SPARK GT 10/12 TRAS. DER.</t>
  </si>
  <si>
    <t>FAROL CHEV. SPARK GT 13/TRAS. IZQ.</t>
  </si>
  <si>
    <t>FAROL CHEV. ZAFIRA 1.6 00/03 TRAS. DER. F5-26</t>
  </si>
  <si>
    <t>FACHEV</t>
  </si>
  <si>
    <t>FAROL CHEVROLET</t>
  </si>
  <si>
    <t>FMCH330702</t>
  </si>
  <si>
    <t>FAROL CHEVROLET LUV IZQ. 97</t>
  </si>
  <si>
    <t>FAROL CITROEN BERLINGO</t>
  </si>
  <si>
    <t>ftriz-dw</t>
  </si>
  <si>
    <t>FTRIZDW</t>
  </si>
  <si>
    <t>FAROL DAEWOO NUBIRA TRAS. IZQ.</t>
  </si>
  <si>
    <t>H100260</t>
  </si>
  <si>
    <t>FAROL DEL. IZQ. HY H100 97/ FURGON</t>
  </si>
  <si>
    <t>FAROL DER. CHEV LUV 00/06</t>
  </si>
  <si>
    <t>Z100377</t>
  </si>
  <si>
    <t>FAROL DER. SZ BALENO</t>
  </si>
  <si>
    <t>FAROL DER. TRAS. CORSA 2010</t>
  </si>
  <si>
    <t>H703130</t>
  </si>
  <si>
    <t>FAROL DER.HY ACCENT 04/05</t>
  </si>
  <si>
    <t>FAROL ESQ.IZQ. GRIS TY HILUX</t>
  </si>
  <si>
    <t>FAROL ESQUINA TRAS DER MAZDA 323F</t>
  </si>
  <si>
    <t>FMDT230372</t>
  </si>
  <si>
    <t>FAROL FAROL PUNTA V-16 2001/ IZQ.</t>
  </si>
  <si>
    <t>FAROL FORD FOCO PUNTA DER.</t>
  </si>
  <si>
    <t>FAROL FORD FOCO PUNTA IZQ.</t>
  </si>
  <si>
    <t>FD80153</t>
  </si>
  <si>
    <t>FAROL FORD RANGER 93-97 TRAS. DER.</t>
  </si>
  <si>
    <t>FFORDTR</t>
  </si>
  <si>
    <t>FFORTR</t>
  </si>
  <si>
    <t>FAROL FORD RANGER TRAS</t>
  </si>
  <si>
    <t>FAROL HONDA FIT 1.3 TRAS. DER.</t>
  </si>
  <si>
    <t>FAROL HY. ACCENT 06/11 TRAS. IZQ. F10-34</t>
  </si>
  <si>
    <t>FATRACCENT</t>
  </si>
  <si>
    <t>FAROL HY. ACCENT RB 11/ TRAS. IZQ.</t>
  </si>
  <si>
    <t>FAROL HY. ACCENT RB 11/14 DER</t>
  </si>
  <si>
    <t>FAROL HY. ELANTRA 2011/ TRAS. EXTERIOR DER.</t>
  </si>
  <si>
    <t>FAROL HY. I10 14/20 TRAS. IZQ. F5-27</t>
  </si>
  <si>
    <t>AIPS076075</t>
  </si>
  <si>
    <t>FAROL INTERIOR NISSAN REDONDO</t>
  </si>
  <si>
    <t>FAROL ISUZU</t>
  </si>
  <si>
    <t>K501430</t>
  </si>
  <si>
    <t>FAROL KIA NEW RIO 1.4 06/10 TRAS. IZQ.</t>
  </si>
  <si>
    <t>FAROL LUZ FRENO LED</t>
  </si>
  <si>
    <t>FMMT090732</t>
  </si>
  <si>
    <t>FAROL MIT. L-200 19/21 TRAS. IZQ.</t>
  </si>
  <si>
    <t>FAROL MIT. L200 2016 TRAS. DER.</t>
  </si>
  <si>
    <t>FMMT090731</t>
  </si>
  <si>
    <t>FAROL MITS. L-200 19/21 TRAS. DER.</t>
  </si>
  <si>
    <t>FAROL MITS. L200 2016/ TRAS. DER.</t>
  </si>
  <si>
    <t>FAROL MITS. L200 02/06 TRAS. IZQ. TYC</t>
  </si>
  <si>
    <t>SB14357</t>
  </si>
  <si>
    <t>FAROL MITS. L200 07/16 TRAS. DER.</t>
  </si>
  <si>
    <t>FAROL MITS. L200 2006/15 TRAS. IZQ.</t>
  </si>
  <si>
    <t>FMMT090711</t>
  </si>
  <si>
    <t>FAROL MITS. L200 2016/ DER.</t>
  </si>
  <si>
    <t>FMMT090712</t>
  </si>
  <si>
    <t>FAROL MITS. L200 2016/ IZQ.</t>
  </si>
  <si>
    <t>FAROL MITS. L200 2016/ TRAS. IZQ.</t>
  </si>
  <si>
    <t>MT40337</t>
  </si>
  <si>
    <t>FAROL MITS. LANCER 1.6 01/03 TRAS. DER. F15-57</t>
  </si>
  <si>
    <t>MT40467</t>
  </si>
  <si>
    <t>FAROL MITS. LANCER 92/95 PTA. IZQ.</t>
  </si>
  <si>
    <t>MT40487</t>
  </si>
  <si>
    <t>FAROL MITS. LANCER 99/01 PTA. IZQ.</t>
  </si>
  <si>
    <t>MDA0267</t>
  </si>
  <si>
    <t>FAROL MZ. ARTIS 95-96 PTA. IZQ.</t>
  </si>
  <si>
    <t>MDA0277</t>
  </si>
  <si>
    <t>FAROL MZ. ARTIS 95/96 PTA. DER. TYC</t>
  </si>
  <si>
    <t>FAROL MZ. BT50 99-11 TRAS. IZQ.</t>
  </si>
  <si>
    <t>FAROL NS. 720 PTA. IZQ. CINTA NARANJA</t>
  </si>
  <si>
    <t>FAROL NS. 720 PUNTA DER.</t>
  </si>
  <si>
    <t>FMDT130721</t>
  </si>
  <si>
    <t>FAROL NS. 720. 87-92 TRAS. DER.</t>
  </si>
  <si>
    <t>FAROL NS. 720. 87-92 TRAS. IZQ.</t>
  </si>
  <si>
    <t>FAROL NS. D-21 2000/ BLANCO DER.</t>
  </si>
  <si>
    <t>FAROL NS. D-21 PTA. IZQ.</t>
  </si>
  <si>
    <t>FAROL NS. D21 TRAS. DER.</t>
  </si>
  <si>
    <t>FAROL NS. D21 94/ TRAS. IZQ</t>
  </si>
  <si>
    <t>FAROL NS. D21 IZQ. GRIS</t>
  </si>
  <si>
    <t>FAROL NS. D21 PATENTE</t>
  </si>
  <si>
    <t>FAROL NS. D21 PTA. DER.</t>
  </si>
  <si>
    <t>FAROL NS. D21 PTA. DER. CROM.</t>
  </si>
  <si>
    <t>FAROL NS. D21 PTA. DER. TYC</t>
  </si>
  <si>
    <t>FMDT140332</t>
  </si>
  <si>
    <t>FAROL NS. D21 PTA. IZQ.</t>
  </si>
  <si>
    <t>FAROL NS. D21 PTA. IZQ. TYC</t>
  </si>
  <si>
    <t>FAROL NS. D21 PUNTA DER. GRIS</t>
  </si>
  <si>
    <t>FAROL NS. D22 TRAS. DER. 2011/</t>
  </si>
  <si>
    <t>FAROL NS. N300 TRAS. DER TYC</t>
  </si>
  <si>
    <t>FAROL NS. NAVARA 07/ TRAS. DER.</t>
  </si>
  <si>
    <t>FAROL NS. NAVARA 07/ TRAS. IZQ.</t>
  </si>
  <si>
    <t>FAROL NS. NAVARA 10-13 DER.</t>
  </si>
  <si>
    <t>FAROL NS. NAVARA 10-13 TRAS. IZQ.</t>
  </si>
  <si>
    <t>ON00148</t>
  </si>
  <si>
    <t>FAROL NS. NAVARA 2.5 07/13 TRAS. DER.</t>
  </si>
  <si>
    <t>ON00158</t>
  </si>
  <si>
    <t>FAROL NS. NAVARA 2.5 07/13 TRAS. IZQ.</t>
  </si>
  <si>
    <t>FAROL NS. NP300 15/ TRAS. DER.</t>
  </si>
  <si>
    <t>FMDT810711</t>
  </si>
  <si>
    <t>FAROL NS. NP300 TRAS. DER.</t>
  </si>
  <si>
    <t>FMDT810712</t>
  </si>
  <si>
    <t>FAROL NS. NP300 TRAS. IZQ.</t>
  </si>
  <si>
    <t>FTNP300</t>
  </si>
  <si>
    <t>FAROL NS. NP300 TRASERO</t>
  </si>
  <si>
    <t>FAROL NS. SENTRA 1.8 2006/ DER.</t>
  </si>
  <si>
    <t>FAROL NS. SENTRA 89/ PTA. DER.</t>
  </si>
  <si>
    <t>FAROL NS. SENTRA B15 1.8 TRAS. IZQ. 06/</t>
  </si>
  <si>
    <t>FAROL NS. SENTRA PTA. II 98 DER.</t>
  </si>
  <si>
    <t>FAROL NS. SENTRA PTA. II 98 IZQ</t>
  </si>
  <si>
    <t>FAROL NS. SUNNY PARACH. DER.</t>
  </si>
  <si>
    <t>FAROL NS. SUNNY PARACH. IZQ.</t>
  </si>
  <si>
    <t>FAROL NS. TERRANO 2.5 TRAS. 01/9 IZQ.</t>
  </si>
  <si>
    <t>FAROL NS. TERRANO 97-2009 TRAS. IZQ.</t>
  </si>
  <si>
    <t>FAROL NS. TERRANO TRAS. 01/09 DER.</t>
  </si>
  <si>
    <t>FAROL NS. TIIDA 05/16 TRAS. IZQ.</t>
  </si>
  <si>
    <t>FMDT450701</t>
  </si>
  <si>
    <t>FAROL NS. TIIDA 06/ DER. TRAS. F10-33</t>
  </si>
  <si>
    <t>FMDT450702</t>
  </si>
  <si>
    <t>FAROL NS. TIIDA 06/ IZQ. TRAS. F10-33 32</t>
  </si>
  <si>
    <t>FAROL NS. TIIDA TRAS. DER.</t>
  </si>
  <si>
    <t>FAROL NS. TIIDA TRAS. DER. F5-57 F15-57</t>
  </si>
  <si>
    <t>FAROL NS. TIIDA TRAS. IZQ.</t>
  </si>
  <si>
    <t>FAROL NS. V-16 . 2000 PTA. IZQ.</t>
  </si>
  <si>
    <t>FAROL NS. V-16 94/98 PTA. DER.</t>
  </si>
  <si>
    <t>FAROL NS. V-16 STATION PTA. DER.</t>
  </si>
  <si>
    <t>FAROL NS. V16 TRAS. 03-05 DERECHO</t>
  </si>
  <si>
    <t>FAROL NS. V16 00/03 TRAS. DER</t>
  </si>
  <si>
    <t>FAROL NS. V16 00/03 TRAS. IZQ.</t>
  </si>
  <si>
    <t>FAROL NS. V16 05/10 DER.</t>
  </si>
  <si>
    <t>FAROL NS. V16 200/ PTA. IZQ.</t>
  </si>
  <si>
    <t>FAROL NS. V16 2005/ TRAS. IZQ.</t>
  </si>
  <si>
    <t>FMDT230752</t>
  </si>
  <si>
    <t>FMDT230711</t>
  </si>
  <si>
    <t>FAROL NS. V16 94/97 TRAS. DER.</t>
  </si>
  <si>
    <t>FAROL NS. V16 DER</t>
  </si>
  <si>
    <t>FMDT235182</t>
  </si>
  <si>
    <t>FAROL NS. V16 OPTICO 2005 IZQ. AZUL</t>
  </si>
  <si>
    <t>FAROL NS. V16 PTA. 02-10 DER. BLANCO</t>
  </si>
  <si>
    <t>FAROL NS. V16 PTA. 02-10 IZQ. BLANCO</t>
  </si>
  <si>
    <t>FMDT230371</t>
  </si>
  <si>
    <t>FAROL NS. V16 PTA. 2001/ DER.</t>
  </si>
  <si>
    <t>FAROL NS. V16 TRAS. 03-05 IZQ.</t>
  </si>
  <si>
    <t>FAROL NS. V16 TRAS. 05-10 DER.</t>
  </si>
  <si>
    <t>FAROL NS. V16 TRAS. 05-10 DER. BORDE NEGRO</t>
  </si>
  <si>
    <t>FAROL NS. V16 TRAS. 05-10 IZQ.</t>
  </si>
  <si>
    <t>FAROL NS. V16 TRAS. 2005/ DER.</t>
  </si>
  <si>
    <t>FAROL OPTICO CON LED RECTANGULAR JG.</t>
  </si>
  <si>
    <t>TY41087</t>
  </si>
  <si>
    <t>FAROL OPTICO TY. TERCEL 98 IZQ.</t>
  </si>
  <si>
    <t>FAROL P300 TRAS. DER.</t>
  </si>
  <si>
    <t>YX0800YR</t>
  </si>
  <si>
    <t>FAROL PARACH. DER. CHV LUV 00/06</t>
  </si>
  <si>
    <t>FARPAR</t>
  </si>
  <si>
    <t>FAROL PARACH. DONGFENG</t>
  </si>
  <si>
    <t>YX08008YL</t>
  </si>
  <si>
    <t>FAROL PARACH. IZQ. CHV LUV 00/06</t>
  </si>
  <si>
    <t>FAROL PATENTE CHEV LUV 89/</t>
  </si>
  <si>
    <t>FAROL PATENTE LUV 97/</t>
  </si>
  <si>
    <t>FAROL PINTA IZQ. CHE. LUV 89/97 NEGRO DER.</t>
  </si>
  <si>
    <t>X-BA-226</t>
  </si>
  <si>
    <t>FAROL PLAFONIER C/AMPOLLETA</t>
  </si>
  <si>
    <t>FAROL PTA. CHV ASTRA 92/94</t>
  </si>
  <si>
    <t>FAROL PTA. CHV LUV DER. 1997</t>
  </si>
  <si>
    <t>FAROL PTA. CHV LUV IZQ. 00/06</t>
  </si>
  <si>
    <t>FAROL PTA. CITROEN XANTIA II</t>
  </si>
  <si>
    <t>FAROL PTA. CITROEN XANTIA II IZQ.</t>
  </si>
  <si>
    <t>FAROL PTA. DEL.IZQ NISSAN D21</t>
  </si>
  <si>
    <t>FAROL PTA. DER. ASTRA 95/98</t>
  </si>
  <si>
    <t>FAROL PTA. DER. NS TERRANO 98/01</t>
  </si>
  <si>
    <t>M1A172A</t>
  </si>
  <si>
    <t>FAROL PTA. DERECHO</t>
  </si>
  <si>
    <t>FD80133</t>
  </si>
  <si>
    <t>FAROL PTA. FORD RANGER DER. 93/97</t>
  </si>
  <si>
    <t>FAROL PTA. FORD RANGER IZQ. 93/ 97</t>
  </si>
  <si>
    <t>F02520118</t>
  </si>
  <si>
    <t>FAROL PTA. FROD RANGER 93/97</t>
  </si>
  <si>
    <t>ES4625</t>
  </si>
  <si>
    <t>FAROL PTA. HY ACCENT DER. 99/03</t>
  </si>
  <si>
    <t>H702417</t>
  </si>
  <si>
    <t>FAROL PTA. HY. ELANTRA 1.5 93</t>
  </si>
  <si>
    <t>H702407</t>
  </si>
  <si>
    <t>FAROL PTA. HY. ELANTRA 1.5 93 IZQ.</t>
  </si>
  <si>
    <t>FAROL PTA. IZQ. CHEV LUV 97/</t>
  </si>
  <si>
    <t>FAROL PTA. IZQ. FORD RANGER 93/97</t>
  </si>
  <si>
    <t>FAROL PTA. IZQ. MAZDA B2200</t>
  </si>
  <si>
    <t>FAROL PTA. IZQ. NS TERRANO 98/01</t>
  </si>
  <si>
    <t>FAROL PTA. IZQ. V16 STATION</t>
  </si>
  <si>
    <t>TY1020042</t>
  </si>
  <si>
    <t>FAROL PTA. NS V16 DER. 2002</t>
  </si>
  <si>
    <t>FAROL PTA. NS V16 IZQ 2000</t>
  </si>
  <si>
    <t>FAROL PTA. NS V16 STATION DER.</t>
  </si>
  <si>
    <t>FAROL PTA. NS. V15 05/ IZQ.</t>
  </si>
  <si>
    <t>FAROL PTA. NS. V16 2000/ DER</t>
  </si>
  <si>
    <t>FAROL PTA. NS. V16 2000/ DER.</t>
  </si>
  <si>
    <t>FAROL PTA. NS.D21 IZQ. CROMADA</t>
  </si>
  <si>
    <t>FAROL PTA. SZ MARUTI 98 PAR</t>
  </si>
  <si>
    <t>FAROL PTA. TRAS IZQ. CHV. CORSA PICK 2000</t>
  </si>
  <si>
    <t>TY32037</t>
  </si>
  <si>
    <t>FAROL PTA. TY HILUX DER. 98/01</t>
  </si>
  <si>
    <t>TY00067</t>
  </si>
  <si>
    <t>FAROL PTA. TY HILUX IZQ. 98/01</t>
  </si>
  <si>
    <t>TY30010</t>
  </si>
  <si>
    <t>FAROL PTA. TY TERCEL IZQ. 95/97</t>
  </si>
  <si>
    <t>TY00066</t>
  </si>
  <si>
    <t>FAROL PTA. TY. HILUX 98/01 DER.</t>
  </si>
  <si>
    <t>TY40793</t>
  </si>
  <si>
    <t>FAROL PTA. TY. TERCEL 98/</t>
  </si>
  <si>
    <t>TY40783</t>
  </si>
  <si>
    <t>FAROL PTA. TY. TERCEL 98/ IZQ.</t>
  </si>
  <si>
    <t>TY32047</t>
  </si>
  <si>
    <t>FAROL PTA.DEL.IZQ. TY HILUX 98/01</t>
  </si>
  <si>
    <t>FAROL PUNTA DER CHEV LUV 89/</t>
  </si>
  <si>
    <t>FAROL PUNTA DER. CHEV. LUV 89/97 AMBRA/NEGRO</t>
  </si>
  <si>
    <t>FAROL PUNTA IZQ MAZDA 323F IZQ.</t>
  </si>
  <si>
    <t>FAROL PUNTA IZQ. MITS. LANCER 97/98</t>
  </si>
  <si>
    <t>K600513</t>
  </si>
  <si>
    <t>FAROL PUNTA KIA AVELLA 97/2000. IZQ.</t>
  </si>
  <si>
    <t>FAROL PUNTA MAZDA ARTIS IZQ.</t>
  </si>
  <si>
    <t>FAROL PUNTA OPEL VECTRA DER.</t>
  </si>
  <si>
    <t>FAROL PUNTA V-16 2000/</t>
  </si>
  <si>
    <t>FAROL PUNTA.DER MITS. LANCER 97/98</t>
  </si>
  <si>
    <t>FAROL RAS. MAZDA BT-50 2007/09 DER.</t>
  </si>
  <si>
    <t>RBB482</t>
  </si>
  <si>
    <t>FAROL RECTANGULAR FAENERO</t>
  </si>
  <si>
    <t>FAROL REDONDO AMBAR</t>
  </si>
  <si>
    <t>FAROL REDONDO ROJO</t>
  </si>
  <si>
    <t>FAROL SM3 07/14 TRAS. DER.</t>
  </si>
  <si>
    <t>FAROL SM3 07/14 TRAS. IZQ.</t>
  </si>
  <si>
    <t>FTSA</t>
  </si>
  <si>
    <t>FAROL SUZUKI ALTO TRASERO</t>
  </si>
  <si>
    <t>FAROL TAPABARRO CHEV. SAIL 1.4</t>
  </si>
  <si>
    <t>FAROL TRAS ACTYON</t>
  </si>
  <si>
    <t>FAROL TRAS CHRYSLER RAM 1.5 IZQ.</t>
  </si>
  <si>
    <t>FD80537</t>
  </si>
  <si>
    <t>FAROL TRAS DER FORD RANGER</t>
  </si>
  <si>
    <t>FAROL TRAS DER SM3</t>
  </si>
  <si>
    <t>FD80527</t>
  </si>
  <si>
    <t>FAROL TRAS IZQ FORD RANGER</t>
  </si>
  <si>
    <t>FAROL TRAS IZQ FORD RANGER ARG 2010/</t>
  </si>
  <si>
    <t>FAROL TRAS IZQ. MAZDA BT50</t>
  </si>
  <si>
    <t>FTRTY</t>
  </si>
  <si>
    <t>FAROL TRAS TY. HILUX C/ AMPOLLETAS</t>
  </si>
  <si>
    <t>XMNN16C01402338N</t>
  </si>
  <si>
    <t>FAROL tras. actyon der</t>
  </si>
  <si>
    <t>FAROL TRAS. ACTYON IZQ</t>
  </si>
  <si>
    <t>FAROL TRAS. BT50 DER</t>
  </si>
  <si>
    <t>FAROL TRAS. BT50 IZQ.</t>
  </si>
  <si>
    <t>X-BA-034</t>
  </si>
  <si>
    <t>FAROL TRAS. CARRO ARRASTRE LED</t>
  </si>
  <si>
    <t>L110022</t>
  </si>
  <si>
    <t>FAROL TRAS. CHEV. . LUV. 89/96 DER.</t>
  </si>
  <si>
    <t>FAROL TRAS. CHEV. CORSA</t>
  </si>
  <si>
    <t>FAROL TRAS. CHEV. CORSA 3 PUERTA IZQ. 00/</t>
  </si>
  <si>
    <t>FAROL TRAS. CHEV. CORSA 5 PTA. DER. CAMIONETA</t>
  </si>
  <si>
    <t>FAROL TRAS. CHEV. CORSA 5 PUERTA IZQ. CAMIONETA</t>
  </si>
  <si>
    <t>FAROL TRAS. CHEV. CORSA IZQ. 00/08 SEDAN</t>
  </si>
  <si>
    <t>FAROL TRAS. CHEV. DMAX 2005/ IZQ.</t>
  </si>
  <si>
    <t>FAROL TRAS. CHEV. LUV 2002/ DER.</t>
  </si>
  <si>
    <t>L110117</t>
  </si>
  <si>
    <t>FAROL TRAS. CHEV. LUV 2002/ IZQ.</t>
  </si>
  <si>
    <t>FAROL TRAS. CHEV. LUV 89/ IZQ.</t>
  </si>
  <si>
    <t>FAROL TRAS. CHEV. LUV- 89. IZQ-</t>
  </si>
  <si>
    <t>FAROL TRAS. CHEV. LUV-89. DER.</t>
  </si>
  <si>
    <t>FAROL TRAS. CHEV. LUV. 89. DER</t>
  </si>
  <si>
    <t>FAROL TRAS. DER. CHV LUV 97</t>
  </si>
  <si>
    <t>FAROL TRAS. DER. CHV SPARK GT 2010</t>
  </si>
  <si>
    <t>FAROL TRAS. DER. FIAT STRADA 1.8</t>
  </si>
  <si>
    <t>FAROL TRAS. DER. FORD RANGER</t>
  </si>
  <si>
    <t>K500718</t>
  </si>
  <si>
    <t>FAROL TRAS. DER. KIA PRIDE</t>
  </si>
  <si>
    <t>k501440</t>
  </si>
  <si>
    <t>K501440</t>
  </si>
  <si>
    <t>FAROL TRAS. DER. KIA RIO</t>
  </si>
  <si>
    <t>FAROL TRAS. DER. KIA RIO 03/05</t>
  </si>
  <si>
    <t>L110107</t>
  </si>
  <si>
    <t>FAROL TRAS. DER. LUV 2002. ROJO-BLANCO</t>
  </si>
  <si>
    <t>FAROL TRAS. DER. NS D21 BLANCO</t>
  </si>
  <si>
    <t>ON00397</t>
  </si>
  <si>
    <t>FAROL TRAS. DER. NS NAVARA</t>
  </si>
  <si>
    <t>FAROL TRAS. DER. NS TERRANO 2011</t>
  </si>
  <si>
    <t>YX07009R</t>
  </si>
  <si>
    <t>FAROL TRAS. DER. NS V16 05/10</t>
  </si>
  <si>
    <t>FAROL TRAS. DER. POSTER 2005.</t>
  </si>
  <si>
    <t>FAROL TRAS. DER. SAMSUNG SM3 2006/</t>
  </si>
  <si>
    <t>FAROL TRAS. DER. SSANGYONG ACTYON</t>
  </si>
  <si>
    <t>FAROL TRAS. DER. TERRANO</t>
  </si>
  <si>
    <t>TY11380</t>
  </si>
  <si>
    <t>FAROL TRAS. DER. TY COROLLA 08/10</t>
  </si>
  <si>
    <t>TY32057</t>
  </si>
  <si>
    <t>FAROL TRAS. DER. TY HILUX 04/11</t>
  </si>
  <si>
    <t>FAROL TRAS. DER. TY HILUX 06/11</t>
  </si>
  <si>
    <t>TY01277</t>
  </si>
  <si>
    <t>FAROL TRAS. DER. TY HILUX 89/97</t>
  </si>
  <si>
    <t>TY04030</t>
  </si>
  <si>
    <t>FAROL TRAS. DER. TY KUN 2004/2011.</t>
  </si>
  <si>
    <t>FAROL TRAS. DER. TY NEW YARIS 06/11</t>
  </si>
  <si>
    <t>SB14519</t>
  </si>
  <si>
    <t>FAROL TRAS. DER. TY YARIS 06/13</t>
  </si>
  <si>
    <t>TY03153</t>
  </si>
  <si>
    <t>FAROL TRAS. DER. TY YARIS 99/02</t>
  </si>
  <si>
    <t>TY03175</t>
  </si>
  <si>
    <t>FAROL TRAS. DER. TY. YARIS 03/05</t>
  </si>
  <si>
    <t>FD20013</t>
  </si>
  <si>
    <t>FAROL TRAS. F. ECO SPORT 2003/07 IZQ.</t>
  </si>
  <si>
    <t>FAROL TRAS. F. RANGER 98/02</t>
  </si>
  <si>
    <t>FAROL TRAS. INT. KIA RIO 1.4</t>
  </si>
  <si>
    <t>FAROL TRAS. IZQ TY NEW YARIS</t>
  </si>
  <si>
    <t>FAROL TRAS. IZQ. CHV AVEO 2007 SEDAN</t>
  </si>
  <si>
    <t>FAROL TRAS. IZQ. CHV CORSA 2010</t>
  </si>
  <si>
    <t>FAROL TRAS. IZQ. CHV DMAX 2010</t>
  </si>
  <si>
    <t>FAROL TRAS. IZQ. CHV LUV 97</t>
  </si>
  <si>
    <t>FAROL TRAS. IZQ. CHV SPARK 2006</t>
  </si>
  <si>
    <t>FAROL TRAS. IZQ. CORSA 2010/</t>
  </si>
  <si>
    <t>L110350</t>
  </si>
  <si>
    <t>FAROL TRAS. IZQ. DMAX 05/09</t>
  </si>
  <si>
    <t>FAROL TRAS. IZQ. FORD RANGER 01/06 TYC F2-10 F3-14</t>
  </si>
  <si>
    <t>FAROL TRAS. IZQ. HY ACCENT 1997 4 PUERTAS</t>
  </si>
  <si>
    <t>FAROL TRAS. IZQ. KIA MORNING 11/</t>
  </si>
  <si>
    <t>FAROL TRAS. IZQ. KIA RIO</t>
  </si>
  <si>
    <t>L110032</t>
  </si>
  <si>
    <t>FAROL TRAS. IZQ. LUV. 89/</t>
  </si>
  <si>
    <t>FAROL TRAS. IZQ. MITS. KATANA 2007/</t>
  </si>
  <si>
    <t>FMDT130722</t>
  </si>
  <si>
    <t>FAROL TRAS. IZQ. NISSAN 720</t>
  </si>
  <si>
    <t>ON00407</t>
  </si>
  <si>
    <t>FAROL TRAS. IZQ. NS NAVARA</t>
  </si>
  <si>
    <t>FAROL TRAS. IZQ. NS TERRANO 2011</t>
  </si>
  <si>
    <t>TY04020</t>
  </si>
  <si>
    <t>FAROL TRAS. IZQ. TY HILUX 04/11</t>
  </si>
  <si>
    <t>TY01287</t>
  </si>
  <si>
    <t>FAROL TRAS. IZQ. TY HILUX 89/97</t>
  </si>
  <si>
    <t>SB14520</t>
  </si>
  <si>
    <t>FAROL TRAS. IZQ. TY YARIS 06/13</t>
  </si>
  <si>
    <t>FAROL TRAS. IZQ.MITS. L200 KATANA</t>
  </si>
  <si>
    <t>FAROL TRAS. KIA MORNING 2009/2010</t>
  </si>
  <si>
    <t>X-BA-777</t>
  </si>
  <si>
    <t>FAROL TRAS. M. BENZ</t>
  </si>
  <si>
    <t>x-777</t>
  </si>
  <si>
    <t>X-777</t>
  </si>
  <si>
    <t>FAROL.TRAS</t>
  </si>
  <si>
    <t>FAROL TRAS. MAHINDRA</t>
  </si>
  <si>
    <t>FAROL TRAS. MIT. L200 KATANA 2007/ DER.</t>
  </si>
  <si>
    <t>ftrasmit</t>
  </si>
  <si>
    <t>FAROL tras. mits l200</t>
  </si>
  <si>
    <t>FMMT090742</t>
  </si>
  <si>
    <t>FAROL TRAS. MITS. L200 2.4 19/22 IZQ.</t>
  </si>
  <si>
    <t>FAROL TRAS. MZ. BT-50 2007/09 IZQ.</t>
  </si>
  <si>
    <t>FAROL TRAS. NISSAN D-21. 89/ 2001 IZQ.</t>
  </si>
  <si>
    <t>FAROL TRAS. NISSAN D-22 IZQ.</t>
  </si>
  <si>
    <t>FAROL TRAS. NS V-16 05/10 IZQ.</t>
  </si>
  <si>
    <t>FAROL TRAS. NS. D-21 93/ IZQ.</t>
  </si>
  <si>
    <t>FAROL TRAS. NS. D-21 D22 DER.</t>
  </si>
  <si>
    <t>FAROL TRAS. NS. D21 DER. TYC</t>
  </si>
  <si>
    <t>FAROL TRAS. NS. D21 93/ DER.</t>
  </si>
  <si>
    <t>FAROL TRAS. NS. D21 DER.</t>
  </si>
  <si>
    <t>FAROL TRAS. NS. D21 IZQ.</t>
  </si>
  <si>
    <t>FAROL TRAS. NS. D21/22 DER. BLANCO/ROJO</t>
  </si>
  <si>
    <t>0N00148</t>
  </si>
  <si>
    <t>FAROL TRAS. NS. NAVARA DER.</t>
  </si>
  <si>
    <t>0N00158</t>
  </si>
  <si>
    <t>FAROL TRAS. NS. NAVARA IZQ.</t>
  </si>
  <si>
    <t>FAROL TRAS. NS. TERRANO 2010/ DER.</t>
  </si>
  <si>
    <t>FAROL TRAS. NS. TERRANO 2010/ IZQ.</t>
  </si>
  <si>
    <t>FAROL TRAS. NS. TERRANO 97/2009 DER.</t>
  </si>
  <si>
    <t>FAROL TRAS. NS. TERRANO 97/2009 IZQ.</t>
  </si>
  <si>
    <t>FAROL TRAS. NS. TERRANO DER.</t>
  </si>
  <si>
    <t>FAROL TRAS. NS. TERRANO IZQ.</t>
  </si>
  <si>
    <t>0T00070</t>
  </si>
  <si>
    <t>FAROL TRAS. NS. TIIDA 2005/ DER.</t>
  </si>
  <si>
    <t>0T00060</t>
  </si>
  <si>
    <t>FAROL TRAS. NS. TIIDA 2005/ IZQ.</t>
  </si>
  <si>
    <t>FAROL TRAS. NS. V-16 -2000/2004 BORDE ROJO</t>
  </si>
  <si>
    <t>FAROL TRAS. NS. V-16 05/ IZQ.</t>
  </si>
  <si>
    <t>FAROL TRAS. NS. V-16 05/10 ROJO DER.</t>
  </si>
  <si>
    <t>FAROL TRAS. NS. V-16 90/93 IZQ.</t>
  </si>
  <si>
    <t>FMDT230732</t>
  </si>
  <si>
    <t>FAROL TRAS. NS. V16 /04</t>
  </si>
  <si>
    <t>FMDT230723</t>
  </si>
  <si>
    <t>FAROL TRAS. NS. V16 TUNNING</t>
  </si>
  <si>
    <t>FAROL TRAS. NS.. V-16 2004 DER</t>
  </si>
  <si>
    <t>FAROL TRAS. NS.. V-16 2005/2010 IZQ.</t>
  </si>
  <si>
    <t>FPARMONT</t>
  </si>
  <si>
    <t>FAROL TRAS. PARACH. MITS. MONTERO</t>
  </si>
  <si>
    <t>FAROL TRAS. RECT. LED 12/24</t>
  </si>
  <si>
    <t>Z001070</t>
  </si>
  <si>
    <t>FAROL TRAS. SZ. ALTO 2007/</t>
  </si>
  <si>
    <t>FAROL TRAS. TOYOTA 2000</t>
  </si>
  <si>
    <t>FAROL TRAS. TY 2006-11 DER.</t>
  </si>
  <si>
    <t>TY30970</t>
  </si>
  <si>
    <t>FAROL TRAS. TY. HILUX 2004/11 DER.</t>
  </si>
  <si>
    <t>FAROL TRAS. TY. HILUX 2006 2011 IZQ. KUN</t>
  </si>
  <si>
    <t>FAROL TRAS. TY. HILUX 2012-2013 DER</t>
  </si>
  <si>
    <t>FAROL TRAS. TY. HILUX 2012-2013 IZQ</t>
  </si>
  <si>
    <t>TY101-0871</t>
  </si>
  <si>
    <t>FAROL TRAS. TY. HILUX 2012/2013. DER.</t>
  </si>
  <si>
    <t>FAROL TRAS. TY. HILUX 98-04 DER.</t>
  </si>
  <si>
    <t>FAROL TRAS. TY. KUN 12-15 IZQ.</t>
  </si>
  <si>
    <t>FAROL TRAS. TY. KUN 12/15 DER. F8-22</t>
  </si>
  <si>
    <t>FAROL TRAS. TY. KUN 16/ DER.</t>
  </si>
  <si>
    <t>TY70048</t>
  </si>
  <si>
    <t>FAROL TRAS. TY. NEW YARIS DER. TYC</t>
  </si>
  <si>
    <t>TY50720</t>
  </si>
  <si>
    <t>FAROL TRAS. TY. NEW YARIS IZQ. 06/11 TYC</t>
  </si>
  <si>
    <t>FAROL TRAS. TY. YARIS 2016</t>
  </si>
  <si>
    <t>FAROL TRAS. UNIVERSAL 3 COLORES LED 12/24V</t>
  </si>
  <si>
    <t>FAROL TRAS. V-16. 89/93 RH.</t>
  </si>
  <si>
    <t>FTRAWIN</t>
  </si>
  <si>
    <t>FAROL TRAS. WINGLE</t>
  </si>
  <si>
    <t>FTRYAD</t>
  </si>
  <si>
    <t>FAROL TRAS. YARIS DER06/13</t>
  </si>
  <si>
    <t>FTRYAI</t>
  </si>
  <si>
    <t>FAROL TRAS. YARIS IZQ. 06/13</t>
  </si>
  <si>
    <t>FAROL TRAS.DER FIAT STRADA 1.8</t>
  </si>
  <si>
    <t>FAROL TRAS.DER TY KUN 2012/</t>
  </si>
  <si>
    <t>H101688</t>
  </si>
  <si>
    <t>FAROL TRAS.DER. HY H100</t>
  </si>
  <si>
    <t>FAROL TRAS.DER. NISSAN V16 05/10</t>
  </si>
  <si>
    <t>TY102037</t>
  </si>
  <si>
    <t>FAROL TRAS.DER. NS TIIDA</t>
  </si>
  <si>
    <t>Z100397</t>
  </si>
  <si>
    <t>FAROL TRAS.DER. SZ BALENO 96/</t>
  </si>
  <si>
    <t>CH009</t>
  </si>
  <si>
    <t>F110L</t>
  </si>
  <si>
    <t>FAROL TRAS.DER. UNIVERSAL</t>
  </si>
  <si>
    <t>FAROL TRAS.IZQ. CHV CORSA 1999</t>
  </si>
  <si>
    <t>FAROL TRAS.IZQ. CORSA 5PTA</t>
  </si>
  <si>
    <t>KC01694</t>
  </si>
  <si>
    <t>FAROL TRAS.IZQ. KIA CERATO</t>
  </si>
  <si>
    <t>FAROL TRAS.IZQ. KIA RIO 03/05</t>
  </si>
  <si>
    <t>FAROL TRAS.IZQ. MAZDA B2500 00/02</t>
  </si>
  <si>
    <t>R-15538</t>
  </si>
  <si>
    <t>FAROL TRAS.IZQ. R.SCENIC 99/03</t>
  </si>
  <si>
    <t>FAROL TRASERO DER. LUV. 89.</t>
  </si>
  <si>
    <t>FAROL TRASERO DERECHO D-MAX 2015/</t>
  </si>
  <si>
    <t>X-1003-R</t>
  </si>
  <si>
    <t>FAROL TRASERO TRIPLE 30 LED DER. TIPO M. BENZ</t>
  </si>
  <si>
    <t>X-1003-L</t>
  </si>
  <si>
    <t>FAROL TRASERO TRIPLE 30 LED IZQ. TIPO M. BENZ</t>
  </si>
  <si>
    <t>X-1068-FD</t>
  </si>
  <si>
    <t>X-1668-FD</t>
  </si>
  <si>
    <t>FAROL TRASERO TRIPLE FORD 12V</t>
  </si>
  <si>
    <t>FAROL TRS. TY. HILUX 98-04 IZQ.</t>
  </si>
  <si>
    <t>TY00530</t>
  </si>
  <si>
    <t>FAROL TY HILUX 2002-02004 LH.</t>
  </si>
  <si>
    <t>TY32193</t>
  </si>
  <si>
    <t>FAROL TY HILUX 89/91. TAP. LH. CRM.</t>
  </si>
  <si>
    <t>TY00540</t>
  </si>
  <si>
    <t>FAROL TY. HILUX 02/04 PTA. DER.</t>
  </si>
  <si>
    <t>FAROL TY. HILUX 16/ TRAS. IZQ.</t>
  </si>
  <si>
    <t>FAROL TY. HILUX 16/20 TRAS. DER.</t>
  </si>
  <si>
    <t>FAROL TY. HILUX 2.4 GUN 16/20 TRAS. DER.</t>
  </si>
  <si>
    <t>FAROL TY. HILUX 2.4 GUN 16/20 TRAS. IZQ.</t>
  </si>
  <si>
    <t>FAROL TY. HILUX 2016/ TRASERO</t>
  </si>
  <si>
    <t>TY03111</t>
  </si>
  <si>
    <t>FAROL TY. HILUX 97/06 TRAS. IZQ.</t>
  </si>
  <si>
    <t>FAROL TY. HILUX GUN REVO 16/ TRAS. IZQ.</t>
  </si>
  <si>
    <t>FAROL TY. HILUX KUN 12/15 DER.</t>
  </si>
  <si>
    <t>FAROL TY. HILUX KUN 12/15 TRAS. DER.</t>
  </si>
  <si>
    <t>FAROL TY. HILUX KUN 12/15 TRAS. IZQ.</t>
  </si>
  <si>
    <t>FMTY420712</t>
  </si>
  <si>
    <t>FMTY40712</t>
  </si>
  <si>
    <t>FAROL TY. HILUX KUN 2012/ TRAS. IZQ.</t>
  </si>
  <si>
    <t>ZY0301</t>
  </si>
  <si>
    <t>FAROL TY. HILUX PTA. DER. CROM</t>
  </si>
  <si>
    <t>FAROL TY. HILUX TRAS. KUN 2012/ IZQ.</t>
  </si>
  <si>
    <t>FMTY430701</t>
  </si>
  <si>
    <t>FAROL TY. KUN 2016/ TRAS. DER.</t>
  </si>
  <si>
    <t>FMTY430702</t>
  </si>
  <si>
    <t>FAROL TY. KUN 2016/ TRAS. IZQ.</t>
  </si>
  <si>
    <t>FAROL TY. TERCEL PTA. 98/ DER.</t>
  </si>
  <si>
    <t>TY41107</t>
  </si>
  <si>
    <t>FAROL TY. TERCEL PTA. IZQ. 90/94 BLANCO.</t>
  </si>
  <si>
    <t>FAROL TY. YARIS 03-06 TRAS. IZQ. DEPO</t>
  </si>
  <si>
    <t>FAROL TY. YARIS 03/05 TRAS. DER.</t>
  </si>
  <si>
    <t>ty03165</t>
  </si>
  <si>
    <t>TY03165</t>
  </si>
  <si>
    <t>FAROL TY. YARIS 03/05 TRAS. IZQ.</t>
  </si>
  <si>
    <t>FAROL TY. YARIS 06-13 TRAS. DER.</t>
  </si>
  <si>
    <t>FAROL TY. YARIS 06-16 TRAS. IZQ</t>
  </si>
  <si>
    <t>FAROL TY. YARIS 06/13 TRAS. DER.</t>
  </si>
  <si>
    <t>FMTY500761</t>
  </si>
  <si>
    <t>FMTY500762</t>
  </si>
  <si>
    <t>FAROL TY. YARIS 06/13 TRAS. IZQ.</t>
  </si>
  <si>
    <t>FMTY510741</t>
  </si>
  <si>
    <t>FAROL TY. YARIS 14-16 TRAS. DER.</t>
  </si>
  <si>
    <t>FMTY510742</t>
  </si>
  <si>
    <t>FAROL TY. YARIS 14-16 TRAS. IZQ.</t>
  </si>
  <si>
    <t>FAROL TY. YARIS 18/20 TRAS. DER.</t>
  </si>
  <si>
    <t>FAROUN</t>
  </si>
  <si>
    <t>FAROL UNIVERSAL</t>
  </si>
  <si>
    <t>ftrwin</t>
  </si>
  <si>
    <t>FTRWIN</t>
  </si>
  <si>
    <t>FAROL WINGLE TRASERO</t>
  </si>
  <si>
    <t>FAROL-TRAS-N400</t>
  </si>
  <si>
    <t>FAROL TRAS CHEV N400</t>
  </si>
  <si>
    <t>FAROL-TAPABA.</t>
  </si>
  <si>
    <t>FAROL TAPABARR. SZ CELERIO</t>
  </si>
  <si>
    <t>FMCH340701</t>
  </si>
  <si>
    <t>FAROL TRAS DMAX 15/18</t>
  </si>
  <si>
    <t>FAROL-CELERIO</t>
  </si>
  <si>
    <t>FAROL TRAS SZ CELERIO</t>
  </si>
  <si>
    <t>farol tras yaris 06/13</t>
  </si>
  <si>
    <t>farol tras yaris 06/13 0000</t>
  </si>
  <si>
    <t>FRERK</t>
  </si>
  <si>
    <t>FIJADOR BATERIA</t>
  </si>
  <si>
    <t>FREG</t>
  </si>
  <si>
    <t>FIJADOR BATERIA REGULABLE</t>
  </si>
  <si>
    <t>FREGB</t>
  </si>
  <si>
    <t>FIJADOR BATERIA REGULABLE BAJO</t>
  </si>
  <si>
    <t>REPTOYFI</t>
  </si>
  <si>
    <t>REPTOYFIL</t>
  </si>
  <si>
    <t>FILTRO ACEITE F. AIRE F. PETROLEO HUINCHA</t>
  </si>
  <si>
    <t>FILTRO ACEITE HU 819-1X NISSAN</t>
  </si>
  <si>
    <t>HU7019X</t>
  </si>
  <si>
    <t>FILTRO ACEITE HYUNDAI / KIA</t>
  </si>
  <si>
    <t>FILTRO ACEITE PU-9009Z</t>
  </si>
  <si>
    <t>W 6002</t>
  </si>
  <si>
    <t>FILTRO ACEITE W 6002 SUZUKI</t>
  </si>
  <si>
    <t>FILTRO ACEITE W 68-3 NEW YARIS 2014/ KENDALL</t>
  </si>
  <si>
    <t>FILTRO ACEITE W 713-1 KENDALL</t>
  </si>
  <si>
    <t>WK-618/5</t>
  </si>
  <si>
    <t>WK 618/5</t>
  </si>
  <si>
    <t>FILTRO ACEITE WK 618/5</t>
  </si>
  <si>
    <t>FILTRO AIRE C 1158 ONNURI</t>
  </si>
  <si>
    <t>C-1417</t>
  </si>
  <si>
    <t>C 1417</t>
  </si>
  <si>
    <t>FILTRO AIRE C 1417 MANN</t>
  </si>
  <si>
    <t>SZ00032</t>
  </si>
  <si>
    <t>FILTRO AIRE C 1517 SZ ALTO</t>
  </si>
  <si>
    <t>C-1614</t>
  </si>
  <si>
    <t>C 1614</t>
  </si>
  <si>
    <t>FILTRO AIRE C 1614 MANN</t>
  </si>
  <si>
    <t>C16163-1</t>
  </si>
  <si>
    <t>FILTRO AIRE C 16163-1 KENDALL</t>
  </si>
  <si>
    <t>FILTRO AIRE C 1772 KENDALL</t>
  </si>
  <si>
    <t>FILTRO AIRE C 1858-1</t>
  </si>
  <si>
    <t>C-19254</t>
  </si>
  <si>
    <t>C19254</t>
  </si>
  <si>
    <t>FILTRO AIRE C 19254 MANN</t>
  </si>
  <si>
    <t>FILTRO AIRE C 1946 DODGE CALIBER</t>
  </si>
  <si>
    <t>C 20140</t>
  </si>
  <si>
    <t>FILTRO AIRE C 20140 KENDALL</t>
  </si>
  <si>
    <t>C--2018</t>
  </si>
  <si>
    <t>C-2018</t>
  </si>
  <si>
    <t>FILTRO AIRE C 2018 KENDALL</t>
  </si>
  <si>
    <t>C 2018</t>
  </si>
  <si>
    <t>FILTRO AIRE C 2018 MANN</t>
  </si>
  <si>
    <t>FILTRO AIRE C 2041 CHRYSLER</t>
  </si>
  <si>
    <t>FILTRO AIRE C 2054 CHERY SKYFIL</t>
  </si>
  <si>
    <t>FILTRO AIRE C 21104 PEUGEOT / CITROEN SKYFIL</t>
  </si>
  <si>
    <t>FILTRO AIRE C 2118 MATIZ SPARK</t>
  </si>
  <si>
    <t>FILTRO AIRE C 22015</t>
  </si>
  <si>
    <t>FILTRO AIRE C 22015 KIA MORNING ONNURI</t>
  </si>
  <si>
    <t>FILTRO AIRE C 2214 CHEV SPARK KENDALL</t>
  </si>
  <si>
    <t>C-2224</t>
  </si>
  <si>
    <t>C 2224</t>
  </si>
  <si>
    <t>FILTRO AIRE C 2224 MANN</t>
  </si>
  <si>
    <t>FILTRO AIRE C 2224-2 SZ. MARUTI</t>
  </si>
  <si>
    <t>C-2235</t>
  </si>
  <si>
    <t>C 2235</t>
  </si>
  <si>
    <t>FILTRO AIRE C 2235 MANN</t>
  </si>
  <si>
    <t>FILTRO AIRE C 2256 CORSA</t>
  </si>
  <si>
    <t>FILTRO AIRE C 2262</t>
  </si>
  <si>
    <t>C-2290</t>
  </si>
  <si>
    <t>C 2290</t>
  </si>
  <si>
    <t>FILTRO AIRE C 2290 MANN</t>
  </si>
  <si>
    <t>C-23004</t>
  </si>
  <si>
    <t>C 23004</t>
  </si>
  <si>
    <t>FILTRO AIRE C 23004 SUZUKI SKYFIL</t>
  </si>
  <si>
    <t>C-23108-1</t>
  </si>
  <si>
    <t>C 23108-1</t>
  </si>
  <si>
    <t>FILTRO AIRE C 23108-1 MANN</t>
  </si>
  <si>
    <t>FILTRO AIRE C 2324 AVEO KENDALL</t>
  </si>
  <si>
    <t>MTDT23493</t>
  </si>
  <si>
    <t>MTD23493</t>
  </si>
  <si>
    <t>FILTRO AIRE C 2329 CORTO</t>
  </si>
  <si>
    <t>FILTRO AIRE C 2329 CORTO KENDALL</t>
  </si>
  <si>
    <t>C-2334</t>
  </si>
  <si>
    <t>C 2334</t>
  </si>
  <si>
    <t>FILTRO AIRE C 2334 MANN</t>
  </si>
  <si>
    <t>FILTRO AIRE C 2336 VERSA SKYFIL</t>
  </si>
  <si>
    <t>FILTRO AIRE C 2337 KENDALL</t>
  </si>
  <si>
    <t>FILTRO AIRE C 2337 SUZUKI SKYFIL</t>
  </si>
  <si>
    <t>FILTRO AIRE C 2340 TIIDA</t>
  </si>
  <si>
    <t>C-2341</t>
  </si>
  <si>
    <t>C 2341</t>
  </si>
  <si>
    <t>FILTRO AIRE C 2341 MANN</t>
  </si>
  <si>
    <t>C-2353</t>
  </si>
  <si>
    <t>C 2353</t>
  </si>
  <si>
    <t>FILTRO AIRE C 2353 MANN</t>
  </si>
  <si>
    <t>FILTRO AIRE C 2368</t>
  </si>
  <si>
    <t>FILTRO AIRE C 24040 GRAN VITARA SKYFIL</t>
  </si>
  <si>
    <t>FILTRO AIRE C 24040 SUZUKI KENDALL</t>
  </si>
  <si>
    <t>FILTRO AIRE C 2413 SUZUKI KENDALL</t>
  </si>
  <si>
    <t>FILTRO AIRE C 2418 HYUNDAI KAF</t>
  </si>
  <si>
    <t>FILTRO AIRE C 2418/3 HYUNDAI KENDALL</t>
  </si>
  <si>
    <t>FILTRO AIRE C 2419 NPPN</t>
  </si>
  <si>
    <t>FILTRO AIRE C 2419 KENDALL</t>
  </si>
  <si>
    <t>C-2420</t>
  </si>
  <si>
    <t>C2420</t>
  </si>
  <si>
    <t>FILTRO AIRE C 2420 MANN</t>
  </si>
  <si>
    <t>FILTRO AIRE C 2421 HY MATRIX</t>
  </si>
  <si>
    <t>C-2423</t>
  </si>
  <si>
    <t>C 2423</t>
  </si>
  <si>
    <t>FILTRO AIRE C 2423 MANN</t>
  </si>
  <si>
    <t>C-2426</t>
  </si>
  <si>
    <t>C2426M</t>
  </si>
  <si>
    <t>FILTRO AIRE C 2426 MANN</t>
  </si>
  <si>
    <t>FILTRO AIRE C 2428 SZ SWIFT ONNURI</t>
  </si>
  <si>
    <t>C-2429</t>
  </si>
  <si>
    <t>C 2429</t>
  </si>
  <si>
    <t>FILTRO AIRE C 2429 MANN</t>
  </si>
  <si>
    <t>FILTRO AIRE C 2429 DAIHATSU KENDALL</t>
  </si>
  <si>
    <t>FILTRO AIRE C 2432 SZ AERIO SKYFIL</t>
  </si>
  <si>
    <t>C-2437</t>
  </si>
  <si>
    <t>C 2437</t>
  </si>
  <si>
    <t>FILTRO AIRE C 2437 MANN</t>
  </si>
  <si>
    <t>FILTRO AIRE C 2451 LUV DMAX</t>
  </si>
  <si>
    <t>C-24833</t>
  </si>
  <si>
    <t>C 2483</t>
  </si>
  <si>
    <t>FILTRO AIRE C 2483 MANN</t>
  </si>
  <si>
    <t>FILTRO AIRE C 2488 CHEV SONIC SKYFIL</t>
  </si>
  <si>
    <t>MD40060</t>
  </si>
  <si>
    <t>FILTRO AIRE C 2500 KAF</t>
  </si>
  <si>
    <t>FILTRO AIRE C 2500 KENDALL</t>
  </si>
  <si>
    <t>C-25101</t>
  </si>
  <si>
    <t>C 25101</t>
  </si>
  <si>
    <t>FILTRO AIRE C 25101 MANN</t>
  </si>
  <si>
    <t>C-2512</t>
  </si>
  <si>
    <t>C 2512</t>
  </si>
  <si>
    <t>FILTRO AIRE C 2512 MANN</t>
  </si>
  <si>
    <t>h110420</t>
  </si>
  <si>
    <t>H110420</t>
  </si>
  <si>
    <t>FILTRO aire C 25125 KAF</t>
  </si>
  <si>
    <t>FILTRO AIRE C 25140 SKYFIL</t>
  </si>
  <si>
    <t>FILTRO AIRE C 25140 DMAX KENDALL STP</t>
  </si>
  <si>
    <t>FILTRO AIRE C 2524 TERCEL MANN</t>
  </si>
  <si>
    <t>KC01785</t>
  </si>
  <si>
    <t>FILTRO AIRE C 2526 KIA CERATO MANDO</t>
  </si>
  <si>
    <t>C-2526</t>
  </si>
  <si>
    <t>C 2526</t>
  </si>
  <si>
    <t>FILTRO AIRE C 2526 MANN</t>
  </si>
  <si>
    <t>FILTRO AIRE C 2535 TY HILUX 22R STP</t>
  </si>
  <si>
    <t>C-2535/1</t>
  </si>
  <si>
    <t>C 2535/1</t>
  </si>
  <si>
    <t>FILTRO AIRE C 2535/1 MANN</t>
  </si>
  <si>
    <t>MD40188</t>
  </si>
  <si>
    <t>FILTRO AIRE C 2539 KAF</t>
  </si>
  <si>
    <t>HA00094</t>
  </si>
  <si>
    <t>FILTRO AIRE C 2542 HY. TERRACAN MANDO</t>
  </si>
  <si>
    <t>FILTRO AIRE C 2559 SKYFIL</t>
  </si>
  <si>
    <t>C-2562</t>
  </si>
  <si>
    <t>C 2562</t>
  </si>
  <si>
    <t>FILTRO AIRE C 2562 MANN</t>
  </si>
  <si>
    <t>C-2569-1</t>
  </si>
  <si>
    <t>C2569-1</t>
  </si>
  <si>
    <t>FILTRO AIRE C 2569/1 MANN</t>
  </si>
  <si>
    <t>FILTRO AIRE C 26003 TOYOTA INTERFIL</t>
  </si>
  <si>
    <t>FILTRO AIRE C 26026 HY. ACCENT RB</t>
  </si>
  <si>
    <t>FILTRO AIRE C 26100 FORD INTERFIL</t>
  </si>
  <si>
    <t>C-2613</t>
  </si>
  <si>
    <t>C 2613</t>
  </si>
  <si>
    <t>FILTRO AIRE C 2613 DAIHATSU TERIOS 1.5</t>
  </si>
  <si>
    <t>C-26138-1</t>
  </si>
  <si>
    <t>C 26138-1</t>
  </si>
  <si>
    <t>FILTRO AIRE C 26138/1 MANN</t>
  </si>
  <si>
    <t>FILTRO AIRE C 2617 KIA MORNING SKYFIL</t>
  </si>
  <si>
    <t>C-2617</t>
  </si>
  <si>
    <t>C 2617</t>
  </si>
  <si>
    <t>FILTRO AIRE C 2617 MANN</t>
  </si>
  <si>
    <t>C 2621</t>
  </si>
  <si>
    <t>FILTRO AIRE C 2621 NS V16 1.4 KENDALL</t>
  </si>
  <si>
    <t>FILTRO AIRE C 2631 HY TUCSON</t>
  </si>
  <si>
    <t>FILTRO AIRE C 2632 DAEWOO LEGANZA</t>
  </si>
  <si>
    <t>FILTRO AIRE C 2633 HY SANTA FE KENDALL</t>
  </si>
  <si>
    <t>FILTRO AIRE C 2639 CHEVETTE BOSCH</t>
  </si>
  <si>
    <t>C-2652</t>
  </si>
  <si>
    <t>C 2652</t>
  </si>
  <si>
    <t>FILTRO AIRE C 2652 MANN</t>
  </si>
  <si>
    <t>FILTRO AIRE C 2656 KIA SEPHIA ONNURI</t>
  </si>
  <si>
    <t>FILTRO AIRE C 2661 HYUNDAI</t>
  </si>
  <si>
    <t>FILTRO AIRE C 2663 KENDAL</t>
  </si>
  <si>
    <t>FSOS-13-240</t>
  </si>
  <si>
    <t>F505-13-240</t>
  </si>
  <si>
    <t>FILTRO AIRE C 2666 MAZDA</t>
  </si>
  <si>
    <t>FILTRO AIRE C 2667 KIA</t>
  </si>
  <si>
    <t>FILTRO AIRE C 2677 FORD INTERFIL</t>
  </si>
  <si>
    <t>C-2677</t>
  </si>
  <si>
    <t>C 2677</t>
  </si>
  <si>
    <t>FILTRO AIRE C 2677 MANN</t>
  </si>
  <si>
    <t>FILTRO AIRE C 2692 SAIL SKYFIL</t>
  </si>
  <si>
    <t>FILTRO AIRE C 2692 SAIL</t>
  </si>
  <si>
    <t>C 27003</t>
  </si>
  <si>
    <t>FILTRO AIRE C 27003 MITSUBISHI</t>
  </si>
  <si>
    <t>FILTRO AIRE C 27190 DODGE INTERFIL</t>
  </si>
  <si>
    <t>FILTRO AIRE C 2721 SZ IGNIS SKYFIL</t>
  </si>
  <si>
    <t>C-2731</t>
  </si>
  <si>
    <t>C 2731</t>
  </si>
  <si>
    <t>FILTRO AIRE C 2731 MANN</t>
  </si>
  <si>
    <t>FILTRO AIRE C 2735/4 NAVARA</t>
  </si>
  <si>
    <t>FILTRO AIRE C 2738 HONDA SKYFIL</t>
  </si>
  <si>
    <t>C-2747</t>
  </si>
  <si>
    <t>C 2747</t>
  </si>
  <si>
    <t>FILTRO AIRE C 2747 MANN</t>
  </si>
  <si>
    <t>FILTRO AIRE C 28010</t>
  </si>
  <si>
    <t>FILTRO AIRE C 28011 HY SANTA FE SKYFIL</t>
  </si>
  <si>
    <t>C-28136</t>
  </si>
  <si>
    <t>C 28136</t>
  </si>
  <si>
    <t>FILTRO AIRE C 28136</t>
  </si>
  <si>
    <t>FILTRO AIRE C 28144 MUSSO / KORANDO</t>
  </si>
  <si>
    <t>FILTRO AIRE C 28144 SSANGYONG KENDALL</t>
  </si>
  <si>
    <t>FILTRO AIRE C 28145</t>
  </si>
  <si>
    <t>FILTRO AIRE C 28145 NAVARA SKYFIL</t>
  </si>
  <si>
    <t>C 28145</t>
  </si>
  <si>
    <t>FILTRO AIRE C 28145 NISSAN KENDALL</t>
  </si>
  <si>
    <t>FILTRO AIRE C 2826 MAZDA</t>
  </si>
  <si>
    <t>FILTRO AIRE C 2841 MAZDA INTERFIL</t>
  </si>
  <si>
    <t>FILTRO AIRE C 2841 MAZDA 3/5 SKYFIL</t>
  </si>
  <si>
    <t>FILTRO AIRE C 2860 CHRYSLER INTERFIL</t>
  </si>
  <si>
    <t>EAF2-9601</t>
  </si>
  <si>
    <t>FILTRO AIRE C 2860 DODGE KENDALL</t>
  </si>
  <si>
    <t>FILTRO AIRE C 2964 LARGO</t>
  </si>
  <si>
    <t>FILTRO AIRE C 2970 CHEV S-10 KENDALL</t>
  </si>
  <si>
    <t>C-2998-5</t>
  </si>
  <si>
    <t>C 2998/5</t>
  </si>
  <si>
    <t>FILTRO AIRE C 2998-5 MANN</t>
  </si>
  <si>
    <t>C-30125-1</t>
  </si>
  <si>
    <t>C 30125/1</t>
  </si>
  <si>
    <t>FILTRO AIRE C 30125/1</t>
  </si>
  <si>
    <t>FILTRO AIRE C 30171 SSANGYONK</t>
  </si>
  <si>
    <t>FILTRO AIRE C 3121 SKYFIL</t>
  </si>
  <si>
    <t>FILTRO AIRE C 3143 LUV 2.2</t>
  </si>
  <si>
    <t>FILTRO AIRE C 3358 DODGE CALIBER KENDALL</t>
  </si>
  <si>
    <t>C-4312/1</t>
  </si>
  <si>
    <t>C 4312/1</t>
  </si>
  <si>
    <t>FILTRO AIRE C 4312/1 MANN</t>
  </si>
  <si>
    <t>FILTRO AIRE C-16159 TOYOTA</t>
  </si>
  <si>
    <t>FILTRO AIRE C-2418 HYUNDAI I-10</t>
  </si>
  <si>
    <t>FILTRO AIRE C-26035/1 HYUNDAI</t>
  </si>
  <si>
    <t>FILTRO AIRE C-26106 CHEVROLET</t>
  </si>
  <si>
    <t>FILTRO AIRE C-2742 HYUNDAI</t>
  </si>
  <si>
    <t>C-1323</t>
  </si>
  <si>
    <t>C1323</t>
  </si>
  <si>
    <t>FILTRO AIRE C1323 MANN</t>
  </si>
  <si>
    <t>FILTRO AIRE C3220 SUZUKI</t>
  </si>
  <si>
    <t>FILTRO AIRE C34105</t>
  </si>
  <si>
    <t>FILTRO AIRE CHEV N300</t>
  </si>
  <si>
    <t>FILTRO AIRE CHEV SPARK STP</t>
  </si>
  <si>
    <t>FILTRO AIRE HY. KENDALL</t>
  </si>
  <si>
    <t>FILTRO AIRE HY. H1 NEW H1 C 2742 SKYFIL</t>
  </si>
  <si>
    <t>FILTRO AIRE HY. i10 GENUINO</t>
  </si>
  <si>
    <t>H709990</t>
  </si>
  <si>
    <t>FILTRO AIRE HYUNDAI C 1891 KAF</t>
  </si>
  <si>
    <t>FILTRO AIRE HYUNDAI C-25125</t>
  </si>
  <si>
    <t>FILTRO AIRE LIFAN</t>
  </si>
  <si>
    <t>FILTRO AIRE MAHINDRA 2013/</t>
  </si>
  <si>
    <t>FILTRO AIRE NEW ACCENT SKIFIL</t>
  </si>
  <si>
    <t>FILTRO AIRE PACIFICA</t>
  </si>
  <si>
    <t>FILTRO AIRE TOYOTA C 3648</t>
  </si>
  <si>
    <t>FILTRO BBA. BENCINA HONDA</t>
  </si>
  <si>
    <t>FILTRO BENC WK 66</t>
  </si>
  <si>
    <t>FILTRO BENC WK-48/5 TOYOTA</t>
  </si>
  <si>
    <t>LF9058</t>
  </si>
  <si>
    <t>FILTRO BENC. CAMIONETA MAZDA</t>
  </si>
  <si>
    <t>FILTRO BENC. CHEV. AVEO CON SENSOR</t>
  </si>
  <si>
    <t>FILTRO BENC. CHEV. SAIL</t>
  </si>
  <si>
    <t>FILTRO BENC. CHEV. SAIL 1.4 WK 5009</t>
  </si>
  <si>
    <t>FILTRO BENC. CHEV. WK 611-5 S-10 2.2</t>
  </si>
  <si>
    <t>FILTRO BENC. CURVO WK 56 NISSAN DAEWHA</t>
  </si>
  <si>
    <t>FILTRO BENC. DATSUN 150Y TIPO L PLAST. CHICO</t>
  </si>
  <si>
    <t>FILTRO BENC. FORD WK 512-1</t>
  </si>
  <si>
    <t>FILTRO BENC. HY. WK 615-3</t>
  </si>
  <si>
    <t>FILTRO BENC. INTERIOR HY. ACCENT 06/11 KIA RIO JB</t>
  </si>
  <si>
    <t>FILTRO BENC. INTERIOR NEW ACCENT</t>
  </si>
  <si>
    <t>KR01215</t>
  </si>
  <si>
    <t>FILTRO BENC. KIA RIO WK 614-41</t>
  </si>
  <si>
    <t>FILTRO BENC. MITS. MONTERO</t>
  </si>
  <si>
    <t>FILTRO BENC. PLASTICO WK 29-31 NISSAN</t>
  </si>
  <si>
    <t>FILTRO BENC. TOYOTA COROLLA</t>
  </si>
  <si>
    <t>FILTRO BENC. TY. HILUX WK 48-5 KENDALL</t>
  </si>
  <si>
    <t>FILTRO BENC. TY. YARIS 99-2005</t>
  </si>
  <si>
    <t>FILTRO-BENC.-UNIV-PLAST</t>
  </si>
  <si>
    <t>FIBEPL</t>
  </si>
  <si>
    <t>FILTRO BENC. UNIVER. PLASTICO</t>
  </si>
  <si>
    <t>FILTRO BENC. UNIVERSAL CHICO</t>
  </si>
  <si>
    <t>FILTRO BENC. WK 29-30</t>
  </si>
  <si>
    <t>FILTRO BENC. WK 29/30 TY. V PLASTICO</t>
  </si>
  <si>
    <t>FILTRO BENC. WK 512 C/SENSOR ONNURI</t>
  </si>
  <si>
    <t>FILTRO BENC. WK 55-3 = WK 512 CON ENCHUFE</t>
  </si>
  <si>
    <t>FILTRO BENC. WK 611-2 CHEV. CAVALIER</t>
  </si>
  <si>
    <t>FILTRO BENC. WK 611-4 DODGE</t>
  </si>
  <si>
    <t>FILTRO BENC. WK 612-2 DAEWOO</t>
  </si>
  <si>
    <t>FILTRO BENC. WK 613-3 VOLKSWAGEN GOL</t>
  </si>
  <si>
    <t>FILTRO BENC. WK 614-10 HY. ELANTRA</t>
  </si>
  <si>
    <t>FILTRO BENC. WK 614-36 TOYOTA</t>
  </si>
  <si>
    <t>FILTRO BENC. WK 614-38 SUZUKI</t>
  </si>
  <si>
    <t>FILTRO BENC. WK 614-40 MAZDA</t>
  </si>
  <si>
    <t>FILTRO BENC. WK 614-43 CARENS SEPHIA</t>
  </si>
  <si>
    <t>FILTRO BENC. WK 614-8 SUZUKI</t>
  </si>
  <si>
    <t>FILTRO BENC. WK 615-1</t>
  </si>
  <si>
    <t>MTDT133913</t>
  </si>
  <si>
    <t>FILTRO BENC. WK 66 RECTO</t>
  </si>
  <si>
    <t>FILTRO BENC. WK 68-81 HONDA</t>
  </si>
  <si>
    <t>FILTRO BENC. WK 711 SUBARU</t>
  </si>
  <si>
    <t>WK-76-3</t>
  </si>
  <si>
    <t>WK 76-3</t>
  </si>
  <si>
    <t>FILTRO BENC. WK 76-3 MANN</t>
  </si>
  <si>
    <t>FILTRO BENC. WK 78-2 FORD</t>
  </si>
  <si>
    <t>FOTZ-9155</t>
  </si>
  <si>
    <t>FILTRO BENC. WK605-1 TERCEL 5E</t>
  </si>
  <si>
    <t>FILTRO BENCINA KIA CLARUS</t>
  </si>
  <si>
    <t>WK-610-1</t>
  </si>
  <si>
    <t>WK 610-1</t>
  </si>
  <si>
    <t>FILTRO BENCINA WK 610-1 MANN</t>
  </si>
  <si>
    <t>FILTRO BENCINA DAIHATSU</t>
  </si>
  <si>
    <t>FILTRO BENCINA FORD WK 78-4</t>
  </si>
  <si>
    <t>FILTRO BENCINA GIRO SANTAMO ECLIPSE</t>
  </si>
  <si>
    <t>FILTRO BENCINA HYUNDAI</t>
  </si>
  <si>
    <t>FILTRO BENCINA NS. TIIDA</t>
  </si>
  <si>
    <t>FILTRO BENCINA TY. TUNDRA SKYFIL</t>
  </si>
  <si>
    <t>GF-423</t>
  </si>
  <si>
    <t>FILTRO BENCINA UNIVERSAL METAL CON RETORNO</t>
  </si>
  <si>
    <t>FILTRO BENCINA UNIVERSAL PLASTICO</t>
  </si>
  <si>
    <t>FILTRO BENCINA UNIVERSAL TRANSPARENTE PLASTICO</t>
  </si>
  <si>
    <t>FILTRO BENCINA V TOYOTA</t>
  </si>
  <si>
    <t>FILTRO BENCINA WK 29-30 TOYOTA PLASTICO T</t>
  </si>
  <si>
    <t>FILTRO BENCINA WK 48-5 TY HILUX</t>
  </si>
  <si>
    <t>FILTRO BENCINA WK 510 FIAT</t>
  </si>
  <si>
    <t>FILTRO BENCINA WK 512</t>
  </si>
  <si>
    <t>FD80238</t>
  </si>
  <si>
    <t>FILTRO BENCINA WK 512-1</t>
  </si>
  <si>
    <t>FILTRO BENCINA WK 55-2</t>
  </si>
  <si>
    <t>FILTRO BENCINA WK 56 CURVO KENDALL</t>
  </si>
  <si>
    <t>FILTRO BENCINA WK 612 KENDALL</t>
  </si>
  <si>
    <t>FILTRO BENCINA WK 613 DEUSIC</t>
  </si>
  <si>
    <t>WK-614-19</t>
  </si>
  <si>
    <t>WK 614-19</t>
  </si>
  <si>
    <t>FILTRO BENCINA WK 614-19 MANN</t>
  </si>
  <si>
    <t>FILTRO BENCINA WK 614-3 KIA CAREN SEPHIA</t>
  </si>
  <si>
    <t>FILTRO BENCINA WK 614-7 KIA AVELLA</t>
  </si>
  <si>
    <t>WK 614-9</t>
  </si>
  <si>
    <t>FILTRO BENCINA WK 614/9</t>
  </si>
  <si>
    <t>FILTRO BENCINA WK 66 RECTO</t>
  </si>
  <si>
    <t>NIV0001</t>
  </si>
  <si>
    <t>FILTRO BENCINA WK 66 RECTO KAF</t>
  </si>
  <si>
    <t>FILTRO BENCINA WK 66-5</t>
  </si>
  <si>
    <t>FILTRO BENCINA WK 66-5 HY ACCENT</t>
  </si>
  <si>
    <t>FILTRO BENCINA WK 710 SUZUKI</t>
  </si>
  <si>
    <t>FILTRO BENCINA WK 710-1 MARUTI</t>
  </si>
  <si>
    <t>FILTRO BENCINA WK 711 SUBARU</t>
  </si>
  <si>
    <t>FILTRO BOMBA BENCINA</t>
  </si>
  <si>
    <t>C-2451</t>
  </si>
  <si>
    <t>FILTRO C 2451</t>
  </si>
  <si>
    <t>FILTRO CABINA CHEV. SPARK GT 1.2</t>
  </si>
  <si>
    <t>FILTRO CABINA CHEV. SPARK GT 1.2 STP</t>
  </si>
  <si>
    <t>FILTRO CABINA CU 2141 MITSUBISHI</t>
  </si>
  <si>
    <t>FILTRO CABINA CU 2331</t>
  </si>
  <si>
    <t>FILTRO CABINA HY. SONATA TRAJET</t>
  </si>
  <si>
    <t>FILTRO CABINA HYUNDAI SANTA FE</t>
  </si>
  <si>
    <t>FILTRO CABINA HYUNDAI ELANTRA I20/30 KIA CERATO KOUP</t>
  </si>
  <si>
    <t>FILTRO CABINA HYUNDAI H1</t>
  </si>
  <si>
    <t>FILTRO CABINA KIA MORNING / I10</t>
  </si>
  <si>
    <t>FILTRO CABINA MITS. L200 KATANA</t>
  </si>
  <si>
    <t>FILTRO CABINA NISSAN TIIDA 1.6</t>
  </si>
  <si>
    <t>FILTRO CABINA NS. NAVARA SKYFIL</t>
  </si>
  <si>
    <t>FILTRO CABINA SZ. GRAN NOMADE VITARA</t>
  </si>
  <si>
    <t>FILTRO CABINA TOYOTA</t>
  </si>
  <si>
    <t>FILTRO CAJA AUT. CHEROKEE</t>
  </si>
  <si>
    <t>FILTRO CAJA CAMBIO DODGE 3.7 / 4.7</t>
  </si>
  <si>
    <t>FILTRO CAJA CAMBIO SZ BALENO</t>
  </si>
  <si>
    <t>FILTRO cheri</t>
  </si>
  <si>
    <t>f35014</t>
  </si>
  <si>
    <t>F35014</t>
  </si>
  <si>
    <t>FILTRO DECANTADOR NISSAN F35014</t>
  </si>
  <si>
    <t>FILTRO DECANTADOR NS. NAVARA</t>
  </si>
  <si>
    <t>FILTRO DECANTADOR NS. TERRANO</t>
  </si>
  <si>
    <t>FILTRO DECANTADOR R20T MITSUBISHI</t>
  </si>
  <si>
    <t>FILTRO DECANTADOR TY. GUN L200</t>
  </si>
  <si>
    <t>FILTRO ELEMENTO BT-50</t>
  </si>
  <si>
    <t>wk-78-2</t>
  </si>
  <si>
    <t>wk78-2</t>
  </si>
  <si>
    <t>FILTRO ford</t>
  </si>
  <si>
    <t>FILTRO HU 711-51</t>
  </si>
  <si>
    <t>hu-819-1x</t>
  </si>
  <si>
    <t>hu 819-1x</t>
  </si>
  <si>
    <t>FILTRO nissan terrano 2.5</t>
  </si>
  <si>
    <t>WK-824-1</t>
  </si>
  <si>
    <t>WK 824-1</t>
  </si>
  <si>
    <t>FILTRO PETROLEO</t>
  </si>
  <si>
    <t>WK-939</t>
  </si>
  <si>
    <t>WK 939</t>
  </si>
  <si>
    <t>FILTRO PETROLEO WK 939 MANN</t>
  </si>
  <si>
    <t>FILTRO PETROLEO 2 SAL. SKYFIL</t>
  </si>
  <si>
    <t>FILTRO PETROLEO BF-702X CAPTIVA</t>
  </si>
  <si>
    <t>FILTRO PETROLEO CHEV. DMAX 2.5 BLACK CLUBS</t>
  </si>
  <si>
    <t>H-824-10X</t>
  </si>
  <si>
    <t>H 824-10X</t>
  </si>
  <si>
    <t>FILTRO PETROLEO H 824/10X MANN</t>
  </si>
  <si>
    <t>FILTRO PETROLEO HYUNDAI 2 SAL.</t>
  </si>
  <si>
    <t>FILTRO PETROLEO MAZDA BT50</t>
  </si>
  <si>
    <t>FILTRO PETROLEO NAVARA C/SENSOR 2014/</t>
  </si>
  <si>
    <t>FILTRO PETROLEO NS. TERRANO WK 850-1</t>
  </si>
  <si>
    <t>0N00040</t>
  </si>
  <si>
    <t>FILTRO PETROLEO NS. WK 940 22 NAVARA KAF</t>
  </si>
  <si>
    <t>PF 1050-1X</t>
  </si>
  <si>
    <t>FILTRO PETROLEO PF1050/1X KENDALL</t>
  </si>
  <si>
    <t>FILTRO PETROLEO PU 835X KENDALL</t>
  </si>
  <si>
    <t>FILTRO PETROLEO PU 938X TY. GUN 2016/</t>
  </si>
  <si>
    <t>TY30550</t>
  </si>
  <si>
    <t>FILTRO PETROLEO PU-835X</t>
  </si>
  <si>
    <t>FILTRO PETROLEO PU-835X BLACK</t>
  </si>
  <si>
    <t>FILTRO PETROLEO PU915X SSANGYONG</t>
  </si>
  <si>
    <t>FILTRO PETROLEO SSANGYONG BOSCH</t>
  </si>
  <si>
    <t>FILTRO PETROLEO TY. PU 835X</t>
  </si>
  <si>
    <t>FILTRO PETROLEO WK 714-1 ISUZU</t>
  </si>
  <si>
    <t>FILTRO PETROLEO WK 714-1 KENDALL</t>
  </si>
  <si>
    <t>WK-723</t>
  </si>
  <si>
    <t>WK 723</t>
  </si>
  <si>
    <t>FILTRO PETROLEO WK 723</t>
  </si>
  <si>
    <t>WK-758</t>
  </si>
  <si>
    <t>WK 758</t>
  </si>
  <si>
    <t>FILTRO PETROLEO WK 758</t>
  </si>
  <si>
    <t>WK-817</t>
  </si>
  <si>
    <t>WK 817</t>
  </si>
  <si>
    <t>FILTRO PETROLEO WK 817 MANN</t>
  </si>
  <si>
    <t>FILTRO PETROLEO WK 824-1 HYUNDAI SKYFIL</t>
  </si>
  <si>
    <t>FILTRO PETROLEO WK 824-1 KENDALL</t>
  </si>
  <si>
    <t>WK 824-1M</t>
  </si>
  <si>
    <t>FILTRO PETROLEO WK 824-1 MANN</t>
  </si>
  <si>
    <t>FILTRO PETROLEO WK 824-3 KENDALL</t>
  </si>
  <si>
    <t>FILTRO PETROLEO WK 829-3</t>
  </si>
  <si>
    <t>FILTRO PETROLEO WK 829-3 3 SALIDA KIA</t>
  </si>
  <si>
    <t>FILTRO PETROLEO WK 829-3 TERRACAN KENDALL</t>
  </si>
  <si>
    <t>WK-830-3</t>
  </si>
  <si>
    <t>WK 830-3</t>
  </si>
  <si>
    <t>FILTRO PETROLEO WK 830-3 MANN</t>
  </si>
  <si>
    <t>FILTRO PETROLEO WK 842-14 CHEV. S-10</t>
  </si>
  <si>
    <t>K003657</t>
  </si>
  <si>
    <t>FILTRO PETROLEO WK 842/2 KOREASTAR</t>
  </si>
  <si>
    <t>Wk-842-23x</t>
  </si>
  <si>
    <t>Wk 842-23x</t>
  </si>
  <si>
    <t>FILTRO PETROLEO WK 842/23X MANN</t>
  </si>
  <si>
    <t>FILTRO PETROLEO WK 850-1 MANN</t>
  </si>
  <si>
    <t>FILTRO PETROLEO WK 850-1 KENDALL</t>
  </si>
  <si>
    <t>FILTRO PETROLEO WK 850-1 NISSAN SKYFIL</t>
  </si>
  <si>
    <t>FILTRO PETROLEO WK 854-1 GREAT WALL SORENTO</t>
  </si>
  <si>
    <t>FILTRO PETROLEO WK 854-1 KIA</t>
  </si>
  <si>
    <t>FILTRO PETROLEO WK 854-6 MAHINDRA</t>
  </si>
  <si>
    <t>FILTRO PETROLEO WK 854-6 SKYFIL</t>
  </si>
  <si>
    <t>FILTRO PETROLEO WK 917-1</t>
  </si>
  <si>
    <t>WK-917-1PU</t>
  </si>
  <si>
    <t>WK 917PU</t>
  </si>
  <si>
    <t>FILTRO PETROLEO WK 917-1 PURITEC</t>
  </si>
  <si>
    <t>WK 920</t>
  </si>
  <si>
    <t>FILTRO PETROLEO WK 920 KEDALL</t>
  </si>
  <si>
    <t>WK-920</t>
  </si>
  <si>
    <t>FILTRO PETROLEO WK 920 MANN</t>
  </si>
  <si>
    <t>FILTRO PETROLEO WK 920-1 KENDALL</t>
  </si>
  <si>
    <t>FILTRO PETROLEO WK 920-21 KENDALL</t>
  </si>
  <si>
    <t>FILTRO PETROLEO WK 920-3 MAZDA B2500</t>
  </si>
  <si>
    <t>WK-920-25</t>
  </si>
  <si>
    <t>WK 920-25</t>
  </si>
  <si>
    <t>FILTRO PETROLEO WK 920/25 MANN</t>
  </si>
  <si>
    <t>WK-930</t>
  </si>
  <si>
    <t>WK 930</t>
  </si>
  <si>
    <t>FILTRO PETROLEO WK 930 MANN</t>
  </si>
  <si>
    <t>FILTRO PETROLEO WK 932-80</t>
  </si>
  <si>
    <t>WK-932-80</t>
  </si>
  <si>
    <t>WK 932-80</t>
  </si>
  <si>
    <t>FILTRO PETROLEO WK 932-80 KENDALL</t>
  </si>
  <si>
    <t>FILTRO PETROLEO WK 932-80 NISSAN SKYFIL</t>
  </si>
  <si>
    <t>FILTRO PETROLEO WK 940-22 NAVARA</t>
  </si>
  <si>
    <t>WK-940-6</t>
  </si>
  <si>
    <t>WK 940-6</t>
  </si>
  <si>
    <t>FILTRO PETROLEO WK 940-6 MANN</t>
  </si>
  <si>
    <t>FILTRO PETROLEO WK 940-6 NAVARA</t>
  </si>
  <si>
    <t>FILTRO PETROLEO WK 940/22 NAVARA 2010/ KAF</t>
  </si>
  <si>
    <t>FILTRO PLASTICO UNIVERSAL CHICO</t>
  </si>
  <si>
    <t>FILTRO POLEN CU240122</t>
  </si>
  <si>
    <t>FILTRO POLEN CHEV. OPTRA</t>
  </si>
  <si>
    <t>FILTRO POLEN CHEV. ORLANDO CRUZE SONIC CU-2442 KENDALL</t>
  </si>
  <si>
    <t>FILTRO POLEN CU 1919 TOYOTA</t>
  </si>
  <si>
    <t>...34770</t>
  </si>
  <si>
    <t>FILTRO POLEN CU 2138 SUZUKI</t>
  </si>
  <si>
    <t>FILTRO POLEN CU 2330 CHEV. AVEO</t>
  </si>
  <si>
    <t>FILTRO POLEN CU 2331 KIA CERATO</t>
  </si>
  <si>
    <t>FILTRO POLEN CU 2940 PEUG. 307</t>
  </si>
  <si>
    <t>FILTRO POLEN CU-2336 HYUNDAI</t>
  </si>
  <si>
    <t>FILTRO POLEN DODGE DURANGO 3.6 14/16 STP</t>
  </si>
  <si>
    <t>H708435</t>
  </si>
  <si>
    <t>FILTRO POLEN HY. ELANTRA CU-2331</t>
  </si>
  <si>
    <t>HU00304</t>
  </si>
  <si>
    <t>FILTRO POLEN HYUNDAI / KIA</t>
  </si>
  <si>
    <t>FILTRO POLEN HYUNDAI 17/19</t>
  </si>
  <si>
    <t>FILTRO POLEN KIA CARNIVAL 2.5 2.9</t>
  </si>
  <si>
    <t>FILTRO POLEN MG 3 13/</t>
  </si>
  <si>
    <t>FILTRO POLEN MTS. L200 2.4 16/ CU-2141 KENDALL</t>
  </si>
  <si>
    <t>FILTRO POLEN NS. NAVARA</t>
  </si>
  <si>
    <t>FILTRO POLEN SUZUKI GRAN VITARA 06/ CU-2138 KENDALL</t>
  </si>
  <si>
    <t>FILTRO POLEN TOYOTA</t>
  </si>
  <si>
    <t>FILTRO POLEN TY. KUN</t>
  </si>
  <si>
    <t>FILTRO PU 835X MANN</t>
  </si>
  <si>
    <t>PU938X</t>
  </si>
  <si>
    <t>FILTRO PU 938X MANN</t>
  </si>
  <si>
    <t>FILTRO RACOR NS. TERRANO 2.5 C/BASE</t>
  </si>
  <si>
    <t>c-20190</t>
  </si>
  <si>
    <t>c 20190</t>
  </si>
  <si>
    <t>FILTRO suzuki maruti</t>
  </si>
  <si>
    <t>FILTRO WK 700 DECANTADOR CHEV.</t>
  </si>
  <si>
    <t>FILTRO WK 829-3 3 SAL. SSANGYON</t>
  </si>
  <si>
    <t>FILTRO WK 829-6 2 SAL.</t>
  </si>
  <si>
    <t>FILTRO ACEITE 714-5X</t>
  </si>
  <si>
    <t>FILTRO ACEITE 818-4 MANN</t>
  </si>
  <si>
    <t>FILTRO ACEITE AIRE C 23121 MANN</t>
  </si>
  <si>
    <t>FILTRO ACEITE AIRE C 2330 MANN</t>
  </si>
  <si>
    <t>FILTRO ACEITE AIRE C 2330 SUZUKI</t>
  </si>
  <si>
    <t>FILTRO ACEITE AIRE C 2332 MANN</t>
  </si>
  <si>
    <t>FAI 2337</t>
  </si>
  <si>
    <t>FILTRO ACEITE AIRE C 2337 MANN</t>
  </si>
  <si>
    <t>FILTRO ACEITE AIRE C 2339 KENDALL</t>
  </si>
  <si>
    <t>FILTRO ACEITE AIRE C 2339 MANN</t>
  </si>
  <si>
    <t>FILTRO ACEITE AIRE C 2340 MANN</t>
  </si>
  <si>
    <t>FAI 2368</t>
  </si>
  <si>
    <t>FILTRO ACEITE AIRE C 2368 MANN</t>
  </si>
  <si>
    <t>FAI 2413</t>
  </si>
  <si>
    <t>FILTRO ACEITE AIRE C 2413 MANN</t>
  </si>
  <si>
    <t>FILTRO ACEITE AIRE C 2413 SZ. ALTO WAGON SKYFIL</t>
  </si>
  <si>
    <t>FAI 2419</t>
  </si>
  <si>
    <t>FILTRO ACEITE AIRE C 2419 MANN</t>
  </si>
  <si>
    <t>FILTRO ACEITE AIRE C 2429 DAIHATSU</t>
  </si>
  <si>
    <t>FILTRO ACEITE AIRE C 2451 MANN</t>
  </si>
  <si>
    <t>FAI 2500</t>
  </si>
  <si>
    <t>FILTRO ACEITE AIRE C 2500 MANN</t>
  </si>
  <si>
    <t>FILTRO ACEITE AIRE C 25125 MANN</t>
  </si>
  <si>
    <t>FILTRO ACEITE AIRE C 2514 DAIHATSU TERIOS</t>
  </si>
  <si>
    <t>FILTRO ACEITE AIRE C 2524 SKYFIL TERCEL</t>
  </si>
  <si>
    <t>FAI 2535</t>
  </si>
  <si>
    <t>FILTRO ACEITE AIRE C 2535 MANN</t>
  </si>
  <si>
    <t>FAI 2539</t>
  </si>
  <si>
    <t>FILTRO ACEITE AIRE C 2539 MANN</t>
  </si>
  <si>
    <t>FILTRO ACEITE AIRE C 2546 MANN</t>
  </si>
  <si>
    <t>FAI 2574</t>
  </si>
  <si>
    <t>FILTRO ACEITE AIRE C 2574 MANN</t>
  </si>
  <si>
    <t>FILTRO ACEITE AIRE C 26026 MANN</t>
  </si>
  <si>
    <t>FILTRO ACEITE AIRE C 2618 MANN</t>
  </si>
  <si>
    <t>FAI 2621</t>
  </si>
  <si>
    <t>FILTRO ACEITE AIRE C 2621 MANN</t>
  </si>
  <si>
    <t>FAI C 2666</t>
  </si>
  <si>
    <t>FILTRO ACEITE AIRE C 2666 MANN</t>
  </si>
  <si>
    <t>FILTRO ACEITE AIRE C 2692 MANN</t>
  </si>
  <si>
    <t>FILTRO ACEITE AIRE C 27134 MANN</t>
  </si>
  <si>
    <t>FAI 2721</t>
  </si>
  <si>
    <t>FILTRO ACEITE AIRE C 2721 MANN</t>
  </si>
  <si>
    <t>0N000030</t>
  </si>
  <si>
    <t>FILTRO ACEITE AIRE C 2735-4 NAVARA KAF</t>
  </si>
  <si>
    <t>FAI 2735-4N</t>
  </si>
  <si>
    <t>FILTRO ACEITE AIRE C 2735-4 SKYFIL</t>
  </si>
  <si>
    <t>FAI 2741</t>
  </si>
  <si>
    <t>FILTRO ACEITE AIRE C 2741 MANN</t>
  </si>
  <si>
    <t>FILTRO ACEITE AIRE C 2742 MANN</t>
  </si>
  <si>
    <t>FAI 2775</t>
  </si>
  <si>
    <t>FILTRO ACEITE AIRE C 2775 MANN</t>
  </si>
  <si>
    <t>FAI 2964A</t>
  </si>
  <si>
    <t>FILTRO ACEITE AIRE C 2964 A</t>
  </si>
  <si>
    <t>FAI 2964T</t>
  </si>
  <si>
    <t>FILTRO ACEITE AIRE C 2964 T. NISSAN LARGO</t>
  </si>
  <si>
    <t>FILTRO ACEITE AIRE C 3028 OPTRA KENDALL</t>
  </si>
  <si>
    <t>FILTRO ACEITE AIRE C 3041-1 KIA CARNIVAL</t>
  </si>
  <si>
    <t>FILTRO ACEITE AIRE C 3143 MANN</t>
  </si>
  <si>
    <t>FILTRO ACEITE AIRE C 3350 A</t>
  </si>
  <si>
    <t>FILTRO ACEITE AIRE C 3350 MANN</t>
  </si>
  <si>
    <t>FAI 3619</t>
  </si>
  <si>
    <t>FILTRO ACEITE AIRE C 3619 MANN</t>
  </si>
  <si>
    <t>C 3666</t>
  </si>
  <si>
    <t>FILTRO ACEITE AIRE C 3666 MANN</t>
  </si>
  <si>
    <t>FAI C38163-1</t>
  </si>
  <si>
    <t>FILTRO ACEITE AIRE C 38163-1 MANN</t>
  </si>
  <si>
    <t>FAI 4151</t>
  </si>
  <si>
    <t>FILTRO ACEITE AIRE C 4151 MANN</t>
  </si>
  <si>
    <t>FILTRO ACEITE AIRE CA 9054 DODGE JOURNEY</t>
  </si>
  <si>
    <t>FILTRO ACEITE AIRE DODGE DURANGO 3.6 5.7 MOPAR</t>
  </si>
  <si>
    <t>FILTRO ACEITE BENC. WK 29-5 UNIVERSAL PLASTICO 5/16</t>
  </si>
  <si>
    <t>FILTRO ACEITE BENC. WK 512 CORSA MANN</t>
  </si>
  <si>
    <t>FILTRO ACEITE BENC. WK 55-3 MANN</t>
  </si>
  <si>
    <t>WK 605-1</t>
  </si>
  <si>
    <t>FILTRO ACEITE BENC. WK 605-1 MANN</t>
  </si>
  <si>
    <t>FILTRO ACEITE BENC. WK 611-3 CARAVAN SKYFIL</t>
  </si>
  <si>
    <t>WK 614-24</t>
  </si>
  <si>
    <t>FILTRO ACEITE BENC. WK 614-24 MANN</t>
  </si>
  <si>
    <t>FILTRO ACEITE BENC. WK 617-1 TOYOTA</t>
  </si>
  <si>
    <t>FILTRO ACEITE BENC. WK 66 RECTO CHEV.</t>
  </si>
  <si>
    <t>FILTRO ACEITE BENC. WK 68-1 HONDA ONNURI</t>
  </si>
  <si>
    <t>FILTRO ACEITE BENC.WK 66-5 MANN</t>
  </si>
  <si>
    <t>FBC WK612</t>
  </si>
  <si>
    <t>FILTRO ACEITE BENCINA WK 612 MANN</t>
  </si>
  <si>
    <t>FILTRO ACEITE BENCINA WK 613 MANN</t>
  </si>
  <si>
    <t>FILTRO ACEITE BENCINA WK 614-2 DAIHATSU</t>
  </si>
  <si>
    <t>FILTRO ACEITE BENCINA WK 614-40 MANN</t>
  </si>
  <si>
    <t>FILTRO ACEITE BENCINA WK 614-9 MANN</t>
  </si>
  <si>
    <t>FILTRO ACEITE BENCINA WK 76 SUZUKI SWIFT</t>
  </si>
  <si>
    <t>TY09138</t>
  </si>
  <si>
    <t>FILTRO ACEITE C 2419 TY. YARIS 06/13 WURTEX</t>
  </si>
  <si>
    <t>TYT0001</t>
  </si>
  <si>
    <t>FILTRO ACEITE C 2524 TERCEL KAF</t>
  </si>
  <si>
    <t>FILTRO ACEITE CHEV DMAX 2.5 2012/ KENDALL</t>
  </si>
  <si>
    <t>FILTRO ACEITE CHEV. DMAX 2.5 BLACK CLUBS</t>
  </si>
  <si>
    <t>FILTRO ACEITE CHEV. LUV DMAX</t>
  </si>
  <si>
    <t>FILTRO ACEITE DECANTADOR CON VASO MITSUBISHI RK45</t>
  </si>
  <si>
    <t>FACEIDOD</t>
  </si>
  <si>
    <t>FILTRO ACEITE DODGE DURANGO</t>
  </si>
  <si>
    <t>FILTRO ACEITE DODGE DURANGO 3.6</t>
  </si>
  <si>
    <t>FILTRO ACEITE FORD RANGER 3.2 HU 7002Z</t>
  </si>
  <si>
    <t>FILTRO ACEITE H 819/1X MANN</t>
  </si>
  <si>
    <t>h-819/1x</t>
  </si>
  <si>
    <t>h819/1xk</t>
  </si>
  <si>
    <t>FILTRO ACEITE h 819/1xkendall</t>
  </si>
  <si>
    <t>FILTRO ACEITE HU 6006Z TOYOTA</t>
  </si>
  <si>
    <t>FILTRO ACEITE HU 6011Z</t>
  </si>
  <si>
    <t>FAC 611/1X</t>
  </si>
  <si>
    <t>FILTRO ACEITE HU 611/1X MAN</t>
  </si>
  <si>
    <t>FILTRO ACEITE HU 612-2X CHEV. CRUZE SONIC</t>
  </si>
  <si>
    <t>FILTRO ACEITE HU 613X SSANGYONG</t>
  </si>
  <si>
    <t>FILTRO ACEITE HU 7002Z FORD</t>
  </si>
  <si>
    <t>FILTRO ACEITE HU 7008Z STP V. AMAROK</t>
  </si>
  <si>
    <t>FILTRO ACEITE HU 7008Z VOLKSWAGEN</t>
  </si>
  <si>
    <t>FILTRO ACEITE HU 7010Z M. VITO SPRINTER</t>
  </si>
  <si>
    <t>FILTRO ACEITE HU 7019X HYUNDAI</t>
  </si>
  <si>
    <t>FAC 716-2X</t>
  </si>
  <si>
    <t>FILTRO ACEITE HU 716-2X MANN</t>
  </si>
  <si>
    <t>FILTRO ACEITE HU 727-1X SSANYONG</t>
  </si>
  <si>
    <t>FILTRO ACEITE HU 819X MANN</t>
  </si>
  <si>
    <t>FAC 820X</t>
  </si>
  <si>
    <t>FILTRO ACEITE HU 820X MANN</t>
  </si>
  <si>
    <t>HU-822/5X</t>
  </si>
  <si>
    <t>HU 822/5X</t>
  </si>
  <si>
    <t>FILTRO ACEITE HU 822/5X MANN</t>
  </si>
  <si>
    <t>FILTRO ACEITE HU-714/5X CRUCE ORLANDO</t>
  </si>
  <si>
    <t>FILTRO ACEITE HU612-2X CRUZE KENDALL</t>
  </si>
  <si>
    <t>FILTRO ACEITE HU612/2X CHEV.CRUZE SONIC</t>
  </si>
  <si>
    <t>FILTRO ACEITE HU616X ACCENT</t>
  </si>
  <si>
    <t>FILTRO ACEITE HU7001X HY. ACCENT RB</t>
  </si>
  <si>
    <t>FILTRO ACEITE HU7009Z TUNDRA</t>
  </si>
  <si>
    <t>FILTRO ACEITE HU7019X HYUNDAI</t>
  </si>
  <si>
    <t>FILTRO ACEITE HU714/5X ORLANDO CRUZE</t>
  </si>
  <si>
    <t>FILTRO ACEITE HU716/2X MOPAR</t>
  </si>
  <si>
    <t>FILTRO ACEITE HU716X MAXUS</t>
  </si>
  <si>
    <t>FILTRO ACEITE HU727/1X</t>
  </si>
  <si>
    <t>FILTRO ACEITE HU816/2X RENEGADE</t>
  </si>
  <si>
    <t>FILTRO ACEITE HY.W 927-8</t>
  </si>
  <si>
    <t>FILTRO ACEITE HYUNDAI HU7001X ELEMENTO</t>
  </si>
  <si>
    <t>FILTRO ACEITE KENDALL W 67-81 = W 67-2</t>
  </si>
  <si>
    <t>FILTRO ACEITE KENDALL W 712-55</t>
  </si>
  <si>
    <t>FILTRO ACEITE KENDALL W 815</t>
  </si>
  <si>
    <t>FILTRO ACEITE MANN W 610-3</t>
  </si>
  <si>
    <t>FILTRO ACEITE MANN W 67-1</t>
  </si>
  <si>
    <t>FILTRO ACEITE MANN W 712-22 = W 712-75</t>
  </si>
  <si>
    <t>FILTRO ACEITE MANN W 816</t>
  </si>
  <si>
    <t>wp-928-81</t>
  </si>
  <si>
    <t>wp 928-81</t>
  </si>
  <si>
    <t>FILTRO ACEITE mit. l200</t>
  </si>
  <si>
    <t>MO-339</t>
  </si>
  <si>
    <t>M0-339</t>
  </si>
  <si>
    <t>FILTRO ACEITE MOPAR 00068925 4892339AA</t>
  </si>
  <si>
    <t>MO-090</t>
  </si>
  <si>
    <t>FILTRO ACEITE MOPAR 5281090 2.5 3.3 3.5 3.8 3.9 4.0 4.7</t>
  </si>
  <si>
    <t>FILTRO ACEITE MOPAR DODGE 4.7 5.7 6.1 08/14</t>
  </si>
  <si>
    <t>FILTRO ACEITE MOPAR ELEMENTO DODGE 3.6 12/</t>
  </si>
  <si>
    <t>FILTRO ACEITE NISSAN TERRANO 3.0</t>
  </si>
  <si>
    <t>FILTRO ACEITE P 927X DMAX</t>
  </si>
  <si>
    <t>FILTRO ACEITE PETR. WK 700 MANN</t>
  </si>
  <si>
    <t>WK 710</t>
  </si>
  <si>
    <t>FILTRO ACEITE PETR. WK 710 MANN</t>
  </si>
  <si>
    <t>WK 714-1</t>
  </si>
  <si>
    <t>FILTRO ACEITE PETR. WK 714-1 MANN</t>
  </si>
  <si>
    <t>FILTRO ACEITE PETR. WK 815 MANN</t>
  </si>
  <si>
    <t>FILTRO ACEITE PETR. WK 829-3 MANN</t>
  </si>
  <si>
    <t>WK 842-14</t>
  </si>
  <si>
    <t>FILTRO ACEITE PETR. WK 842-14 MANN</t>
  </si>
  <si>
    <t>FILTRO ACEITE PETR. WK 854-4 MANN</t>
  </si>
  <si>
    <t>FILTRO ACEITE PETR. WK 854-6 MANN</t>
  </si>
  <si>
    <t>FILTRO ACEITE PETR. WK 920-1 MANN</t>
  </si>
  <si>
    <t>FILTRO ACEITE PETR. WK 921 MANN</t>
  </si>
  <si>
    <t>FILTRO ACEITE PETR. WK 932-80 MANN</t>
  </si>
  <si>
    <t>FILTRO ACEITE PETR. WK 940-22 MANN</t>
  </si>
  <si>
    <t>FILTRO ACEITE PETRO WK 842-18 MANN</t>
  </si>
  <si>
    <t>FILTRO ACEITE PETROLEO PU 835X MANN TOYOTA</t>
  </si>
  <si>
    <t>FILTRO ACEITE PETROLEO WK 917-1 MANN</t>
  </si>
  <si>
    <t>HU-612X</t>
  </si>
  <si>
    <t>FILTRO ACEITE PEUGEOT 206 HU 612X</t>
  </si>
  <si>
    <t>FILTRO ACEITE PF 1050/1 SSANGYONG ELEMENTO</t>
  </si>
  <si>
    <t>FILTRO ACEITE PU723X</t>
  </si>
  <si>
    <t>PU-922X</t>
  </si>
  <si>
    <t>PU 922X</t>
  </si>
  <si>
    <t>FILTRO ACEITE SUZUKI</t>
  </si>
  <si>
    <t>FILTRO ACEITE TY. RAV 2.5 ELEMENTO</t>
  </si>
  <si>
    <t>FILTRO ACEITE TY. RAV 4 COROLLA ELEMENTO</t>
  </si>
  <si>
    <t>FILTRO ACEITE TY. RAV4 RUNNER ELEMENTO</t>
  </si>
  <si>
    <t>FAC 1035</t>
  </si>
  <si>
    <t>FILTRO ACEITE W 1035 MANN</t>
  </si>
  <si>
    <t>FAC 1114-80</t>
  </si>
  <si>
    <t>FILTRO ACEITE W 1114-80 MANN</t>
  </si>
  <si>
    <t>FAC 1126</t>
  </si>
  <si>
    <t>FILTRO ACEITE W 1126 MANN</t>
  </si>
  <si>
    <t>FILTRO ACEITE W 1323 MANN</t>
  </si>
  <si>
    <t>FILTRO ACEITE W 610-1 NISSAN KENDALL</t>
  </si>
  <si>
    <t>FILTRO ACEITE W 610-4 KENDALL</t>
  </si>
  <si>
    <t>FILTRO ACEITE W 610-4 MANN</t>
  </si>
  <si>
    <t>FILTRO ACEITE W 610-80 KENDALL</t>
  </si>
  <si>
    <t>FILTRO ACEITE W 610-80 MANDO</t>
  </si>
  <si>
    <t>FILTRO ACEITE W 610-80 MANN</t>
  </si>
  <si>
    <t>FAC 610-80</t>
  </si>
  <si>
    <t>FILTRO ACEITE W 610-82 KENDAL = 610-3</t>
  </si>
  <si>
    <t>FILTRO ACEITE W 610-82 MANN = W 610-3</t>
  </si>
  <si>
    <t>FILTRO ACEITE W 67-80 = W 67-1</t>
  </si>
  <si>
    <t>FILTRO ACEITE W 67-80 MANN = W 67-1</t>
  </si>
  <si>
    <t>FILTRO ACEITE W 67-81 W 67-2 STP</t>
  </si>
  <si>
    <t>FILTRO ACEITE W 67-81 MANN = W 67-2</t>
  </si>
  <si>
    <t>FILTRO ACEITE W 67-81 ONNURI W 67-2</t>
  </si>
  <si>
    <t>FILTRO ACEITE W 67-81 SPEED MATE (ROJO)</t>
  </si>
  <si>
    <t>FILTRO ACEITE W 67-81 SUZUKI</t>
  </si>
  <si>
    <t>FILTRO ACEITE W 68-3 MANN</t>
  </si>
  <si>
    <t>FILTRO ACEITE W 68-80</t>
  </si>
  <si>
    <t>FILTRO ACEITE W 68-80 KENDALL</t>
  </si>
  <si>
    <t>FILTRO ACEITE W 68-80 MANN</t>
  </si>
  <si>
    <t>FILTRO ACEITE W 68-85</t>
  </si>
  <si>
    <t>FILTRO ACEITE W 68-85 MANN</t>
  </si>
  <si>
    <t>W-68-80</t>
  </si>
  <si>
    <t>W 68-80</t>
  </si>
  <si>
    <t>FILTRO ACEITE W 68/80 TOYOTA</t>
  </si>
  <si>
    <t>FILTRO ACEITE W 68/85 KENDALL</t>
  </si>
  <si>
    <t>FILTRO ACEITE W 712-12 NPPN</t>
  </si>
  <si>
    <t>FILTRO ACEITE W 712-19 STP</t>
  </si>
  <si>
    <t>FILTRO ACEITE W 712-19 WURTEX</t>
  </si>
  <si>
    <t>FILTRO ACEITE W 712-19 KENDALL</t>
  </si>
  <si>
    <t>FILTRO ACEITE W 712-19 MANN</t>
  </si>
  <si>
    <t>FILTRO ACEITE W 712-19 ONNURI</t>
  </si>
  <si>
    <t>FILTRO ACEITE W 712-22</t>
  </si>
  <si>
    <t>FILTRO ACEITE W 712-22 KENDALL/STP = W712-75</t>
  </si>
  <si>
    <t>FILTRO ACEITE W 712-22 MANN</t>
  </si>
  <si>
    <t>FAC 712-4</t>
  </si>
  <si>
    <t>FILTRO ACEITE W 712-4 MANN</t>
  </si>
  <si>
    <t>FILTRO ACEITE W 712-52</t>
  </si>
  <si>
    <t>FAC 712-52</t>
  </si>
  <si>
    <t>FILTRO ACEITE W 712-52 MANN</t>
  </si>
  <si>
    <t>FILTRO ACEITE W 712-52 VW POLO STP</t>
  </si>
  <si>
    <t>FILTRO ACEITE W 712-55 MANN</t>
  </si>
  <si>
    <t>FILTRO ACEITE W 712-57</t>
  </si>
  <si>
    <t>FAC 712-57</t>
  </si>
  <si>
    <t>FILTRO ACEITE W 712-57 MANN</t>
  </si>
  <si>
    <t>FILTRO ACEITE W 712-73 FD ECOSPORT</t>
  </si>
  <si>
    <t>FILTRO ACEITE W 712-73 FORD STP</t>
  </si>
  <si>
    <t>FILTRO ACEITE W 712-73 MANN</t>
  </si>
  <si>
    <t>FILTRO ACEITE W 712-75 MANN W 712-22</t>
  </si>
  <si>
    <t>FILTRO ACEITE W 712-8 KENDALL</t>
  </si>
  <si>
    <t>FILTRO ACEITE W 712-8 MANN</t>
  </si>
  <si>
    <t>FILTRO ACEITE W 712-8 W 815</t>
  </si>
  <si>
    <t>FILTRO ACEITE W 712-81</t>
  </si>
  <si>
    <t>FILTRO ACEITE W 712-81 MANN</t>
  </si>
  <si>
    <t>FILTRO ACEITE W 713-1 MANN</t>
  </si>
  <si>
    <t>FILTRO ACEITE W 713-1 NPPN</t>
  </si>
  <si>
    <t>FILTRO ACEITE W 713-1 WURTEX</t>
  </si>
  <si>
    <t>FILTRO ACEITE W 713-15 KENDALL</t>
  </si>
  <si>
    <t>FILTRO ACEITE W 713-15 W 713-28 MG ROVER STP</t>
  </si>
  <si>
    <t>FAC 713-15</t>
  </si>
  <si>
    <t>FILTRO ACEITE W 713-15 MANN</t>
  </si>
  <si>
    <t>FILTRO ACEITE W 713-16 KENDALL</t>
  </si>
  <si>
    <t>FAC 713-16</t>
  </si>
  <si>
    <t>FILTRO ACEITE W 713-16 MANN</t>
  </si>
  <si>
    <t>FILTRO ACEITE W 713-28 MG ROVER WURTEX</t>
  </si>
  <si>
    <t>FILTRO ACEITE W 713-34</t>
  </si>
  <si>
    <t>FILTRO ACEITE W 713-34 STP</t>
  </si>
  <si>
    <t>FILTRO ACEITE W 713-34 KENDALL</t>
  </si>
  <si>
    <t>FAC 713-34</t>
  </si>
  <si>
    <t>FILTRO ACEITE W 713-34 MANN</t>
  </si>
  <si>
    <t>FILTRO ACEITE W 718 MANN</t>
  </si>
  <si>
    <t>W719-15 K</t>
  </si>
  <si>
    <t>FILTRO ACEITE W 719-15 KENDALL</t>
  </si>
  <si>
    <t>FILTRO ACEITE W 719-15 MANN</t>
  </si>
  <si>
    <t>FILTRO ACEITE W 719-27</t>
  </si>
  <si>
    <t>FILTRO ACEITE W 719-27 MANN</t>
  </si>
  <si>
    <t>FAC 719-30</t>
  </si>
  <si>
    <t>FILTRO ACEITE W 719-30 MANN</t>
  </si>
  <si>
    <t>FAC 719-4</t>
  </si>
  <si>
    <t>FILTRO ACEITE W 719-4 MANN</t>
  </si>
  <si>
    <t>FAC 719-9</t>
  </si>
  <si>
    <t>FILTRO ACEITE W 719-9 MANN</t>
  </si>
  <si>
    <t>FILTRO ACEITE W 75-2</t>
  </si>
  <si>
    <t>FILTRO ACEITE W 75-2 MANN</t>
  </si>
  <si>
    <t>FILTRO ACEITE W 811-80 MANN</t>
  </si>
  <si>
    <t>FAC 815</t>
  </si>
  <si>
    <t>FILTRO ACEITE W 815 MANN</t>
  </si>
  <si>
    <t>w-816</t>
  </si>
  <si>
    <t>W 816</t>
  </si>
  <si>
    <t>FILTRO ACEITE W 816</t>
  </si>
  <si>
    <t>FILTRO ACEITE W 816 CHEV. DMAX</t>
  </si>
  <si>
    <t>FILTRO ACEITE W 818-10 KENDALL</t>
  </si>
  <si>
    <t>FAC 818-10</t>
  </si>
  <si>
    <t>FILTRO ACEITE W 818-10 MANN</t>
  </si>
  <si>
    <t>FAC 818-16</t>
  </si>
  <si>
    <t>FILTRO ACEITE W 818-16 MANN</t>
  </si>
  <si>
    <t>FILTRO ACEITE W 818-4</t>
  </si>
  <si>
    <t>FAC 818-4</t>
  </si>
  <si>
    <t>FILTRO ACEITE W 818-4 MANN</t>
  </si>
  <si>
    <t>FILTRO ACEITE W 818-8 STP</t>
  </si>
  <si>
    <t>FILTRO ACEITE W 818-8 WURTEX</t>
  </si>
  <si>
    <t>FILTRO ACEITE W 818-8 KENDALL</t>
  </si>
  <si>
    <t>FILTRO ACEITE W 818-8 MANN</t>
  </si>
  <si>
    <t>FILTRO ACEITE W 818-88</t>
  </si>
  <si>
    <t>FAC 914-15</t>
  </si>
  <si>
    <t>FILTRO ACEITE W 914-15 MANN</t>
  </si>
  <si>
    <t>FAC 914-2</t>
  </si>
  <si>
    <t>FILTRO ACEITE W 914-2 MANN</t>
  </si>
  <si>
    <t>FAC 914-3</t>
  </si>
  <si>
    <t>FILTRO ACEITE W 914-3 MANN</t>
  </si>
  <si>
    <t>FAC 914-7</t>
  </si>
  <si>
    <t>FILTRO ACEITE W 914-7 MANN</t>
  </si>
  <si>
    <t>FAC 915-9</t>
  </si>
  <si>
    <t>FILTRO ACEITE W 915-9 MANN</t>
  </si>
  <si>
    <t>FAC 920-20</t>
  </si>
  <si>
    <t>FILTRO ACEITE W 920-20 MANN</t>
  </si>
  <si>
    <t>FILTRO ACEITE W 920-21 KENDALL</t>
  </si>
  <si>
    <t>W 920-21</t>
  </si>
  <si>
    <t>FILTRO ACEITE W 920-21 MANN</t>
  </si>
  <si>
    <t>FAC 920-41</t>
  </si>
  <si>
    <t>FILTRO ACEITE W 920-41 MANN</t>
  </si>
  <si>
    <t>FILTRO ACEITE W 920-48 KENDALL</t>
  </si>
  <si>
    <t>FILTRO ACEITE W 920-48 MANN</t>
  </si>
  <si>
    <t>FILTRO ACEITE W 920-82 KAF</t>
  </si>
  <si>
    <t>FILTRO ACEITE W 920-82 STP</t>
  </si>
  <si>
    <t>FILTRO ACEITE W 920-82 LUV 2.8 BLACK CLUBS</t>
  </si>
  <si>
    <t>FILTRO ACEITE W 920-82 MANN</t>
  </si>
  <si>
    <t>FAC 924</t>
  </si>
  <si>
    <t>FILTRO ACEITE W 924 MANN</t>
  </si>
  <si>
    <t>FILTRO ACEITE W 924-10 MAHINDRA ORIGINAL</t>
  </si>
  <si>
    <t>FILTRO ACEITE W 924-10 MANN</t>
  </si>
  <si>
    <t>FAC 924-10</t>
  </si>
  <si>
    <t>FILTRO ACEITE W 924-5</t>
  </si>
  <si>
    <t>FAC W924-5</t>
  </si>
  <si>
    <t>FILTRO ACEITE W 924-5 MANN</t>
  </si>
  <si>
    <t>FILTRO ACEITE W 927</t>
  </si>
  <si>
    <t>H104115</t>
  </si>
  <si>
    <t>FILTRO ACEITE W 927-8 = W 930-26 = WP 928-81 MANDO</t>
  </si>
  <si>
    <t>FILTRO ACEITE W 927-8 WP928-81 WURTEX</t>
  </si>
  <si>
    <t>FILTRO ACEITE W 927-8 KENDALL</t>
  </si>
  <si>
    <t>FILTRO ACEITE W 927-8 MANN W 930-26</t>
  </si>
  <si>
    <t>FILTRO ACEITE W 927-8 STP</t>
  </si>
  <si>
    <t>W930-26</t>
  </si>
  <si>
    <t>FILTRO ACEITE W 930-26 927-8 MANN</t>
  </si>
  <si>
    <t>FILTRO ACEITE W 930-6 MANN</t>
  </si>
  <si>
    <t>FAC 940</t>
  </si>
  <si>
    <t>FILTRO ACEITE W 940 MANN</t>
  </si>
  <si>
    <t>FILTRO ACEITE W 940-1 MANN</t>
  </si>
  <si>
    <t>FILTRO ACEITE W 940-10 MH PICK UP 2.6 SCORPIO 2.2/2.5/2.6 STP</t>
  </si>
  <si>
    <t>FAC 940-18</t>
  </si>
  <si>
    <t>FILTRO ACEITE W 940-18 MANN</t>
  </si>
  <si>
    <t>FILTRO ACEITE W 940-23 KENDALL</t>
  </si>
  <si>
    <t>FILTRO ACEITE W-816 DMAX</t>
  </si>
  <si>
    <t>W920-48</t>
  </si>
  <si>
    <t>FILTRO ACEITE W920/48 TERRANO</t>
  </si>
  <si>
    <t>FILTRO ACEITE WP 1045</t>
  </si>
  <si>
    <t>FILTRO ACEITE WP 1045 KENDALL</t>
  </si>
  <si>
    <t>FILTRO ACEITE WP 920-80 KENDALL</t>
  </si>
  <si>
    <t>FILTRO ACEITE WP 928-81 WP 928-83 MANN</t>
  </si>
  <si>
    <t>FILTRO ACEITE WP 928-81 KENDALL</t>
  </si>
  <si>
    <t>FAC WP928-82</t>
  </si>
  <si>
    <t>FILTRO ACEITE WP 928-82 MANN</t>
  </si>
  <si>
    <t>FILTRO AIRE C 3121 MAZDA</t>
  </si>
  <si>
    <t>FAI-16163-1</t>
  </si>
  <si>
    <t>FAI 16163-1</t>
  </si>
  <si>
    <t>FILTRO AIRE 16163-1 MANN</t>
  </si>
  <si>
    <t>FILTRO AIRE C 10012 MORNING 17/ WURTEX</t>
  </si>
  <si>
    <t>FAI-1158</t>
  </si>
  <si>
    <t>FAI 1158</t>
  </si>
  <si>
    <t>FILTRO AIRE C 1158</t>
  </si>
  <si>
    <t>FAI-1258</t>
  </si>
  <si>
    <t>FAI 1254</t>
  </si>
  <si>
    <t>FILTRO AIRE C 1254 SUZ. CARRY ST90</t>
  </si>
  <si>
    <t>C-1286-1</t>
  </si>
  <si>
    <t>C 1286-1</t>
  </si>
  <si>
    <t>FILTRO AIRE C 1286-1 MANN</t>
  </si>
  <si>
    <t>C 1323</t>
  </si>
  <si>
    <t>FILTRO AIRE C 1323 MANN</t>
  </si>
  <si>
    <t>C-1380</t>
  </si>
  <si>
    <t>C 1380</t>
  </si>
  <si>
    <t>FILTRO AIRE C 1380 MANN</t>
  </si>
  <si>
    <t>DWD0001</t>
  </si>
  <si>
    <t>FILTRO AIRE C 1380 SUZUKI CARRY ST90</t>
  </si>
  <si>
    <t>FAI-1380-1</t>
  </si>
  <si>
    <t>FAI 1380-1</t>
  </si>
  <si>
    <t>FILTRO AIRE C 1380-1</t>
  </si>
  <si>
    <t>C-14171</t>
  </si>
  <si>
    <t>C 14171</t>
  </si>
  <si>
    <t>FILTRO AIRE C 14171 MANN</t>
  </si>
  <si>
    <t>C-14175</t>
  </si>
  <si>
    <t>C 14175</t>
  </si>
  <si>
    <t>FILTRO AIRE C 14175 MANN</t>
  </si>
  <si>
    <t>C 14179</t>
  </si>
  <si>
    <t>FILTRO AIRE C 14179 KENDALL</t>
  </si>
  <si>
    <t>FILTRO AIRE C 14200</t>
  </si>
  <si>
    <t>FILTRO AIRE C 14200 kendall</t>
  </si>
  <si>
    <t>FILTRO AIRE C 1460 CITROEN PEUGEOT</t>
  </si>
  <si>
    <t>FAI-1468</t>
  </si>
  <si>
    <t>FAI 1468</t>
  </si>
  <si>
    <t>FILTRO AIRE C 1468 MANN</t>
  </si>
  <si>
    <t>c15135</t>
  </si>
  <si>
    <t>FILTRO AIRE c 15135</t>
  </si>
  <si>
    <t>FILTRO AIRE C 15135 KENDALL</t>
  </si>
  <si>
    <t>FILTRO AIRE C 15135 MANN</t>
  </si>
  <si>
    <t>NST0002</t>
  </si>
  <si>
    <t>FILTRO AIRE C 15135 TERRANO</t>
  </si>
  <si>
    <t>FAI-1517</t>
  </si>
  <si>
    <t>C 1517</t>
  </si>
  <si>
    <t>FILTRO AIRE C 1517 MANN</t>
  </si>
  <si>
    <t>C 1569</t>
  </si>
  <si>
    <t>FILTRO AIRE C 1569 NS TERRANO</t>
  </si>
  <si>
    <t>FILTRO AIRE C 16124 KENDALL</t>
  </si>
  <si>
    <t>FILTRO AIRE C 16133 NISSAN</t>
  </si>
  <si>
    <t>C-16133</t>
  </si>
  <si>
    <t>C 16133</t>
  </si>
  <si>
    <t>FILTRO AIRE C 16133 NISSAN MANN</t>
  </si>
  <si>
    <t>C-16136-1</t>
  </si>
  <si>
    <t>C 16136-1</t>
  </si>
  <si>
    <t>FILTRO AIRE C 16136/1 MANN</t>
  </si>
  <si>
    <t>FILTRO AIRE C 16144 MANN</t>
  </si>
  <si>
    <t>FILTRO AIRE C 16144 MAZDA KENDALL</t>
  </si>
  <si>
    <t>C-16159</t>
  </si>
  <si>
    <t>FILTRO AIRE C 16159 MANN</t>
  </si>
  <si>
    <t>C 16159</t>
  </si>
  <si>
    <t>FILTRO AIRE C 16159 TOYOTA</t>
  </si>
  <si>
    <t>C-16218</t>
  </si>
  <si>
    <t>C 16218</t>
  </si>
  <si>
    <t>FILTRO AIRE C 16218 MANN</t>
  </si>
  <si>
    <t>FAI-16229</t>
  </si>
  <si>
    <t>FAI 16229</t>
  </si>
  <si>
    <t>FILTRO AIRE C 16229 MANN</t>
  </si>
  <si>
    <t>FILTRO AIRE C 16229 S10</t>
  </si>
  <si>
    <t>C16366m</t>
  </si>
  <si>
    <t>FILTRO AIRE C 16336 mann ub rg</t>
  </si>
  <si>
    <t>FILTRO AIRE C 17113 HY H100 BENC. KENDALL</t>
  </si>
  <si>
    <t>FILTRO AIRE C 1772 MANN</t>
  </si>
  <si>
    <t>C-18115</t>
  </si>
  <si>
    <t>C 18115</t>
  </si>
  <si>
    <t>FILTRO AIRE C 18115 MANN</t>
  </si>
  <si>
    <t>C-18142</t>
  </si>
  <si>
    <t>C 18142</t>
  </si>
  <si>
    <t>FILTRO AIRE C 18142 MANN</t>
  </si>
  <si>
    <t>C-18213</t>
  </si>
  <si>
    <t>C 18213</t>
  </si>
  <si>
    <t>FILTRO AIRE C 18213 MANN</t>
  </si>
  <si>
    <t>FILTRO AIRE C 182184</t>
  </si>
  <si>
    <t>FILTRO AIRE C 1823 DAIHATSU SKYFIL</t>
  </si>
  <si>
    <t>C-18244</t>
  </si>
  <si>
    <t>C 18244</t>
  </si>
  <si>
    <t>FILTRO AIRE C 18244 MANN</t>
  </si>
  <si>
    <t>C-18263</t>
  </si>
  <si>
    <t>C 18263</t>
  </si>
  <si>
    <t>FILTRO AIRE C 18263 MANN</t>
  </si>
  <si>
    <t>C 1891</t>
  </si>
  <si>
    <t>FILTRO AIRE C 1891 KENDALL</t>
  </si>
  <si>
    <t>FAI-1891S</t>
  </si>
  <si>
    <t>FAI 1891</t>
  </si>
  <si>
    <t>FILTRO AIRE C 1891 SKYFIL</t>
  </si>
  <si>
    <t>C-19175</t>
  </si>
  <si>
    <t>C 19175</t>
  </si>
  <si>
    <t>FILTRO AIRE C 19175 MANN</t>
  </si>
  <si>
    <t>FILTRO AIRE C 1924 SUZUKI</t>
  </si>
  <si>
    <t>FAI-1924</t>
  </si>
  <si>
    <t>FAI 1924</t>
  </si>
  <si>
    <t>FILTRO AIRE C 1924 MANN</t>
  </si>
  <si>
    <t>FILTRO AIRE C 1928 HY. ELANTRA CERATO</t>
  </si>
  <si>
    <t>FILTRO AIRE C 1980 SUZUKI KENDALL</t>
  </si>
  <si>
    <t>C-1980</t>
  </si>
  <si>
    <t>C 1980</t>
  </si>
  <si>
    <t>FILTRO AIRE C 1980 SUZUKI MANN</t>
  </si>
  <si>
    <t>FAI-C20140</t>
  </si>
  <si>
    <t>FAI C20140</t>
  </si>
  <si>
    <t>FILTRO AIRE C 20140 MANN</t>
  </si>
  <si>
    <t>FILTRO AIRE C 20176 PEUGEOT STP</t>
  </si>
  <si>
    <t>FILTRO AIRE C 2041 DODGE</t>
  </si>
  <si>
    <t>FILTRO AIRE C 20618 STP V. AMAROK</t>
  </si>
  <si>
    <t>FILTRO AIRE C 2074 SUZUKI JIMNY 1.3</t>
  </si>
  <si>
    <t>C-2085</t>
  </si>
  <si>
    <t>C 2085</t>
  </si>
  <si>
    <t>FILTRO AIRE C 2085 MANN</t>
  </si>
  <si>
    <t>C 21001</t>
  </si>
  <si>
    <t>FILTRO AIRE C 21001 KENDALL</t>
  </si>
  <si>
    <t>C-21146</t>
  </si>
  <si>
    <t>C 21146</t>
  </si>
  <si>
    <t>FILTRO AIRE C 21146 MANN</t>
  </si>
  <si>
    <t>C-21185</t>
  </si>
  <si>
    <t>C 21185</t>
  </si>
  <si>
    <t>FILTRO AIRE C 21185 MANN</t>
  </si>
  <si>
    <t>FILTRO AIRE C 2154 KENDALL</t>
  </si>
  <si>
    <t>C-2192/1</t>
  </si>
  <si>
    <t>C 2192-1</t>
  </si>
  <si>
    <t>FILTRO AIRE C 2192/1 MANN</t>
  </si>
  <si>
    <t>FILTRO AIRE C 22024 F. RANGER BT50</t>
  </si>
  <si>
    <t>FILTRO AIRE C 22024 MZ BT50</t>
  </si>
  <si>
    <t>FILTRO AIRE C 2214 MANN</t>
  </si>
  <si>
    <t>FILTRO AIRE C 2214 SPARK</t>
  </si>
  <si>
    <t>C 22144 9951315</t>
  </si>
  <si>
    <t>FILTRO AIRE C 22144 L200 2016/ KENDALL/KAF</t>
  </si>
  <si>
    <t>C-22146</t>
  </si>
  <si>
    <t>C 22146</t>
  </si>
  <si>
    <t>FILTRO AIRE C 22146 MANN</t>
  </si>
  <si>
    <t>C-22181</t>
  </si>
  <si>
    <t>C 22181</t>
  </si>
  <si>
    <t>FILTRO AIRE C 22181 MANN</t>
  </si>
  <si>
    <t>C22199mm</t>
  </si>
  <si>
    <t>FILTRO AIRE C 22199 mann</t>
  </si>
  <si>
    <t>FILTRO AIRE C 2223 CHEVROLET / SUZUKI</t>
  </si>
  <si>
    <t>FILTRO AIRE C 2224-2 SUZUKI</t>
  </si>
  <si>
    <t>FILTRO AIRE C 2228 DW. LANOS</t>
  </si>
  <si>
    <t>FILTRO AIRE C 2229 DW LANOS STP</t>
  </si>
  <si>
    <t>C-22363</t>
  </si>
  <si>
    <t>C 22363</t>
  </si>
  <si>
    <t>FILTRO AIRE C 22363 MANN</t>
  </si>
  <si>
    <t>FILTRO AIRE C 2248 HYUNDAI</t>
  </si>
  <si>
    <t>FILTRO AIRE C 2262 LUV 2.3 95/</t>
  </si>
  <si>
    <t>FAI-C2262</t>
  </si>
  <si>
    <t>FAI C2262</t>
  </si>
  <si>
    <t>FILTRO AIRE C 2262 MANN</t>
  </si>
  <si>
    <t>FILTRO AIRE C 2294 CHEV. SAIL 1.5 STP</t>
  </si>
  <si>
    <t>FILTRO AIRE C 2295/2 VOL. GOL</t>
  </si>
  <si>
    <t>ZX00018</t>
  </si>
  <si>
    <t>FILTRO AIRE C 23004 SUZUKI</t>
  </si>
  <si>
    <t>FILTRO AIRE C 23018 MAZDA 2</t>
  </si>
  <si>
    <t>FILTRO AIRE c 23107 bt50 toyota</t>
  </si>
  <si>
    <t>FILTRO AIRE C 23107 MANN</t>
  </si>
  <si>
    <t>TYH0002</t>
  </si>
  <si>
    <t>FILTRO AIRE C 23107 TY. KUN BT50</t>
  </si>
  <si>
    <t>FILTRO AIRE C 23108 HY SONATA</t>
  </si>
  <si>
    <t>FILTRO AIRE C 2324 ACHE AVEO</t>
  </si>
  <si>
    <t>FILTRO AIRE C 2324 AVEO</t>
  </si>
  <si>
    <t>CHA0002</t>
  </si>
  <si>
    <t>FILTRO AIRE C 2324 CHEV. AVEO</t>
  </si>
  <si>
    <t>mtdt234903</t>
  </si>
  <si>
    <t>FILTRO AIRE C 2329-1</t>
  </si>
  <si>
    <t>FILTRO AIRE C 2330 SZ.</t>
  </si>
  <si>
    <t>FILTRO AIRE C 2332 L200</t>
  </si>
  <si>
    <t>FILTRO AIRE C 2336 NS. VERSA</t>
  </si>
  <si>
    <t>FILTRO AIRE C 2336 NS. VERSA STP</t>
  </si>
  <si>
    <t>FILTRO AIRE C 2340 NS. TIIDA</t>
  </si>
  <si>
    <t>FILTRO AIRE C 2346 SZ GRAN NOMADE</t>
  </si>
  <si>
    <t>FILTRO AIRE C 24003 SZ. CELERIO</t>
  </si>
  <si>
    <t>FILTRO AIRE C 24010</t>
  </si>
  <si>
    <t>FILTRO AIRE C 24011 MANN</t>
  </si>
  <si>
    <t>C-24017</t>
  </si>
  <si>
    <t>FILTRO AIRE C 24017</t>
  </si>
  <si>
    <t>FILTRO AIRE C 24032 DODGE JOURNEY 2.4</t>
  </si>
  <si>
    <t>C-24162</t>
  </si>
  <si>
    <t>C 24162</t>
  </si>
  <si>
    <t>FILTRO AIRE C 24162 MANN</t>
  </si>
  <si>
    <t>FILTRO AIRE C 24163 DMAX 2.5 15/</t>
  </si>
  <si>
    <t>FILTRO AIRE C 24163 DMAX WURTEX</t>
  </si>
  <si>
    <t>FILTRO AIRE C 2418 HYUNDAI I10</t>
  </si>
  <si>
    <t>FILTRO AIRE C 2419 TY. YARIS 06/13</t>
  </si>
  <si>
    <t>FILTRO AIRE C 24196 HY. H1 KENDALL</t>
  </si>
  <si>
    <t>C-24196</t>
  </si>
  <si>
    <t>C 24196</t>
  </si>
  <si>
    <t>FILTRO AIRE C 24196 KENDALL</t>
  </si>
  <si>
    <t>FILTRO AIRE C 2433-2 QASQAI KENDALL</t>
  </si>
  <si>
    <t>FILTRO AIRE C 2488 CHEV. SONIC</t>
  </si>
  <si>
    <t>FILTRO AIRE C 2488 SONIC KENDALL</t>
  </si>
  <si>
    <t>FILTRO AIRE C 25040 QASHQAI</t>
  </si>
  <si>
    <t>FILTRO AIRE C 25140 DMAX KAF</t>
  </si>
  <si>
    <t>FILTRO AIRE C 2526 KIA CERATO</t>
  </si>
  <si>
    <t>FILTRO AIRE C 2532 DAEWOO</t>
  </si>
  <si>
    <t>FILTRO AIRE C 2535</t>
  </si>
  <si>
    <t>C 2542</t>
  </si>
  <si>
    <t>FILTRO AIRE C 2542 HY. TERRACAN KENDALL</t>
  </si>
  <si>
    <t>FILTRO AIRE C 2546 TY. YARIS /05</t>
  </si>
  <si>
    <t>FILTRO AIRE C 2556 TY. YARIS 13/18 STP</t>
  </si>
  <si>
    <t>FILTRO AIRE C 2556 YARIS 2014/ C 26027</t>
  </si>
  <si>
    <t>C 2572K</t>
  </si>
  <si>
    <t>FILTRO AIRE C 2572 KENDALL</t>
  </si>
  <si>
    <t>FILTRO AIRE C 2572 HY. ACCENT /06</t>
  </si>
  <si>
    <t>FILTRO AIRE C 2574 KIA CERATO</t>
  </si>
  <si>
    <t>FILTRO AIRE C 26003 TY. RAV4 STP</t>
  </si>
  <si>
    <t>FILTRO AIRE C 26006 SUZUKI</t>
  </si>
  <si>
    <t>FILTRO AIRE C 26022 HY. TUCSON 10/15</t>
  </si>
  <si>
    <t>FILTRO AIRE C 26026 ACCNT RB ONNURI</t>
  </si>
  <si>
    <t>FILTRO AIRE C 26026 ACCENT</t>
  </si>
  <si>
    <t>FILTRO AIRE C 26026 HYUNDAI / KIA STP</t>
  </si>
  <si>
    <t>FILTRO AIRE C 26035 HY. TUCSON / SPORTAGE</t>
  </si>
  <si>
    <t>FILTRO AIRE C 2610 STP BYD</t>
  </si>
  <si>
    <t>FILTRO AIRE C 26106 CRUZE 1.8</t>
  </si>
  <si>
    <t>FILTRO AIRE C 2617 KIA MORNING 04/</t>
  </si>
  <si>
    <t>K909994</t>
  </si>
  <si>
    <t>FILTRO AIRE C 2617 MORNING 1.1</t>
  </si>
  <si>
    <t>FILTRO AIRE C 2618 SZ. CELERIO ALTO</t>
  </si>
  <si>
    <t>FILTRO AIRE C 2631 TUCSON SPORTAGE</t>
  </si>
  <si>
    <t>FILTRO AIRE C 2648-10 DW. MONZA KENDALL</t>
  </si>
  <si>
    <t>FILTRO AIRE C 2651 HY. GETZ 02-09</t>
  </si>
  <si>
    <t>C 2663 MANN</t>
  </si>
  <si>
    <t>FILTRO AIRE C 2663 MANN</t>
  </si>
  <si>
    <t>FILTRO AIRE C 2692 SAIL 1.4</t>
  </si>
  <si>
    <t>FILTRO AIRE C 27107 CHEV. CRUZE ORLANDO STP</t>
  </si>
  <si>
    <t>FILTRO AIRE C 2721 SZ. IGNIS</t>
  </si>
  <si>
    <t>FILTRO AIRE C 2735-4 NS. NAVARA</t>
  </si>
  <si>
    <t>FILTRO AIRE C 2741 KIA</t>
  </si>
  <si>
    <t>FILTRO AIRE C 2742 HY H1</t>
  </si>
  <si>
    <t>FILTRO AIRE C 2775 HY. ACCENT</t>
  </si>
  <si>
    <t>FILTRO AIRE C 2775 HY. ACCENT 06/11 RIO</t>
  </si>
  <si>
    <t>FILTRO AIRE C 28010 HY. STA. FE</t>
  </si>
  <si>
    <t>FILTRO AIRE C 28011 KENDALL STA. FE</t>
  </si>
  <si>
    <t>FILTRO AIRE C 28200 SZ. VITARA 16/</t>
  </si>
  <si>
    <t>FILTRO AIRE C 29108 VOLKSWAGEN KAF</t>
  </si>
  <si>
    <t>F000538</t>
  </si>
  <si>
    <t>FILTRO AIRE C 2964 WURTEX</t>
  </si>
  <si>
    <t>C 30017</t>
  </si>
  <si>
    <t>FILTRO AIRE C 30017 HYUNDAI</t>
  </si>
  <si>
    <t>FILTRO AIRE C 30024 SS. ACTYON SPORT</t>
  </si>
  <si>
    <t>C-30116</t>
  </si>
  <si>
    <t>C 30116</t>
  </si>
  <si>
    <t>FILTRO AIRE C 30116</t>
  </si>
  <si>
    <t>C 30130</t>
  </si>
  <si>
    <t>FILTRO AIRE C 30130 CHEV. ASTRA</t>
  </si>
  <si>
    <t>FILTRO AIRE C 30171 SSANGYONG ACTYON STAVIC KENDALL</t>
  </si>
  <si>
    <t>FILTRO AIRE C 3028 CHEV OPTRA SKYFIL</t>
  </si>
  <si>
    <t>FILTRO AIRE C 3028 CHEV. OPTRA</t>
  </si>
  <si>
    <t>FILTRO AIRE C 3033 KIA SORENTO</t>
  </si>
  <si>
    <t>FILTRO AIRE C 3082 SZ. VITARA CARB. KENDALL</t>
  </si>
  <si>
    <t>C-3087</t>
  </si>
  <si>
    <t>FILTRO AIRE C 3087 MANN</t>
  </si>
  <si>
    <t>C-31003-1</t>
  </si>
  <si>
    <t>FILTRO AIRE C 31003-1 AMAROK</t>
  </si>
  <si>
    <t>C 3143</t>
  </si>
  <si>
    <t>FILTRO AIRE C 3143 LUV 2.2 STP</t>
  </si>
  <si>
    <t>L100940</t>
  </si>
  <si>
    <t>FILTRO AIRE C 3143 LUV 2.2 KAF</t>
  </si>
  <si>
    <t>FILTRO AIRE C 3167-1 CHEV ASTRA KAF</t>
  </si>
  <si>
    <t>C-3173</t>
  </si>
  <si>
    <t>C 3173</t>
  </si>
  <si>
    <t>FILTRO AIRE C 3173</t>
  </si>
  <si>
    <t>C-32123</t>
  </si>
  <si>
    <t>C 32123</t>
  </si>
  <si>
    <t>FILTRO AIRE C 32123 MANN</t>
  </si>
  <si>
    <t>FILTRO AIRE C 3220 SZ. APV 05/10</t>
  </si>
  <si>
    <t>C-3233-1</t>
  </si>
  <si>
    <t>C 3233-1</t>
  </si>
  <si>
    <t>FILTRO AIRE C 3233/1</t>
  </si>
  <si>
    <t>C-3282</t>
  </si>
  <si>
    <t>C 3282</t>
  </si>
  <si>
    <t>FILTRO AIRE C 3282</t>
  </si>
  <si>
    <t>FILTRO AIRE C 33017 TY. HILUX GUN KENDALL</t>
  </si>
  <si>
    <t>FILTRO AIRE C 3350 D21</t>
  </si>
  <si>
    <t>FILTRO AIRE C 3358 CALIBER INTERFIL</t>
  </si>
  <si>
    <t>C-3381</t>
  </si>
  <si>
    <t>C 3381</t>
  </si>
  <si>
    <t>FILTRO AIRE C 3381 MANN</t>
  </si>
  <si>
    <t>C-34101</t>
  </si>
  <si>
    <t>C 34101</t>
  </si>
  <si>
    <t>FILTRO AIRE C 34101 MANN</t>
  </si>
  <si>
    <t>FILTRO AIRE C 34105 DG. DAKOTA 2.5 DURANGO /03</t>
  </si>
  <si>
    <t>C-3451</t>
  </si>
  <si>
    <t>C 3451</t>
  </si>
  <si>
    <t>FILTRO AIRE C 3451 MANN</t>
  </si>
  <si>
    <t>C-3485</t>
  </si>
  <si>
    <t>C 3485</t>
  </si>
  <si>
    <t>FILTRO AIRE C 3485 MANN</t>
  </si>
  <si>
    <t>FILTRO AIRE C 35110 CITROEN KENDALL</t>
  </si>
  <si>
    <t>C-3515</t>
  </si>
  <si>
    <t>C 3515</t>
  </si>
  <si>
    <t>FILTRO AIRE C 3515 MANN</t>
  </si>
  <si>
    <t>FILTRO AIRE C 3534 HONDA SKYFIL</t>
  </si>
  <si>
    <t>FILTRO AIRE C 36020 HY. GRAN I10 STP</t>
  </si>
  <si>
    <t>FILTRO AIRE C 36020 HYUNDAI NEW I10 1.2 14/16</t>
  </si>
  <si>
    <t>FILTRO AIRE C 3619 CHEV. SPARK GT 1.2</t>
  </si>
  <si>
    <t>FILTRO AIRE C 3619 SPARK GT</t>
  </si>
  <si>
    <t>FILTRO AIRE C 3666 SSANGYONG KENDALL</t>
  </si>
  <si>
    <t>C-3894</t>
  </si>
  <si>
    <t>C 3894</t>
  </si>
  <si>
    <t>FILTRO AIRE C 3894 MANN</t>
  </si>
  <si>
    <t>FILTRO AIRE C 4151 FIESTA STP</t>
  </si>
  <si>
    <t>FILTRO AIRE C 4151 FORD</t>
  </si>
  <si>
    <t>FILTRO AIRE C 42109 MG ZS</t>
  </si>
  <si>
    <t>ZA00048</t>
  </si>
  <si>
    <t>FILTRO AIRE C-2074 SUZUKI</t>
  </si>
  <si>
    <t>CF-908</t>
  </si>
  <si>
    <t>CF 908</t>
  </si>
  <si>
    <t>FILTRO AIRE CF 908 MANN</t>
  </si>
  <si>
    <t>FILTRO AIRE CHERY</t>
  </si>
  <si>
    <t>FILTRO AIRE CHEV DMAX 2015/ C 25410 STP</t>
  </si>
  <si>
    <t>FILTRO AIRE CHEV. CHEVETTE STP</t>
  </si>
  <si>
    <t>FILTRO AIRE CHEVR. CRUZE ORLANDO POLEN</t>
  </si>
  <si>
    <t>AIPS078230</t>
  </si>
  <si>
    <t>FILTRO AIRE CONICO AZUL</t>
  </si>
  <si>
    <t>CU-3569</t>
  </si>
  <si>
    <t>CU 3569</t>
  </si>
  <si>
    <t>FILTRO AIRE CU 3569 MANN</t>
  </si>
  <si>
    <t>FILTRO AIRE DAIHATSU TERIOS 1.5</t>
  </si>
  <si>
    <t>FAIRDO</t>
  </si>
  <si>
    <t>FILTRO AIRE DODGE AIRE</t>
  </si>
  <si>
    <t>FDR</t>
  </si>
  <si>
    <t>FILTRO AIRE DODGE RAM</t>
  </si>
  <si>
    <t>FILTRO AIRE FORD ECOSPORT 14/ C 17006</t>
  </si>
  <si>
    <t>FILTRO AIRE FORD F150 97/2000</t>
  </si>
  <si>
    <t>FILTRO AIRE GREAT WALL HAVAL</t>
  </si>
  <si>
    <t>FILTRO AIRE HY. AZERA</t>
  </si>
  <si>
    <t>FILTRO AIRE HY. SONATA OPTIMA KENDALL</t>
  </si>
  <si>
    <t>FILTRO AIRE HY. TUCSON 19/ STP 21242</t>
  </si>
  <si>
    <t>FILTRO AIRE JEEP LIBERTY 2.4</t>
  </si>
  <si>
    <t>FILTRO AIRE KIA / JEEP</t>
  </si>
  <si>
    <t>H700088</t>
  </si>
  <si>
    <t>FILTRO AIRE KIA CERATO C 1928</t>
  </si>
  <si>
    <t>FILTRO AIRE MAHINDRA ( ESPONJA )</t>
  </si>
  <si>
    <t>FILTRO AIRE MAHINDRA 2.0</t>
  </si>
  <si>
    <t>FILTRO AIRE MAHINDRA XUV 500</t>
  </si>
  <si>
    <t>FILTRO AIRE MITS. L200 2016/ C22144 C 24130</t>
  </si>
  <si>
    <t>DG40006</t>
  </si>
  <si>
    <t>FILTRO AIRE MITSUBISHI</t>
  </si>
  <si>
    <t>PF-16200X</t>
  </si>
  <si>
    <t>PF 16200X</t>
  </si>
  <si>
    <t>FILTRO AIRE PF 16200X MANN</t>
  </si>
  <si>
    <t>FILTRO AIRE POLEN DODGE DURANGO</t>
  </si>
  <si>
    <t>C-24040</t>
  </si>
  <si>
    <t>C 24040</t>
  </si>
  <si>
    <t>FILTRO AIRE SIZUKI G. VITARA</t>
  </si>
  <si>
    <t>FILTRO AIRE SSANGYONG REXTON</t>
  </si>
  <si>
    <t>FILTRO AIRE SUZUKI VITARA</t>
  </si>
  <si>
    <t>FILTRO AIRE SZ. C 24019 SKYFIL</t>
  </si>
  <si>
    <t>FILTRO AIRE TY, RAV 4</t>
  </si>
  <si>
    <t>FILTRO AIRE TY. HILUX GUN 15/ C 33017</t>
  </si>
  <si>
    <t>FILTRO AIRE TY. TUNDRA 5.7 KENDALL</t>
  </si>
  <si>
    <t>FILTRO AIRE V. AMAROK</t>
  </si>
  <si>
    <t>WP-1287</t>
  </si>
  <si>
    <t>WP 1287</t>
  </si>
  <si>
    <t>FILTRO AIRE WP 1287 MANN</t>
  </si>
  <si>
    <t>FILTRO PETROLEO MANN WK 1120</t>
  </si>
  <si>
    <t>FILTRO PETROLEO MAXUS T60</t>
  </si>
  <si>
    <t>FILTRO PETROLEO MAXUS T60 17/19</t>
  </si>
  <si>
    <t>CHO0001</t>
  </si>
  <si>
    <t>FILTRO PETROLEO PU723X OPTRA COMBO ELEMENTO</t>
  </si>
  <si>
    <t>FILTRO PETROLEO PU835/6X F. RANGER MAZDA KENDALL</t>
  </si>
  <si>
    <t>FILTRO PETROLEO PU9001X ORLANDO CREUZE</t>
  </si>
  <si>
    <t>FILTRO PETROLEO PU968X STP PU 938X</t>
  </si>
  <si>
    <t>FILTRO PETROLEO TY. KUN ORIGINAL</t>
  </si>
  <si>
    <t>FILTRO PETROLEO WK 842/14 MANN</t>
  </si>
  <si>
    <t>H180230</t>
  </si>
  <si>
    <t>FILTRO PETROLEO WK 920-1 WURTEX HYUNDAI MITS.</t>
  </si>
  <si>
    <t>FILTRO PETROLEO WK 932-80 NS. D22</t>
  </si>
  <si>
    <t>FILTRO PETROLEO WK 940-22 NAVARA MANN</t>
  </si>
  <si>
    <t>FILTRO POLEN CHEV SAIL 1.4 1.5 KENDALL</t>
  </si>
  <si>
    <t>FILTRO POLEN CU 22032</t>
  </si>
  <si>
    <t>FILTRO POLEN CU 2138 SUZ GRAN NOMADE VITARA</t>
  </si>
  <si>
    <t>FILTRO POLEN CU 29003-2 CITROEN</t>
  </si>
  <si>
    <t>FILTRO POLEN CU1809 KIA MORNING 17/ STP</t>
  </si>
  <si>
    <t>FILTRO POLEN CU2145 STP</t>
  </si>
  <si>
    <t>FILTRO POLEN CU23011 NS. VERSA 12/ STP</t>
  </si>
  <si>
    <t>FILTRO POLEN CU2436 FORD ECOSPORT STP</t>
  </si>
  <si>
    <t>FILTRO POLEN MAHINDRA SCORPIO PICK UP KENDALL</t>
  </si>
  <si>
    <t>FILTRO POLEN MAXUS T60</t>
  </si>
  <si>
    <t>FILTRO POLEN SAMSUNG SM3</t>
  </si>
  <si>
    <t>FILTRO POLEN SAMSUNG SM3 STP</t>
  </si>
  <si>
    <t>CH-015-VB0200312</t>
  </si>
  <si>
    <t>CH-015-VB02000312</t>
  </si>
  <si>
    <t>FLASH 2 CONT. 12V UNIVERSAL</t>
  </si>
  <si>
    <t>F552A</t>
  </si>
  <si>
    <t>FLASH 3 TERM. 24V UNIVERSAL 3F-324</t>
  </si>
  <si>
    <t>FLASH 550 3 PATA 24V</t>
  </si>
  <si>
    <t>FLASH INTERMITENTE. 3 PATA 24V</t>
  </si>
  <si>
    <t>FLASH ELECTR. 12V. 3 CONT. GM VW OPEL</t>
  </si>
  <si>
    <t>FLASH ELECTR. 2 CONT. 12V. CORTO UNIVERSAL</t>
  </si>
  <si>
    <t>FLASH ELECTR. 3 CONT 12V. 500W REFORZ.</t>
  </si>
  <si>
    <t>FLASH ELECTR. 3 PATAS 12V UNIV.</t>
  </si>
  <si>
    <t>FLASH ELECTR. 3 TERM. 24V OSSCA</t>
  </si>
  <si>
    <t>FLASH ELECTR. HYUNDAI 3 CONT. 12V.</t>
  </si>
  <si>
    <t>FLASH ELECTR. NS. V16 D21</t>
  </si>
  <si>
    <t>FLETE</t>
  </si>
  <si>
    <t>FLETE ENTREGA O ENVIO</t>
  </si>
  <si>
    <t>FL00040</t>
  </si>
  <si>
    <t>FLEXIBLE 2 X 8</t>
  </si>
  <si>
    <t>FLEXIBLE ESCAPE 2 X 4</t>
  </si>
  <si>
    <t>FLEXIBLE ESCAPE 1 3/4 X 10"</t>
  </si>
  <si>
    <t>FLEXIBLE ESCAPE 2 X 10</t>
  </si>
  <si>
    <t>FLEXIBLE ESCAPE 2 X 6</t>
  </si>
  <si>
    <t>FLEXIBLE ESCAPE 2 X 8</t>
  </si>
  <si>
    <t>FLEFR</t>
  </si>
  <si>
    <t>FLEXIBLE FRENO NISSAN</t>
  </si>
  <si>
    <t>FLEXIBLE FRENO NS. V16 CHEV LUV</t>
  </si>
  <si>
    <t>FLEXIBLE FRENO TAS. DER. HY. STA.. FE 06/12 NORFLEX</t>
  </si>
  <si>
    <t>FLEXHIDR</t>
  </si>
  <si>
    <t>FLEXIBLE HIDRAULICO RETROEXCAVADORA</t>
  </si>
  <si>
    <t>FLOTADOR BENC. NS. V16</t>
  </si>
  <si>
    <t>FLOTADOR SUZUKI BALENO</t>
  </si>
  <si>
    <t>FLOTADOR TOYOTA TERCEL</t>
  </si>
  <si>
    <t>FLUJOMETRO CHEV. DMAX</t>
  </si>
  <si>
    <t>FLUJH100</t>
  </si>
  <si>
    <t>FLUJOMETRO HY. H100</t>
  </si>
  <si>
    <t>FLUJOMETRO KIA</t>
  </si>
  <si>
    <t>FLUJOMETRO NS. D21 KA24</t>
  </si>
  <si>
    <t>FLUJOMETRO NS. V16</t>
  </si>
  <si>
    <t>FLUJOMETRO NS. V16 GA16</t>
  </si>
  <si>
    <t>FONDO FIJO RICARDO VAZQUEZ</t>
  </si>
  <si>
    <t>FONDO FIJO RICARDO VAZQUEZ 6500000</t>
  </si>
  <si>
    <t>FORD FIESTA 96-99 DEL LH</t>
  </si>
  <si>
    <t>FORD FIESTA 96-99 DEL RH</t>
  </si>
  <si>
    <t>H480358</t>
  </si>
  <si>
    <t>FRONTAL ACCENT 2006 1.4</t>
  </si>
  <si>
    <t>FRONTAL HY. ACCENT RB</t>
  </si>
  <si>
    <t>FRONTAL</t>
  </si>
  <si>
    <t>FRONTAL HYUNDAI I-10</t>
  </si>
  <si>
    <t>FRONTAL-KIA-MORNING-1.0</t>
  </si>
  <si>
    <t>FRONTAL KIA MORNING 1.0</t>
  </si>
  <si>
    <t>FRKIR</t>
  </si>
  <si>
    <t>FRONTAL KIA RIO 4</t>
  </si>
  <si>
    <t>FRONTAL NS. V16</t>
  </si>
  <si>
    <t>FRONTAL SAMSUNG SM3</t>
  </si>
  <si>
    <t>FRONTAL SUP. CHEV. SAIL 1.4</t>
  </si>
  <si>
    <t>FRONTAL YARIS 06/13</t>
  </si>
  <si>
    <t>FUELLE HOM. TY. YARIS TIIDA SAIL L. RDA.</t>
  </si>
  <si>
    <t>FUELLE HOMOCINETICA CHEV. CORSA SAIL. L/CAJA</t>
  </si>
  <si>
    <t>FUELLE HOMOCINETICA CHEV. SAIL L/RDA</t>
  </si>
  <si>
    <t>FUELLE PALANCA CAMBIO</t>
  </si>
  <si>
    <t>full</t>
  </si>
  <si>
    <t>FUELLE</t>
  </si>
  <si>
    <t>FUELLE VEHICULO</t>
  </si>
  <si>
    <t>FUELLE L. CAJA NISSAN V16 05/</t>
  </si>
  <si>
    <t>BT-62</t>
  </si>
  <si>
    <t>FUELLE L. CAJA V16</t>
  </si>
  <si>
    <t>FUELLE L. RDA</t>
  </si>
  <si>
    <t>FUELLE L. RDA NISSAN V16 2005/</t>
  </si>
  <si>
    <t>FUNDA-ASIENTO</t>
  </si>
  <si>
    <t>FUASIENTO</t>
  </si>
  <si>
    <t>FUNDA ASIENTO</t>
  </si>
  <si>
    <t>fus100</t>
  </si>
  <si>
    <t>FUS100</t>
  </si>
  <si>
    <t>FUSIBLE 100 AMP AZUL MACHO</t>
  </si>
  <si>
    <t>FUSIBLE 100 AMP.</t>
  </si>
  <si>
    <t>FUSIBLE 3 AMP PALETA. MORADO</t>
  </si>
  <si>
    <t>FUSIBLE ATO MINI 10 AMP. ROJO</t>
  </si>
  <si>
    <t>FUSIBLE ATO MINI 15 AMP. AZUL</t>
  </si>
  <si>
    <t>FUSIBLE ATO MINI 20 AMARILLA</t>
  </si>
  <si>
    <t>FUSIBLE ATO MINI 25 NATURAL</t>
  </si>
  <si>
    <t>FUSIBLE ATO MINI 30 VERDE</t>
  </si>
  <si>
    <t>fusible</t>
  </si>
  <si>
    <t>FUSIBLE fusible 5 amp.</t>
  </si>
  <si>
    <t>FUSIBLE PALETA 10 ATO ROJO</t>
  </si>
  <si>
    <t>FUSIBLE PALETA 15 ATO AZUL</t>
  </si>
  <si>
    <t>FUSIBLE PALETA 20 ATO AMARILLO</t>
  </si>
  <si>
    <t>FUSIBLE PALETA 25 ATO BLANCO</t>
  </si>
  <si>
    <t>FUSIBLE PALETA 30 ATO VERDE</t>
  </si>
  <si>
    <t>fusvar</t>
  </si>
  <si>
    <t>FUSVAR</t>
  </si>
  <si>
    <t>FUSIBLE VARIOS</t>
  </si>
  <si>
    <t>GATA 4 TON. HIDRAULICA</t>
  </si>
  <si>
    <t>GATA 6 TON.</t>
  </si>
  <si>
    <t>GATA 8 TON.</t>
  </si>
  <si>
    <t>GATA HIDRAULICA 2 TONELADAS</t>
  </si>
  <si>
    <t>GATA HIDRAULICA CAIMAN 2 TON. CAJA PLAST.</t>
  </si>
  <si>
    <t>ZJ-15001</t>
  </si>
  <si>
    <t>GATA TIJERA UNIVERSAL 1.5 TON</t>
  </si>
  <si>
    <t>EVC</t>
  </si>
  <si>
    <t>GOMA ESMERILADOR VALV. CHICA</t>
  </si>
  <si>
    <t>EVM</t>
  </si>
  <si>
    <t>GOMA ESMERILADOR VALV. MEDIANA</t>
  </si>
  <si>
    <t>GOMLISA</t>
  </si>
  <si>
    <t>GOMA LISA 3mm NEGRA</t>
  </si>
  <si>
    <t>GOMA NEGRA 3MM X 1.5 MT ESTOPEROL</t>
  </si>
  <si>
    <t>GOMA PISO 1 PIEZA GRIS</t>
  </si>
  <si>
    <t>GOMA PISO 3 PIEZA GRIS</t>
  </si>
  <si>
    <t>GOMA PLUMILLA 15" WURTH</t>
  </si>
  <si>
    <t>AIPS066911</t>
  </si>
  <si>
    <t>GOMA PLUMILLA 18</t>
  </si>
  <si>
    <t>AIPS066941</t>
  </si>
  <si>
    <t>GOMA PLUMILLA 18" ADAPTABLE</t>
  </si>
  <si>
    <t>GOMA PLUMILLA 20</t>
  </si>
  <si>
    <t>AIPS066942</t>
  </si>
  <si>
    <t>GOMA PLUMILLA 20" ADAPTABLE</t>
  </si>
  <si>
    <t>GOMA PLUMILLA 20" WURTH</t>
  </si>
  <si>
    <t>GOMA PLUMILLA 21" WURTH</t>
  </si>
  <si>
    <t>AIPS066913</t>
  </si>
  <si>
    <t>GOMA PLUMILLA 22</t>
  </si>
  <si>
    <t>AIPS066945</t>
  </si>
  <si>
    <t>GOMA PLUMILLA 26" ADAPABLE</t>
  </si>
  <si>
    <t>GOMA PLUMILLA 26MM</t>
  </si>
  <si>
    <t>GOMA PLUMILLA 6.5 PAR</t>
  </si>
  <si>
    <t>GOMA PLUMILLA 8.5 X 24</t>
  </si>
  <si>
    <t>GOMA PLUMILLA METAL 16"</t>
  </si>
  <si>
    <t>GOMA PLUMILLA TEFLON FLAT 18</t>
  </si>
  <si>
    <t>GOMA PLUMILLA TEFLON FLAT 22 YADA</t>
  </si>
  <si>
    <t>GOMA PLUMILLA TFLON FLAT 20 YADA</t>
  </si>
  <si>
    <t>GOMA PLUMILLA WURT 12"</t>
  </si>
  <si>
    <t>GOMA PLUMILLA WURTH 14"</t>
  </si>
  <si>
    <t>GOMA PLUMILLA WURTH 16"</t>
  </si>
  <si>
    <t>GOMA PLUMILLA WURTH 19"</t>
  </si>
  <si>
    <t>GOMA PLUMILLA WURTH 20"</t>
  </si>
  <si>
    <t>GOMA PLUMILLA WURTH 21"</t>
  </si>
  <si>
    <t>GOMA PLUMILLA WURTH 22"</t>
  </si>
  <si>
    <t>GOMA PLUMILLA WURTH 24"</t>
  </si>
  <si>
    <t>GOMA PLUMILLA WURTH 26"</t>
  </si>
  <si>
    <t>PRPEN2</t>
  </si>
  <si>
    <t>GOMA PVC 1.5MM X 2MT. ESTOPEROL NEGRO</t>
  </si>
  <si>
    <t>PRPCG2</t>
  </si>
  <si>
    <t>GOMA PVC CLIPS 1.3MM X 2MT. GRIS</t>
  </si>
  <si>
    <t>GOMA TERMOSTATO 56MM</t>
  </si>
  <si>
    <t>GRASA HOMOCINETICA CON MOLIBDENO 40GR. VERSACHEM</t>
  </si>
  <si>
    <t>GRASA HOMOCINETICA PLOMA OPTIMUS 450g</t>
  </si>
  <si>
    <t>GRASA LIQUIDA HHS 65 ML. WURTH</t>
  </si>
  <si>
    <t>GRASA MOBIL XHP 222 400GR.</t>
  </si>
  <si>
    <t>GRASA MOBIL XHP AZUL 390G</t>
  </si>
  <si>
    <t>GRASA PLOMA</t>
  </si>
  <si>
    <t>GRASA PLOMA HOMOC. VERSACHEM 250 GR.</t>
  </si>
  <si>
    <t>GREASE-EP2</t>
  </si>
  <si>
    <t>GREASE EP2</t>
  </si>
  <si>
    <t>GRASA PLOMA MOLY 250GR</t>
  </si>
  <si>
    <t>GRASA RODAMIENTO ROJA OPTIMUS 450 g</t>
  </si>
  <si>
    <t>GRASA</t>
  </si>
  <si>
    <t>GRASA ROJA</t>
  </si>
  <si>
    <t>CRCH151602</t>
  </si>
  <si>
    <t>GUARDAFANDO CHEV. SAIL 1.4 DEL. IZQ. DIFORZA</t>
  </si>
  <si>
    <t>GUARDAFANDO CHEV. SAIL 10/ DEL. DER.</t>
  </si>
  <si>
    <t>GUARDAFANDO CHEV. SAIL 10/ DEL. IZQ.</t>
  </si>
  <si>
    <t>GUKIR</t>
  </si>
  <si>
    <t>GUARDAFANDO KIA RIO 4</t>
  </si>
  <si>
    <t>CRDT311601</t>
  </si>
  <si>
    <t>GUARDAFANDO NISS. VERSA</t>
  </si>
  <si>
    <t>GUARDAFANDO NS. TIIDA DEL. DER.</t>
  </si>
  <si>
    <t>GUARDAFANDO NS. TIIDA DEL. IZQ.</t>
  </si>
  <si>
    <t>GUARDAFANDO TY. YARIS 06/13 DEL. IZQ.</t>
  </si>
  <si>
    <t>CRCH151601</t>
  </si>
  <si>
    <t>GUARDAFANGO CHEV. SAIL 1.4 DEL. DER. DIFORZA</t>
  </si>
  <si>
    <t>GUARDAFANGO CHEV. SAIL 1.4 DEL. IZQ.</t>
  </si>
  <si>
    <t>GUARDAFANGO CHEV. SAIL 1.5 DEL. DER.</t>
  </si>
  <si>
    <t>GUARDAFANGO CHEV. SAIL 1.5 DEL. IZQ.</t>
  </si>
  <si>
    <t>GUARDAFANGO HY. ACCENT 06/11 DEL. DER</t>
  </si>
  <si>
    <t>GUARDAFANGO HY. ELANTRA 12/16 DEL. DER.</t>
  </si>
  <si>
    <t>GUARDAFANGO HY. GRAN I10 14/16 DEL. DER-</t>
  </si>
  <si>
    <t>GUARDAFANGO HY. I1O 08/17 DEL. IZQ</t>
  </si>
  <si>
    <t>GUARDAFANGO KIA MORNING 17/ DEL. DER.</t>
  </si>
  <si>
    <t>GUARDAFANGO MITS. L200 06/15 DEL. IZQ.</t>
  </si>
  <si>
    <t>CRDT801601</t>
  </si>
  <si>
    <t>GUARDAFANGO NS. NAVARA 08/14 DEL. DER.</t>
  </si>
  <si>
    <t>GUSZ</t>
  </si>
  <si>
    <t>GUARDAFANGO SUZUKI J24</t>
  </si>
  <si>
    <t>GUARDAFANGO SZ. GRAN NOMADE 06/15 DEL. DER.</t>
  </si>
  <si>
    <t>GUARDAFANGO TY. YARIS 99/03 DEL. DER.</t>
  </si>
  <si>
    <t>GUARDAFANGO TY. YARIS 99/05 DEL. IZQ.</t>
  </si>
  <si>
    <t>GUARDAFANGO--DER</t>
  </si>
  <si>
    <t>GUARDAFANGO DER HY ACCENT RB</t>
  </si>
  <si>
    <t>GUARDAFANGO--IZQ</t>
  </si>
  <si>
    <t>GUARDAFANGO IZQ HY ACCENT RB</t>
  </si>
  <si>
    <t>GUIA CADENA CORTA NS. D-21 KA24</t>
  </si>
  <si>
    <t>GUIA CADENA CORTA NS. D21 KA24 RECTA TW</t>
  </si>
  <si>
    <t>GUIA CADENA CURVA NS. D21 KA24</t>
  </si>
  <si>
    <t>GUIA CADENA CURVA NS. D21 KA24 LARGA JP.</t>
  </si>
  <si>
    <t>GUIA CADENA LARGA 4G54 MAZDA B 2600</t>
  </si>
  <si>
    <t>GUIA CADENA LARGA NISSAN</t>
  </si>
  <si>
    <t>GUIA CADENA NISSAN CTAS - D21 - Z20 Z24</t>
  </si>
  <si>
    <t>GUIA CADENA NS. 1.8 2.0 SR</t>
  </si>
  <si>
    <t>GUIA CADENA NS. D21 KA24 CURVA LARGA JP.</t>
  </si>
  <si>
    <t>GUIA CADENA NS. D21 KA24 LARGA CURVA JP.</t>
  </si>
  <si>
    <t>GUIA CADENA NS. D21 KA24 RECTA CORTA JP.</t>
  </si>
  <si>
    <t>GUIA CADENA RECTA NS. D21 KA24 ZUIKO JP.</t>
  </si>
  <si>
    <t>GUIA CADENA TY 2Y 3Y</t>
  </si>
  <si>
    <t>GUIA VALV. ADM. CHEV LUV</t>
  </si>
  <si>
    <t>GUIA VALV. ADM. HYUNDAI SANTAMO</t>
  </si>
  <si>
    <t>GUIA VALV. ADM. SUBARU 600</t>
  </si>
  <si>
    <t>GUIA VALV. CHEVROLET / DAEWOO</t>
  </si>
  <si>
    <t>GUIA VALV. ESC. CHEV. LUV</t>
  </si>
  <si>
    <t>GUIA VALV. ESC. HYUNDAI SANTAMO</t>
  </si>
  <si>
    <t>GUIA VALV. ESC. KIA / HYUNDAI BENC.</t>
  </si>
  <si>
    <t>GUIA VALV. ESC. SUBARU 600</t>
  </si>
  <si>
    <t>H P F X 7 9</t>
  </si>
  <si>
    <t>H P F X 7 9 PATENTE</t>
  </si>
  <si>
    <t>HORQUILLA EMBR. HYUN. ACCENT</t>
  </si>
  <si>
    <t>HORQUILLA EMBR. NISSAN V16 B12 B13 B14 B15</t>
  </si>
  <si>
    <t>HORQUILLA EMBRAGUE NISSAN TERRANO 2.5</t>
  </si>
  <si>
    <t>HORQUILLA EMBRAGUE NS. TERRANO 2.5 ORIGINAL</t>
  </si>
  <si>
    <t>HORQUILLA NS. TERRANO 2.5 ORIGINAL</t>
  </si>
  <si>
    <t>ASDAS</t>
  </si>
  <si>
    <t>HS KH 64</t>
  </si>
  <si>
    <t>HUINCHA AISLADORA 1500 3M 20MT.</t>
  </si>
  <si>
    <t>HUINCHA AISLADORA 3M NEGRA 9MT.</t>
  </si>
  <si>
    <t>HUINCHA AISLANTE CAUCHO NEGRO WURTH 19MX2</t>
  </si>
  <si>
    <t>HUINCHA REFLECTANTE BICOLOR</t>
  </si>
  <si>
    <t>huincha-bl</t>
  </si>
  <si>
    <t>HUIBLA</t>
  </si>
  <si>
    <t>HUINCHA REFLECTANTE BLANCA ANCHA</t>
  </si>
  <si>
    <t>HUINCHA REFLECTANTE ROJA</t>
  </si>
  <si>
    <t>HUINCHA REFLECTANTE VERDE ESCOLAR</t>
  </si>
  <si>
    <t>HUINCHA REFLECTANTE VERDE LIMON</t>
  </si>
  <si>
    <t>ingasf</t>
  </si>
  <si>
    <t>INGASF</t>
  </si>
  <si>
    <t>INSUMO DE FERRETERIA</t>
  </si>
  <si>
    <t>INS</t>
  </si>
  <si>
    <t>INSU</t>
  </si>
  <si>
    <t>INSUMO PARA MANTENCION DE VEHICULOS</t>
  </si>
  <si>
    <t>K456</t>
  </si>
  <si>
    <t>INTERRUPTOR BOTON UNIVERSAL</t>
  </si>
  <si>
    <t>I-S-1964</t>
  </si>
  <si>
    <t>INTERRUPTOR C/ LUZ LED UNIVERSAL</t>
  </si>
  <si>
    <t>I-S-1958</t>
  </si>
  <si>
    <t>INTERRUPTOR C/ LUZ PILOTO UNIVERSAL</t>
  </si>
  <si>
    <t>INTERRUPTOR EMERGENCIA CORSA</t>
  </si>
  <si>
    <t>INTERRUPTOR EMERGENCIA NS. D21</t>
  </si>
  <si>
    <t>INTERRUPTOR EMERGENCIA NS. V16</t>
  </si>
  <si>
    <t>INTERRUPTOR FRENO CHEV. AVEO SPARK VIVANT</t>
  </si>
  <si>
    <t>INTERRUPTOR FRENO HYUNDAI 2 PIN</t>
  </si>
  <si>
    <t>INTERRUPTOR FRENO KIA MORNING H1 STA FE</t>
  </si>
  <si>
    <t>INTERRUPTOR FRENO NISSAN V16</t>
  </si>
  <si>
    <t>INTERRUPTOR K1 PALETA UNIVERSAL</t>
  </si>
  <si>
    <t>INTERRUPTOR PUERTA</t>
  </si>
  <si>
    <t>INTERRUPTOR RETROCESO CHEV. AVEO OPTRA SPARK GT</t>
  </si>
  <si>
    <t>INYECTOR</t>
  </si>
  <si>
    <t>INYECTOR .</t>
  </si>
  <si>
    <t>INYECTOR CHEV CORSA / DAEWOO / MONZA</t>
  </si>
  <si>
    <t>INYECTOR-CHEV-DMAX-2.5</t>
  </si>
  <si>
    <t>INYECTOR CHEV DMAX 2.5</t>
  </si>
  <si>
    <t>INYECTOR CHEV. AVEO 1.4 03/14 BENC.</t>
  </si>
  <si>
    <t>inyfird</t>
  </si>
  <si>
    <t>IINYFIRD</t>
  </si>
  <si>
    <t>INYECTOR FORD RANGER</t>
  </si>
  <si>
    <t>INYECTOR HY. STA FE KIA CARNIVAL SORENTO 2.2</t>
  </si>
  <si>
    <t>INYECH1</t>
  </si>
  <si>
    <t>INECH1</t>
  </si>
  <si>
    <t>INYECTOR HYUNDAI</t>
  </si>
  <si>
    <t>INYISUZU</t>
  </si>
  <si>
    <t>INYECTOR ISUZU</t>
  </si>
  <si>
    <t>INYECTOR KIA FRONTIER</t>
  </si>
  <si>
    <t>inynss</t>
  </si>
  <si>
    <t>INYNSS</t>
  </si>
  <si>
    <t>INYECTOR NISSAN</t>
  </si>
  <si>
    <t>INYTY</t>
  </si>
  <si>
    <t>INYECTOR TOYOTA HILUX</t>
  </si>
  <si>
    <t>J. METAL BANCADA. V16 GA16.</t>
  </si>
  <si>
    <t>JG TAQUIE CHEV. AVEO OPTRA</t>
  </si>
  <si>
    <t>ES9339</t>
  </si>
  <si>
    <t>JG AMARRA CARGA</t>
  </si>
  <si>
    <t>JG-ANILOS--4BJ1</t>
  </si>
  <si>
    <t>JG ANILLOS CHEV 4JB1</t>
  </si>
  <si>
    <t>JG ANILLOS CHEV. SAIL 1.4 STD 73.8 MM. NPR</t>
  </si>
  <si>
    <t>JG-ANILLOS-HD</t>
  </si>
  <si>
    <t>JG ANILLOS HD35</t>
  </si>
  <si>
    <t>JG ANILLOS HY. ACCENT RB STD 77 1.2X1.2X2</t>
  </si>
  <si>
    <t>JG ANILLOS NS TIIDA 1.6 STD 78X1.2X1.2X2</t>
  </si>
  <si>
    <t>JG ANILLOS NS. D21 KA24 0.50 89X1.5X1.5X2.8</t>
  </si>
  <si>
    <t>TRACKER-ANILLOS</t>
  </si>
  <si>
    <t>JG ANILLOS TRACKER</t>
  </si>
  <si>
    <t>JG ANILLOS STD NS. V16</t>
  </si>
  <si>
    <t>EMPAQ-BT-50</t>
  </si>
  <si>
    <t>JG EMPAQ MOTOR BT-50</t>
  </si>
  <si>
    <t>JG EMPAQ MOTOR CHEV SPARK 1.0 GRAFITO TOTO</t>
  </si>
  <si>
    <t>JG EMPAQ MOTOR CHEV. TRACKER 1.8</t>
  </si>
  <si>
    <t>JG EMPAQ MOTOR DW LANOS 1.6 NUBIRA REZZO</t>
  </si>
  <si>
    <t>JG EMPAQ MOTOR FORD FIESTA 00/12 S/RETEN SABO</t>
  </si>
  <si>
    <t>JG EMPAQ MOTOR FORD FIESTA 1.6 11/18</t>
  </si>
  <si>
    <t>JG EMPAQ MOTOR HY. ACCENT 1.4 GETZ 1.4 06/11</t>
  </si>
  <si>
    <t>JG EMPAQ MOTOR HY. ACCENT 1.6 03/06 ELANTRA</t>
  </si>
  <si>
    <t>EMPJEEP</t>
  </si>
  <si>
    <t>JG EMPAQ MOTOR JEEP PATRIOT</t>
  </si>
  <si>
    <t>JG EMPAQ MOTOR KIA RIO/MORNING 1.2 G4LA 11/18 TOTO</t>
  </si>
  <si>
    <t>JG EMPAQ MOTOR NISS. TERRANO 2.4</t>
  </si>
  <si>
    <t>JG EMPAQ MOTOR NS. NAVARA S/EMP. CUL. TOTO JP</t>
  </si>
  <si>
    <t>JG EMPAQ MOTOR NS. TERRANO 2.5 YD25 S/EMP. CUL. 07/16 ATSUKI</t>
  </si>
  <si>
    <t>JG EMPAQ MOTOR SZ. ALTO 800 F8D 07/12</t>
  </si>
  <si>
    <t>JG EMPAQ MOTOR SZ. GRAN NOMADE 2.0 16V.</t>
  </si>
  <si>
    <t>JG EMPAQ MOTOR TY. HILUX 2GDF</t>
  </si>
  <si>
    <t>JG-EMPAQ.-MOTOR-FRONTIER</t>
  </si>
  <si>
    <t>JG EMPAQ. MOTOR FRONTIER</t>
  </si>
  <si>
    <t>JG EMPAQ. MOTOR NS. TERRANO 2.5 YD25 02/15 STONE JP</t>
  </si>
  <si>
    <t>JG-NEBLINEO-CELERIO</t>
  </si>
  <si>
    <t>JG NEBLINERO SZ CELERIO</t>
  </si>
  <si>
    <t>JG-NEBLINEROS</t>
  </si>
  <si>
    <t>JG NEBLINEROS HY ACCENT RB</t>
  </si>
  <si>
    <t>PISTON-HD</t>
  </si>
  <si>
    <t>JG PISTONES HD35</t>
  </si>
  <si>
    <t>JG PISTONES MITS. L200 2.5 16V. 10/ 91.1X2.5X2X3 CONCAVO</t>
  </si>
  <si>
    <t>PISTONES-TRA</t>
  </si>
  <si>
    <t>JG PISTONES TRACKER</t>
  </si>
  <si>
    <t>JG. VAL. ADM. H100 DIESEL</t>
  </si>
  <si>
    <t>JG. VALV. ADM. HYUNDAI 27X99</t>
  </si>
  <si>
    <t>JG. VALV. ADM. ISUZU 42X118.50</t>
  </si>
  <si>
    <t>JG. VALV. ADM. KIA AVELLA 31X105.30</t>
  </si>
  <si>
    <t>JG. VALV. ADM. MITSUBISHI 34X102.00</t>
  </si>
  <si>
    <t>JG. VALV. ADM.TY HILUX</t>
  </si>
  <si>
    <t>JG. .PISTON ISUZU 4F.</t>
  </si>
  <si>
    <t>JG. 2 AXIAL NS TIIDA</t>
  </si>
  <si>
    <t>MR5762</t>
  </si>
  <si>
    <t>JG. ANILLO FORD STD</t>
  </si>
  <si>
    <t>JG. ANILLO OPEL 1.4 O.50</t>
  </si>
  <si>
    <t>JG. ANILLO 1ML. CHEV LUV 2.3</t>
  </si>
  <si>
    <t>JG. ANILLO 75MM SZ VITARA</t>
  </si>
  <si>
    <t>JG. ANILLO 87.5MM CHEV DMAX</t>
  </si>
  <si>
    <t>JG. ANILLO CHEV 2.3 0.50</t>
  </si>
  <si>
    <t>JG. ANILLO CHEV 292 STD</t>
  </si>
  <si>
    <t>JG. ANILLO CHEV 4.3 101.6 MM</t>
  </si>
  <si>
    <t>JG. ANILLO CHEV AVEO 77.9 STD</t>
  </si>
  <si>
    <t>JG. ANILLO CHEV CORSA 1.6 0.50</t>
  </si>
  <si>
    <t>JG. ANILLO CHEV D-MAX 3.0 95.4 MM</t>
  </si>
  <si>
    <t>JG. ANILLO CHEV LUV 1.6 1MM</t>
  </si>
  <si>
    <t>JG. ANILLO CHEV LUV 1.6 4ZA1 1MM</t>
  </si>
  <si>
    <t>JG. ANILLO CHEV LUV 1.6 G161Z 82 MM</t>
  </si>
  <si>
    <t>JG. ANILLO CHEV LUV 2.0 G200 1ML</t>
  </si>
  <si>
    <t>JG. ANILLO CHEV LUV 2.2 0.50</t>
  </si>
  <si>
    <t>JG. ANILLO CHEV LUV 2.2 98/ 0.75 MM</t>
  </si>
  <si>
    <t>JG. ANILLO CHEV LUV 2.2 STD</t>
  </si>
  <si>
    <t>JG. ANILLO CHEV LUV 2.3 0.25</t>
  </si>
  <si>
    <t>JG. ANILLO CHEV LUV 2.3 0.75 MM</t>
  </si>
  <si>
    <t>JG. ANILLO CHEV LUV 2.3 1ML</t>
  </si>
  <si>
    <t>JG. ANILLO CHEV LUV 2.3 STD</t>
  </si>
  <si>
    <t>JG. ANILLO CHEV LUV 2.3 STD NPR</t>
  </si>
  <si>
    <t>JG. ANILLO CHEV LUV 3.2 93.4X1.5X1.5X3 STD</t>
  </si>
  <si>
    <t>JG. ANILLO CHEV LUV 4ZA1 1.6 82X1.5X1.5X4 STD</t>
  </si>
  <si>
    <t>JG. ANILLO CHEV LUV 4ZC1 1.6 0.25 MM</t>
  </si>
  <si>
    <t>JG. ANILLO CHEV MONZA 1.8 84.78MM</t>
  </si>
  <si>
    <t>JG. ANILLO CHEV. 3.1 3.5 93.41X1.5X1.5X3 0.30.</t>
  </si>
  <si>
    <t>JG. ANILLO CHEV. AVEO 1.4 77.9X1.2X1.5X2.5 0.50.</t>
  </si>
  <si>
    <t>JG. ANILLO CHEV. C-10 6 CIL 101.6X5/64X5/64X3/16 STD</t>
  </si>
  <si>
    <t>JG. ANILLO CHEV. C-10 98.43X5/64X5/64X3/16 0.40</t>
  </si>
  <si>
    <t>JG. ANILLO CHEV. CHEVETTE 0.5073/82.</t>
  </si>
  <si>
    <t>S1220014</t>
  </si>
  <si>
    <t>JG. ANILLO CHEV. CORSA 0.25 79MM.</t>
  </si>
  <si>
    <t>JG. ANILLO CHEV. CORSA 1.4 0.75MM.</t>
  </si>
  <si>
    <t>JG. ANILLO CHEV. CORSA 1.4 77.6X1.5X1.5X3 STD HASTING</t>
  </si>
  <si>
    <t>JG. ANILLO CHEV. CORSA 1.4. 0.50 78.07MM.</t>
  </si>
  <si>
    <t>JG. ANILLO CHEV. CORSA 1.6 STD MAHLE</t>
  </si>
  <si>
    <t>JG. ANILLO CHEV. CORSA 1.6 0.75 79X1.2X1.5X3.</t>
  </si>
  <si>
    <t>JG. ANILLO CHEV. CORSA 1.6 79MM STD</t>
  </si>
  <si>
    <t>JG. ANILLO CHEV. CORSA 1.6 OPTRA VIVANT 0.20</t>
  </si>
  <si>
    <t>JG. ANILLO CHEV. CORSA 1.6 STD TP</t>
  </si>
  <si>
    <t>JG. ANILLO CHEV. CORSA 1.6. STD 1.2X1.5X3.</t>
  </si>
  <si>
    <t>ANDMAX</t>
  </si>
  <si>
    <t>JG. ANILLO CHEV. DMAX 2.5 STD 95.4 NPR</t>
  </si>
  <si>
    <t>JG. ANILLO CHEV. LUV 1.6 4ZA1 82X1.5X1.5X4 0.50</t>
  </si>
  <si>
    <t>JG. ANILLO CHEV. LUV 1.6 4ZA1 82X1.5X1.5X4 0.50 RIK</t>
  </si>
  <si>
    <t>JG. ANILLO CHEV. LUV 1.6 4ZA1 82X1.5X1.5X4 1MM NPR</t>
  </si>
  <si>
    <t>JG. ANILLO CHEV. LUV 2.0 87X2X2X4 STD</t>
  </si>
  <si>
    <t>JG. ANILLO CHEV. LUV 2.0 G200 87X1.5X1.5X4 0.75</t>
  </si>
  <si>
    <t>JG. ANILLO CHEV. LUV 2.0 G200 87X2X2X4 0.50 SER</t>
  </si>
  <si>
    <t>JG. ANILLO CHEV. LUV 2.2 0.50 TP</t>
  </si>
  <si>
    <t>L112090</t>
  </si>
  <si>
    <t>JG. ANILLO CHEV. LUV 2.3 0.50 NPR</t>
  </si>
  <si>
    <t>JG. ANILLO CHEV. LUV 2.3 0.25</t>
  </si>
  <si>
    <t>JG. ANILLO CHEV. LUV 2.3 89.3 0.25</t>
  </si>
  <si>
    <t>L112100</t>
  </si>
  <si>
    <t>JG. ANILLO CHEV. LUV 2.3 STD TOTO</t>
  </si>
  <si>
    <t>JG. ANILLO CHEV. LUV DMAX 3.0 STD</t>
  </si>
  <si>
    <t>JG. ANILLO CHEV. MONZA 1.8 75MM.</t>
  </si>
  <si>
    <t>JG. ANILLO CHEV. MONZA 1.8 84.78 STD.</t>
  </si>
  <si>
    <t>JG. ANILLO CHEV. MONZA 1.8 84.8X1.5X1.5X3 STD.</t>
  </si>
  <si>
    <t>JG. ANILLO CHEV. TROOPER 2.6 9206X1.5X1.5X4 0.25</t>
  </si>
  <si>
    <t>JG. ANILLO CHEVETTE 0.75</t>
  </si>
  <si>
    <t>JG. ANILLO CHEVETTE 0.75 89/.</t>
  </si>
  <si>
    <t>JG. ANILLO CHEVETTE 82X1.5X1.75X4 STD.</t>
  </si>
  <si>
    <t>JG. ANILLO CHEVROLET 82MM</t>
  </si>
  <si>
    <t>JG. ANILLO CHEVROLET 86MM</t>
  </si>
  <si>
    <t>JG. ANILLO CORSA 89X1.5X1.5X4 STD</t>
  </si>
  <si>
    <t>JG. ANILLO DAEWOO</t>
  </si>
  <si>
    <t>JG. ANILLO DAIH. CUORE 850 94/98 66.6X1.2X1.5X2.8 STD</t>
  </si>
  <si>
    <t>JG. ANILLO DAIHATSU 1.3 76MM STD</t>
  </si>
  <si>
    <t>JG. ANILLO DAIHATSU 1000 76X1.5X1.5X2.8 0.75 EIKO</t>
  </si>
  <si>
    <t>JG. ANILLO DAIHATSU 76 MM STD</t>
  </si>
  <si>
    <t>JG. ANILLO DAIHATSU APPLAUSE 0.50</t>
  </si>
  <si>
    <t>JG. ANILLO DAIHATSU CHARADE 1.0 STD 76.X1.5X1.5X2.8 RIK</t>
  </si>
  <si>
    <t>JG. ANILLO DAIHATSU FURGON S60 71.6X1.5X1.5X2.8 0.50</t>
  </si>
  <si>
    <t>JG. ANILLO DATSUN A-15 76X1.2X2X4.</t>
  </si>
  <si>
    <t>JG. ANILLO DH. CHARADE G20 70mm STD ub. 5-5-2</t>
  </si>
  <si>
    <t>JG. ANILLO DH. TERIOS 1.3 72mm</t>
  </si>
  <si>
    <t>JG. ANILLO DH. TERIOS 72 MM STD</t>
  </si>
  <si>
    <t>JG. ANILLO DODGE DAKOTA 3.7 93X1.5X1.5X3 0.20 HASTINGS</t>
  </si>
  <si>
    <t>JG. ANILLO DW. RACER 76.5 0.50 RIK</t>
  </si>
  <si>
    <t>JG. ANILLO EXCEL 1.3 STD 71X1.5X1.5X4 UBIC. 5-7-2</t>
  </si>
  <si>
    <t>JG. ANILLO FIAT 1.5 STD.</t>
  </si>
  <si>
    <t>JG. ANILLO FORD RANGER 2.3 96X1.5X1.5X4 0.50.</t>
  </si>
  <si>
    <t>JGANIFORD</t>
  </si>
  <si>
    <t>JG. ANILLO FORD RANGER 3.2</t>
  </si>
  <si>
    <t>JG. ANILLO FORD V6 89X1.5X1.5X4 3.0.</t>
  </si>
  <si>
    <t>JG. ANILLO H100 L200 91.1X2.5X2X4 STD.</t>
  </si>
  <si>
    <t>JG. ANILLO HONDA 74X1.5X1.5X4 0.75</t>
  </si>
  <si>
    <t>JG. ANILLO HONDA 75MM 0.50</t>
  </si>
  <si>
    <t>JG. ANILLO HONDA ACCOR 74.00</t>
  </si>
  <si>
    <t>JG. ANILLO HONDA ACCOR STD 74.00</t>
  </si>
  <si>
    <t>JG. ANILLO HONDA ACCORD 0,50</t>
  </si>
  <si>
    <t>JG. ANILLO HONDA ACCORD 0,75</t>
  </si>
  <si>
    <t>JG. ANILLO HONDA CIVIC 1.6 75 MM 0.50</t>
  </si>
  <si>
    <t>JG. ANILLO HONDA CIVIC STD. SHUTTLE.</t>
  </si>
  <si>
    <t>JG. ANILLO HY - MITS. 1.8 80.6X1.5X1.5X4 STD</t>
  </si>
  <si>
    <t>JG. ANILLO HY ACCENT 75.5MM 1.5X1.5X3</t>
  </si>
  <si>
    <t>JG. ANILLO HY ACCENT PRIME 76.5MM STD</t>
  </si>
  <si>
    <t>JG. ANILLO HY ATOS 1.0 STD 66X1.2X1.2X2.5 UBIC. 5-6-5</t>
  </si>
  <si>
    <t>JG. ANILLO HY H100 2.4 BENC. STD 86.5X1.5X1.5X4 NPR</t>
  </si>
  <si>
    <t>JG. ANILLO HY MIT L200 1.6 4G32 G4AE 0.25</t>
  </si>
  <si>
    <t>JG. ANILLO HY. ACCENT 1.4 1.6 0.75 77X1.2X1.2X2 RIK UBIC.5-7-1</t>
  </si>
  <si>
    <t>JG. ANILLO HY. ACCENT 1.5 G4EK 0.50 75.5X1.5X1.5X3</t>
  </si>
  <si>
    <t>JG. ANILLO HY. ACCENT 11.5 1MM 75.5X1.5X1.5X3 UBIC.5-6-5</t>
  </si>
  <si>
    <t>JG. ANILLO HY. EXCEL 1.5 STD 75.5X1.5X1.5X4 UBIC 5-5-9</t>
  </si>
  <si>
    <t>JG. ANILLO HY. H1 2.5 STD 91X2.5X2X3</t>
  </si>
  <si>
    <t>JG. ANILLO HY. H1 91.1X2.5X1.94X4 STD</t>
  </si>
  <si>
    <t>JG. ANILLO HY. H100 DIESEL 91.1 2 X 2 X 3 0.50 RIK</t>
  </si>
  <si>
    <t>JG. ANILLO HYUNDAI 82X1.2X1.2X2.5 0.25.</t>
  </si>
  <si>
    <t>JG. ANILLO HYUNDAI ACCENT 1.4 75.5 MM 0.25</t>
  </si>
  <si>
    <t>JG. ANILLO HYUNDAI AVANTE STD.</t>
  </si>
  <si>
    <t>JG. ANILLO HYUNDAI SANTA FE. 2010.</t>
  </si>
  <si>
    <t>JG. ANILLO HYUNDAI SANTAMO 0.25</t>
  </si>
  <si>
    <t>JG. ANILLO ISUZU 4F 84MM STD.</t>
  </si>
  <si>
    <t>JG. ANILLO KIA 1.5 STD B5 78MM.</t>
  </si>
  <si>
    <t>K502040</t>
  </si>
  <si>
    <t>JG. ANILLO KIA 1.8 81MM 0.50</t>
  </si>
  <si>
    <t>KS02040</t>
  </si>
  <si>
    <t>JG. ANILLO KIA 1.8 81MM 0.50.</t>
  </si>
  <si>
    <t>JG. ANILLO KIA 2.2 2X2X3 86/</t>
  </si>
  <si>
    <t>K026904</t>
  </si>
  <si>
    <t>JG. ANILLO KIA 2.2 86MM</t>
  </si>
  <si>
    <t>JG. ANILLO KIA 2.7 STD</t>
  </si>
  <si>
    <t>K3000</t>
  </si>
  <si>
    <t>JG. ANILLO KIA 3.0 98X2.5X2X3 STD.</t>
  </si>
  <si>
    <t>JG. ANILLO KIA BESTA 2.2 86X2X2X4 0.500</t>
  </si>
  <si>
    <t>VNY11</t>
  </si>
  <si>
    <t>JG. ANILLO KIA BESTA 2.7 93X2X2X3 STD.</t>
  </si>
  <si>
    <t>JG. ANILLO KIA BESTA 2.7 STD</t>
  </si>
  <si>
    <t>JG. ANILLO KIA CLARUS / MAZDA 86X1.5X1.5X4 0.50</t>
  </si>
  <si>
    <t>JG. ANILLO KIA MORNING 1.2</t>
  </si>
  <si>
    <t>JG. ANILLO KIA PRIDE POP 68X1.2X1.5X3 0.50MM.</t>
  </si>
  <si>
    <t>JG. ANILLO KIA RIO 1.3 1.5 0.50 75.5MM.</t>
  </si>
  <si>
    <t>JG. ANILLO KIA SPORTAGE</t>
  </si>
  <si>
    <t>JG. ANILLO MAZDA 0.50</t>
  </si>
  <si>
    <t>JG. ANILLO MAZDA 323 E3 77MM 0.50</t>
  </si>
  <si>
    <t>JG. ANILLO MAZDA 626 78X1.2X1.5X4 STD</t>
  </si>
  <si>
    <t>JG. ANILLO MAZDA 626 929 MA VC 80X1.2X1.5X4 0.50</t>
  </si>
  <si>
    <t>JG. ANILLO MAZDA 626 929 MA VC 80X1.2X1.5X4 STD.</t>
  </si>
  <si>
    <t>JG. ANILLO MAZDA 626 STD</t>
  </si>
  <si>
    <t>JG. ANILLO MAZDA 80.00</t>
  </si>
  <si>
    <t>JG. ANILLO MAZDA 80X2X2X4 STD.</t>
  </si>
  <si>
    <t>JG. ANILLO MAZDA 86.00</t>
  </si>
  <si>
    <t>JG. ANILLO MAZDA 929 80MM STD.</t>
  </si>
  <si>
    <t>JG. ANILLO MAZDA ARTIS 0.50</t>
  </si>
  <si>
    <t>JG. ANILLO MAZDA B2500 STD 93mm</t>
  </si>
  <si>
    <t>JG. ANILLO MAZDA CTAS 0.50</t>
  </si>
  <si>
    <t>JG. ANILLO MAZDA CTAS STD.</t>
  </si>
  <si>
    <t>JG. ANILLO MAZDA CTAS. STD.</t>
  </si>
  <si>
    <t>JG. ANILLO MAZDA FE F2 86X1.5X1.5X4 1 MIL.</t>
  </si>
  <si>
    <t>JG. ANILLO MIT L200 2.4 0.50</t>
  </si>
  <si>
    <t>JG. ANILLO MIT L200 4G52 84X2X2X4 STD.</t>
  </si>
  <si>
    <t>JG. ANILLO MIT. L-200 2.4 STD. 86.5X1.2X1.5X3 RIK</t>
  </si>
  <si>
    <t>JG. ANILLO MIT. L200 1.6 4G32V 76.9X2X2X4 0.75</t>
  </si>
  <si>
    <t>JG. ANILLO MITS. 1.6 77X2X2X3 0.50.</t>
  </si>
  <si>
    <t>JG. ANILLO MITS. 4D56-T 91.1X2.5X2X4 HK STD.</t>
  </si>
  <si>
    <t>JG. ANILLO MITS. 4G13 71X1.2X1.5X2.8 STD.</t>
  </si>
  <si>
    <t>JG. ANILLO MITS. 550 0.50</t>
  </si>
  <si>
    <t>JG. ANILLO MITS. 84MM</t>
  </si>
  <si>
    <t>JG. ANILLO MITS. 85MM.</t>
  </si>
  <si>
    <t>JG. ANILLO MITS. L-200 1.6 4G32 76.9X2X2X4 STD</t>
  </si>
  <si>
    <t>JG. ANILLO MITS. L-200 2.0 85X1.5X1.5X4 STD.</t>
  </si>
  <si>
    <t>JG. ANILLO MITS. L-200 L-300 1.6 4G32.</t>
  </si>
  <si>
    <t>JG. ANILLO MITS. L200 1.6 0.50 4G32 76.9.</t>
  </si>
  <si>
    <t>JG. ANILLO MITS. L200 1.6 4G32B 76.9X2X2X4 0.75</t>
  </si>
  <si>
    <t>JG. ANILLO MITS. L200 1.6 STD</t>
  </si>
  <si>
    <t>JG. ANILLO MITS. LANCER 1.5 G31B /</t>
  </si>
  <si>
    <t>JG. ANILLO MITS. V691.1X1.5X1.5X4 STD.</t>
  </si>
  <si>
    <t>JG. ANILLO MITSUBISHI 4G32 76.90 MM 0.75</t>
  </si>
  <si>
    <t>JG. ANILLO MITSUBISHI 4G63 0.50</t>
  </si>
  <si>
    <t>ANIMOT</t>
  </si>
  <si>
    <t>JG. ANILLO MOTOR</t>
  </si>
  <si>
    <t>JG. ANILLO MOTOR CROMADO CHEV SPART</t>
  </si>
  <si>
    <t>JG. ANILLO MZ B6 78X1.5X1.5X3.</t>
  </si>
  <si>
    <t>JG. ANILLO NISSAN 150Y 76 MM STD</t>
  </si>
  <si>
    <t>JG. ANILLO NISSAN 2.0 84.5 MM STD</t>
  </si>
  <si>
    <t>SWN30057ZZ</t>
  </si>
  <si>
    <t>NPR.</t>
  </si>
  <si>
    <t>JG. ANILLO NISSAN E13 E15 76 MM STD</t>
  </si>
  <si>
    <t>JG. ANILLO NISSAN GA16 76X1.5X2.8 0.25</t>
  </si>
  <si>
    <t>JG. ANILLO NISSAN KA24E 89 MM 0.25</t>
  </si>
  <si>
    <t>JG. ANILLO NISSAN L18 0.50 85X2X2X4 UBIC. 5-5-9</t>
  </si>
  <si>
    <t>JG. ANILLO NISSAN L18 2T 85 MM 0.75</t>
  </si>
  <si>
    <t>JG. ANILLO NISSAN LAUREL 200L 77.95X1.2X2X4 0.50</t>
  </si>
  <si>
    <t>JG. ANILLO NISSAN TERRANO KA24 89 MM 0.50</t>
  </si>
  <si>
    <t>JG. ANILLO NISSAN TERRANO 2.7 STD 96X2.5X2.0X4.0 UBIC. 5-6-3</t>
  </si>
  <si>
    <t>JG. ANILLO NISSAN V16 1.4 GA14DS 73.60 MM 0.25</t>
  </si>
  <si>
    <t>JG. ANILLO NISSAN Z24I 89.0 MM 0.25</t>
  </si>
  <si>
    <t>JG. ANILLO NPR STD 110X3X2.5X4</t>
  </si>
  <si>
    <t>JG. ANILLO NS V16 GA16 0.50</t>
  </si>
  <si>
    <t>JG. ANILLO NS V16 GA16 STD TP</t>
  </si>
  <si>
    <t>JG. ANILLO NS. 150Y 0.50 76MM.</t>
  </si>
  <si>
    <t>JG. ANILLO NS. 150Y 1MM.</t>
  </si>
  <si>
    <t>JG. ANILLO NS. 2.7 96MM.</t>
  </si>
  <si>
    <t>JG. ANILLO NS. A14 76X2X2X4 0.50 TP</t>
  </si>
  <si>
    <t>JG. ANILLO NS. BLUE BIRD CA18 83.00 STD</t>
  </si>
  <si>
    <t>JG. ANILLO NS. CTAS Z20 85MM STD</t>
  </si>
  <si>
    <t>JG. ANILLO NS. D21 0.50 D 21</t>
  </si>
  <si>
    <t>JG. ANILLO NS. D21 0.50.</t>
  </si>
  <si>
    <t>JG. ANILLO NS. D21 89MM 0.25.</t>
  </si>
  <si>
    <t>JG. ANILLO NS. D21 KA 24 0.50 89mm RIK</t>
  </si>
  <si>
    <t>JG. ANILLO NS. D21 KA24 STD TP</t>
  </si>
  <si>
    <t>JG. ANILLO NS. D21 KA24 0.25.</t>
  </si>
  <si>
    <t>JG. ANILLO NS. D21 KA24 0.50.</t>
  </si>
  <si>
    <t>JG. ANILLO NS. D21 KA24E. 0.75</t>
  </si>
  <si>
    <t>JG. ANILLO NS. D21 KIA24E 0.25 8V.</t>
  </si>
  <si>
    <t>JG. ANILLO NS. D21 Z-20 85X1.5X1.5X4.</t>
  </si>
  <si>
    <t>JG. ANILLO NS. D21 Z20 STD Z20 85X1.5X1.5X4 RIK</t>
  </si>
  <si>
    <t>JG. ANILLO NS. D22 0.75 89X1.2X1.2X2.5.</t>
  </si>
  <si>
    <t>JG. ANILLO NS. FD35T 102.5 STD</t>
  </si>
  <si>
    <t>JG. ANILLO NS. J15 77,95 0.75</t>
  </si>
  <si>
    <t>JG. ANILLO NS. J18 STD 80.5mm</t>
  </si>
  <si>
    <t>JG. ANILLO NS. J18 80,50 0,25</t>
  </si>
  <si>
    <t>JG. ANILLO NS. L-16 0.50.</t>
  </si>
  <si>
    <t>JG. ANILLO NS. L18 85MM STD.</t>
  </si>
  <si>
    <t>JG. ANILLO NS. PRIMERA STD 86X1.5X1.5X3 RIK</t>
  </si>
  <si>
    <t>JG. ANILLO NS. SR20DE STD 86X1.5X1.5X3 RIK</t>
  </si>
  <si>
    <t>JG. ANILLO NS. SUNNY V-16 0.25 T. ROJA 76MM</t>
  </si>
  <si>
    <t>JG. ANILLO NS. SUNNY V16 0.50.</t>
  </si>
  <si>
    <t>JG. ANILLO NS. SUNNY V16 0.75.</t>
  </si>
  <si>
    <t>JG. ANILLO NS. SUNNY V16 E15 76X1.5X1.5X4 TP</t>
  </si>
  <si>
    <t>JG. ANILLO NS. SUNNY V16 E17 0.25 TP</t>
  </si>
  <si>
    <t>JG. ANILLO NS. SUNNY V16. STD 76X1.5X1.5X4</t>
  </si>
  <si>
    <t>anterr</t>
  </si>
  <si>
    <t>ANTERR</t>
  </si>
  <si>
    <t>JG. ANILLO NS. TERRANO</t>
  </si>
  <si>
    <t>JG. ANILLO NS. TERRANO 0.50 YD25.</t>
  </si>
  <si>
    <t>JG. ANILLO NS. TERRANO STD YD25.</t>
  </si>
  <si>
    <t>JG. ANILLO NS. TERRANO STD YD25. 89X2X2X3</t>
  </si>
  <si>
    <t>JG. ANILLO NS. TIIDA STD 78X1.2X1.2X2 UBIC. 5-7-1</t>
  </si>
  <si>
    <t>JG. ANILLO NS. V-16 SUNNY 0.50 TP</t>
  </si>
  <si>
    <t>JG. ANILLO NS. V16 GA16 0.25 TP</t>
  </si>
  <si>
    <t>JG. ANILLO NS. V16 GA16 STD NPR</t>
  </si>
  <si>
    <t>JG. ANILLO NS. V16 GA16 0.50 NPR</t>
  </si>
  <si>
    <t>JG. ANILLO NS. V16 GA16 0.50.</t>
  </si>
  <si>
    <t>JG. ANILLO NS. V16 GA16 0.75.</t>
  </si>
  <si>
    <t>JG. ANILLO NS. V16 GA16 76X1.5X1.5X2.8 0.75</t>
  </si>
  <si>
    <t>JG. ANILLO NS. V16 GA16 STD</t>
  </si>
  <si>
    <t>JG. ANILLO NS. V16 SUNNY E16 76mm STD. RIK</t>
  </si>
  <si>
    <t>JG. ANILLO NS. V16 T-PLOMA 0.25.</t>
  </si>
  <si>
    <t>JG. ANILLO NS. V16 T.PLOMA 1MM.</t>
  </si>
  <si>
    <t>JG. ANILLO OPEL ASTRA 1.4X1.5X1.5X2.0 77 MM 0.25</t>
  </si>
  <si>
    <t>JG. ANILLO PEUGEOT 90MM</t>
  </si>
  <si>
    <t>JG. ANILLO SM3 STD 73mm</t>
  </si>
  <si>
    <t>ANILLO</t>
  </si>
  <si>
    <t>JG. ANILLO STD KIA FRONTIER</t>
  </si>
  <si>
    <t>JG. ANILLO SUBARU 1.6 92X2X2X4 0.25.</t>
  </si>
  <si>
    <t>JG. ANILLO SUBARU 1.6 EA71 92X2X2X4 STD</t>
  </si>
  <si>
    <t>JG. ANILLO SUBARU EA71 1.6 92.X2X2X2.4 0.50</t>
  </si>
  <si>
    <t>JG. ANILLO SUZUKI 68.5X1.5X1.5X2.88 0.75 STD</t>
  </si>
  <si>
    <t>JG. ANILLO SUZUKI 0.50 74 MM</t>
  </si>
  <si>
    <t>JG. ANILLO SUZUKI 1.3 G13 0.50 74MM</t>
  </si>
  <si>
    <t>JG. ANILLO SUZUKI AEREO 78X1.2X1.2X2.5 STD</t>
  </si>
  <si>
    <t>JG. ANILLO SUZUKI CARRY 0.50</t>
  </si>
  <si>
    <t>NPR</t>
  </si>
  <si>
    <t>JG. ANILLO SUZUKI MASTERVAN 0.25 74MM</t>
  </si>
  <si>
    <t>JG. ANILLO SUZUKI S-10 2.2 89MM</t>
  </si>
  <si>
    <t>JG. ANILLO SUZUKI SS80 0.50</t>
  </si>
  <si>
    <t>JG. ANILLO SUZUKI ST-90</t>
  </si>
  <si>
    <t>JG. ANILLO SUZUKI ST-90 0.25 68.5MM</t>
  </si>
  <si>
    <t>JG. ANILLO SUZUKI STD</t>
  </si>
  <si>
    <t>JG. ANILLO SUZUKI VITARA 75X1.2X1.5X2.8 STD</t>
  </si>
  <si>
    <t>JG. ANILLO SZ BALENO APV 0.50</t>
  </si>
  <si>
    <t>JG. ANILLO SZ. APV. BALENO 1.6 16V. 0.50 75X1.2X1.2X2.5 UB 5-5-5</t>
  </si>
  <si>
    <t>JG. ANILLO SZ. CARRY SK10 STD 65.5 UB 5-5-3</t>
  </si>
  <si>
    <t>JG. ANILLO SZ. CERVO ST90 F8 62X1.5X1.5X2.8 0.25</t>
  </si>
  <si>
    <t>JG. ANILLO SZ. FRONTE 0,50</t>
  </si>
  <si>
    <t>JG. ANILLO SZ. MARUTI STD 68.5</t>
  </si>
  <si>
    <t>JG. ANILLO SZ. MATER VAN STD 74X1.2X1.2X2.5</t>
  </si>
  <si>
    <t>JG. ANILLO SZ. ST-90 62X1.5X1.5X2.8 1MM RIK JP</t>
  </si>
  <si>
    <t>JG. ANILLO SZ. VITARA SWIFT 0.50 78X1.2X1.5X2.8 NPR</t>
  </si>
  <si>
    <t>JG. ANILLO SZ. VITARA SWIFT STD 78X1.2X1.5X2.8 NPR</t>
  </si>
  <si>
    <t>JG. ANILLO TERCEL 2E 0.50.</t>
  </si>
  <si>
    <t>JG. ANILLO TERCEL 2E 73MM 0.25.</t>
  </si>
  <si>
    <t>JG. ANILLO TERCEL 2E 73MM.</t>
  </si>
  <si>
    <t>JG. ANILLO TOYOTA 102 STD</t>
  </si>
  <si>
    <t>JG. ANILLO TOYOTA 2RZ 86X1.75X1.25X4.</t>
  </si>
  <si>
    <t>JG. ANILLO TOYOTA 2T 85X2X2X4 0.50</t>
  </si>
  <si>
    <t>JG. ANILLO TOYOTA 3K 4K 75X2X2X4 0.75MM.</t>
  </si>
  <si>
    <t>JG. ANILLO TOYOTA 4AG 81X1.2X1.5X2.8.</t>
  </si>
  <si>
    <t>JG. ANILLO TOYOTA 5A 78.7M STD.</t>
  </si>
  <si>
    <t>JG. ANILLO TOYOTA HILUX 0.50</t>
  </si>
  <si>
    <t>JG. ANILLO TY. 2T L200 4G63 85X2X2X4 STD</t>
  </si>
  <si>
    <t>JG. ANILLO TY. 4Y 91 MM. 1.5X1.5X4 STD RIK</t>
  </si>
  <si>
    <t>JG. ANILLO TY. DYNA 2B 98X2.54X2.54ZX4.51 STD</t>
  </si>
  <si>
    <t>JG. ANILLO TY. HIACE 2.8 3L 96X2X2X4 0.50</t>
  </si>
  <si>
    <t>JG. ANILLO TY. STARLEY S.TD.</t>
  </si>
  <si>
    <t>JG. ANILLO TY. YARIS STD</t>
  </si>
  <si>
    <t>JG. ANILLO TY. YARIS 0.50 75X1.2X1.2X2</t>
  </si>
  <si>
    <t>JG. ANILLO TY. YARIS STD 75mm</t>
  </si>
  <si>
    <t>JG. ANILLO VITARA JEEP 5.9 101X6X1.5X1.5X4</t>
  </si>
  <si>
    <t>JG. ANILLOS DH. G20 1MM 70MM</t>
  </si>
  <si>
    <t>JG. ANILLOS MZ. BT50 STD</t>
  </si>
  <si>
    <t>JG. ANILLOS TY. YARIS STD 75mm TP</t>
  </si>
  <si>
    <t>JG. ANILOS CHEV. LUV 2.3 1 ML. RIK</t>
  </si>
  <si>
    <t>JG. ANILOS DH. CHARADE 0.25</t>
  </si>
  <si>
    <t>JG. AXIAL CHEV.LUV STD.</t>
  </si>
  <si>
    <t>JG. BALANCIN VAL. MAZDA</t>
  </si>
  <si>
    <t>JG. BUJE HYUNDAI - MITSUBISHI</t>
  </si>
  <si>
    <t>JG. BUJE TOYOTA DYNA</t>
  </si>
  <si>
    <t>JG. BUJIA K16TR11#4</t>
  </si>
  <si>
    <t>JG. BUJIA WR78 BOSCH</t>
  </si>
  <si>
    <t>JG. CABLE BUJIA APV BALENO</t>
  </si>
  <si>
    <t>JG. CABLE BUJIA AVELLA SEPHIA ARTIS</t>
  </si>
  <si>
    <t>JG. CABLE BUJIA BLAZER.</t>
  </si>
  <si>
    <t>OH001</t>
  </si>
  <si>
    <t>JG. CABLE BUJIA CHARADE.</t>
  </si>
  <si>
    <t>JG. CABLE BUJIA CHEV 4CIL.</t>
  </si>
  <si>
    <t>JG. CABLE BUJIA CHEV 8CIL.</t>
  </si>
  <si>
    <t>JG. CABLE BUJIA CHEV V8.</t>
  </si>
  <si>
    <t>JG. CABLE BUJIA CHEV.</t>
  </si>
  <si>
    <t>JG. CABLE BUJIA CHEV. ASTRA</t>
  </si>
  <si>
    <t>JG. CABLE BUJIA CHEV. CORSA</t>
  </si>
  <si>
    <t>L111880</t>
  </si>
  <si>
    <t>JG. CABLE BUJIA CHEV. LUV 2.2</t>
  </si>
  <si>
    <t>L111955</t>
  </si>
  <si>
    <t>JG. CABLE BUJIA CHEV. LUV 2.3 , UNIVERSAL</t>
  </si>
  <si>
    <t>L111980</t>
  </si>
  <si>
    <t>JG. CABLE BUJIA CHEV. LUV UNIVERSAL CAHSA</t>
  </si>
  <si>
    <t>JG. CABLE BUJIA CHEV. SPARK 100 LQ4</t>
  </si>
  <si>
    <t>JG. CABLE BUJIA CHRYSLER NEON STRATUS</t>
  </si>
  <si>
    <t>JG. CABLE BUJIA CORSA .</t>
  </si>
  <si>
    <t>JG. CABLE BUJIA CORSA CAHSA</t>
  </si>
  <si>
    <t>JG. CABLE BUJIA CREDO.</t>
  </si>
  <si>
    <t>JG. CABLE BUJIA D21 J.</t>
  </si>
  <si>
    <t>N1077</t>
  </si>
  <si>
    <t>JG. CABLE BUJIA D21.</t>
  </si>
  <si>
    <t>JG. CABLE BUJIA DAEWOO ESPERO</t>
  </si>
  <si>
    <t>JG. CABLE BUJIA DAEWOO NUBIRA 2000</t>
  </si>
  <si>
    <t>JG. CABLE BUJIA DH. CHARADE G-20 3 CIL.</t>
  </si>
  <si>
    <t>JG. CABLE BUJIA DW. ESPERO ONURI</t>
  </si>
  <si>
    <t>JG. CABLE BUJIA DW. RACER NUBIRA ESPERO</t>
  </si>
  <si>
    <t>JG. CABLE BUJIA ELANTRA</t>
  </si>
  <si>
    <t>JG. CABLE BUJIA FEROZA.</t>
  </si>
  <si>
    <t>JG. CABLE BUJIA FORD.</t>
  </si>
  <si>
    <t>JG. CABLE BUJIA HONDA ACCORD.</t>
  </si>
  <si>
    <t>JG. CABLE BUJIA HY MITSUBISHI</t>
  </si>
  <si>
    <t>JG. CABLE BUJIA HY. KIA</t>
  </si>
  <si>
    <t>JG. CABLE BUJIA KIA CARENS.</t>
  </si>
  <si>
    <t>JG. CABLE BUJIA KIA RIO 1.3 1.5</t>
  </si>
  <si>
    <t>JG. CABLE BUJIA KIA RIO 2 CABLES CYON</t>
  </si>
  <si>
    <t>JG. CABLE BUJIA LUV 2.2.</t>
  </si>
  <si>
    <t>JG. CABLE BUJIA MATIS TICO</t>
  </si>
  <si>
    <t>JG. CABLE BUJIA MAZDA 323.</t>
  </si>
  <si>
    <t>JG. CABLE BUJIA MAZDA 626 - FS</t>
  </si>
  <si>
    <t>JG. CABLE BUJIA MAZDA B.</t>
  </si>
  <si>
    <t>JG. CABLE BUJIA MAZDA B200.</t>
  </si>
  <si>
    <t>JG. CABLE BUJIA MITS L300</t>
  </si>
  <si>
    <t>JG. CABLE BUJIA MITS. L200 2.4.</t>
  </si>
  <si>
    <t>JG. CABLE BUJIA MITSUBISHI L 200</t>
  </si>
  <si>
    <t>GM047</t>
  </si>
  <si>
    <t>JG. CABLE BUJIA MONZA 94/.</t>
  </si>
  <si>
    <t>JG. CABLE BUJIA NS V16 GA16.</t>
  </si>
  <si>
    <t>NI044</t>
  </si>
  <si>
    <t>JG. CABLE BUJIA NS V16.</t>
  </si>
  <si>
    <t>JG. CABLE BUJIA NS. D-21 5 CABLES</t>
  </si>
  <si>
    <t>JG. CABLE BUJIA NS. D21</t>
  </si>
  <si>
    <t>JG. CABLE BUJIA NS. DATSUN 150Y</t>
  </si>
  <si>
    <t>JG. CABLE BUJIA NS. TERRANO 2.4</t>
  </si>
  <si>
    <t>JG. CABLE BUJIA NS. V16 GA16 TAPA PLOMA</t>
  </si>
  <si>
    <t>JG. CABLE BUJIA NS. V16 SUNNY</t>
  </si>
  <si>
    <t>NI043</t>
  </si>
  <si>
    <t>JG. CABLE BUJIA NS. V16 T.PLOMA GA16</t>
  </si>
  <si>
    <t>JG. CABLE BUJIA NUBIRA.</t>
  </si>
  <si>
    <t>JG. CABLE BUJIA PEUGEOT.</t>
  </si>
  <si>
    <t>JG. CABLE BUJIA RANGER</t>
  </si>
  <si>
    <t>JG. CABLE BUJIA RANGER 2.3</t>
  </si>
  <si>
    <t>JG. CABLE BUJIA RANGER 2.5</t>
  </si>
  <si>
    <t>JG. CABLE BUJIA RANGER.</t>
  </si>
  <si>
    <t>JG. CABLE BUJIA SUZUKI AERIO MI6A</t>
  </si>
  <si>
    <t>JG. CABLE BUJIA SUZUKI ALTO</t>
  </si>
  <si>
    <t>JG. CABLE BUJIA SZ. VITARA G16</t>
  </si>
  <si>
    <t>JG. CABLE BUJIA TERCEL 1.500</t>
  </si>
  <si>
    <t>JG. CABLE BUJIA TOYOTA 4Y.</t>
  </si>
  <si>
    <t>JG. CABLE BUJIA TOYOYA HILUX 4Y</t>
  </si>
  <si>
    <t>JG. CABLE BUJIA TY 22R</t>
  </si>
  <si>
    <t>JG. CABLE BUJIA TY 2RZ.</t>
  </si>
  <si>
    <t>JG. CABLE BUJIA TY 5E 2 CABLES</t>
  </si>
  <si>
    <t>JG. CABLE BUJIA TY HILUX 2.4 22RE</t>
  </si>
  <si>
    <t>TY011</t>
  </si>
  <si>
    <t>JG. CABLE BUJIA TY TERCEL</t>
  </si>
  <si>
    <t>TY010</t>
  </si>
  <si>
    <t>JG. CABLE BUJIA TY. TERCEL 2E 4 CABLES</t>
  </si>
  <si>
    <t>JG. CABLE BUJIA TY. TERCEL 3E</t>
  </si>
  <si>
    <t>JG. CABLE BUJIA TY. TERCEL 5E 2 CABLE</t>
  </si>
  <si>
    <t>JG. CABLE BUJIA V16 SUNNY.</t>
  </si>
  <si>
    <t>JG. CAMISA CHEV DMAX 3.0 STD 95.4MM</t>
  </si>
  <si>
    <t>JG. CAMISA HY H100 2.5</t>
  </si>
  <si>
    <t>JG. CAMISA HYUNDAI STD</t>
  </si>
  <si>
    <t>JG. CAMISA NISSAN CTAS SD22 83MM</t>
  </si>
  <si>
    <t>CAMNP300</t>
  </si>
  <si>
    <t>JG. CAMISA NS. NP300</t>
  </si>
  <si>
    <t>JG. CHAPA KIA RIO 1.5</t>
  </si>
  <si>
    <t>L100490</t>
  </si>
  <si>
    <t>JG. CIL. PTA. CHEV LUV 89/</t>
  </si>
  <si>
    <t>JG. CIL. PTA. CHEV. LUV</t>
  </si>
  <si>
    <t>JG. CIL. PTA. NS. D-21</t>
  </si>
  <si>
    <t>JG. CIL. PTA. NS. TERRANO</t>
  </si>
  <si>
    <t>JG. DESTORNILLADOR W-MAX (6)</t>
  </si>
  <si>
    <t>JG. EMP. CHEV CORSA 1.6 GSI</t>
  </si>
  <si>
    <t>JG. EMP. CHEV ZAFIRA</t>
  </si>
  <si>
    <t>JG. EMP. CHEV. CHEVETTE CHEVY 500</t>
  </si>
  <si>
    <t>JG. EMP. CHEV. CORSA 1.4</t>
  </si>
  <si>
    <t>JG. EMP. CHEV. LUV 2.0 G200 /88</t>
  </si>
  <si>
    <t>JG. EMP. CHEV. LUV 2.0.</t>
  </si>
  <si>
    <t>JG. EMP. CHEV. LUV 2.2</t>
  </si>
  <si>
    <t>JG. EMP. CHEV. LUV 2.2 C./RETEN</t>
  </si>
  <si>
    <t>JG. EMP. CHEV. LUV 2.2 C/RETEN SABO</t>
  </si>
  <si>
    <t>L111010</t>
  </si>
  <si>
    <t>JG. EMP. CHEV. LUV 2.3 CON RETEN</t>
  </si>
  <si>
    <t>JG. EMP. CHEV. LUV 2.3.</t>
  </si>
  <si>
    <t>JG. EMP. CHEV. LUV 2.5 2.8 4JA1 4JB1 C/R</t>
  </si>
  <si>
    <t>JG. EMP. CHEV. SPARK - MATIZ 800</t>
  </si>
  <si>
    <t>JG. EMP. CHEV. SPARK .</t>
  </si>
  <si>
    <t>TY30928</t>
  </si>
  <si>
    <t>JG. EMP. DH CHARADE G-20</t>
  </si>
  <si>
    <t>DH10038</t>
  </si>
  <si>
    <t>JG. EMP. DH. CHARADE G-20</t>
  </si>
  <si>
    <t>JG. EMP. DODGE DAKOTA</t>
  </si>
  <si>
    <t>S1141024</t>
  </si>
  <si>
    <t>JG. EMP. DW. LANOS NUBIRA 1.6</t>
  </si>
  <si>
    <t>JG. EMP. DW. NUBIRA 1.6</t>
  </si>
  <si>
    <t>JG. EMP. DW. RACER DAEWOO 1.4 C/RETEN</t>
  </si>
  <si>
    <t>H101740</t>
  </si>
  <si>
    <t>JG. EMP. HY H100 DIESEL 2..5</t>
  </si>
  <si>
    <t>JG. EMP. MITS CANTER</t>
  </si>
  <si>
    <t>JG. EMP. MOTOR CHEV. CORSA 1.6</t>
  </si>
  <si>
    <t>JG. EMP. MOTOR CHEV. CORSA GSI 1.6V. C/RETEN</t>
  </si>
  <si>
    <t>EMPFORD</t>
  </si>
  <si>
    <t>EMPFOR</t>
  </si>
  <si>
    <t>JG. EMP. MOTOR FORD</t>
  </si>
  <si>
    <t>W2225</t>
  </si>
  <si>
    <t>JG. EMP. NS J16.</t>
  </si>
  <si>
    <t>JG. EMP. NS. D21 KA24E.</t>
  </si>
  <si>
    <t>JG. EMP. NS. TERRANO 2.5 YD25</t>
  </si>
  <si>
    <t>JG. EMP. NS. TERRANO 2.5 YD25 0.925 ARCO</t>
  </si>
  <si>
    <t>JG. EMP. NS. TERRANO 2.5 YD25 DIESEL</t>
  </si>
  <si>
    <t>JG. EMP. NS. TIIDA MARCH</t>
  </si>
  <si>
    <t>JG. EMP. NS. V-16 SUNNY C/RETEN TOTO</t>
  </si>
  <si>
    <t>JG. EMP. NS. V16 SUNNY S/RETEN</t>
  </si>
  <si>
    <t>JG. EMP. NS. V16 SUNNY T.R C/RETEN.</t>
  </si>
  <si>
    <t>JG. EMP. SZ. ST90 800 ATSUKI</t>
  </si>
  <si>
    <t>JG. EMP. TY 2E.</t>
  </si>
  <si>
    <t>JG. EMP. TY 2K</t>
  </si>
  <si>
    <t>JG. EMP. TY 4AF.</t>
  </si>
  <si>
    <t>JG. EMP. TY HIACE 2.4 2RZ TOTO</t>
  </si>
  <si>
    <t>JG. EMP. TY HILUX 2.2. 4Y TOTO</t>
  </si>
  <si>
    <t>TY00928</t>
  </si>
  <si>
    <t>JG. EMP. TY Y 2Y 3Y.</t>
  </si>
  <si>
    <t>JG. EMP. TY. 1/2 ATSUKI</t>
  </si>
  <si>
    <t>JG. EMP. TY. COROLLA TERCEL 1.3 12V 2E TOTO</t>
  </si>
  <si>
    <t>TY10098</t>
  </si>
  <si>
    <t>JG. EMP. TY. TERCEL 5E</t>
  </si>
  <si>
    <t>JG. EMPAQ. DH. CHARADE 850</t>
  </si>
  <si>
    <t>JG. EMPAQ. MOTOR CHV AVEO OPTRA 1.6 06/</t>
  </si>
  <si>
    <t>jempsail</t>
  </si>
  <si>
    <t>JEMPSAIL</t>
  </si>
  <si>
    <t>JG. EMPAQ. MOTOR SAIL</t>
  </si>
  <si>
    <t>FMDT230733</t>
  </si>
  <si>
    <t>JG. FAROL TRAS. ROJO V-16</t>
  </si>
  <si>
    <t>JG. GUIA ADMISION</t>
  </si>
  <si>
    <t>JG. GUIA ADMISION - ESCAPE DAEWOO</t>
  </si>
  <si>
    <t>JG. GUIA ADMISION - ESCAPE TERCEL</t>
  </si>
  <si>
    <t>JG. GUIA ADMISION - ESCAPE YARIS - DAIHATSU</t>
  </si>
  <si>
    <t>JG. GUIA ADMISION DATSUN 150Y.</t>
  </si>
  <si>
    <t>JG. GUIA ADMISION HYUNDAI</t>
  </si>
  <si>
    <t>JG. GUIA ADMISION HYUNDAI - MITS.</t>
  </si>
  <si>
    <t>JG. GUIA ADMISION HYUNDAI DIESEL.</t>
  </si>
  <si>
    <t>JG. GUIA ADMISION KIA 2.2</t>
  </si>
  <si>
    <t>JG. GUIA ADMISION MITS - HYUNDAI.</t>
  </si>
  <si>
    <t>JG. GUIA ADMISION NISSAN</t>
  </si>
  <si>
    <t>JG. GUIA ADMISION SUNNY V-16</t>
  </si>
  <si>
    <t>JG. GUIA ADMISION SUZUKI</t>
  </si>
  <si>
    <t>JG. GUIA ADMISION TOYOTA</t>
  </si>
  <si>
    <t>JG. GUIA ADMISION TY L</t>
  </si>
  <si>
    <t>JG. GUIA ADMISION V-16 TAPA PLOMA</t>
  </si>
  <si>
    <t>JG. GUIA ESCAPE DATSUN 150Y.</t>
  </si>
  <si>
    <t>JG. GUIA ESCAPE E13-15</t>
  </si>
  <si>
    <t>JG. GUIA ESCAPE HY MIT</t>
  </si>
  <si>
    <t>JG. GUIA ESCAPE HYUNDAI.</t>
  </si>
  <si>
    <t>JG. GUIA ESCAPE KIA 2.2</t>
  </si>
  <si>
    <t>JG. GUIA ESCAPE KIA AVELLA</t>
  </si>
  <si>
    <t>JG. GUIA ESCAPE L18</t>
  </si>
  <si>
    <t>JG. GUIA ESCAPE LUV 2.3</t>
  </si>
  <si>
    <t>JG. GUIA ESCAPE MIST ACCENT</t>
  </si>
  <si>
    <t>JG. GUIA ESCAPE NISSAN</t>
  </si>
  <si>
    <t>JG. GUIA ESCAPE SUZUKI</t>
  </si>
  <si>
    <t>JG. GUIA ESCAPE TOYOTA</t>
  </si>
  <si>
    <t>JG. GUIA ESCAPE V-16</t>
  </si>
  <si>
    <t>JG. GUIA ESCAPE. NISSAN</t>
  </si>
  <si>
    <t>JG. GUIA VALVULA ADM..ESCAPE KIA 2.2</t>
  </si>
  <si>
    <t>JG. GUIA VALVULA ASTRA</t>
  </si>
  <si>
    <t>WESKAN</t>
  </si>
  <si>
    <t>JG. GUIA VALVULA CORSA</t>
  </si>
  <si>
    <t>JG. GUIA VALVULA SUZUKI 16V.</t>
  </si>
  <si>
    <t>setherr</t>
  </si>
  <si>
    <t>SETHERR</t>
  </si>
  <si>
    <t>JG. HERRAMIENTA EMERGENCIA</t>
  </si>
  <si>
    <t>JG. HERRAMIENTAS Y DADOS 26 PZ.</t>
  </si>
  <si>
    <t>JG. JG. ADM. DAIHATSU 36X101.</t>
  </si>
  <si>
    <t>JGLLAVE</t>
  </si>
  <si>
    <t>JG. LLAVE</t>
  </si>
  <si>
    <t>JG. METAL AXIAL 0.25 MAZDA KIA</t>
  </si>
  <si>
    <t>JG. METAL AXIAL CHEV. C190-</t>
  </si>
  <si>
    <t>JG. METAL AXIAL DAIHATSU 0.25</t>
  </si>
  <si>
    <t>JG. METAL AXIAL L2000</t>
  </si>
  <si>
    <t>JG. METAL AXIAL NISSAN V-16 0.25</t>
  </si>
  <si>
    <t>JG. METAL AXIAL NS. YD25 STD</t>
  </si>
  <si>
    <t>H103938</t>
  </si>
  <si>
    <t>JG. METAL BANC. HY. H100 2.4 0.25</t>
  </si>
  <si>
    <t>JG. METAL BANC. TY. YARIS 0.25</t>
  </si>
  <si>
    <t>JG. METAL BANCADA B6. 0.50</t>
  </si>
  <si>
    <t>JG. METAL BANCADA CHARADE G20. 0.25.</t>
  </si>
  <si>
    <t>MB5519</t>
  </si>
  <si>
    <t>JG. METAL BANCADA CHEV AVEO. 0.75</t>
  </si>
  <si>
    <t>JG. METAL BANCADA CHEV. CAVALIER.0.25</t>
  </si>
  <si>
    <t>L300093</t>
  </si>
  <si>
    <t>JG. METAL BANCADA CHEV. ISUZU 4JB1 STD KING</t>
  </si>
  <si>
    <t>JG. METAL BANCADA CHEV. LUV 0.25</t>
  </si>
  <si>
    <t>JG. METAL BANCADA CHEV. LUV 1.6/2.3 89.</t>
  </si>
  <si>
    <t>JG. METAL BANCADA CHEV. LUV 2.2 STD KING</t>
  </si>
  <si>
    <t>JG. METAL BANCADA CHEV. LUV 3.2 0.50</t>
  </si>
  <si>
    <t>JG. METAL BANCADA CHEV. LUV. 0.75</t>
  </si>
  <si>
    <t>JG. METAL BANCADA CHEV. LUV. 2.2 STD</t>
  </si>
  <si>
    <t>JG. METAL BANCADA CHEVR. 4.3 0.25</t>
  </si>
  <si>
    <t>JG. METAL BANCADA DAEWOO OPEL 0.7</t>
  </si>
  <si>
    <t>JG. METAL BANCADA DAIHATSU 1.3 1.5 1.6 0,25</t>
  </si>
  <si>
    <t>JG. METAL BANCADA DAIHATSU 1.3 1.5 1.6 0.50</t>
  </si>
  <si>
    <t>JG. METAL BANCADA DAIHATSU G20 850 1.0 STD.</t>
  </si>
  <si>
    <t>MS-2501A</t>
  </si>
  <si>
    <t>JG. METAL BANCADA DAIHATSU STD</t>
  </si>
  <si>
    <t>JG. METAL BANCADA DAIHATSU.</t>
  </si>
  <si>
    <t>JG. METAL BANCADA DAIHATSU.1.3 1.6 STD</t>
  </si>
  <si>
    <t>JG. METAL BANCADA DH. G20. 0.25.</t>
  </si>
  <si>
    <t>JG. METAL BANCADA HY. H100 0.75</t>
  </si>
  <si>
    <t>MS-1821A</t>
  </si>
  <si>
    <t>JG. METAL BANCADA HY. H100 2.4 BENC. STD</t>
  </si>
  <si>
    <t>JG. METAL BANCADA KIA AVELLA 1.3 1.5. 0.25.</t>
  </si>
  <si>
    <t>JG. METAL BANCADA MAZDA B 2.600 STD 4G54</t>
  </si>
  <si>
    <t>JG. METAL BANCADA MIT.0,50 4G63 4G63</t>
  </si>
  <si>
    <t>JG. METAL BANCADA MITSUBISHI 0,75</t>
  </si>
  <si>
    <t>JG. METAL BANCADA MITSUBISHI STD</t>
  </si>
  <si>
    <t>JG. METAL BANCADA MITSUBISHI STD.</t>
  </si>
  <si>
    <t>JG. METAL BANCADA NISSAN D-21 1.00</t>
  </si>
  <si>
    <t>JG. METAL BANCADA NISSAN FD 35 DIESEL</t>
  </si>
  <si>
    <t>JG. METAL BANCADA NS. D-21 0,25</t>
  </si>
  <si>
    <t>JG. METAL BANCADA NS. D21 0.25</t>
  </si>
  <si>
    <t>MS1174</t>
  </si>
  <si>
    <t>JG. METAL BANCADA NS. V 16 OSUKI</t>
  </si>
  <si>
    <t>JG. METAL BANCADA SUBARU 0,50</t>
  </si>
  <si>
    <t>JG. METAL BANCADA SUBARU STD.</t>
  </si>
  <si>
    <t>JG. METAL BANCADA SUNNY 0,25</t>
  </si>
  <si>
    <t>JG. METAL BANCADA SUZUKI 1.6.</t>
  </si>
  <si>
    <t>JG. METAL BANCADA SZ. BALENO G16 0.25</t>
  </si>
  <si>
    <t>Z500200</t>
  </si>
  <si>
    <t>JG. METAL BANCADA SZ. ST-90. 0.25.</t>
  </si>
  <si>
    <t>JG. METAL BANCADA TERRANO 0.50.</t>
  </si>
  <si>
    <t>JG. METAL BANCADA TOYOTA 0,50</t>
  </si>
  <si>
    <t>JG. METAL BANCADA TOYOTA TERCEL 2.E STD</t>
  </si>
  <si>
    <t>JG. METAL BANCADA V16 SUNNY.0.50.</t>
  </si>
  <si>
    <t>JG. METAL BANCADA. BESTA 2.7 3.0. 0.50.</t>
  </si>
  <si>
    <t>JG. METAL BANCADA. BESTA 2.7 VN.</t>
  </si>
  <si>
    <t>JG. METAL BANCADA. CAVALIER 2.2.</t>
  </si>
  <si>
    <t>JG. METAL BANCADA. CHARADE.</t>
  </si>
  <si>
    <t>MS2501</t>
  </si>
  <si>
    <t>JG. METAL BANCADA. CHEV 173.</t>
  </si>
  <si>
    <t>JG. METAL BANCADA. CHEV.250 STD.</t>
  </si>
  <si>
    <t>JG. METAL BANCADA. CHEVETTE 0.50.</t>
  </si>
  <si>
    <t>JG. METAL BANCADA. D 21 0.50.</t>
  </si>
  <si>
    <t>JG. METAL BANCADA. D 21 KA24. 0.50</t>
  </si>
  <si>
    <t>JG. METAL BANCADA. D-21 0.25.</t>
  </si>
  <si>
    <t>JG. METAL BANCADA. D21 KA24. STD</t>
  </si>
  <si>
    <t>JG. METAL BANCADA. DAIHATSU 1.3. 1.5.</t>
  </si>
  <si>
    <t>JG. METAL BANCADA. EXCEL 4G13. 0.50.</t>
  </si>
  <si>
    <t>JG. METAL BANCADA. HY. H-100.</t>
  </si>
  <si>
    <t>JG. METAL BANCADA. ISUZU 2.8. 0.50.</t>
  </si>
  <si>
    <t>JG. METAL BANCADA. ISUZU 4F.</t>
  </si>
  <si>
    <t>MB559AM75</t>
  </si>
  <si>
    <t>JG. METAL BANCADA. LUV 0.75.</t>
  </si>
  <si>
    <t>CH186014</t>
  </si>
  <si>
    <t>JG. METAL BANCADA. LUV 1 ML.</t>
  </si>
  <si>
    <t>JG. METAL BANCADA. LUV 1MIL.</t>
  </si>
  <si>
    <t>JG. METAL BANCADA. LUV 2.2 0.25.</t>
  </si>
  <si>
    <t>JG. METAL BANCADA. LUV 2.3.</t>
  </si>
  <si>
    <t>JG. METAL BANCADA. LUV 2.3. 0.25.</t>
  </si>
  <si>
    <t>MB5559AM</t>
  </si>
  <si>
    <t>JG. METAL BANCADA. LUV 2.3. 0.50.</t>
  </si>
  <si>
    <t>JG. METAL BANCADA. LUV 2.3. STD.</t>
  </si>
  <si>
    <t>JG. METAL BANCADA. LUV 2.6.</t>
  </si>
  <si>
    <t>MS-1620</t>
  </si>
  <si>
    <t>JG. METAL BANCADA. LUV.</t>
  </si>
  <si>
    <t>JG. METAL BANCADA. MAZDA 1.6 1.8 2.0 0.25.</t>
  </si>
  <si>
    <t>JG. METAL BANCADA. MIST. 4G13.</t>
  </si>
  <si>
    <t>JG. METAL BANCADA. MITS. 4G35. 0.75.</t>
  </si>
  <si>
    <t>JG. METAL BANCADA. MITS. DIESEL.</t>
  </si>
  <si>
    <t>JG. METAL BANCADA. MITS. H100. 0.75.</t>
  </si>
  <si>
    <t>JG. METAL BANCADA. MITS. HY.</t>
  </si>
  <si>
    <t>JG. METAL BANCADA. MONZA 0.75.</t>
  </si>
  <si>
    <t>MS-1091GP</t>
  </si>
  <si>
    <t>JG. METAL BANCADA. NS J13 J15.</t>
  </si>
  <si>
    <t>MS-1043</t>
  </si>
  <si>
    <t>JG. METAL BANCADA. NS L18. STD.</t>
  </si>
  <si>
    <t>JG. METAL BANCADA. NS. L18 16 STD.</t>
  </si>
  <si>
    <t>JG. METAL BANCADA. OPEL DAEWOO.</t>
  </si>
  <si>
    <t>MS-1174GP</t>
  </si>
  <si>
    <t>JG. METAL BANCADA. SUNNY V16 STD.</t>
  </si>
  <si>
    <t>MS-1179</t>
  </si>
  <si>
    <t>JG. METAL BANCADA. SUZUKI.</t>
  </si>
  <si>
    <t>MS-1229A</t>
  </si>
  <si>
    <t>JG. METAL BANCADA. TERRANO.</t>
  </si>
  <si>
    <t>JG. METAL BANCADA. TOYOTA 0.25.</t>
  </si>
  <si>
    <t>JG. METAL BANCADA. TOYOTA 2T 3T.</t>
  </si>
  <si>
    <t>SM8378</t>
  </si>
  <si>
    <t>JG. METAL BANCADA. TY. 2RZ.</t>
  </si>
  <si>
    <t>MS-1435A</t>
  </si>
  <si>
    <t>JG. METAL BANCADA. V16 GA16.</t>
  </si>
  <si>
    <t>MS1208</t>
  </si>
  <si>
    <t>JG. METAL BANCADA. V16 GA16. 0.25.</t>
  </si>
  <si>
    <t>JG. METAL BANCADA. V16 SUNNY. 0.50</t>
  </si>
  <si>
    <t>MN1501-1</t>
  </si>
  <si>
    <t>JG. METAL BANCADA.DAEWOO 0.25.</t>
  </si>
  <si>
    <t>MS-1208A</t>
  </si>
  <si>
    <t>JG. METAL BANCADA.V16 SUNNY STD.</t>
  </si>
  <si>
    <t>JG. METAL BANCADAV 16 STD.</t>
  </si>
  <si>
    <t>CB2500A</t>
  </si>
  <si>
    <t>JG. METAL BIELA CHARADE</t>
  </si>
  <si>
    <t>JG. METAL BIELA CHARADE G20 0.25.</t>
  </si>
  <si>
    <t>JG. METAL BIELA CHARADE G20 0.50.</t>
  </si>
  <si>
    <t>JG. METAL BIELA CHEV 1.00</t>
  </si>
  <si>
    <t>JG. METAL BIELA CHEV CORSA 1. 1.6 0,25</t>
  </si>
  <si>
    <t>JG. METAL BIELA CHEV. 0.30</t>
  </si>
  <si>
    <t>JG. METAL BIELA CHEV. D-MAX STD</t>
  </si>
  <si>
    <t>JG. METAL BIELA CHEV. LUV 0.25</t>
  </si>
  <si>
    <t>JG. METAL BIELA CHEV. LUV 0.25 2.8</t>
  </si>
  <si>
    <t>JG. METAL BIELA CHEV. LUV 0.50 2.2</t>
  </si>
  <si>
    <t>L300103</t>
  </si>
  <si>
    <t>JG. METAL BIELA CHEV. LUV 0.50.</t>
  </si>
  <si>
    <t>CR4233</t>
  </si>
  <si>
    <t>JG. METAL BIELA CHEV. LUV 2.2</t>
  </si>
  <si>
    <t>JG. METAL BIELA CHEV. LUV 2.2 0.50</t>
  </si>
  <si>
    <t>JG. METAL BIELA CHEV. LUV 2.2 STD ING</t>
  </si>
  <si>
    <t>JG. METAL BIELA CHEV. LUV 2.2 STD.</t>
  </si>
  <si>
    <t>JG. METAL BIELA CHEV. LUV 2.2. 0.50.</t>
  </si>
  <si>
    <t>CR42330.75</t>
  </si>
  <si>
    <t>JG. METAL BIELA CHEV. LUV 2.2. 0.75.</t>
  </si>
  <si>
    <t>JG. METAL BIELA CHEV. LUV 2.3 0.50</t>
  </si>
  <si>
    <t>JG. METAL BIELA CHEV. LUV STD.</t>
  </si>
  <si>
    <t>JG. METAL BIELA CHEV. LUV. 0,75</t>
  </si>
  <si>
    <t>JG. METAL BIELA CHEV.0,25</t>
  </si>
  <si>
    <t>JG. METAL BIELA CHEV.CAVALIER STD.</t>
  </si>
  <si>
    <t>JG. METAL BIELA CHEV.STD.</t>
  </si>
  <si>
    <t>JG. METAL BIELA CHEVETTE 0.75.</t>
  </si>
  <si>
    <t>JG. METAL BIELA CHV LUV. 89/ 0.25</t>
  </si>
  <si>
    <t>JG. METAL BIELA CHV. LUV 1. 6-2.0-2.3 STD</t>
  </si>
  <si>
    <t>CR418</t>
  </si>
  <si>
    <t>JG. METAL BIELA CORSA 0,50</t>
  </si>
  <si>
    <t>JG. METAL BIELA CORSA 0.25</t>
  </si>
  <si>
    <t>CB-1624A</t>
  </si>
  <si>
    <t>JG. METAL BIELA CORSA STD</t>
  </si>
  <si>
    <t>JG. METAL BIELA D-21 KA24 0.50</t>
  </si>
  <si>
    <t>R280A</t>
  </si>
  <si>
    <t>JG. METAL BIELA D21 KA24 0.50.</t>
  </si>
  <si>
    <t>CR129-B</t>
  </si>
  <si>
    <t>JG. METAL BIELA D21 KA24 1MM.</t>
  </si>
  <si>
    <t>JG. METAL BIELA DAIH 1.3 1.6</t>
  </si>
  <si>
    <t>JG. METAL BIELA DAIHATSU .25</t>
  </si>
  <si>
    <t>CB2501A</t>
  </si>
  <si>
    <t>JG. METAL BIELA DAIHATSU 0.50</t>
  </si>
  <si>
    <t>JG. METAL BIELA DAIHATSU 1.3 1.5.</t>
  </si>
  <si>
    <t>JG. METAL BIELA DAIHATSU G-20 0.50</t>
  </si>
  <si>
    <t>JG. METAL BIELA DYNA B 2B 0.75.</t>
  </si>
  <si>
    <t>JG. METAL BIELA FORD RANGER 0.50</t>
  </si>
  <si>
    <t>JG. METAL BIELA G20 0.25.</t>
  </si>
  <si>
    <t>JG. METAL BIELA HONDA CIVIC 0.50</t>
  </si>
  <si>
    <t>JG. METAL BIELA HONDA CIVIC STD</t>
  </si>
  <si>
    <t>JG. METAL BIELA HONDA STD</t>
  </si>
  <si>
    <t>JG. METAL BIELA HY ACENT 0.25</t>
  </si>
  <si>
    <t>JG. METAL BIELA HY H-100</t>
  </si>
  <si>
    <t>JG. METAL BIELA HY. H100 DIESEL STD</t>
  </si>
  <si>
    <t>JG. METAL BIELA HYUNDAI 29 MM</t>
  </si>
  <si>
    <t>JG. METAL BIELA HYUNDAI SONATA 0.50</t>
  </si>
  <si>
    <t>JG. METAL BIELA HYUNDAI.</t>
  </si>
  <si>
    <t>JG. METAL BIELA ISUZU 4F.</t>
  </si>
  <si>
    <t>JG. METAL BIELA KIA 2.0 0.25.</t>
  </si>
  <si>
    <t>JG. METAL BIELA KIA 2.7 J2.</t>
  </si>
  <si>
    <t>JG. METAL BIELA KIA B5 B6 MZ BJ 0.25 TAIHO</t>
  </si>
  <si>
    <t>JG. METAL BIELA LANCER 4G92 0.25.</t>
  </si>
  <si>
    <t>JG. METAL BIELA LUV 2.2. 0.75.</t>
  </si>
  <si>
    <t>JG. METAL BIELA LUV. 2.2. 0.75.</t>
  </si>
  <si>
    <t>CR450751</t>
  </si>
  <si>
    <t>JG. METAL BIELA MAZDA 0.25</t>
  </si>
  <si>
    <t>JG. METAL BIELA MAZDA 626.</t>
  </si>
  <si>
    <t>JG. METAL BIELA MITS 0.25</t>
  </si>
  <si>
    <t>JG. METAL BIELA MITS. 1.3 1.5.</t>
  </si>
  <si>
    <t>CB1131</t>
  </si>
  <si>
    <t>JG. METAL BIELA MITS. 4G52 0.75.</t>
  </si>
  <si>
    <t>JG. METAL BIELA MITS. 4G92.</t>
  </si>
  <si>
    <t>JG. METAL BIELA MZ. KIA B5/6 BJ B6.</t>
  </si>
  <si>
    <t>JG. METAL BIELA NISSAN 0,50</t>
  </si>
  <si>
    <t>JG. METAL BIELA NISSAN 1.00</t>
  </si>
  <si>
    <t>JG. METAL BIELA NISSAN 1.00 V.16</t>
  </si>
  <si>
    <t>JG. METAL BIELA NISSAN 3.300 ED33 STD.</t>
  </si>
  <si>
    <t>JG. METAL BIELA NISSAN STD. D-21</t>
  </si>
  <si>
    <t>JG. METAL BIELA NISSAN TERRANO 0,75 K24</t>
  </si>
  <si>
    <t>CB1209</t>
  </si>
  <si>
    <t>JG. METAL BIELA NS 0,50 D-21</t>
  </si>
  <si>
    <t>JG. METAL BIELA NS LAUREN 0.50</t>
  </si>
  <si>
    <t>CB-1209</t>
  </si>
  <si>
    <t>JG. METAL BIELA NS. D21 0.75</t>
  </si>
  <si>
    <t>JG. METAL BIELA NS. D21 KA24 STD</t>
  </si>
  <si>
    <t>JG. METAL BIELA NS. LAUREL L20 STD.</t>
  </si>
  <si>
    <t>JG. METAL BIELA NS. STD CA16 CD17</t>
  </si>
  <si>
    <t>JG. METAL BIELA NS. SUNNY V16 0.75</t>
  </si>
  <si>
    <t>JG. METAL BIELA NS. SUNNY V16 STD DAIDO</t>
  </si>
  <si>
    <t>JG. METAL BIELA NS. SUNNY V16 STD.</t>
  </si>
  <si>
    <t>JG. METAL BIELA NS. TD25 TD27.</t>
  </si>
  <si>
    <t>JG. METAL BIELA NS. V16</t>
  </si>
  <si>
    <t>JG. METAL BIELA NS. V16 GA16 STD</t>
  </si>
  <si>
    <t>JG. METAL BIELA NS. V16 GA16 STD TAIHO</t>
  </si>
  <si>
    <t>JG. METAL BIELA NS. V16 SUNNY 0.50 TAIHO</t>
  </si>
  <si>
    <t>CR4507SI</t>
  </si>
  <si>
    <t>JG. METAL BIELA RANGER 2.3 03/.</t>
  </si>
  <si>
    <t>JG. METAL BIELA STD HY. H100</t>
  </si>
  <si>
    <t>JG. METAL BIELA STD NISSAN</t>
  </si>
  <si>
    <t>SU200083</t>
  </si>
  <si>
    <t>JG. METAL BIELA STD SUB.18.2.2</t>
  </si>
  <si>
    <t>JG. METAL BIELA SUBARU 0,50</t>
  </si>
  <si>
    <t>JG. METAL BIELA SUBARU 0.50</t>
  </si>
  <si>
    <t>JG. METAL BIELA SUBARU EA71-82.</t>
  </si>
  <si>
    <t>JG. METAL BIELA SUBARU JUSTI 0.50</t>
  </si>
  <si>
    <t>JG. METAL BIELA SUBARU STD.</t>
  </si>
  <si>
    <t>JG. METAL BIELA SUNNY V16 0.25 KING</t>
  </si>
  <si>
    <t>CB-1174</t>
  </si>
  <si>
    <t>JG. METAL BIELA SUNNY V16 STD.</t>
  </si>
  <si>
    <t>JG. METAL BIELA SUZUKI 0,25</t>
  </si>
  <si>
    <t>F8A NDC</t>
  </si>
  <si>
    <t>JG. METAL BIELA SUZUKI 0.25.</t>
  </si>
  <si>
    <t>JG. METAL BIELA SUZUKI F8-F10 0.75.</t>
  </si>
  <si>
    <t>JG. METAL BIELA SUZUKI G16 0.75.</t>
  </si>
  <si>
    <t>JG. METAL BIELA SUZUKI ST-90 CARRY 0.50</t>
  </si>
  <si>
    <t>CB-1229A</t>
  </si>
  <si>
    <t>JG. METAL BIELA TERRANO 0.25.</t>
  </si>
  <si>
    <t>JG. METAL BIELA TERRANO YD25 STD.</t>
  </si>
  <si>
    <t>R016A</t>
  </si>
  <si>
    <t>JG. METAL BIELA TOYOTA 12R.</t>
  </si>
  <si>
    <t>JG. METAL BIELA TOYOTA DINA 32 MM.</t>
  </si>
  <si>
    <t>JG. METAL BIELA TOYOTA YARI 0.50.</t>
  </si>
  <si>
    <t>JG. METAL BIELA TY Y 4Y 0.25.</t>
  </si>
  <si>
    <t>JG. METAL BIELA TY. 2E 0.75.</t>
  </si>
  <si>
    <t>JG. METAL BIELA TY. 3E 5E 0.25.</t>
  </si>
  <si>
    <t>JG. METAL BIELA TY. B.S/AXIAL. 0.25</t>
  </si>
  <si>
    <t>JG. METAL BIELA TY. TERCEL 2E.</t>
  </si>
  <si>
    <t>JG. METAL BIELA TY.COROLLA STD</t>
  </si>
  <si>
    <t>JG. METAL BIELA V16 GA16 0.50.</t>
  </si>
  <si>
    <t>CB-1208A</t>
  </si>
  <si>
    <t>JG. METAL BIELA V16 GA16 1ML.</t>
  </si>
  <si>
    <t>CB-1208</t>
  </si>
  <si>
    <t>JG. METAL BIELA V16 GA16 STD.</t>
  </si>
  <si>
    <t>JG. METAL BIELA. CHEV. LUV 2.2. 0.50.</t>
  </si>
  <si>
    <t>M4660A</t>
  </si>
  <si>
    <t>JG. METAL BIELA. ISUZU V6.</t>
  </si>
  <si>
    <t>CR4233AM</t>
  </si>
  <si>
    <t>JG. METAL BIELA. LUV 2.2. 0.50.</t>
  </si>
  <si>
    <t>JG. METAL BIELA. LUV 2.3.</t>
  </si>
  <si>
    <t>JG. METAL BIELA. LUV 2.3. 1ML.</t>
  </si>
  <si>
    <t>JG. metel bancada 050 2.2</t>
  </si>
  <si>
    <t>JG. METL BIELA CHEV. LUV 0.25</t>
  </si>
  <si>
    <t>JG. MT. AXIAL 0.25 CHEV. LUV</t>
  </si>
  <si>
    <t>JG. MT. BIELA NS. J18 0.50 TAIHO</t>
  </si>
  <si>
    <t>JG. MT. BIELA NS. V16 GA16 0.25 TAIHO</t>
  </si>
  <si>
    <t>JG. MT. BIELA SZ. MARUTI 0.25</t>
  </si>
  <si>
    <t>JG. MT. LEVA NS. J18 0.25 TAIHO</t>
  </si>
  <si>
    <t>JG. NS. V16 GA16 SENTRA STD.</t>
  </si>
  <si>
    <t>DG449</t>
  </si>
  <si>
    <t>JG. PAST. FRENO DEL. HY ELANTRA</t>
  </si>
  <si>
    <t>TY3012P</t>
  </si>
  <si>
    <t>JG. PASTILLA FRENO TY. HILUX KUN 09/</t>
  </si>
  <si>
    <t>K2342DG</t>
  </si>
  <si>
    <t>JG. PATIN FRENO TY. YARIS 14/</t>
  </si>
  <si>
    <t>JG. PERNO CULATA CHEV. LUV 2.2</t>
  </si>
  <si>
    <t>HE1</t>
  </si>
  <si>
    <t>JG. PISTON CHEV. CORSA 1.7 0.50 DIESEL.</t>
  </si>
  <si>
    <t>JG. PISTON CHEV. CORSA1.4.</t>
  </si>
  <si>
    <t>L110520</t>
  </si>
  <si>
    <t>JG. PISTON CHEV. LUV 1.6 4ZA STD TOTO</t>
  </si>
  <si>
    <t>JG. PISTON CHEV. LUV 1.6.</t>
  </si>
  <si>
    <t>JG. PISTON CHEV. LUV 2.2 0.50.</t>
  </si>
  <si>
    <t>JG. PISTON CHEV. LUV 2.3 0.50.</t>
  </si>
  <si>
    <t>L110630</t>
  </si>
  <si>
    <t>JG. PISTON CHEV. LUV 2.3 TOTO</t>
  </si>
  <si>
    <t>L110330</t>
  </si>
  <si>
    <t>JG. PISTON CHEV. LUV TROPER 2.3 STD TOTO</t>
  </si>
  <si>
    <t>JG. PISTON CHEV.CORSA D 0.50.</t>
  </si>
  <si>
    <t>JG. PISTON CHEVY.</t>
  </si>
  <si>
    <t>JG. PISTON CHEVY500 0.50.</t>
  </si>
  <si>
    <t>JG. PISTON DAEWOO 76.5.</t>
  </si>
  <si>
    <t>JG. PISTON DAEWOO LEGANZA 2.0 86X15X1X5X3</t>
  </si>
  <si>
    <t>JG. PISTON DAHIATSU 0.50.</t>
  </si>
  <si>
    <t>JG. PISTON DAIHATSU 76MM.</t>
  </si>
  <si>
    <t>JG. PISTON DATSUN150Y.</t>
  </si>
  <si>
    <t>JG. PISTON HONDA 0.50.</t>
  </si>
  <si>
    <t>JG. PISTON HONDA CIVIC B-16A 81.00 MM STD</t>
  </si>
  <si>
    <t>JG. PISTON HONDA CIVIC B16 81MM STD.</t>
  </si>
  <si>
    <t>JG. PISTON HY. KIA 1.4. 75.5.</t>
  </si>
  <si>
    <t>JG. PISTON HYUNDAI ATOZ 66 X1.2 X1.2X2,5</t>
  </si>
  <si>
    <t>JG. PISTON HYUNDAI GALLOPER 91.10MM</t>
  </si>
  <si>
    <t>JG. PISTON HYUNDAI H100 0.50 91X1X2X2X3</t>
  </si>
  <si>
    <t>JG. PISTON ISUZU 2.0.</t>
  </si>
  <si>
    <t>JG. PISTON ISUZU 4JB1 23X2X2X4</t>
  </si>
  <si>
    <t>JG. PISTON ISUZU. 0.50.</t>
  </si>
  <si>
    <t>JG. PISTON KIA AVELLA 0,50 V-16</t>
  </si>
  <si>
    <t>JG. PISTON KIA CAREN 1.8 0,50</t>
  </si>
  <si>
    <t>JG. PISTON KIA PRIDE 1.1 68.00 STD</t>
  </si>
  <si>
    <t>JG. PISTON MITS. L200 91MM.</t>
  </si>
  <si>
    <t>JG. PISTON MITSUBITCHI V-6 91.10MM</t>
  </si>
  <si>
    <t>JG. PISTON NS V-16 SUN E13 TOTO</t>
  </si>
  <si>
    <t>JG. PISTON NS. D21 KA24 0.50.</t>
  </si>
  <si>
    <t>JG. PISTON NS. L18 STD 85MM.</t>
  </si>
  <si>
    <t>N7617HH-3</t>
  </si>
  <si>
    <t>JG. PISTON NS. V16 GA16 0.75MM.</t>
  </si>
  <si>
    <t>JG. PISTON NS. V16 SUNNY</t>
  </si>
  <si>
    <t>JG. PISTON SUZUKI 90 0,50 62MM</t>
  </si>
  <si>
    <t>JG. PISTON SZ.1.3. G13 74MM.</t>
  </si>
  <si>
    <t>PISTERR</t>
  </si>
  <si>
    <t>JG. PISTONES NS. TERRANO</t>
  </si>
  <si>
    <t>JG. RETEN VALV. EUROPEO 6mm</t>
  </si>
  <si>
    <t>JG. ROD. TRAS. CHEV. CORSA CON RETEN Y SEG.</t>
  </si>
  <si>
    <t>JS009</t>
  </si>
  <si>
    <t>JG. SELLO MOTOR CHEV. LUV BRONCE</t>
  </si>
  <si>
    <t>JG. STD NISSAN PRIMERA 2000.</t>
  </si>
  <si>
    <t>JG. SUZU. CARRY</t>
  </si>
  <si>
    <t>JG. SUZUKI 410 STD 65.00MM</t>
  </si>
  <si>
    <t>JG. TAPA LEVA H100 2.5</t>
  </si>
  <si>
    <t>JG. TOYOTA 22R</t>
  </si>
  <si>
    <t>JG. VA.VULA ADMISION CHEV. LUV 2.3/2.0</t>
  </si>
  <si>
    <t>JG. VALV. ADM. HYUNDAI MITS.109X34.</t>
  </si>
  <si>
    <t>JG. VALV. ADM. MITSUBISHI</t>
  </si>
  <si>
    <t>JG. VALV. ADM. CHEV. 16-V DW NUB.</t>
  </si>
  <si>
    <t>P38998</t>
  </si>
  <si>
    <t>JG. VALV. ADM. CHEV. CORSA</t>
  </si>
  <si>
    <t>JG. VALV. ADM. H100 DIESEL 132X34</t>
  </si>
  <si>
    <t>JG. VALV. ADM. HYUNDAI ACCENT 27X99.00</t>
  </si>
  <si>
    <t>JG. VALV. ADM. HYUNDAY 34X102.</t>
  </si>
  <si>
    <t>JG. VALV. ADM. MAZDA 2.2</t>
  </si>
  <si>
    <t>JG. VALV. ESC. MITS. L200 2.5 27.5X6X108 JP. u11-1-1</t>
  </si>
  <si>
    <t>JG. VALV. SZ. CARRY ST-90</t>
  </si>
  <si>
    <t>JG. VALVULA ADM. CHEV. DMAX</t>
  </si>
  <si>
    <t>JG. VALVULA ADMISION NISAN SUNNY 37X119.70</t>
  </si>
  <si>
    <t>JG. VALVULA ADMISION NISSAN</t>
  </si>
  <si>
    <t>JG. VALVULA ADMISION NISSAN 35X108.30</t>
  </si>
  <si>
    <t>JG. VALVULA ADMISION NISSAN CENTRA 37X119.</t>
  </si>
  <si>
    <t>JG. VALVULA ADMISION NS. TERRANO 2.5 NAVARA 28.2X6X106.75 4u.</t>
  </si>
  <si>
    <t>JG. VALVULA ADMISION SUZUKI 1.6</t>
  </si>
  <si>
    <t>JG. VALVULA ADMISION SUZUKI 31X110</t>
  </si>
  <si>
    <t>JG. VALVULA ADMISION SZ. TODO 4 CIL. ST90 CARRY</t>
  </si>
  <si>
    <t>JG. VALVULA ADMISION TOYOTA TERCEL</t>
  </si>
  <si>
    <t>JG. VALVULA ADMISION TOYOTA TERCEL 21X98.</t>
  </si>
  <si>
    <t>TY10600</t>
  </si>
  <si>
    <t>JG. VALVULA ADMISION TOYOTA TERCEL 2E-3E.</t>
  </si>
  <si>
    <t>JG. VALVULA CHEV. DMAX</t>
  </si>
  <si>
    <t>JG. VALVULA CHEV. LUV 2.3 ESC.</t>
  </si>
  <si>
    <t>JG. VALVULA ESCAPE DAEWOO</t>
  </si>
  <si>
    <t>JG. VALVULA ESCAPE DAEWOO 26X6X102 JAPON</t>
  </si>
  <si>
    <t>JG. VALVULA ESCAPE DAEWOO.</t>
  </si>
  <si>
    <t>JG. VALVULA ESCAPE DAIHATSU</t>
  </si>
  <si>
    <t>JG. VALVULA ESCAPE DW. TICO DAMAS</t>
  </si>
  <si>
    <t>JG. VALVULA ESCAPE HONDA CIVIC</t>
  </si>
  <si>
    <t>JG. VALVULA ESCAPE HY. ELANTRA G4CR G4AS</t>
  </si>
  <si>
    <t>JG. VALVULA ESCAPE HY. NEW ACCENT</t>
  </si>
  <si>
    <t>JG. VALVULA ESCAPE HYUNDAI H100</t>
  </si>
  <si>
    <t>JG. VALVULA ESCAPE HYUNDAY</t>
  </si>
  <si>
    <t>JG. VALVULA ESCAPE KIA 2.7</t>
  </si>
  <si>
    <t>JG. VALVULA ESCAPE KIA AVELLA PRIDE 28X7X104.3</t>
  </si>
  <si>
    <t>JG. VALVULA ESCAPE KIA BESTA 2,7</t>
  </si>
  <si>
    <t>JG. VALVULA ESCAPE KIA BESTA 2.7 3.0</t>
  </si>
  <si>
    <t>JG. VALVULA ESCAPE KIA VELLA</t>
  </si>
  <si>
    <t>JG. VALVULA ESCAPE MAZDA</t>
  </si>
  <si>
    <t>JG. VALVULA ESCAPE MITSUBISHI</t>
  </si>
  <si>
    <t>JG. VALVULA ESCAPE NISSAN</t>
  </si>
  <si>
    <t>JG. VALVULA ESCAPE NS. TERRANO 2.5 YD25 26.1X6X106.3</t>
  </si>
  <si>
    <t>JG. VALVULA ESCAPE NS. TERRANO YD25 JG. ARCO</t>
  </si>
  <si>
    <t>JG. VALVULA ESCAPE NS. V-16</t>
  </si>
  <si>
    <t>JG. VALVULA ESCAPE SUBARU LEGACY</t>
  </si>
  <si>
    <t>JG. VALVULA ESCAPE SUZUKI</t>
  </si>
  <si>
    <t>JG. VALVULA ESCAPE SZ. CARRY</t>
  </si>
  <si>
    <t>JG. VALVULA ESCAPE SZ. XL7 J20 28X6X86 JGO.</t>
  </si>
  <si>
    <t>JG. VALVULA ESCAPE TOYOTA</t>
  </si>
  <si>
    <t>DH001</t>
  </si>
  <si>
    <t>JG. CABLE BUJIA CHARADE</t>
  </si>
  <si>
    <t>JG. CABLE BUJIA CHEV APACHE S10 2.4</t>
  </si>
  <si>
    <t>JG. CABLE BUJIA CHEV CORSA</t>
  </si>
  <si>
    <t>JG. CABLE BUJIA CHEV LUV</t>
  </si>
  <si>
    <t>ELCH2904E4</t>
  </si>
  <si>
    <t>JG. CABLE BUJIA CHEV MONZA / PREMIUM</t>
  </si>
  <si>
    <t>JG. CABLE BUJIA CHEV. AVEO</t>
  </si>
  <si>
    <t>JG. CABLE BUJIA CHEV. AVEO 1.4</t>
  </si>
  <si>
    <t>JG. CABLE BUJIA CHEV. CORSA 5 CABLE CAHSA</t>
  </si>
  <si>
    <t>JG. CABLE BUJIA CHEV. LUV</t>
  </si>
  <si>
    <t>L111885</t>
  </si>
  <si>
    <t>L111885 0020304</t>
  </si>
  <si>
    <t>JG. CABLE BUJIA CHEV. LUV 2.3</t>
  </si>
  <si>
    <t>JG. CABLE BUJIA CHEV. N300</t>
  </si>
  <si>
    <t>JG. CABLE BUJIA CHEV. OPTRA</t>
  </si>
  <si>
    <t>JG. CABLE BUJIA CHEV. S10 2.4</t>
  </si>
  <si>
    <t>JG. CABLE BUJIA CHEV. SPARK GT 1.2</t>
  </si>
  <si>
    <t>JG. CABLE BUJIA DH. FEROZA 1.6</t>
  </si>
  <si>
    <t>JG. CABLE BUJIA DODGE CARAVAN</t>
  </si>
  <si>
    <t>JG. CABLE BUJIA FORD RANGER 2.3 / 2.5 8CABLES</t>
  </si>
  <si>
    <t>JG. CABLE BUJIA FORD RANGER 2.5</t>
  </si>
  <si>
    <t>H100340</t>
  </si>
  <si>
    <t>JG. CABLE BUJIA H100 2.4 EXCEL</t>
  </si>
  <si>
    <t>JG. CABLE BUJIA HY. ACCENT AVANTE</t>
  </si>
  <si>
    <t>JG. CABLE BUJIA HY. ACCENT PRIME</t>
  </si>
  <si>
    <t>JG. CABLE BUJIA HY. STA FE G41</t>
  </si>
  <si>
    <t>S4-39302</t>
  </si>
  <si>
    <t>JG. CABLE BUJIA KIA SEPHIA 1.8</t>
  </si>
  <si>
    <t>JG. CABLE BUJIA LUV 2.2</t>
  </si>
  <si>
    <t>JG. CABLE BUJIA MITS. MONTERO 3.0</t>
  </si>
  <si>
    <t>JG. CABLE BUJIA MITSUHISHI MONTERO</t>
  </si>
  <si>
    <t>GM046</t>
  </si>
  <si>
    <t>JG. CABLE BUJIA MONZA 87/93</t>
  </si>
  <si>
    <t>JG. CABLE BUJIA NISSAN V16 GA16 NI043</t>
  </si>
  <si>
    <t>NI032</t>
  </si>
  <si>
    <t>JG. CABLE BUJIA NISSAN V16 SUNNY</t>
  </si>
  <si>
    <t>JG. CABLE BUJIA NISSAN V16 T/ROJA</t>
  </si>
  <si>
    <t>JG. CABLE BUJIA NS. 150Y</t>
  </si>
  <si>
    <t>JG. CABLE BUJIA NS. D21 KA24</t>
  </si>
  <si>
    <t>JG. CABLE BUJIA PEUGEOT</t>
  </si>
  <si>
    <t>JG. CABLE BUJIA SUB. LOYALE 1.8</t>
  </si>
  <si>
    <t>JG. CABLE BUJIA SUBARU 2.5</t>
  </si>
  <si>
    <t>JG. CABLE BUJIA SZ. ALTO 800 07/12</t>
  </si>
  <si>
    <t>JG. CABLE BUJIA SZ. BALENO S/C.BUJIA</t>
  </si>
  <si>
    <t>JG. CABLE BUJIA SZ. SJ410</t>
  </si>
  <si>
    <t>NI077</t>
  </si>
  <si>
    <t>JG. CABLE BUJIA TERRANO 2.4</t>
  </si>
  <si>
    <t>JG. CABLE BUJIA TOYOTA 2RZ 2C</t>
  </si>
  <si>
    <t>JG. CABLE BUJIA TY. 2Y 3Y</t>
  </si>
  <si>
    <t>TY30521</t>
  </si>
  <si>
    <t>JG. CABLE BUJIA TY. HILUX 22R ECHLIN</t>
  </si>
  <si>
    <t>JG. CABLE BUJIA TY. HILUX 22R INY.</t>
  </si>
  <si>
    <t>JG. CABLE BUJIAS ACCENT 1.5 00/11 RIO CERATO</t>
  </si>
  <si>
    <t>JG. CABLE BUJIAS CHEV. AVEO VIVANT DW.</t>
  </si>
  <si>
    <t>JG. CABLE BUJIAS CHEV. LUV 2.3</t>
  </si>
  <si>
    <t>JG. CABLE BUJIAS CHEV. LUV 2.3 SEIWA JP.</t>
  </si>
  <si>
    <t>JG. CABLE BUJIAS CHEV. OPTRA 1.6</t>
  </si>
  <si>
    <t>JG. CABLE BUJIAS CHEV. SPARK 1.0</t>
  </si>
  <si>
    <t>JG. CABLE BUJIAS CHEV. SPARK 1.0 06/16</t>
  </si>
  <si>
    <t>JG. CABLE BUJIAS CHRYSLER NEON / STRATUS</t>
  </si>
  <si>
    <t>JG. CABLE BUJIAS NS. D21 KA24</t>
  </si>
  <si>
    <t>JG. CABLE BUJIAS NS. V16 GA16</t>
  </si>
  <si>
    <t>JG. CABLE BUJIAS TY. HILUX 22R 93/97</t>
  </si>
  <si>
    <t>JG. CABLE BUJIAS TY. HILUX 2RZ 98/05</t>
  </si>
  <si>
    <t>JG. CABLE CHERY IQ.</t>
  </si>
  <si>
    <t>JG. CABLE CHV OPTRA 1.6</t>
  </si>
  <si>
    <t>JG. CABLE HY. ACCENT</t>
  </si>
  <si>
    <t>JG. CABLE NS. V16 GA16</t>
  </si>
  <si>
    <t>JG. EMP. ANILLO CHEV. LUV 2.2 0.50 86X1.5X1.5X3 TP</t>
  </si>
  <si>
    <t>JG. EMP. ANILLO CHEV. LUV 2.3 0.25 NPR 89X1.5X1.5X4</t>
  </si>
  <si>
    <t>JG. EMP. ANILLO CHEV. LUV 2.3 0.50 89MM RIK</t>
  </si>
  <si>
    <t>JG. EMP. ANILLO CHEV. LUV 2.3 STD 89X1.5X1.5X4 TP</t>
  </si>
  <si>
    <t>JG. EMP. ANILLO CHEV. LUV 2.3 STD TOTO CR. 89X1.5X1.5X4</t>
  </si>
  <si>
    <t>JG. EMP. ANILLO NS. D21 KA24 STD NPR 89X1.5X1.5X2.8</t>
  </si>
  <si>
    <t>JG. EMP. ANILLO NS. D21 Z24 89X2X1.5X4 RIK</t>
  </si>
  <si>
    <t>JG. EMP. ANILLO NS. SUNNY V16 E16 0.25 NPR</t>
  </si>
  <si>
    <t>JG. EMP. ANILLO NS. SUNNY V16 E16 0.50 HASTINGS 76X1.5X1.5X4</t>
  </si>
  <si>
    <t>JG. EMP. ANILLO NS. SUNNY V16 E16 0.50 TOTO 76X1.5X1.5X4</t>
  </si>
  <si>
    <t>JG. EMP. ANILLO SZ. CARRY 65.5X1.5X1.5X2.8 STD RIK JP.</t>
  </si>
  <si>
    <t>JG. EMP. ANILLO SZ. FRONTE STD 68.5X1.5X1.5X2.8 RIK JP.</t>
  </si>
  <si>
    <t>JG. EMP. ANILLO TY TERCEL 2E STD. 73MM RIK</t>
  </si>
  <si>
    <t>JG. EMP. C/ RETEN MONZA</t>
  </si>
  <si>
    <t>JG. EMP. CHEV. 230 250 6 CIL.</t>
  </si>
  <si>
    <t>JG. EMP. CHEV. 250 230 6 CIL.</t>
  </si>
  <si>
    <t>JG. EMP. CHEV. AVEO II 1.4</t>
  </si>
  <si>
    <t>JG. EMP. CHEV. CHEVETTE</t>
  </si>
  <si>
    <t>JG. EMP. CHEV. CORSA 1.6 16V. C/R. SABO</t>
  </si>
  <si>
    <t>JG. EMP. CHEV. CORSA 1.6 16V. S/R. SPAAL</t>
  </si>
  <si>
    <t>JG. EMP. CHEV. CORSA 1.6 8V. C/RETEN BHORKE</t>
  </si>
  <si>
    <t>JG. EMP. CHEV. CORSA 1.6 8V. C/RETEN SABO</t>
  </si>
  <si>
    <t>JG. EMP. CHEV. CORSA 1.6 8V. S/R. SABO</t>
  </si>
  <si>
    <t>JG. EMP. CHEV. CORSA 1.6 C/R. BHORKE</t>
  </si>
  <si>
    <t>JG. EMP. CHEV. CORSA 1.7 DIESEL C/R. ATSUKI</t>
  </si>
  <si>
    <t>JG. EMP. CHEV. CORSA DW 1.4 C/RET. ATSUKI</t>
  </si>
  <si>
    <t>JG. EMP. CHEV. D-MAX 3000 4JH1</t>
  </si>
  <si>
    <t>JG. EMP. CHEV. ISUZU 2.6 BENC. C/R. JAPON</t>
  </si>
  <si>
    <t>JG. EMP. CHEV. ISUZU 3.1</t>
  </si>
  <si>
    <t>JG. EMP. CHEV. LUV 1.6 4ZA1 ATSUKI</t>
  </si>
  <si>
    <t>JG. EMP. CHEV. LUV 2.0 G200 ATSUKI</t>
  </si>
  <si>
    <t>JG. EMP. CHEV. LUV 2.2 CON RETEN</t>
  </si>
  <si>
    <t>JG. EMP. CHEV. LUV 2.3 C/RETEN</t>
  </si>
  <si>
    <t>JG. EMP. CHEV. LUV 2.3 C/T SAP JP.</t>
  </si>
  <si>
    <t>JG. EMP. CHEV. LUV 2.3 T</t>
  </si>
  <si>
    <t>L300048</t>
  </si>
  <si>
    <t>JG. EMP. CHEV. NKR 2.8 4JB1</t>
  </si>
  <si>
    <t>JG. EMP. CHEV. S-10 2.2 94-97 SUPERIOR VICTOR</t>
  </si>
  <si>
    <t>JG. EMP. CHEV. SPARK C/R MEGA</t>
  </si>
  <si>
    <t>JG. EMP. CULATA V16 SUNNY</t>
  </si>
  <si>
    <t>JG. EMP. DH CHARADE G-2O 850</t>
  </si>
  <si>
    <t>JG. EMP. DW LANOS 1.6 RACER 1.5 S/R. KP</t>
  </si>
  <si>
    <t>JG. EMP. DW. 16V A15MF ERISTIC</t>
  </si>
  <si>
    <t>JG. EMP. DW. HEAVEN 1.5</t>
  </si>
  <si>
    <t>JG. EMP. DW. LANOS 1.5 A15 98-2003 ONNURI</t>
  </si>
  <si>
    <t>JG. EMP. DW. NUBIRA 1.6 16V. VIVANT ONNURI</t>
  </si>
  <si>
    <t>JG. EMP. EMP. NS. SUNNY V16 E16 T</t>
  </si>
  <si>
    <t>JG. EMP. EMP. NS. SUNNY V16 S/R. ATSUKI</t>
  </si>
  <si>
    <t>JG. EMP. EMP. NS. TERRANO YD25 1. 025 ARCO</t>
  </si>
  <si>
    <t>JG. EMP. EMP. NS. V16 SUNNY E16 S/R. KP</t>
  </si>
  <si>
    <t>JG. EMP. EMP. NS. V16 SUNNY T.R. S/RETEN</t>
  </si>
  <si>
    <t>JG. EMP. EMP. NS. V16 T.R. S/R</t>
  </si>
  <si>
    <t>JG. EMP. EMP. NS. Z24 C//RETEN KGK</t>
  </si>
  <si>
    <t>JG. EMP. EMP. SZ. BALENO 1.3 G13BS 96-04 ERISTIC</t>
  </si>
  <si>
    <t>JG. EMP. EMP. SZ. BALENO 1.6 G16 6-04</t>
  </si>
  <si>
    <t>JG. EMP. EMP. SZ. GRAN NOMADE VITARA 2000 J20 98-06 ERISTIC</t>
  </si>
  <si>
    <t>JG. EMP. EMP. SZ. MARUTI FRONTE S/R.</t>
  </si>
  <si>
    <t>JG. EMP. EMP. SZ. SJ410 CARRY</t>
  </si>
  <si>
    <t>JG. EMP. EMP. SZ. SJ410 T</t>
  </si>
  <si>
    <t>JG. EMP. EMP. SZ. ST-90 C/R. ATSUKI</t>
  </si>
  <si>
    <t>JG. EMP. EMP. SZ. ST-90 F8 MEGS S/R.</t>
  </si>
  <si>
    <t>JG. EMP. EMP. TY HILUX 2.2 4Y TOTO</t>
  </si>
  <si>
    <t>JG. EMP. EMP. TY. TERCEL 2E C/R TOTO</t>
  </si>
  <si>
    <t>TY10118</t>
  </si>
  <si>
    <t>JG. EMP. EMP. TY. TERCEL 5E ATSUKI</t>
  </si>
  <si>
    <t>JG. EMP. HY H100 2.5 DIESEL PORTER</t>
  </si>
  <si>
    <t>JG. EMP. HY. H100 2.4 BENC.</t>
  </si>
  <si>
    <t>JG. EMP. HY. H100 2.5</t>
  </si>
  <si>
    <t>JG. EMP. HY. MIT. 3000 V6 CRYSLER 3.0</t>
  </si>
  <si>
    <t>JG. EMP. HY. SANTAMO 2.0 99</t>
  </si>
  <si>
    <t>JG. EMP. HY. SONATA 2000 G4CP 93-96 ONNURI</t>
  </si>
  <si>
    <t>JG. EMP. HYUNDAI SANTAMO 2.0</t>
  </si>
  <si>
    <t>JG. EMP. KIA AVELLA 1.5 B5</t>
  </si>
  <si>
    <t>JG. EMP. KIA SPORTAGE 2000 FE</t>
  </si>
  <si>
    <t>JG. EMP. KIA SPORTAGE II 2000 ONNURI</t>
  </si>
  <si>
    <t>JG. EMP. MAZDA ARTIS B6 1.6</t>
  </si>
  <si>
    <t>JG. EMP. METAL BANCADA CHEV. CORSA DW. 0.50 KING</t>
  </si>
  <si>
    <t>JG. EMP. METAL BANCADA CHEV. LUV 0.25 TAIHO</t>
  </si>
  <si>
    <t>JG. EMP. METAL BANCADA CHEV. LUV 2.3 MONZA O.25</t>
  </si>
  <si>
    <t>JG. EMP. METAL BANCADA CHEV. LUV 89/ 0.50 TAIHO</t>
  </si>
  <si>
    <t>JG. EMP. METAL BANCADA CHEV. LUV STD KING</t>
  </si>
  <si>
    <t>JG. EMP. METAL BANCADA CHEV. LUV STD TAHIO</t>
  </si>
  <si>
    <t>MS-1209S</t>
  </si>
  <si>
    <t>JG. EMP. METAL BANCADA NS. D21 STD</t>
  </si>
  <si>
    <t>JG. EMP. METAL BANCADA NS. D22 STD TERRANO KING</t>
  </si>
  <si>
    <t>JG. EMP. METAL BIELA CHEV. CORSA 0.25</t>
  </si>
  <si>
    <t>JG. EMP. METAL BIELA CHEV. CORSA 0.50</t>
  </si>
  <si>
    <t>JG. EMP. METAL BIELA CHEV. LUV 2.2 0.25</t>
  </si>
  <si>
    <t>CB-1131AS</t>
  </si>
  <si>
    <t>JG. EMP. METAL BIELA HY. H-100 2.4 STD</t>
  </si>
  <si>
    <t>JG. EMP. METAL BIELA HY. H100 DIESEL 2.5 0.75</t>
  </si>
  <si>
    <t>CB-1209S</t>
  </si>
  <si>
    <t>JG. EMP. METAL BIELA NS. D21 KA24 STD</t>
  </si>
  <si>
    <t>JG. EMP. METAL BIELA NS. STD TERRANO</t>
  </si>
  <si>
    <t>JG. EMP. MITS. L200 2.4</t>
  </si>
  <si>
    <t>JG. EMP. MOTOR CHEV DMAX / APACHE 2.4</t>
  </si>
  <si>
    <t>JG. EMP. MOTOR DAIHATSU CHARADE 1.3 16V</t>
  </si>
  <si>
    <t>JG. EMP. MOTOR HONDA</t>
  </si>
  <si>
    <t>JG. EMP. MOTOR INF CHEVROLET</t>
  </si>
  <si>
    <t>JG. EMP. MOTOR ISUZU NKR 3.1</t>
  </si>
  <si>
    <t>JG. EMP. MOTOR KIA</t>
  </si>
  <si>
    <t>JG. EMP. MOTOR KIA BESTA</t>
  </si>
  <si>
    <t>JG. EMP. MOTOR KIA CAREN 1.8</t>
  </si>
  <si>
    <t>JG. EMP. MOTOR RENAULT ECLAIRE</t>
  </si>
  <si>
    <t>JG. EMP. MOTOR SUPER CHEVROLET</t>
  </si>
  <si>
    <t>JG. EMP. MOTOR TY YARIS ERISTIC</t>
  </si>
  <si>
    <t>JG. EMP. MT. L-200 L-300 4G63 16V. KP</t>
  </si>
  <si>
    <t>JG. EMP. MT. LANCER 1.3 4G13 97-01 ERISTIC</t>
  </si>
  <si>
    <t>JG. EMP. MZ. 3000 DIESEL HA FM.</t>
  </si>
  <si>
    <t>JG. EMP. MZ. 626 1.6 FP FS 92-97 ERISTIC</t>
  </si>
  <si>
    <t>JG. EMP. MZ. 626 8V. ERISTIC</t>
  </si>
  <si>
    <t>JG. EMP. MZ. B1.6 NA 626 KGK JP.</t>
  </si>
  <si>
    <t>JG. EMP. NS. 150Y</t>
  </si>
  <si>
    <t>JG. EMP. NS. BLUEBIRD 2.0 CA20S S/R. ERISTIC</t>
  </si>
  <si>
    <t>JG. EMP. NS. D21 KA24</t>
  </si>
  <si>
    <t>JG. EMP. NS. J18</t>
  </si>
  <si>
    <t>JG. EMP. NS. J18 90</t>
  </si>
  <si>
    <t>JG. EMP. NS. J18 MEGA INCONPLETO</t>
  </si>
  <si>
    <t>JG. EMP. NS. L-18</t>
  </si>
  <si>
    <t>JG. EMP. NS. L16 KGK JAPON</t>
  </si>
  <si>
    <t>JG. EMP. NS. PRIMERA 2000 QR20 2003-07</t>
  </si>
  <si>
    <t>JG. EMP. NS. SUNNY V-16 S/R. KP</t>
  </si>
  <si>
    <t>MTDT102013</t>
  </si>
  <si>
    <t>JG. EMP. NS. SUNNY V16</t>
  </si>
  <si>
    <t>JG. EMP. NS. V16 1.4 C/RETEN</t>
  </si>
  <si>
    <t>JG. EMP. NS. V16 GA16</t>
  </si>
  <si>
    <t>JG. EMP. NS. V16 GA16 TOTO</t>
  </si>
  <si>
    <t>JG. EMP. NS. V16 GA16 T.PLOMA</t>
  </si>
  <si>
    <t>JG. EMP. PISTON CHEV. ISUZU 4JB1 STD 93X2X2X4 TIK</t>
  </si>
  <si>
    <t>JG. EMP. PISTON CHEV. LUV 2.2 0.50 TOTO</t>
  </si>
  <si>
    <t>JG. EMP. PISTON CHEV. LUV 2.3 TOTO</t>
  </si>
  <si>
    <t>JG. EMP. SUZ. MARUTI FRONTE 800</t>
  </si>
  <si>
    <t>JG. EMP. SUZUKI ST90</t>
  </si>
  <si>
    <t>JG. EMP. SZ. CARRY SJ410</t>
  </si>
  <si>
    <t>JG. EMP. SZ. MASTERVAN 1.3</t>
  </si>
  <si>
    <t>jemptoyco</t>
  </si>
  <si>
    <t>LEMPTOYCO</t>
  </si>
  <si>
    <t>JG. EMP. TOY. COROLLA</t>
  </si>
  <si>
    <t>JG. EMP. TOYOTA 2Y</t>
  </si>
  <si>
    <t>JG. EMP. TY. TERCEL 2E</t>
  </si>
  <si>
    <t>TY10108</t>
  </si>
  <si>
    <t>JG. EMP. TY. TERCEL 2E ATSUKI</t>
  </si>
  <si>
    <t>JG. EMP. TY. YARIS TOTO</t>
  </si>
  <si>
    <t>JG. EMP. TY. YARIS 2NZ 16V. KP</t>
  </si>
  <si>
    <t>JG. EMP. VALVULA ADMISION VW GOL 1.6 1.8 A4 BBB</t>
  </si>
  <si>
    <t>JG. EMP. VALVULA ESC. NS. SUNNY BBB</t>
  </si>
  <si>
    <t>JG. EMP. VALVULA ESCAPE DW. TICO DAMAS SPARK</t>
  </si>
  <si>
    <t>JG. EMP. VALVULA ESCAPE NS. D21 KA24 40X8X122.4 NSK JP.</t>
  </si>
  <si>
    <t>JG. EMP. VALVULA ESCAPE NS. SUNNY SENTRA E-16</t>
  </si>
  <si>
    <t>JG. EMP. MOTOR CHARADE G20</t>
  </si>
  <si>
    <t>JG. EMP. MOTOR CHEV. AVEO 1.4 OPTRA 1.6</t>
  </si>
  <si>
    <t>JG. EMP. MOTOR CHEV. AVEO 1.4 OPTRA 1.6 WURTEX</t>
  </si>
  <si>
    <t>JG. EMP. MOTOR CHEV. AVEO OPTRA</t>
  </si>
  <si>
    <t>JG. EMP. MOTOR CHEV. AVEO OPTRA METAL TOTO</t>
  </si>
  <si>
    <t>JEDMAX</t>
  </si>
  <si>
    <t>JG. EMP. MOTOR CHEV. DMAX</t>
  </si>
  <si>
    <t>JG. EMP. MOTOR CHEV. LUV 2.2 TOTO</t>
  </si>
  <si>
    <t>JG. EMP. MOTOR CHEV. LUV 2.2 C/RETN SABO</t>
  </si>
  <si>
    <t>JG. EMP. MOTOR CHEV. SAIL 1.4</t>
  </si>
  <si>
    <t>JG. EMP. MOTOR CHEV. SAIL 1.4 11/17 COMPLETO</t>
  </si>
  <si>
    <t>JG. EMP. MOTOR CHEV. SPARK 1.0 06/16 ATSUKI</t>
  </si>
  <si>
    <t>JG. EMP. MOTOR CHEV. SPARK 800 F8 ATSUKI</t>
  </si>
  <si>
    <t>JG. EMP. MOTOR CHV CHEVETTE</t>
  </si>
  <si>
    <t>JG. EMP. MOTOR CORSA 1.6</t>
  </si>
  <si>
    <t>JG. EMP. MOTOR DAEWOO HEAVEN / NEXIA</t>
  </si>
  <si>
    <t>JG. EMP. MOTOR DAIHATSU 1.6 16V.</t>
  </si>
  <si>
    <t>JG. EMP. MOTOR DAIHATSU CHARADE 1.3 1.6 16V. TOTO</t>
  </si>
  <si>
    <t>JG. EMP. MOTOR DH. CHARADE G20</t>
  </si>
  <si>
    <t>JG. EMP. MOTOR FIAT 850 127</t>
  </si>
  <si>
    <t>MD81230</t>
  </si>
  <si>
    <t>JG. EMP. MOTOR FORD RANGER 2.5 / MAZDA BT-50 2.5</t>
  </si>
  <si>
    <t>JG. EMP. MOTOR HONDA ACCORD 2.2</t>
  </si>
  <si>
    <t>JG. EMP. MOTOR HONDA ACCORD A20 86/89</t>
  </si>
  <si>
    <t>JG. EMP. MOTOR HY GALLOPER / MITS. 6G72 V6</t>
  </si>
  <si>
    <t>JG. EMP. MOTOR HY. ACCENT 06/11</t>
  </si>
  <si>
    <t>H001368</t>
  </si>
  <si>
    <t>JG. EMP. MOTOR HY. ACCENT 1.5 94/06</t>
  </si>
  <si>
    <t>JG. EMP. MOTOR HY. ACCENT 1.5 G4E</t>
  </si>
  <si>
    <t>JG. EMP. MOTOR HY. ACCENT 1.6 06/</t>
  </si>
  <si>
    <t>JG. EMP. MOTOR HY. H1 2.5 16V. 10/ SSG KOREA</t>
  </si>
  <si>
    <t>JG. EMP. MOTOR HY. H100 2.5 L200</t>
  </si>
  <si>
    <t>JG. EMP. MOTOR HY. SANTAMO SONATA G4CP</t>
  </si>
  <si>
    <t>JG. EMP. MOTOR HYUNDAI 4G13 1.3</t>
  </si>
  <si>
    <t>H801000</t>
  </si>
  <si>
    <t>JG. EMP. MOTOR HYUNDAI EXCEL 1.5 92/95</t>
  </si>
  <si>
    <t>JG. EMP. MOTOR HYUNDAI H-100 DIESEL</t>
  </si>
  <si>
    <t>JG. EMP. MOTOR INF. DODGE DAKOTA RAM 1.5 / 3.9 V6 92/03</t>
  </si>
  <si>
    <t>JG. EMP. MOTOR ISUZU NPR 3.9 4BD1</t>
  </si>
  <si>
    <t>JG. EMP. MOTOR ISUZU TROOPER 2.6 4ZE1</t>
  </si>
  <si>
    <t>JG. EMP. MOTOR ISUZU TROOPER 3.2 6VD1</t>
  </si>
  <si>
    <t>JG. EMP. MOTOR KIA G4GR / G4GC 1.6 / 2.0</t>
  </si>
  <si>
    <t>JG. EMP. MOTOR KIA G4KA</t>
  </si>
  <si>
    <t>JG. EMP. MOTOR KIA PRIDE POP 1.1</t>
  </si>
  <si>
    <t>JG. EMP. MOTOR KIA RIO 1.3 A3E</t>
  </si>
  <si>
    <t>JG. EMP. MOTOR MAZDA 323 1.6 99/</t>
  </si>
  <si>
    <t>JG. EMP. MOTOR MAZDA 626 1.8</t>
  </si>
  <si>
    <t>JG. EMP. MOTOR MAZDA B2600 4G54 / MITSUBISHI</t>
  </si>
  <si>
    <t>JG. EMP. MOTOR MAZDA BT50</t>
  </si>
  <si>
    <t>JG. EMP. MOTOR MAZDA BT50 WLAT 06/12 METAL</t>
  </si>
  <si>
    <t>JG. EMP. MOTOR MAZDA DIESEL</t>
  </si>
  <si>
    <t>JG. EMP. MOTOR MITS. L200 2.5 4D56T 07/ KATANA</t>
  </si>
  <si>
    <t>MD-000443</t>
  </si>
  <si>
    <t>JG. EMP. MOTOR MITSUBISHI 4G32</t>
  </si>
  <si>
    <t>JG. EMP. MOTOR MITSUBISHI L200 2.0 4G63</t>
  </si>
  <si>
    <t>MD971326</t>
  </si>
  <si>
    <t>JG. EMP. MOTOR MITSUBISHI L200 4G63 16V</t>
  </si>
  <si>
    <t>JG. EMP. MOTOR MITSUBISHI L200/ L300 1.6</t>
  </si>
  <si>
    <t>JG. EMP. MOTOR ND. D21 KA24 2.4 JAPON STONE</t>
  </si>
  <si>
    <t>JG. EMP. MOTOR NISSAN / SM5 / SQ5</t>
  </si>
  <si>
    <t>JG. EMP. MOTOR NISSAN BLUE BIRD LD20 C/N CADENA</t>
  </si>
  <si>
    <t>JG. EMP. MOTOR NISSAN L18</t>
  </si>
  <si>
    <t>JG. EMP. MOTOR NISSAN PRIMERA QR20DE</t>
  </si>
  <si>
    <t>MTDT112003</t>
  </si>
  <si>
    <t>JG. EMP. MOTOR NISSAN V16 T/PLOMA</t>
  </si>
  <si>
    <t>JG. EMP. MOTOR NS BLUE BIRD CA20S</t>
  </si>
  <si>
    <t>JG. EMP. MOTOR NS. 720 J18</t>
  </si>
  <si>
    <t>JG. EMP. MOTOR NS. D21 KA24 C/RETEN ATSUKI</t>
  </si>
  <si>
    <t>JG. EMP. MOTOR NS. TERRANO 2.4 16VALV. TOTOT</t>
  </si>
  <si>
    <t>JEMPTERR</t>
  </si>
  <si>
    <t>JG. EMP. MOTOR NS. TERRANO 2.5</t>
  </si>
  <si>
    <t>JG. EMP. MOTOR NS. TERRANO YD25</t>
  </si>
  <si>
    <t>JG. EMP. MOTOR NS. V16 E16 T. ROJA C/RETEN</t>
  </si>
  <si>
    <t>JG. EMP. MOTOR NS. V16 GA16</t>
  </si>
  <si>
    <t>JG. EMP. MOTOR NS. V16 GA16DNE</t>
  </si>
  <si>
    <t>JG. EMP. MOTOR OPEL CORSA 1.4</t>
  </si>
  <si>
    <t>JG. EMP. MOTOR OPEL CORSA 1.6</t>
  </si>
  <si>
    <t>JG. EMP. MOTOR PEUGEOT 406 1.8 EW7J4 C/ RETEN</t>
  </si>
  <si>
    <t>JG. EMP. MOTOR SAMSUNG SM3</t>
  </si>
  <si>
    <t>JG. EMP. MOTOR SUBARU LEONE 1.8 EA81</t>
  </si>
  <si>
    <t>JG. EMP. MOTOR SUBARU LEONE EA71 1.6</t>
  </si>
  <si>
    <t>JG. EMP. MOTOR SUP. JEEP CHEROKEE 4.0 96/98</t>
  </si>
  <si>
    <t>JG. EMP. MOTOR SUZUKI ALTO</t>
  </si>
  <si>
    <t>JG. EMP. MOTOR SZ MASTERVAN 99/03 / BALENO G13</t>
  </si>
  <si>
    <t>JG. EMP. MOTOR SZ SAMURAI SJ413 G13</t>
  </si>
  <si>
    <t>JG. EMP. MOTOR SZ VITARA 1.3 / 1.6</t>
  </si>
  <si>
    <t>JG. EMP. MOTOR SZ. CARRY 1000 F10 SJ410</t>
  </si>
  <si>
    <t>JG. EMP. MOTOR SZ. MARUTI 800 FRONTE</t>
  </si>
  <si>
    <t>Z500038</t>
  </si>
  <si>
    <t>JG. EMP. MOTOR SZ. MARUTI FRONTE 800</t>
  </si>
  <si>
    <t>JG. EMP. MOTOR SZ. VITARA GA16</t>
  </si>
  <si>
    <t>JG. EMP. MOTOR TY. 2Y TOTO</t>
  </si>
  <si>
    <t>P013597</t>
  </si>
  <si>
    <t>JG. EMP. MOTOR TY. HILUX 05/ 1KD</t>
  </si>
  <si>
    <t>TY10088</t>
  </si>
  <si>
    <t>JG. EMP. MOTOR TY. HILUX 2.4 22R</t>
  </si>
  <si>
    <t>JG. EMP. MOTOR TY. TERCEL 5E</t>
  </si>
  <si>
    <t>JG. EMP. MOTOR TY. YARIS</t>
  </si>
  <si>
    <t>JG. EMP. MOTOR TY. YARIS 1.3 1.5 TOTO</t>
  </si>
  <si>
    <t>TY03208</t>
  </si>
  <si>
    <t>JG. EMP. MOTOR TY. YARIS 1.5 06/13 ATSUKI</t>
  </si>
  <si>
    <t>JG. EMP. MOTOR TY. YARIS WURTH</t>
  </si>
  <si>
    <t>JG. METAL AXIAL BANCADA NISSAN TD25 TD27 STD</t>
  </si>
  <si>
    <t>JG. METAL AXIAL CHEV LUV 0.125</t>
  </si>
  <si>
    <t>JG. METAL AXIAL CHEV. SAIL 1.4 STD</t>
  </si>
  <si>
    <t>JG. METAL AXIAL KIA STD</t>
  </si>
  <si>
    <t>JG. METAL AXIAL LUV 3. 2.8 STD</t>
  </si>
  <si>
    <t>JG. METAL AXIAL NISSAN 0.25</t>
  </si>
  <si>
    <t>JMTAXTRR</t>
  </si>
  <si>
    <t>JG. METAL AXIAL NS. TERRANO 2.5</t>
  </si>
  <si>
    <t>JG. METAL AXIAL SUZUKI BALENO 1.6</t>
  </si>
  <si>
    <t>JG. METAL AXIAL SUZUKI M13 M16 STD TAIHO</t>
  </si>
  <si>
    <t>JG. METAL AXIAL TOYOTA DYNA 0.25</t>
  </si>
  <si>
    <t>JG. METAL AXIAL TOYOTA RAV 4 STD</t>
  </si>
  <si>
    <t>JG. METAL AXIAL TOYOTA STD</t>
  </si>
  <si>
    <t>JG. METAL BANC. CHEV. CORSA 0.50</t>
  </si>
  <si>
    <t>JG. METAL BANC. CHEV. AVEO CORSA 0.50</t>
  </si>
  <si>
    <t>JG. METAL BANC. CHEV. CORSA DW. STD KING</t>
  </si>
  <si>
    <t>MTBANDMAX</t>
  </si>
  <si>
    <t>JG. METAL BANC. CHEV. DMAX</t>
  </si>
  <si>
    <t>JG. METAL BANC. CHEV. LUV 2.2 KING</t>
  </si>
  <si>
    <t>JG. METAL BANC. CHEV. LUV 2.2 0.50</t>
  </si>
  <si>
    <t>mb5559am075</t>
  </si>
  <si>
    <t>MB5559AM075</t>
  </si>
  <si>
    <t>JG. METAL BANC. CHEV. LUV 2.3 0.75</t>
  </si>
  <si>
    <t>JG. METAL BANC. CHEV. LUV 2.8 3.0 STD</t>
  </si>
  <si>
    <t>JG. METAL BANC. CHEV. LUV 89/ 0.25 KING</t>
  </si>
  <si>
    <t>JG. METAL BANC. CHEV. LUV 89/ 0.50</t>
  </si>
  <si>
    <t>JG. METAL BANC. HY. 2.0 2.4 0.50</t>
  </si>
  <si>
    <t>JG. METAL BANC. HY. H100 2.5 0.25</t>
  </si>
  <si>
    <t>H100370</t>
  </si>
  <si>
    <t>JG. METAL BANC. HY. H100 2.5 STD</t>
  </si>
  <si>
    <t>JG. METAL BANC. LUV 2.0 G200 0.50</t>
  </si>
  <si>
    <t>JG. METAL BANC. MAZDA ARTIS STD</t>
  </si>
  <si>
    <t>JG. METAL BANC. NS. TERRANO 2.5 STD TOTO</t>
  </si>
  <si>
    <t>JG. METAL BANC. NS. TERRNO 2.5 STD</t>
  </si>
  <si>
    <t>JG. METAL BANC. NS. V16 E16 0.50</t>
  </si>
  <si>
    <t>JG. METAL BANC. NS. V16 GA16 0.25</t>
  </si>
  <si>
    <t>JG. METAL BANC. NS. V16 GA16 0.50</t>
  </si>
  <si>
    <t>JG. METAL BANC. NS. V16 SUNNY STD TAIHO</t>
  </si>
  <si>
    <t>JG. METAL BANC. SUZUKI 1.0 1.3 STD</t>
  </si>
  <si>
    <t>JG. METAL BANC. TY. HILUX 1RZ STD</t>
  </si>
  <si>
    <t>JG. METAL BANC. TY. TERCEL 5E STD TAIHO</t>
  </si>
  <si>
    <t>JG. METAL BANC. TY. YARIS STD</t>
  </si>
  <si>
    <t>JG. METAL BANC. VHEV. LUV 2.3 0.25 KING</t>
  </si>
  <si>
    <t>JG. METAL BANCADA HYUNDAI STD</t>
  </si>
  <si>
    <t>JG. METAL BANCADA NS V16 SUNNY</t>
  </si>
  <si>
    <t>JG. METAL BANCADA 0.50SZ VITARA</t>
  </si>
  <si>
    <t>JG. METAL BANCADA CHEV 250 STD</t>
  </si>
  <si>
    <t>JG. METAL BANCADA CHEV CORSA / DW STD</t>
  </si>
  <si>
    <t>JG. METAL BANCADA CHEV CORSA AVEO STD TOTO</t>
  </si>
  <si>
    <t>JG. METAL BANCADA CHEV LUV</t>
  </si>
  <si>
    <t>JG. METAL BANCADA CHEV LUV 0.75</t>
  </si>
  <si>
    <t>JG. METAL BANCADA CHEV LUV 2.2</t>
  </si>
  <si>
    <t>JG. METAL BANCADA CHEV LUV 2.2 0.50</t>
  </si>
  <si>
    <t>MBS5179.100</t>
  </si>
  <si>
    <t>JG. METAL BANCADA CHEV LUV 2.2 1MM</t>
  </si>
  <si>
    <t>JG. METAL BANCADA CHEV LUV 2.3 0.25</t>
  </si>
  <si>
    <t>JG. METAL BANCADA CHEV. CORSA AVEO OPTRA DW. STD</t>
  </si>
  <si>
    <t>JG. METAL BANCADA CHEV. LUV STD. KING</t>
  </si>
  <si>
    <t>JG. METAL BANCADA CHEV. SAIL 1.4 STD</t>
  </si>
  <si>
    <t>JGMTBARANGER-3.2</t>
  </si>
  <si>
    <t>JG. METAL BANCADA FORD RANGER 3.2</t>
  </si>
  <si>
    <t>JG. METAL BANCADA KIA 2.4 STD</t>
  </si>
  <si>
    <t>JG. METAL BANCADA MAZDA B6</t>
  </si>
  <si>
    <t>JG. METAL BANCADA MITSUBISHI L200 STD</t>
  </si>
  <si>
    <t>0P00203</t>
  </si>
  <si>
    <t>JG. METAL BANCADA NS PRIMERA 0.25</t>
  </si>
  <si>
    <t>JG. METAL BANCADA NS TERRANO 2.5</t>
  </si>
  <si>
    <t>JG. METAL BANCADA NS TIIDA / SM3 STD</t>
  </si>
  <si>
    <t>JG. METAL BANCADA NS. J18 STD TAIHO</t>
  </si>
  <si>
    <t>JG. METAL BANCADA NS. V16 GA16 STD</t>
  </si>
  <si>
    <t>JG. METAL BANCADA STD DAEWOO</t>
  </si>
  <si>
    <t>JG. METAL BANCADA STD HYUNDAI SANTAMO</t>
  </si>
  <si>
    <t>JG. METAL BANCADA STD MAZDA B2600</t>
  </si>
  <si>
    <t>JG. METAL BANCADA std nissan d21 k24</t>
  </si>
  <si>
    <t>JG. METAL BANCADA STD TY. YARIS</t>
  </si>
  <si>
    <t>SU20113</t>
  </si>
  <si>
    <t>JG. METAL BANCADA SUBARU 1.8 2.2 2.5 STD</t>
  </si>
  <si>
    <t>JG. METAL BANCADA SZ APV / AERIO 1.6 STD</t>
  </si>
  <si>
    <t>JG. METAL BANCADA TY HILUX 2.4 0.25</t>
  </si>
  <si>
    <t>JG. METAL BIELA .50 SZ VITARA</t>
  </si>
  <si>
    <t>JG. METAL BIELA NISSAN Z20 / Z24</t>
  </si>
  <si>
    <t>JG. METAL BIELA TOYOTA 2E 0.75</t>
  </si>
  <si>
    <t>JG. METAL BIELA 0.25 CHEV LUV 2.3</t>
  </si>
  <si>
    <t>JG. METAL BIELA 0.25 CHEV. 0.25 TAIHO</t>
  </si>
  <si>
    <t>JG. METAL BIELA 0.25 HY. H100 2.5</t>
  </si>
  <si>
    <t>JG. METAL BIELA AVEO / DW STD</t>
  </si>
  <si>
    <t>JG. METAL BIELA CHEV D-MAX / LUV 1MM</t>
  </si>
  <si>
    <t>JG. METAL BIELA CHEV LUV 0,50</t>
  </si>
  <si>
    <t>JG. METAL BIELA CHEV LUV 0.75</t>
  </si>
  <si>
    <t>JG. METAL BIELA CHEV LUV 2.2 0,25</t>
  </si>
  <si>
    <t>JG. METAL BIELA CHEV LUV 2.2 STD</t>
  </si>
  <si>
    <t>JG. METAL BIELA CHEV. AVEO CORSA 0.50</t>
  </si>
  <si>
    <t>JG. METAL BIELA CHEV. CORSA 1.6 STD KING</t>
  </si>
  <si>
    <t>JG. METAL BIELA CHEV. LUV 025</t>
  </si>
  <si>
    <t>JG. METAL BIELA CHEV. LUV 2.2 0.25</t>
  </si>
  <si>
    <t>JG. METAL BIELA CHEV. LUV 2.3 0.25</t>
  </si>
  <si>
    <t>JG. METAL BIELA CHEV. LUV 2.3 STD</t>
  </si>
  <si>
    <t>JG. METAL BIELA CHEV. LUV 89/ 0.50</t>
  </si>
  <si>
    <t>JG. METAL BIELA CHEV. SAIL 1.4 STD</t>
  </si>
  <si>
    <t>JG. METAL BIELA CHEVROLET 0.75</t>
  </si>
  <si>
    <t>JG. METAL BIELA CORSA AVEO OPTRA DW STD</t>
  </si>
  <si>
    <t>JG. METAL BIELA DAKOTA STD</t>
  </si>
  <si>
    <t>JG. METAL BIELA DH. 1.3 1.6 0.25 KING</t>
  </si>
  <si>
    <t>JG. METAL BIELA DOGGE STD</t>
  </si>
  <si>
    <t>CR457S10.S</t>
  </si>
  <si>
    <t>CR4507S10.S</t>
  </si>
  <si>
    <t>JG. METAL BIELA F0RD RANGER 2.3 STD</t>
  </si>
  <si>
    <t>JGMTBIRANGER</t>
  </si>
  <si>
    <t>JG. METAL BIELA FORD RANGER 3.2</t>
  </si>
  <si>
    <t>JG. METAL BIELA HY H100 2.4</t>
  </si>
  <si>
    <t>JG. METAL BIELA HY. 2.0 2.4 0.25</t>
  </si>
  <si>
    <t>JG. METAL BIELA HY. ACCENT G4EH G4EK G4EC</t>
  </si>
  <si>
    <t>JG. METAL BIELA HY. H100 2.4</t>
  </si>
  <si>
    <t>JG. METAL BIELA HY. H100 2.5 0.25</t>
  </si>
  <si>
    <t>JG. METAL BIELA HYUNDAI - MITSUBISHI 0.50</t>
  </si>
  <si>
    <t>JG. METAL BIELA KIA BESTA</t>
  </si>
  <si>
    <t>JG. METAL BIELA MITS. L200 2.5 16V. NDC</t>
  </si>
  <si>
    <t>JG. METAL BIELA MITSUBISHI V6 6G72 STD</t>
  </si>
  <si>
    <t>JG. METAL BIELA MITSUBISHI - HYUNDAI 1.3 1.5 STD</t>
  </si>
  <si>
    <t>CB1131A</t>
  </si>
  <si>
    <t>JG. METAL BIELA MITSUBISHI 4G52 0.75</t>
  </si>
  <si>
    <t>JG. METAL BIELA MONZA / LUV 2.2 0.50</t>
  </si>
  <si>
    <t>JG. METAL BIELA MONZA 1,8 0,50</t>
  </si>
  <si>
    <t>JG. METAL BIELA MZ. 323 1.6 KIA 0.50</t>
  </si>
  <si>
    <t>JG. METAL BIELA NISSAN V16 / SUNNY 0.25</t>
  </si>
  <si>
    <t>JG. METAL BIELA NISSAN 0.50</t>
  </si>
  <si>
    <t>JG. METAL BIELA NISSAN 150 Y 1.5 A15 STD</t>
  </si>
  <si>
    <t>JG. METAL BIELA NISSAN CA20 STD</t>
  </si>
  <si>
    <t>JG. METAL BIELA NISSAN D21 STD</t>
  </si>
  <si>
    <t>JG. METAL BIELA NISSAN GA13</t>
  </si>
  <si>
    <t>JG. METAL BIELA NISSAN KA24E 0.50</t>
  </si>
  <si>
    <t>JG. METAL BIELA NISSAN L-18 LD-20 LD-28 Z20 Z24 STD</t>
  </si>
  <si>
    <t>JG. METAL BIELA NISSAN L13</t>
  </si>
  <si>
    <t>JG. METAL BIELA NS V16 GA16</t>
  </si>
  <si>
    <t>JG. METAL BIELA NS Z20 Z24 L16 0.25</t>
  </si>
  <si>
    <t>JG. METAL BIELA NS. D21 0.25</t>
  </si>
  <si>
    <t>JG. METAL BIELA NS. D21 KA24 0.25</t>
  </si>
  <si>
    <t>JG. METAL BIELA NS. D21 KA24 STD TAIHO</t>
  </si>
  <si>
    <t>JG. METAL BIELA NS. L18 STD</t>
  </si>
  <si>
    <t>JG. METAL BIELA NS. TERRANO 2.5 0.25</t>
  </si>
  <si>
    <t>JG. METAL BIELA NS. TERRANO 2.5 NAVARA 0.75</t>
  </si>
  <si>
    <t>JG. METAL BIELA NS. V16 0-25</t>
  </si>
  <si>
    <t>JG. METAL BIELA NS. V16 E16 GA16 0.50</t>
  </si>
  <si>
    <t>JG. METAL BIELA NS. V16 E16 0.50</t>
  </si>
  <si>
    <t>JG. METAL BIELA NS. V16 GA16 0.50</t>
  </si>
  <si>
    <t>SU20073</t>
  </si>
  <si>
    <t>JG. METAL BIELA STD CHEV LUV 2.3 TOTO</t>
  </si>
  <si>
    <t>JG. METAL BIELA STD DAEWOO</t>
  </si>
  <si>
    <t>JG. METAL BIELA STD MAZDA</t>
  </si>
  <si>
    <t>JG. METAL BIELA STD TY YARIS</t>
  </si>
  <si>
    <t>SU20083</t>
  </si>
  <si>
    <t>JG. METAL BIELA SUBARU 1.8 2.2 STD</t>
  </si>
  <si>
    <t>JG. METAL BIELA SUZUKI 1.6 STD</t>
  </si>
  <si>
    <t>JG. METAL BIELA SUZUKI F8A 0.75MM</t>
  </si>
  <si>
    <t>JG. METAL BIELA SUZUKI STD</t>
  </si>
  <si>
    <t>JG. METAL BIELA TOYOTA 0.25</t>
  </si>
  <si>
    <t>JG. METAL BIELA TOYOTA 1AZFE 2AZ</t>
  </si>
  <si>
    <t>JG. METAL BIELA TOYOTA 3SFE / 5SFE</t>
  </si>
  <si>
    <t>JG. METAL BIELA TOYOTA HILUX 0.25</t>
  </si>
  <si>
    <t>JG. METAL BIELA TOYOTA HILUX 0.50</t>
  </si>
  <si>
    <t>JG. METAL BIELA TOYOTA HILUX. Y STD</t>
  </si>
  <si>
    <t>JG. METAL BIELA TOYOTA ST150/ST170</t>
  </si>
  <si>
    <t>JG. METAL BIELA TY DYNA STD</t>
  </si>
  <si>
    <t>JG. METAL BIELA TY HILUX</t>
  </si>
  <si>
    <t>JG. METAL BIELA TY TERCEL 5E STD TAIHO</t>
  </si>
  <si>
    <t>JG. METAL BIELA TY. LAND CRUISIER F 2F STD</t>
  </si>
  <si>
    <t>JG. METAL CHEV. V8 5.3 0.25</t>
  </si>
  <si>
    <t>mttucs</t>
  </si>
  <si>
    <t>JG. METAL hy tucson</t>
  </si>
  <si>
    <t>JG. METAL NISSAN D21 KA24E STD</t>
  </si>
  <si>
    <t>JG. METAL SUZ. CARRY</t>
  </si>
  <si>
    <t>JG. METAL TOYOTA DINA 3.4</t>
  </si>
  <si>
    <t>JG. PATIN FRENO ACCENT</t>
  </si>
  <si>
    <t>P449F</t>
  </si>
  <si>
    <t>JG. PATIN FRENO CHEV. APACHE S-10</t>
  </si>
  <si>
    <t>K961</t>
  </si>
  <si>
    <t>JG. PATIN FRENO CHEV. AVEO SAIL 1.4</t>
  </si>
  <si>
    <t>JG. PATIN FRENO CHEV. AVEO SPARK GT MANDO</t>
  </si>
  <si>
    <t>JG. PATIN FRENO CHEV. LU 2.3 2.2 STP</t>
  </si>
  <si>
    <t>JG. PATIN FRENO CHEV. SAIL 1.4 1.5 AVEO SPARK GT</t>
  </si>
  <si>
    <t>JG. PATIN FRENO HY. ACCENT 06/11 STP</t>
  </si>
  <si>
    <t>JG. PATIN FRENO HY. ACCENT RB 11/</t>
  </si>
  <si>
    <t>JG. PATIN FRENO NISSAN V16</t>
  </si>
  <si>
    <t>K1174</t>
  </si>
  <si>
    <t>JG. PATIN FRENO NS. D21</t>
  </si>
  <si>
    <t>k1162</t>
  </si>
  <si>
    <t>K1162</t>
  </si>
  <si>
    <t>JG. PATIN FRENO NS. J18</t>
  </si>
  <si>
    <t>JG. PATIN FRENO NS. TERRANO</t>
  </si>
  <si>
    <t>DW-5924</t>
  </si>
  <si>
    <t>K919LP</t>
  </si>
  <si>
    <t>JG. PATIN FRENO NS. TIIDA DODGE</t>
  </si>
  <si>
    <t>JG. PATIN FRENO NS. TIIDA WURTEX</t>
  </si>
  <si>
    <t>JG. PATIN FRENO NS. V16 ATSUKI</t>
  </si>
  <si>
    <t>JG. PATIN FRENO NS. VERSA</t>
  </si>
  <si>
    <t>JG. PATIN FRENO SM3</t>
  </si>
  <si>
    <t>JG. PATIN FRENO SS. SM3</t>
  </si>
  <si>
    <t>JGPATY</t>
  </si>
  <si>
    <t>JG. PATIN FRENO TY. HILUX</t>
  </si>
  <si>
    <t>JG. PATIN FRENO TY. YARIS 06-13</t>
  </si>
  <si>
    <t>JG. PATIN FRENO TY. YARIS 06-14</t>
  </si>
  <si>
    <t>JG. PATIN FRENO TY. YARIS 06/11 STP</t>
  </si>
  <si>
    <t>K1070LP</t>
  </si>
  <si>
    <t>JG. PATIN FRENO TY. YARIS 18/</t>
  </si>
  <si>
    <t>JG. PATIN GRAN NOMADE</t>
  </si>
  <si>
    <t>JG. PATIN HY. ACCENT RB ELANTRA 11/</t>
  </si>
  <si>
    <t>K2635</t>
  </si>
  <si>
    <t>JG. PATIN HYUNDAI / DAEWOO</t>
  </si>
  <si>
    <t>JG. PATIN HYUNDAI TERRACAN</t>
  </si>
  <si>
    <t>K4452FR</t>
  </si>
  <si>
    <t>JG. PATIN JG. PATIN FRENO CHEV LUV</t>
  </si>
  <si>
    <t>JG. PATIN NISSAN NAVARA</t>
  </si>
  <si>
    <t>K1158</t>
  </si>
  <si>
    <t>JG. PATIN NS. L18 J16</t>
  </si>
  <si>
    <t>FEDT457013</t>
  </si>
  <si>
    <t>JG. PATIN NS. TIIDA</t>
  </si>
  <si>
    <t>JG. PATIN NS. TIIDA STP</t>
  </si>
  <si>
    <t>FEDT237023</t>
  </si>
  <si>
    <t>FEDT237013</t>
  </si>
  <si>
    <t>JG. PATIN NS. V16</t>
  </si>
  <si>
    <t>K200650</t>
  </si>
  <si>
    <t>JG. PATIN TRAS FRONTIER</t>
  </si>
  <si>
    <t>JG. PATIN TRAS. NS. V16 DIFORZA</t>
  </si>
  <si>
    <t>P1582FR</t>
  </si>
  <si>
    <t>JG. PATIN TY. HILUX KUN</t>
  </si>
  <si>
    <t>TY50410</t>
  </si>
  <si>
    <t>JG. PATIN TY. NEW YARIS 06/13</t>
  </si>
  <si>
    <t>JG. PATIN TY. YARIS 06/15</t>
  </si>
  <si>
    <t>JG. PISTON CHEV. CORSA 1.6 0.50</t>
  </si>
  <si>
    <t>JG. PISTON CHEV. CORSA 1.6 8V. 0.50</t>
  </si>
  <si>
    <t>JG. PISTON CHEV. CRUZE 1.8 STD</t>
  </si>
  <si>
    <t>JG. PISTON CHEV. DMAX 2.5 STD 4JK1 95.4X2X1.5X3 TOTO</t>
  </si>
  <si>
    <t>JG. PISTON CHEV. LUV 1.6 0.50</t>
  </si>
  <si>
    <t>JG. PISTON CHEV. LUV 1.6 4ZA1 0.50</t>
  </si>
  <si>
    <t>JG. PISTON CHEV. LUV 2.2</t>
  </si>
  <si>
    <t>JG. PISTON CHEV. LUV 2.2 0.50</t>
  </si>
  <si>
    <t>JG. PISTON CHEV. LUV 2.3 0.50 TEIKIN</t>
  </si>
  <si>
    <t>JG. PISTON CHEV. LUV 2.3 0.50 TIK</t>
  </si>
  <si>
    <t>JG. PISTON CHEV. LUV 2.3 0.50</t>
  </si>
  <si>
    <t>L110430</t>
  </si>
  <si>
    <t>JG. PISTON CHEV. LUV 2.3 0.50 TOTO</t>
  </si>
  <si>
    <t>JG. PISTON CHEV. LUV 2.3 0.75</t>
  </si>
  <si>
    <t>JG. PISTON CHEV. LUV 2.3 1 MM</t>
  </si>
  <si>
    <t>JG. PISTON CHEV. LUV 2.3 4ZD1 STD</t>
  </si>
  <si>
    <t>JG. PISTON CORSA 1.8 MONTANA 0.50</t>
  </si>
  <si>
    <t>JG. PISTON DAIHATSU 0.50</t>
  </si>
  <si>
    <t>JG. PISTON DAIHATSU STD 76MM</t>
  </si>
  <si>
    <t>PISTRANGER</t>
  </si>
  <si>
    <t>JG. PISTON FORD RANGER 3.2</t>
  </si>
  <si>
    <t>h700579</t>
  </si>
  <si>
    <t>JG. PISTON HY. MATRIX SPORTAGE 82MM 0.50</t>
  </si>
  <si>
    <t>JG. PISTON HYUNDAI</t>
  </si>
  <si>
    <t>H700410</t>
  </si>
  <si>
    <t>JG. PISTON HYUNDAI STD</t>
  </si>
  <si>
    <t>G161Z</t>
  </si>
  <si>
    <t>JG. PISTON ISUZU 0.75MM</t>
  </si>
  <si>
    <t>L310185</t>
  </si>
  <si>
    <t>JG. PISTON ISUZU 4JB1 STD</t>
  </si>
  <si>
    <t>K400280</t>
  </si>
  <si>
    <t>JG. PISTON KIA 2.7 97/ 94.5X2X2X3 STD</t>
  </si>
  <si>
    <t>JG. PISTON KIA BESTA 2.2 0.50 86X2X2X4 17-5-4 TOTO</t>
  </si>
  <si>
    <t>JG. PISTON KIA SPORTAGE 2.2 0.50 86MM</t>
  </si>
  <si>
    <t>JG. PISTON LUV 2.2 STD TIK</t>
  </si>
  <si>
    <t>JG. PISTON MAZDA ARTIS 0.50</t>
  </si>
  <si>
    <t>JG. PISTON MITS. L200 2.4 4G64 STD 86.5MM</t>
  </si>
  <si>
    <t>JG. PISTON MITS. L200 2.5 4D56 STD 91.1MM</t>
  </si>
  <si>
    <t>JG. PISTON MITS. L200 STD 91.1MM</t>
  </si>
  <si>
    <t>JG. PISTON MITS. LANCER 1.3 4G13 71MM</t>
  </si>
  <si>
    <t>0P00295</t>
  </si>
  <si>
    <t>JG. PISTON NISSAN - SAMSUNG STD</t>
  </si>
  <si>
    <t>JG. PISTON NISSAN 2.4 KA24DE 0.75</t>
  </si>
  <si>
    <t>JG. PISTON NISSAN D21 89MM STD</t>
  </si>
  <si>
    <t>JG. PISTON NS V16 SUNNY 76MM</t>
  </si>
  <si>
    <t>JG. PISTON NS TERRANO STD 96MM</t>
  </si>
  <si>
    <t>JG. PISTON NS V16 GA16 0.75</t>
  </si>
  <si>
    <t>JG. PISTON NS V16 SUNNY 0.50</t>
  </si>
  <si>
    <t>JG. PISTON NS. D21 0.50 TOTO</t>
  </si>
  <si>
    <t>JG. PISTON NS. D21 KA24 0.75 TOTO</t>
  </si>
  <si>
    <t>JG. PISTON NS. D21 KA24 0.50</t>
  </si>
  <si>
    <t>JG. PISTON NS. D21 KA24 0.50 TIK</t>
  </si>
  <si>
    <t>JG. PISTON NS. V16 GA16 0.50 TIK</t>
  </si>
  <si>
    <t>JG. PISTON NS. V16 GA16 0.50 TEIKIN</t>
  </si>
  <si>
    <t>JG. PISTON NS. V16 GA16 0.50 76mm</t>
  </si>
  <si>
    <t>JG. PISTON NS. V16 T.ROJA 0.50</t>
  </si>
  <si>
    <t>JG. PISTON SUBARU EA82 0.50</t>
  </si>
  <si>
    <t>Z400138</t>
  </si>
  <si>
    <t>JG. PISTON SUZUKI G16 0.50</t>
  </si>
  <si>
    <t>JG. PISTON SUZUKI ST-90 0.50</t>
  </si>
  <si>
    <t>JG. PISTON SUZUKI VITARA 1.6 95</t>
  </si>
  <si>
    <t>JG. PISTON SZ CARRY 0.50 65.5MM</t>
  </si>
  <si>
    <t>JG. PISTON TY CORONA 1.8 3T</t>
  </si>
  <si>
    <t>JG. PISTON TY. DYNA 102 STD</t>
  </si>
  <si>
    <t>JG. PISTON TY. TERCEL 5E 96/ 74mm 0.50</t>
  </si>
  <si>
    <t>TY40260</t>
  </si>
  <si>
    <t>JG. PISTON TY. YARIS 0.50</t>
  </si>
  <si>
    <t>JG. PISTON Y ANILLO NS. TERRANO 2.5 0.50</t>
  </si>
  <si>
    <t>JG. PISTON CHEV. DMAX</t>
  </si>
  <si>
    <t>JG. VALV. ADM, HYUNDAI H-100BD4BB</t>
  </si>
  <si>
    <t>JG. VALV. ADM. CHEV CORSA</t>
  </si>
  <si>
    <t>JG. VALV. ADM. CHEV CORSA 16V</t>
  </si>
  <si>
    <t>JG. VALV. ADM. CHEV LUV 1.6 G161Z</t>
  </si>
  <si>
    <t>JG. VALV. ADM. CHEV LUV 2.2</t>
  </si>
  <si>
    <t>L111995</t>
  </si>
  <si>
    <t>JG. VALV. ADM. CHEV LUV 2.3</t>
  </si>
  <si>
    <t>JG. VALV. ADM. CHEV MONZA</t>
  </si>
  <si>
    <t>JG. VALV. ADM. CHEV. LUV 2.2</t>
  </si>
  <si>
    <t>JG. VALV. ADM. CHEVROLET 109 X8 X44</t>
  </si>
  <si>
    <t>JG. VALV. ADM. CHICA TY TERCEL 5E</t>
  </si>
  <si>
    <t>JG. VALV. ADM. DAEWOO</t>
  </si>
  <si>
    <t>JG. VALV. ADM. DAEWOO RACER</t>
  </si>
  <si>
    <t>JG. VALV. ADM. DAIHATSU</t>
  </si>
  <si>
    <t>JG. VALV. ADM. DAIHATSU CUORE</t>
  </si>
  <si>
    <t>JG. VALV. ADM. GRANDE TY TERCEL 5E</t>
  </si>
  <si>
    <t>JG. VALV. ADM. HONDA CIVIC</t>
  </si>
  <si>
    <t>JG. VALV. ADM. HY ELANTRA 2 LEVA 96/</t>
  </si>
  <si>
    <t>JG. VALV. ADM. HY SANTAMO / MITSUBISHI 2.0</t>
  </si>
  <si>
    <t>JG. VALV. ADM. HYUNDAI H-100</t>
  </si>
  <si>
    <t>JG. VALV. ADM. KIA BESTA 2.2</t>
  </si>
  <si>
    <t>JG. VALV. ADM. MITS. L200 2.5 07/ 31.5X6X107,6 4u.</t>
  </si>
  <si>
    <t>MD050100</t>
  </si>
  <si>
    <t>JG. VALV. ADM. MITS. L200 DIESEL 136.6X8X40</t>
  </si>
  <si>
    <t>MD50125</t>
  </si>
  <si>
    <t>JG. VALV. ADM. MITS. MONTERO 3.5</t>
  </si>
  <si>
    <t>JG. VALV. ADM. NISSAN SUNNY</t>
  </si>
  <si>
    <t>JG. VALV. ADM. NISSAN CTAS 2.2</t>
  </si>
  <si>
    <t>JG. VALV. ADM. NISSAN V16 E16</t>
  </si>
  <si>
    <t>JG. VALV. ADM. NISSAN Z20</t>
  </si>
  <si>
    <t>JG. VALV. ADM. NS D21 KA24</t>
  </si>
  <si>
    <t>JG. VALV. ADM. NS D21 KA24 2.4</t>
  </si>
  <si>
    <t>JG. VALV. ADM. NS TERRANO 2.4 BENC</t>
  </si>
  <si>
    <t>JG. VALV. ADM. NS TERRANO D22 KA24E</t>
  </si>
  <si>
    <t>JG. VALV. ADM. NS V16 / SENTRA E16</t>
  </si>
  <si>
    <t>JG. VALV. ADM. PEUGEOT</t>
  </si>
  <si>
    <t>K500535</t>
  </si>
  <si>
    <t>JG. VALV. ADM. POP/PRIDE</t>
  </si>
  <si>
    <t>JG. VALV. ADM. SZ SWIFT</t>
  </si>
  <si>
    <t>JG. VALV. ADM. TICO DAMA</t>
  </si>
  <si>
    <t>JG. VALV. ADM. TOYOTA 22R</t>
  </si>
  <si>
    <t>TY31915</t>
  </si>
  <si>
    <t>JG. VALV. ADM. TOYOTA 2RZ</t>
  </si>
  <si>
    <t>JG. VALV. ADM. TY HILUX</t>
  </si>
  <si>
    <t>TY40925</t>
  </si>
  <si>
    <t>JG. VALV. ADM. TY TERCEL</t>
  </si>
  <si>
    <t>JG. VALV. ADMISION 30X6.6X112.6 DAIHATSU</t>
  </si>
  <si>
    <t>JG. VALV. ADMISION 42.5 X 8 1 TOYOTA</t>
  </si>
  <si>
    <t>JG. VALV. ADMISION LUV 2.3</t>
  </si>
  <si>
    <t>JG. VALV. CHEV LUV 1.6</t>
  </si>
  <si>
    <t>JG. VALV. CHEV LUV 2.2 ESC. 36.5X7X103.5 (4)</t>
  </si>
  <si>
    <t>JG. VALV. CHEV. AVEO (8) ADM.</t>
  </si>
  <si>
    <t>JG. VALV. CHEV. AVEO (8) ESC.</t>
  </si>
  <si>
    <t>JG. VALV. CHEV. CORSA DW. ADM. 38X7X101.6</t>
  </si>
  <si>
    <t>JG. VALV. CHEV. CORSA DW. ESC. 31X7X101.5</t>
  </si>
  <si>
    <t>JG. VALV. CHEV. LUV 2.2 ADM. (4) 41.8X7X103.8</t>
  </si>
  <si>
    <t>JG. VALV. CHEV. LUV 2.2 ESC 3B</t>
  </si>
  <si>
    <t>JG. VALV. CHEV. LUV 2.3 ADM.</t>
  </si>
  <si>
    <t>JG. VALV. CHEV. LUV 2.3 ESC.</t>
  </si>
  <si>
    <t>JG. VALV. CHEV. LUV 2.3 ESCAPE</t>
  </si>
  <si>
    <t>JG. VALV. CHEV. SPARK 800 1.0 ADM. 35.6X5.5X110.5</t>
  </si>
  <si>
    <t>JG. VALV. CHICA TY TERCEL</t>
  </si>
  <si>
    <t>JG. VALV. CHICA. TY TERCEL</t>
  </si>
  <si>
    <t>JG. VALV. DAEWOO ESCAPE 26x6x102</t>
  </si>
  <si>
    <t>JG. VALV. ESC. CAVALIER S10</t>
  </si>
  <si>
    <t>JG. VALV. ESC. CHEV CORSA</t>
  </si>
  <si>
    <t>JG. VALV. ESC. CHEV CORSA 1.4</t>
  </si>
  <si>
    <t>JG. VALV. ESC. CHEV LUV 2.2</t>
  </si>
  <si>
    <t>JG. VALV. ESC. DAEWOO</t>
  </si>
  <si>
    <t>JG. VALV. ESC. HONDA ACCORD 27X5.5X123</t>
  </si>
  <si>
    <t>JG. VALV. ESC. HY ACCENT 32X6X98.5</t>
  </si>
  <si>
    <t>JG. VALV. ESC. HY H100 2.5 34X8X136.6</t>
  </si>
  <si>
    <t>JG. VALV. ESC. HY SANTAMO 8V</t>
  </si>
  <si>
    <t>JG. VALV. ESC. HYUNDAI 36X136X8</t>
  </si>
  <si>
    <t>JG. VALV. ESC. ISUZU 1.6 37X8X108</t>
  </si>
  <si>
    <t>JG. VALV. ESC. KIA MORNING 23.6X5.5X100.5</t>
  </si>
  <si>
    <t>JG. VALV. ESC. MAZDA B2500</t>
  </si>
  <si>
    <t>MD50135</t>
  </si>
  <si>
    <t>JG. VALV. ESC. MIT MONTERO</t>
  </si>
  <si>
    <t>MD000481</t>
  </si>
  <si>
    <t>JG. VALV. ESC. MITSUBISHI 1.6</t>
  </si>
  <si>
    <t>MDA0125</t>
  </si>
  <si>
    <t>JG. VALV. ESC. MZ ARTIS</t>
  </si>
  <si>
    <t>JG. VALV. ESC. NISSAN V16 E16</t>
  </si>
  <si>
    <t>JG. VALV. ESC. NISSSAN Z24 125.2X8X38</t>
  </si>
  <si>
    <t>JG. VALV. ESC. NS D21 KA24E 31.4X7X99.9</t>
  </si>
  <si>
    <t>JG. VALV. ESC. NS D21 Z20</t>
  </si>
  <si>
    <t>JG. VALV. ESC. NS TERRANO 35X178.5</t>
  </si>
  <si>
    <t>JG. VALV. ESC. PEUGEOT</t>
  </si>
  <si>
    <t>GIEFFE</t>
  </si>
  <si>
    <t>JG. VALV. ESC. SUBARU LEGACY</t>
  </si>
  <si>
    <t>Z200045</t>
  </si>
  <si>
    <t>JG. VALV. ESC. SZ SAMURAI</t>
  </si>
  <si>
    <t>JG. VALV. ESC. SZ. GRAN NOMADE 2.0 2.7 H27 J20 28X6X93 UBIC. 11-1-6</t>
  </si>
  <si>
    <t>JG. VALV. ESC. TERCEL 5E</t>
  </si>
  <si>
    <t>JG. VALV. ESC. TICO / DAMA</t>
  </si>
  <si>
    <t>TY31925</t>
  </si>
  <si>
    <t>JG. VALV. ESC. TOYOTA 2RZ</t>
  </si>
  <si>
    <t>JG. VALV. ESC. TY COROLA</t>
  </si>
  <si>
    <t>JG. VALV. ESC. TY TERCEL 1.5</t>
  </si>
  <si>
    <t>TY10385</t>
  </si>
  <si>
    <t>JG. VALV. ESC. TY TERCEL 2E</t>
  </si>
  <si>
    <t>TY10305</t>
  </si>
  <si>
    <t>JG. VALV. ESC. TY TERCEL 5E</t>
  </si>
  <si>
    <t>JG. VALV. ESCAPE 26X6.6X114.8 DAIHATSU</t>
  </si>
  <si>
    <t>JG. VALV. ESCAPE 27.2X6X101.3 CHEV AVEO</t>
  </si>
  <si>
    <t>JG. VALV. ESCAPE 36 X 8 TOYOTA</t>
  </si>
  <si>
    <t>JG. VALV. KIA CLARUS ADM. 98/</t>
  </si>
  <si>
    <t>JG. VALV. MAZDA BT50</t>
  </si>
  <si>
    <t>JG. VALV. NISSAN V16 GA16</t>
  </si>
  <si>
    <t>JG. VALV. NS TERRANO</t>
  </si>
  <si>
    <t>JG. VALV. NS. D21 KA24 FMX</t>
  </si>
  <si>
    <t>JG. VALV. NS. V16 ESC. JP.</t>
  </si>
  <si>
    <t>JG. VALV. NS. V16 GA16 ADM.</t>
  </si>
  <si>
    <t>JG. VALV. NS. V16 GA16 ADM. FMX</t>
  </si>
  <si>
    <t>JG. VALV. NS. V16 GA16 ADM. JP.</t>
  </si>
  <si>
    <t>JG. VALV. NS. V16 GA16 ADMISION BEN</t>
  </si>
  <si>
    <t>JG. VALV. NS. V16 GA16 ESC. FMX ( 4 )</t>
  </si>
  <si>
    <t>JG. VALV. NS. V16 GA16 ESCAPE</t>
  </si>
  <si>
    <t>JG. VALV. toyota rav 4</t>
  </si>
  <si>
    <t>JG. VALV. TY. DINA 15B ESC.</t>
  </si>
  <si>
    <t>VALVULAS-ADM.-FRONTIER</t>
  </si>
  <si>
    <t>JGO VALVULAS ADM. FRONTIER</t>
  </si>
  <si>
    <t>JGO. ANILLO 0,25 KIA RIO 5</t>
  </si>
  <si>
    <t>JGO. ANILLO STD MAZDA B2600</t>
  </si>
  <si>
    <t>JGO. CABLE BUJIA SUZUKI VITARA</t>
  </si>
  <si>
    <t>JGO. EMP. CHEV. LUV 2.3</t>
  </si>
  <si>
    <t>JGO. EMP. MOTOR ACCENT RB KIA RIO 5</t>
  </si>
  <si>
    <t>JGO. EMP. MOTOR CHEV AVEO 1.4</t>
  </si>
  <si>
    <t>JGO. EMP. MOTOR FIAT FIORINO</t>
  </si>
  <si>
    <t>JGO. EMP. MOTOR NISSAN TERRANO 2.5</t>
  </si>
  <si>
    <t>JGO. EMP. MOTOR SUBARU LEGACY</t>
  </si>
  <si>
    <t>JGO. METAL BANC. TOYOTA 2T 18R</t>
  </si>
  <si>
    <t>MPI</t>
  </si>
  <si>
    <t>JGO. METAL BANCADA STD FIAT FIORINO</t>
  </si>
  <si>
    <t>FMPI</t>
  </si>
  <si>
    <t>JGO. METAL BIELA STD FIAT FIORINO</t>
  </si>
  <si>
    <t>JGO. RETEN VALVULA CHEV LUV 2.2</t>
  </si>
  <si>
    <t>JGO. RETEN VALVULA NS V16 GA16 / SENTRA</t>
  </si>
  <si>
    <t>TY03310</t>
  </si>
  <si>
    <t>JTA. HOMOC. TOY. YARIS 99/05 L. RDA. 23X58X24</t>
  </si>
  <si>
    <t>HO-025</t>
  </si>
  <si>
    <t>JTA. HOM. HONDA L/RDA 26X30X55</t>
  </si>
  <si>
    <t>Z000930</t>
  </si>
  <si>
    <t>JTA. HOM. SUZUKI L/RDA 25 X 46 X 19.</t>
  </si>
  <si>
    <t>JTA. HOM. . DAEWOO L/RDA 33 X 29 X 51.9</t>
  </si>
  <si>
    <t>K375148</t>
  </si>
  <si>
    <t>JTA. HOM. . KIA PRIDE L/CAJA</t>
  </si>
  <si>
    <t>MZ-006</t>
  </si>
  <si>
    <t>JTA. HOM. . MAZDA L/RDA 26X23X56.</t>
  </si>
  <si>
    <t>JTA. HOM. CHEV VIVAN L/RDA 33X55X29</t>
  </si>
  <si>
    <t>JTA. HOM. CHEV. CAVALIER 33X32X47.6</t>
  </si>
  <si>
    <t>JTA. HOM. CHEV. CORSA 22X28X35</t>
  </si>
  <si>
    <t>JTA. HOM. CHEV. CORSA 22X28X52 L. RDA.</t>
  </si>
  <si>
    <t>JTA. HOM. CHEV. CORSA L. CAJA 22X28X35</t>
  </si>
  <si>
    <t>JTA. HOM. CHEV. CORSA L. RDA. 22X28X52</t>
  </si>
  <si>
    <t>JTA. HOM. CHEV. CRUZE 33X22X52 ABS SEG. EXT.</t>
  </si>
  <si>
    <t>JTA. HOM. CHEV. OPTRA DW. 33X22X52</t>
  </si>
  <si>
    <t>JTA. HOM. CHEV. SAIL 1.4 L. CAJA 22X22X35 WURTEX</t>
  </si>
  <si>
    <t>JTA. HOM. CHEV. SAIL 1.4 L/RDA. 22X22X52 STP</t>
  </si>
  <si>
    <t>JTA. HOM. CHEV. SAIL 1.4 L/RDA. 22X22X52 WURTEX</t>
  </si>
  <si>
    <t>JTA. HOM. CHEV. SPARK 23X19X46 BHORKE</t>
  </si>
  <si>
    <t>JTA. HOM. DAIHATSU L/RDA 24X20X44</t>
  </si>
  <si>
    <t>JTA. HOM. FORD.ESCORT 93/ L/RDA 26X28X58</t>
  </si>
  <si>
    <t>JTA. HOM. HOMOC. 25 X 32 X 25 SPART. TICO MAT.</t>
  </si>
  <si>
    <t>SK-044</t>
  </si>
  <si>
    <t>JTA. HOM. HOMOC. ALTO 23X19X49.</t>
  </si>
  <si>
    <t>JTA. HOM. HOMOC. CH. MONZA.</t>
  </si>
  <si>
    <t>GM-0-504</t>
  </si>
  <si>
    <t>JTA. HOM. HOMOC. CHEV. 29 X 35 X 34.</t>
  </si>
  <si>
    <t>JTA. HOM. HOMOC. CHEV. CAVALIER 33X32X48 GM801</t>
  </si>
  <si>
    <t>JTA. HOM. HOMOC. CHEV. CORSA 22X28X52.2</t>
  </si>
  <si>
    <t>IZ-032</t>
  </si>
  <si>
    <t>JTA. HOM. HOMOC. CHEV. LUV 17 X 23 X 53.</t>
  </si>
  <si>
    <t>JTA. HOM. HOMOC. CHEV. LUV DMAX. 17 X 33 X 53.</t>
  </si>
  <si>
    <t>JTA. HOM. HOMOC. CHEV. OPTRA 33 X 22 X 56 X 47</t>
  </si>
  <si>
    <t>NN-34N02</t>
  </si>
  <si>
    <t>JTA. HOM. HOMOC. D-21 TERRANO 27X27X50.</t>
  </si>
  <si>
    <t>JTA. HOM. HOMOC. DAEWOO 22 X 52 X 22.</t>
  </si>
  <si>
    <t>DA-00059</t>
  </si>
  <si>
    <t>JTA. HOM. HOMOC. DAIH 1.3 24X19X54.</t>
  </si>
  <si>
    <t>TDA. 014</t>
  </si>
  <si>
    <t>JTA. HOM. HOMOC. DAIHATSU 24 X 21 X 54.</t>
  </si>
  <si>
    <t>DA00059</t>
  </si>
  <si>
    <t>JTA. HOM. HOMOC. DAIHATSU 24 X 54 X 19</t>
  </si>
  <si>
    <t>DA00053</t>
  </si>
  <si>
    <t>JTA. HOM. HOMOC. DAIHATSU 24 X 54 X 19.</t>
  </si>
  <si>
    <t>JTA. HOM. HOMOC. DAIHATSU 24X21X54.</t>
  </si>
  <si>
    <t>JTA. HOM. HOMOC. DH. CHARADE G20 24X19X40 ATSUKI</t>
  </si>
  <si>
    <t>DA - 014</t>
  </si>
  <si>
    <t>JTA. HOM. HOMOC. DH. CHARADE SG. 90/94 24 X 27 X 54.</t>
  </si>
  <si>
    <t>DA00058</t>
  </si>
  <si>
    <t>JTA. HOM. HOMOC. DH. CUORE 19 X 40 X 24.</t>
  </si>
  <si>
    <t>DA-024</t>
  </si>
  <si>
    <t>JTA. HOM. HOMOC. DH. NEW CUORE 94/ 24 X 20 X 44.</t>
  </si>
  <si>
    <t>JTA. HOM. HOMOC. FORD ESCORT 93/ 26X28X58.</t>
  </si>
  <si>
    <t>Z000180</t>
  </si>
  <si>
    <t>JTA. HOM. HOMOC. FRONTE 19X23X44.</t>
  </si>
  <si>
    <t>JTA. HOM. HOMOC. GEMINIS.</t>
  </si>
  <si>
    <t>HO-015</t>
  </si>
  <si>
    <t>JTA. HOM. HOMOC. HONDA 23 X 27 X 49</t>
  </si>
  <si>
    <t>JTA. HOM. HOMOC. HONDA 26 X 30 X 49.</t>
  </si>
  <si>
    <t>HA-025</t>
  </si>
  <si>
    <t>JTA. HOM. HOMOC. HONDA 26X30X55.</t>
  </si>
  <si>
    <t>HO-019</t>
  </si>
  <si>
    <t>JTA. HOM. HOMOC. HONDA 28X32X60.</t>
  </si>
  <si>
    <t>H004330</t>
  </si>
  <si>
    <t>JTA. HOM. HOMOC. HY -ACCENT/EXCEL. L. CAJA 25X22X35.</t>
  </si>
  <si>
    <t>JTA. HOM. HOMOC. HY 2.0. 52X27X26.</t>
  </si>
  <si>
    <t>H790025</t>
  </si>
  <si>
    <t>JTA. HOM. HOMOC. HY ACCENT 25X22X50</t>
  </si>
  <si>
    <t>JTA. HOM. HOMOC. HY. 27X22X6 GSP L. RDA.</t>
  </si>
  <si>
    <t>HS00020</t>
  </si>
  <si>
    <t>JTA. HOM. HOMOC. HY. ACCENT/EXEL L. CAJA</t>
  </si>
  <si>
    <t>H707888</t>
  </si>
  <si>
    <t>JTA. HOM. HOMOC. HY. ELANTRA 96/99 25 X 30 X 50.</t>
  </si>
  <si>
    <t>JTA. HOM. HOMOC. HY. ELENTRA L/RDA. 25X30X50</t>
  </si>
  <si>
    <t>H707898</t>
  </si>
  <si>
    <t>JTA. HOM. HOMOC. HYUNDAI 27X22X60 L. RDA</t>
  </si>
  <si>
    <t>JTA. HOM. HOMOC. IGNIS 1.3 25X28X49.</t>
  </si>
  <si>
    <t>MZ-815</t>
  </si>
  <si>
    <t>JTA. HOM. HOMOC. KIA 28 X 22 X 56.</t>
  </si>
  <si>
    <t>K601598</t>
  </si>
  <si>
    <t>JTA. HOM. HOMOC. KIA AVELA 24X21X52 ATSUKI</t>
  </si>
  <si>
    <t>K601438</t>
  </si>
  <si>
    <t>JTA. HOM. HOMOC. KIA AVELLA 22 X 24 X 52.</t>
  </si>
  <si>
    <t>JTA. HOM. HOMOC. KIA CARNIVAL 28X24X55</t>
  </si>
  <si>
    <t>K580080</t>
  </si>
  <si>
    <t>JTA. HOM. HOMOC. KIA POP - PRIDE 19 X 52 X 24</t>
  </si>
  <si>
    <t>K501130</t>
  </si>
  <si>
    <t>JTA. HOM. HOMOC. KIA SEPHIA 1.8 26X24X56 ATSUKI</t>
  </si>
  <si>
    <t>K601478</t>
  </si>
  <si>
    <t>JTA. HOM. HOMOC. KIA SEPHIA 26X22X56 S/INT.</t>
  </si>
  <si>
    <t>JTA. HOM. HOMOC. KIA SEPHIA L. RDA. 26X22X56 GSP</t>
  </si>
  <si>
    <t>JTA. HOM. HOMOC. LUV. 17X23X53.</t>
  </si>
  <si>
    <t>JTA. HOM. HOMOC. M-626. 26 X 25 X 56.</t>
  </si>
  <si>
    <t>JTA. HOM. HOMOC. M626 26X25X26.</t>
  </si>
  <si>
    <t>Z000200</t>
  </si>
  <si>
    <t>JTA. HOM. HOMOC. MARUTI 23X18X44.</t>
  </si>
  <si>
    <t>NS00040</t>
  </si>
  <si>
    <t>JTA. HOM. HOMOC. MAZDA 25 X 25 X 52.5</t>
  </si>
  <si>
    <t>JTA. HOM. HOMOC. MAZDA 26 X 21 X 56.</t>
  </si>
  <si>
    <t>M-Z -006</t>
  </si>
  <si>
    <t>JTA. HOM. HOMOC. MAZDA 26 X 23 X 56</t>
  </si>
  <si>
    <t>JTA. HOM. HOMOC. MZ. BT-50 26X25X62 MZ-835</t>
  </si>
  <si>
    <t>JTA. HOM. HOMOC. MZ3 36X22X55.</t>
  </si>
  <si>
    <t>DA024</t>
  </si>
  <si>
    <t>JTA. HOM. HOMOC. NEW CUORE 94/ 24X20X44.</t>
  </si>
  <si>
    <t>JTA. HOM. HOMOC. NS. TERRANO 27 X 50 X 28.</t>
  </si>
  <si>
    <t>JTA. HOM. HOMOC. NS. TERRANO 28X25X50 L. RDA. ATSUKI</t>
  </si>
  <si>
    <t>JTA. HOM. HOMOC. NS. TIIDA 25 X 22X52.</t>
  </si>
  <si>
    <t>JTA. HOM. HOMOC. NS. V-16 2003. 25 X 32 X 55.</t>
  </si>
  <si>
    <t>JTA. HOM. HOMOC. NS. V-16 25 X 22 X 55.</t>
  </si>
  <si>
    <t>JTA. HOM. HOMOC. NS. V-16 25 X 23 X 50.</t>
  </si>
  <si>
    <t>JTA. HOM. HOMOC. NS. V-16 25 X 24 X 48. L. CAJA</t>
  </si>
  <si>
    <t>JTA. HOM. HOMOC. NS. V-16 JP 25X22X55</t>
  </si>
  <si>
    <t>NI-510</t>
  </si>
  <si>
    <t>JTA. HOM. HOMOC. NS. V-16. 00-04 24 X 23 X 40.</t>
  </si>
  <si>
    <t>NS00020</t>
  </si>
  <si>
    <t>JTA. HOM. HOMOC. NS. V-16. 05/ 25 X 23 X 40. L. CAJA</t>
  </si>
  <si>
    <t>JTA. HOM. HOMOC. NS. V16 /2003 25X32X55 ATSUKI</t>
  </si>
  <si>
    <t>JTA. HOM. HOMOC. NS. V16 2005/ LD. RDA. 25X23X56</t>
  </si>
  <si>
    <t>JTA. HOM. HOMOC. NS. V16 25X24X55</t>
  </si>
  <si>
    <t>NS00010</t>
  </si>
  <si>
    <t>JTA. HOM. HOMOC. NS. V16 25X32X40.</t>
  </si>
  <si>
    <t>NI510</t>
  </si>
  <si>
    <t>JTA. HOM. HOMOC. NS.V16 24X23X40.</t>
  </si>
  <si>
    <t>NI-022</t>
  </si>
  <si>
    <t>JTA. HOM. HOMOC. NS.V16 25X22X55.</t>
  </si>
  <si>
    <t>JTA. HOM. HOMOC. NS.V16 25X24X48.</t>
  </si>
  <si>
    <t>JTA. HOM. HOMOC. OPTRA 33X22X56X47.</t>
  </si>
  <si>
    <t>JTA. HOM. HOMOC. RACER 22X22X52.</t>
  </si>
  <si>
    <t>NI-812</t>
  </si>
  <si>
    <t>JTA. HOM. HOMOC. SAMSUNG 29X34X36</t>
  </si>
  <si>
    <t>H707918</t>
  </si>
  <si>
    <t>JTA. HOM. HOMOC. SANATA ELANTRE 25X25X50.</t>
  </si>
  <si>
    <t>NS000-40</t>
  </si>
  <si>
    <t>JTA. HOM. HOMOC. SENTRA B15 1.8 25X25X52.5</t>
  </si>
  <si>
    <t>JTA. HOM. HOMOC. SUBARU 25 X 29 X 40</t>
  </si>
  <si>
    <t>SB-002</t>
  </si>
  <si>
    <t>JTA. HOM. HOMOC. SUBARU 30X23X52.</t>
  </si>
  <si>
    <t>SU00010</t>
  </si>
  <si>
    <t>JTA. HOM. HOMOC. SUBARU-LEGARCY 27 X 22 X 56.</t>
  </si>
  <si>
    <t>SB-508</t>
  </si>
  <si>
    <t>JTA. HOM. HOMOC. SUBARU. 25 X 30 X 40. L. RDA</t>
  </si>
  <si>
    <t>NN.34N02</t>
  </si>
  <si>
    <t>JTA. HOM. HOMOC. SUBARU. 25 X 30 X 40. L. RDA.</t>
  </si>
  <si>
    <t>JTA. HOM. HOMOC. SUZUKI 19 X 49 X 23.</t>
  </si>
  <si>
    <t>JTA. HOM. HOMOC. SUZUKI 22 X 29 X 52 L. RDA.</t>
  </si>
  <si>
    <t>SK802</t>
  </si>
  <si>
    <t>JTA. HOM. HOMOC. SUZUKI 25X26X49.</t>
  </si>
  <si>
    <t>SK-802</t>
  </si>
  <si>
    <t>JTA. HOM. HOMOC. SUZUKI LRDA. 25X20X49</t>
  </si>
  <si>
    <t>SK-002</t>
  </si>
  <si>
    <t>JTA. HOM. HOMOC. SUZUKI. 25 X 20 X 49.</t>
  </si>
  <si>
    <t>Z000190</t>
  </si>
  <si>
    <t>JTA. HOM. HOMOC. SZ. 19 X 49 X 23.</t>
  </si>
  <si>
    <t>JTA. HOM. HOMOC. SZ. AEREO 25 X 29 X 49.</t>
  </si>
  <si>
    <t>SK-1-30-306</t>
  </si>
  <si>
    <t>JTA. HOM. HOMOC. SZ. BALENO 23 X 20 X 49.</t>
  </si>
  <si>
    <t>Z000230</t>
  </si>
  <si>
    <t>JTA. HOM. HOMOC. SZ. BALENO 25 X 21 X 49.</t>
  </si>
  <si>
    <t>Z00180</t>
  </si>
  <si>
    <t>JTA. HOM. HOMOC. SZ. FRONTE 19 X 23 X 44.</t>
  </si>
  <si>
    <t>TY00580</t>
  </si>
  <si>
    <t>JTA. HOM. HOMOC. TERCEL 93-94 26 X 22 X 56.</t>
  </si>
  <si>
    <t>DA - 804</t>
  </si>
  <si>
    <t>JTA. HOM. HOMOC. TERIO 24 X 19 X 52. TERIO.</t>
  </si>
  <si>
    <t>DA-804</t>
  </si>
  <si>
    <t>JTA. HOM. HOMOC. TERIOS 24X19X52.</t>
  </si>
  <si>
    <t>JTA. HOM. HOMOC. TIIDA 25X22X52.</t>
  </si>
  <si>
    <t>TY00570</t>
  </si>
  <si>
    <t>JTA. HOM. HOMOC. TOYOTA 24 X 56 X 20.</t>
  </si>
  <si>
    <t>TO-015</t>
  </si>
  <si>
    <t>JTA. HOM. HOMOC. TY. CORONA 26 X 24 X 56.</t>
  </si>
  <si>
    <t>TY32486</t>
  </si>
  <si>
    <t>JTA. HOM. HOMOC. TY. HILUX 4X4 30X27X33X5.</t>
  </si>
  <si>
    <t>TY03300</t>
  </si>
  <si>
    <t>JTA. HOM. HOMOC. TY. TERCEL 26X23X56 L. RDA. ATSUKI</t>
  </si>
  <si>
    <t>JTA. HOM. HOMOC. TY. YARIS 0005 24X22X58 L. RDA. ATSUKI</t>
  </si>
  <si>
    <t>JTA. HOM. HOMOC. TY.YARIS 26X58X23.</t>
  </si>
  <si>
    <t>JTA. HOM. HOMOC. VITARA 28X24X56.</t>
  </si>
  <si>
    <t>JTA. HOM. HOMOC. YARIS 00/05 24X23X56.</t>
  </si>
  <si>
    <t>JTA. HOM. HOMOC.SENTRA II 25X32X55.</t>
  </si>
  <si>
    <t>JTA. HOM. HY TUCSON C/ ABS L/RDA 27X25X61.9</t>
  </si>
  <si>
    <t>JTA. HOM. HY. ACCENT 1.5 /05 25X23X50</t>
  </si>
  <si>
    <t>JTA. HOM. HY. ACCENT 95/11 L. RDA. 25X23X50</t>
  </si>
  <si>
    <t>JTA. HOM. HY. ACCENT L. RDA. 25X22X50 FAHRT</t>
  </si>
  <si>
    <t>JTA. HOM. HY. ACCENT RB 11/ 25X22X52.5</t>
  </si>
  <si>
    <t>JTA. HOM. HY. ACCENT RB 25X22X52.5 /RDA.</t>
  </si>
  <si>
    <t>JTA. HOM. HY. ACCENT RB 25X22X52.5 L/RDA. C/ABS</t>
  </si>
  <si>
    <t>JTA. HOM. HYUNDAI ACCENT 25E - 22I RETEN 50</t>
  </si>
  <si>
    <t>JTA. HOM. ISUZU GEMINI L/RDA</t>
  </si>
  <si>
    <t>JTA. HOM. KIA AVELLA/RIO L/RDA 24X21X52</t>
  </si>
  <si>
    <t>JTA. HOM. KIA CARNIVAL C/ABS</t>
  </si>
  <si>
    <t>JTA. HOM. KIA POP PRIDE SEG. EXT. 24X19X52 FAHRT</t>
  </si>
  <si>
    <t>JTA. HOM. KIA SEPHIA 1.8 L/RDA 26X24X56</t>
  </si>
  <si>
    <t>JTA. HOM. KIA SEPHIA L. RDA. 26X22X56 FAHRT</t>
  </si>
  <si>
    <t>SPCH157543</t>
  </si>
  <si>
    <t>JTA. HOM. L. CAJA CHEV. SAIL 1.4</t>
  </si>
  <si>
    <t>JTA. HOM. L. CAJA TY. YARIS 99/14 23X24X23</t>
  </si>
  <si>
    <t>JTA. HOM. L. RDA. CHEV. SAIL 1.4 22X22X52 SEG. MEDIO C/ABS</t>
  </si>
  <si>
    <t>SPCH157533</t>
  </si>
  <si>
    <t>JTA. HOM. L. RDA. CHEV. SAIL 1.4 C/ABS SEG. INT.</t>
  </si>
  <si>
    <t>SPCH157523</t>
  </si>
  <si>
    <t>JTA. HOM. L. RDA. CHEV. SAIL 1.4 SEG. INT.</t>
  </si>
  <si>
    <t>JTA. HOM. L. RDA. NS. V16 25X23X55 SEG. INTERNO</t>
  </si>
  <si>
    <t>JTA. HOM. L/CAJA CHEV. SAIL 1.5 22X24X40 WURTEX</t>
  </si>
  <si>
    <t>JTA. HOM. L/RDA</t>
  </si>
  <si>
    <t>JTA. HOM. L/RDA 22X28 CHEV. CORSA</t>
  </si>
  <si>
    <t>NI-020</t>
  </si>
  <si>
    <t>JTA. HOM. L/RDA 25X22X55 NS V16 B13 1.4</t>
  </si>
  <si>
    <t>JTA. HOM. L/RDA TOYOTA YARIS</t>
  </si>
  <si>
    <t>SPSS017503</t>
  </si>
  <si>
    <t>JTA. HOM. LADO RDA. SM5 29X34X56 SEG. INT. CIB</t>
  </si>
  <si>
    <t>JTA. HOM. LADO RDA. TY. YARIS 06/13 SEG. EXT 26X22X56 BHORKE</t>
  </si>
  <si>
    <t>JTA. HOM. LADO RUEDA NS. V16 05/11 25X23X55 STP</t>
  </si>
  <si>
    <t>JTA. HOM. LADO RUEDA TY. YARIS 06/13 26X23X56 SEG. MEDIO STP</t>
  </si>
  <si>
    <t>JTA. HOM. LDO. RDA. SZ. ALTO 23X20X49 WURTEX</t>
  </si>
  <si>
    <t>JTA. HOM. MAZDA 323 24X22X55 LDO. RDA.</t>
  </si>
  <si>
    <t>MD00020</t>
  </si>
  <si>
    <t>JTA. HOM. MAZDA 626 L/RDA 26X23X56</t>
  </si>
  <si>
    <t>JTA. HOM. MAZDA 626 L/RDA 28X26X56</t>
  </si>
  <si>
    <t>NI-052</t>
  </si>
  <si>
    <t>JTA. HOM. NS V16 01/04 L/RDA 25X32X55</t>
  </si>
  <si>
    <t>JTA. HOM. NS. NAVARA 08/13 29X36X67.3 L. RDA.</t>
  </si>
  <si>
    <t>JTA. HOM. NS. TIIDA 25X22X52 BHORKE</t>
  </si>
  <si>
    <t>JTA. HOM. NS. TIIDA L. RDA. 25X22X49</t>
  </si>
  <si>
    <t>JTA. HOM. NS. TIIDA L. RDA. 25X22X52.2</t>
  </si>
  <si>
    <t>JTA. HOM. NS. V16 25X22X55 FAHRT</t>
  </si>
  <si>
    <t>JTA. HOM. NS. V16 L/CAJA 25X24X40 FA</t>
  </si>
  <si>
    <t>JTA. HOM. NS. V16 25X23X56 FAHRT</t>
  </si>
  <si>
    <t>JTA. HOM. NS. V16 25X24X55</t>
  </si>
  <si>
    <t>JTA. HOM. NS. V16 93/05 LADO CAJA 25X24X40 WURTEX</t>
  </si>
  <si>
    <t>JTA. HOM. NS. V16 TIPO MEX. 05/ LRDA. 25X23X55.SEG. INTERMEDIO</t>
  </si>
  <si>
    <t>JTA. HOM. SAMSUNG SM3 L. RDA.</t>
  </si>
  <si>
    <t>SB002</t>
  </si>
  <si>
    <t>JTA. HOM. SUBARU L/RDA</t>
  </si>
  <si>
    <t>SB-016</t>
  </si>
  <si>
    <t>JTA. HOM. SUBARU L/RDA 27X21X50</t>
  </si>
  <si>
    <t>SK-306</t>
  </si>
  <si>
    <t>JTA. HOM. SUZUKI L/RDA 23X20X49</t>
  </si>
  <si>
    <t>JTA. HOM. SZ ALTO 98/ L/RDA 23X20X49</t>
  </si>
  <si>
    <t>Z000588</t>
  </si>
  <si>
    <t>JTA. HOM. SZ BALENO L/RDA 23X20X49</t>
  </si>
  <si>
    <t>JTA. HOM. SZ BALENO L/RDA 25X21X49</t>
  </si>
  <si>
    <t>JTA. HOM. SZ FRONTE L/RDA 23X19X44</t>
  </si>
  <si>
    <t>JTA. HOM. SZ VITARA L/RDA 98/06 26X30X48</t>
  </si>
  <si>
    <t>JTA. HOM. SZ. AEREO 25X29X49</t>
  </si>
  <si>
    <t>JTA. HOM. SZ. AERIO C/ABS 25X29X49</t>
  </si>
  <si>
    <t>JTA. HOM. SZ. MARUTI 22X18X35 LDO. CAJA</t>
  </si>
  <si>
    <t>JTA. HOM. SZ. MARUTI L. RDA. 23X18X44 BHORKE</t>
  </si>
  <si>
    <t>JTA. HOM. SZ. MARUTI L/CAJA 22X18X35</t>
  </si>
  <si>
    <t>TY32488</t>
  </si>
  <si>
    <t>JTA. HOM. TY HILUX 4X4 L/RDA 30X27X33.5</t>
  </si>
  <si>
    <t>JTA. HOM. TY. COROLLA L. RDA. 26X24X58</t>
  </si>
  <si>
    <t>JTA. HOM. TY. TERCEL 26X23X56</t>
  </si>
  <si>
    <t>JTA. HOM. TY. TERCEL L. RDA. 26X23X56 REXTON</t>
  </si>
  <si>
    <t>JTA. HOM. TY. YARIS 06/ 26X23X55.6 GSP</t>
  </si>
  <si>
    <t>RODAMIENTO</t>
  </si>
  <si>
    <t>KIT AMPOLLETA H4 LED</t>
  </si>
  <si>
    <t>KIT EMP.MOTOR NISSAN PATHFINDER</t>
  </si>
  <si>
    <t>SP500</t>
  </si>
  <si>
    <t>KIT PISTOLA DE PINTURA HYUNDAI</t>
  </si>
  <si>
    <t>KIT REP. PLASTICO DEPOSITO RADIADOR/L.PARABRISA</t>
  </si>
  <si>
    <t>KIT ROD RDA DEL CORSA</t>
  </si>
  <si>
    <t>KIT ROD RDA TRAS CHEV CORSA</t>
  </si>
  <si>
    <t>KIT ROD. C/CAMBIO NS. V16 SKF</t>
  </si>
  <si>
    <t>KIT ROD. RDA. TRAS CORSA</t>
  </si>
  <si>
    <t>KIT ROD. TRAS. CORSA FAG</t>
  </si>
  <si>
    <t>krdavol</t>
  </si>
  <si>
    <t>KRDAVOL</t>
  </si>
  <si>
    <t>KIT RUEDA DEL. VOLKWAGEN GOL (PERNO,MAZA, RODAMIENTO</t>
  </si>
  <si>
    <t>KIT EMBR. CITROEN C-ELYSEE 230X18</t>
  </si>
  <si>
    <t>H004483</t>
  </si>
  <si>
    <t>KIT EMBR. HY ACCENT RIO JB CERATO 215 X 20 SECO</t>
  </si>
  <si>
    <t>KIT EMBR. HY. H100 93/ 225MM VALEO</t>
  </si>
  <si>
    <t>K500463</t>
  </si>
  <si>
    <t>KIT EMBR. KIA POP 1.1 AVELLA 1.3 180X18 SECO</t>
  </si>
  <si>
    <t>KIT EMBR. KIA SOLUTO SECO</t>
  </si>
  <si>
    <t>kit-emsss</t>
  </si>
  <si>
    <t>KIT EMBR. LUV 3.2</t>
  </si>
  <si>
    <t>KIT-FILTROS</t>
  </si>
  <si>
    <t>KIT FILTROS PORTER</t>
  </si>
  <si>
    <t>kit-filtro</t>
  </si>
  <si>
    <t>KIT FILTROS TOYOTA</t>
  </si>
  <si>
    <t>KIT DISTR CHEV. LUV 2.3 115 X 19 STP</t>
  </si>
  <si>
    <t>KIT DISTR CHEV. SPARK 800 F8CV 107D.</t>
  </si>
  <si>
    <t>KIT DISTR CHEV. SPARK GT 1.2 WURTEX</t>
  </si>
  <si>
    <t>KIT DISTR CHEV. SPARL 1.0 109D.</t>
  </si>
  <si>
    <t>KITGREAT</t>
  </si>
  <si>
    <t>KIT DISTR GREAT WALL 5</t>
  </si>
  <si>
    <t>KIT DISTR H100 2.5 L200 163 Y 99D.</t>
  </si>
  <si>
    <t>KIT DISTR HY. ACCENT ELENT-GETZ-RIO 16V. 105 D.</t>
  </si>
  <si>
    <t>KIT DISTR HY. ACCENT RB ELANTRA</t>
  </si>
  <si>
    <t>KIT DISTR HY. H100 2.5 99 X 163</t>
  </si>
  <si>
    <t>KIT DISTR KIA RIO 06/11 105D.</t>
  </si>
  <si>
    <t>KIT DISTR KIA RIO ACCENT RB C/CADENA</t>
  </si>
  <si>
    <t>KIT DISTR MITS. L200 2.5 4D56T 06/20</t>
  </si>
  <si>
    <t>KIT DISTR NS. NAVARA YD25 07/ CADENA SIMPLE</t>
  </si>
  <si>
    <t>KIT DISTR NS. TERRANO 2.5 08/13</t>
  </si>
  <si>
    <t>KIT DISTR NS. TERRANO 2.5 YD25 02/10 CADENAS DOBLE</t>
  </si>
  <si>
    <t>KIT DISTR NS. V16 GA14 TWIN CAM WURTEX</t>
  </si>
  <si>
    <t>KIT DISTR NS. V16 V16 E16 SUNY SENTRA 106 CORREA</t>
  </si>
  <si>
    <t>KIT DISTR SZ. BALENO 1.6 G16B 103D</t>
  </si>
  <si>
    <t>KIT DISTR SZ. CARRY MARUTI 88D.</t>
  </si>
  <si>
    <t>TY50084</t>
  </si>
  <si>
    <t>KIT DISTR TY. YARIS C/CADENA</t>
  </si>
  <si>
    <t>KIT DISTR. BT50 2.5</t>
  </si>
  <si>
    <t>KIT DISTR. CHE. CRUZE TRACKER SONIC 146 D.</t>
  </si>
  <si>
    <t>KIT DISTR. CHEV. AVEO</t>
  </si>
  <si>
    <t>KIT DISTR. CHEV. AVEO OPTRA 127 D.</t>
  </si>
  <si>
    <t>KIT DISTR. CHEV. AVEO OPTRA VIVANT 127</t>
  </si>
  <si>
    <t>KIT DISTR. CHEV. AVEO OPTRA VIVANT 127X25</t>
  </si>
  <si>
    <t>KIT DISTR. CHEV. AVEO VIVANT ONURI</t>
  </si>
  <si>
    <t>KIT DISTR. CHEV. CORSA</t>
  </si>
  <si>
    <t>KIT DISTR. CHEV. CORSA 111 MR 17</t>
  </si>
  <si>
    <t>KIT DISTR. CHEV. LUV 2.3 115 ZA 19</t>
  </si>
  <si>
    <t>KIT DISTR. DISTR. NS. D21 KA24 FAHRT</t>
  </si>
  <si>
    <t>TKN1408903G</t>
  </si>
  <si>
    <t>KIT DISTR. DISTR. NS. KA24 TW</t>
  </si>
  <si>
    <t>KIT DISTR. HY. ACCENT 110 S8M 22</t>
  </si>
  <si>
    <t>H002735</t>
  </si>
  <si>
    <t>KIT DISTR. HY. ACCENT RB 06/17 DIESEL C/CADENA</t>
  </si>
  <si>
    <t>KIT DISTR. HY. ELANTRA TUCSON</t>
  </si>
  <si>
    <t>KIT DISTR. HY. H1 2.5 D4CB TOTO</t>
  </si>
  <si>
    <t>KIT DISTR. HY. H100 L200 2.5 99D.Y 163D</t>
  </si>
  <si>
    <t>H000215</t>
  </si>
  <si>
    <t>KIT DISTR. HY. H100 2.5 D4CB</t>
  </si>
  <si>
    <t>KIT DISTR. HY. H100 L200 2.5</t>
  </si>
  <si>
    <t>KIT DISTR. HY. I10 MORNING 101 D.</t>
  </si>
  <si>
    <t>KIT DISTR. HYUN. ACCENT 105 X 22</t>
  </si>
  <si>
    <t>KITDISTH</t>
  </si>
  <si>
    <t>KITH1</t>
  </si>
  <si>
    <t>KIT DISTR. HYUNDAI H1</t>
  </si>
  <si>
    <t>KIT DISTR. KIA AVELLA PRIDE RIO 107 MY 22</t>
  </si>
  <si>
    <t>KIT DISTR. KIA AVELLA RIO 107 D. MOTOR SEVEN KOREA</t>
  </si>
  <si>
    <t>KIT DISTR. L200MM2.5 H100</t>
  </si>
  <si>
    <t>KDISTMBENZ</t>
  </si>
  <si>
    <t>KDISTMENZ</t>
  </si>
  <si>
    <t>KIT DISTR. M. BENZ</t>
  </si>
  <si>
    <t>KIT DISTR. MIT. L200 KATANA SKF</t>
  </si>
  <si>
    <t>KIT DISTR. NISSAN - SM5 - SQ5</t>
  </si>
  <si>
    <t>KIT DISTR. NISSAN BLUEBIRD 1.8 / 720</t>
  </si>
  <si>
    <t>CKNI40890AG</t>
  </si>
  <si>
    <t>KIT DISTR. NISSAN D21</t>
  </si>
  <si>
    <t>KIT DISTR. NISSAN J18</t>
  </si>
  <si>
    <t>KIT DISTR. NS. D21 KA24 JP.</t>
  </si>
  <si>
    <t>KIT DISTR. NS. D21 KA24 ZUIKO JAPON</t>
  </si>
  <si>
    <t>KITDISTNAVARA</t>
  </si>
  <si>
    <t>KIT DISTR. NS. NAVARA</t>
  </si>
  <si>
    <t>MTDT801000</t>
  </si>
  <si>
    <t>KIT DISTR. NS. TERRANO 2.5</t>
  </si>
  <si>
    <t>KIT DISTR. NS. TERRANO 2.5 08/15 MOCA</t>
  </si>
  <si>
    <t>KIT DISTR. NS. TERRANO 2.5 10/15 NAVARA 07/13 CADENA DOBLE MOCA</t>
  </si>
  <si>
    <t>KIT DISTR. NS. TERRANO 2.5 NAVARA CADENA SIMPLE Y DOBLE TOTO</t>
  </si>
  <si>
    <t>KIT DISTR. NS. TERRANO YD25 DIESEL ARCO</t>
  </si>
  <si>
    <t>KIT DISTR. NS. TERRANO YD25DD 05/09 FAHRT</t>
  </si>
  <si>
    <t>KIT DISTR. NS. TIIDA QASHQAI 1.6</t>
  </si>
  <si>
    <t>MTDT23100</t>
  </si>
  <si>
    <t>KIT DISTR. NS. V16 GA</t>
  </si>
  <si>
    <t>KIT DISTR. NS. V16 T. PLOMA GA16</t>
  </si>
  <si>
    <t>KIT DISTR. SZ GRAN NOMADEJ20 98/</t>
  </si>
  <si>
    <t>KIT DISTR. SZ. BALENO 103 MR 25</t>
  </si>
  <si>
    <t>KIT DISTR. SZ. G16 103 XR 25</t>
  </si>
  <si>
    <t>TY40195</t>
  </si>
  <si>
    <t>KIT DISTR. TOYOTA HILUX 22RE</t>
  </si>
  <si>
    <t>KIT DISTR. TY. KUN</t>
  </si>
  <si>
    <t>KIT DISTR. TY. TERCEL 128 MY 26</t>
  </si>
  <si>
    <t>KIT DISTR. V. AMAROK</t>
  </si>
  <si>
    <t>KIT DISTR. LUV 2.2 SINCROMAX</t>
  </si>
  <si>
    <t>KIT DISTRI. ACTYON</t>
  </si>
  <si>
    <t>KIT DISTRI. NS. D21 2.4 KA24 12V. TOTO</t>
  </si>
  <si>
    <t>KIT EMBR. CHEV. CORSA 1.6 VALEO V-6</t>
  </si>
  <si>
    <t>KIT EMBR. CHEV. DAEWOO 216 MM</t>
  </si>
  <si>
    <t>KIT EMBR. CHEV. MONZA 215 SOBRESALIDO</t>
  </si>
  <si>
    <t>KIT EMBR. MIT. L200 KATANA 250</t>
  </si>
  <si>
    <t>KIT EMBR. 190 MAZDA</t>
  </si>
  <si>
    <t>KIT EMBR. 1NS. V16 190MM VALEO</t>
  </si>
  <si>
    <t>KIT EMBR. 200MM MAZDA 3 1.6</t>
  </si>
  <si>
    <t>FD20050</t>
  </si>
  <si>
    <t>KIT EMBR. 200X17 FORD ECO SPORT</t>
  </si>
  <si>
    <t>KIT EMBR. 225MM HYUNDAI SONATA</t>
  </si>
  <si>
    <t>KIT EMBR. 240 NISSAN TERRANO 2.7</t>
  </si>
  <si>
    <t>KIT EMBR. ALTO SPARK TICO 170 X 18</t>
  </si>
  <si>
    <t>KIT EMBR. CHANGAN M201 1.2 15/ 200MM</t>
  </si>
  <si>
    <t>KIT EMBR. CHEV S-10 2.8</t>
  </si>
  <si>
    <t>KIT EMBR. CHEV SAIL 1.4 200mm VALEO UBIC. K3-2</t>
  </si>
  <si>
    <t>KIT EMBR. CHEV SPARK VALEO UBIC. K3-1</t>
  </si>
  <si>
    <t>KIT EMBR. CHEV- SPARK GT</t>
  </si>
  <si>
    <t>KIT EMBR. CHEV. ASTRA MONTANA 205 S/ROD.</t>
  </si>
  <si>
    <t>KIT EMBR. CHEV. AVEO 215 VALEO</t>
  </si>
  <si>
    <t>KIT EMBR. CHEV. AVEO 1.4 215X24 VIVANT 1.6</t>
  </si>
  <si>
    <t>KIT EMBR. CHEV. AVEO OPTRA 215</t>
  </si>
  <si>
    <t>KIT EMBR. CHEV. AVEO OPTRA 215X24 UBIC K2-6</t>
  </si>
  <si>
    <t>KIT EMBR. CHEV. AVEO OPTRA SONIC 215X24 SECO UBIC. K2-3</t>
  </si>
  <si>
    <t>KIT EMBR. CHEV. CHEVETTE 200</t>
  </si>
  <si>
    <t>KIT EMBR. CHEV. CORSA 1.4 190 X 14 LUK</t>
  </si>
  <si>
    <t>KIT EMBR. CHEV. CORSA 1.4 ASTRA 190 X 14</t>
  </si>
  <si>
    <t>KIT EMBR. CHEV. CORSA 1.4 190 X 14</t>
  </si>
  <si>
    <t>KIT EMBR. CHEV. CORSA 1.4 190.</t>
  </si>
  <si>
    <t>KIT EMBR. CHEV. CORSA 1.6 200MM LUK</t>
  </si>
  <si>
    <t>KIT EMBR. CHEV. CORSA 1.6 BENC. VALEO</t>
  </si>
  <si>
    <t>KIT EMBR. CHEV. CORSA 200 MM VALEO</t>
  </si>
  <si>
    <t>L000230</t>
  </si>
  <si>
    <t>KIT EMBR. CHEV. DMAX</t>
  </si>
  <si>
    <t>kitdmax-2.4</t>
  </si>
  <si>
    <t>KITDMAX</t>
  </si>
  <si>
    <t>KIT EMBR. CHEV. DMAX 2.4</t>
  </si>
  <si>
    <t>FECH334010</t>
  </si>
  <si>
    <t>KIT EMBR. CHEV. DMAX 2.5 3.0 S/ROD. 250 X 24</t>
  </si>
  <si>
    <t>L000235</t>
  </si>
  <si>
    <t>KIT EMBR. CHEV. DMAX 3.0 250X24 EXEDY UBIC. K1-9</t>
  </si>
  <si>
    <t>KIT EMBR. CHEV. LUV 1.6</t>
  </si>
  <si>
    <t>KIT EMBR. CHEV. LUV 1.6 200 MM VALEO</t>
  </si>
  <si>
    <t>is53-mtc45</t>
  </si>
  <si>
    <t>KIT EMBR. CHEV. LUV 2.2 215MM SIN ROD. VALEO UBIC. K1-2 K1-7</t>
  </si>
  <si>
    <t>KIT EMBR. CHEV. LUV 2.3 215MM</t>
  </si>
  <si>
    <t>KIT EMBR. CHEV. LUV 2.3 215X24 K4-3</t>
  </si>
  <si>
    <t>ken300</t>
  </si>
  <si>
    <t>KEN300</t>
  </si>
  <si>
    <t>KIT EMBR. CHEV. N300</t>
  </si>
  <si>
    <t>KIT EMBR. CHEV. N300 2 PCS</t>
  </si>
  <si>
    <t>CIB0100179</t>
  </si>
  <si>
    <t>KIT EMBR. CHEV. N400 20/23</t>
  </si>
  <si>
    <t>KIT EMBR. CHEV. OPTRA 1.6 K4-3</t>
  </si>
  <si>
    <t>KIT EMBR. CHEV. OPTRA 1.6 215 MM VALEO</t>
  </si>
  <si>
    <t>kitorl</t>
  </si>
  <si>
    <t>KITORL</t>
  </si>
  <si>
    <t>KIT EMBR. CHEV. ORLANDO C/VOLANTE</t>
  </si>
  <si>
    <t>KIT EMBR. CHEV. S-10 APACHE 2.2 2.4 LUK 3 PCS.</t>
  </si>
  <si>
    <t>KIT EMBR. CHEV. S10 2.8.</t>
  </si>
  <si>
    <t>KIT EMBR. CHEV. SAIL</t>
  </si>
  <si>
    <t>FECH154000</t>
  </si>
  <si>
    <t>KIT EMBR. CHEV. SAIL 1.4</t>
  </si>
  <si>
    <t>KIT EMBR. CHEV. SAIL 1.4 200X18 S/ROD. WURTEX</t>
  </si>
  <si>
    <t>KIT EMBR. CHEV. SAIL 1.4 GENUINO</t>
  </si>
  <si>
    <t>KIT EMBR. CHEV. SAIL 1.4 S/ROD.</t>
  </si>
  <si>
    <t>KIT EMBR. CHEV. SAIL 1.4 TAKAMA</t>
  </si>
  <si>
    <t>KIT EMBR. CHEV. SAIL 1.4 UBIC K3-5 K1-7</t>
  </si>
  <si>
    <t>KIT EMBR. CHEV. SAIL 1.4 VALEO</t>
  </si>
  <si>
    <t>KIT EMBR. CHEV. SAIL 1.4 GMK-063 S/ROD.</t>
  </si>
  <si>
    <t>KIT EMBR. CHEV. SAIL 1.5 225X23 DCROER UBIC K2-6</t>
  </si>
  <si>
    <t>KECH154010</t>
  </si>
  <si>
    <t>KIT EMBR. CHEV. SAIL 2 PCS 200 X 18</t>
  </si>
  <si>
    <t>KIT EMBR. CHEV. SPAK GT 1,.2 190 S/ROD.</t>
  </si>
  <si>
    <t>KIT EMBR. CHEV. SPARK</t>
  </si>
  <si>
    <t>KIT EMBR. CHEV. SPARK 1.0 184X18 SECO S/ROD.</t>
  </si>
  <si>
    <t>KIT EMBR. CHEV. SPARK 180 VALEO UBIC. K1-1 K1-3</t>
  </si>
  <si>
    <t>KIT EMBR. CHEV. SPARK 184 VALEO</t>
  </si>
  <si>
    <t>KIT EMBR. CHEV. SPARK GT 1.2 190X18</t>
  </si>
  <si>
    <t>KIT EMBR. CHEV. SPARK MATIZ TICO 170MM. S/ROD.</t>
  </si>
  <si>
    <t>KIT EMBR. CITROEN C1</t>
  </si>
  <si>
    <t>KIT EMBR. DAEWOO 200MM.</t>
  </si>
  <si>
    <t>KIT EMBR. DAEWOO DAMAS 180 VALEO UBIC. K1-6</t>
  </si>
  <si>
    <t>KIT EMBR. DAEWOO RACE 200MM</t>
  </si>
  <si>
    <t>KIT EMBR. DAIHATSU 192 G 102 VALEO</t>
  </si>
  <si>
    <t>KIT EMBR. DAIHATSU 192.</t>
  </si>
  <si>
    <t>KIT EMBR. DAIHATSU FEROZA 200.</t>
  </si>
  <si>
    <t>KIT EMBR. DAIHATSU TERIOS 200.</t>
  </si>
  <si>
    <t>KIT EMBR. DATSUN 150Y 180MM</t>
  </si>
  <si>
    <t>KIT EMBR. DH. FEROZA</t>
  </si>
  <si>
    <t>KIT EMBR. DH. FEROZA 200X20 K2-8</t>
  </si>
  <si>
    <t>KIT EMBR. DISTR. J - 18 MEX.</t>
  </si>
  <si>
    <t>KIT EMBR. DISTR. NS. TERRANO 2.5 YD25</t>
  </si>
  <si>
    <t>KIT EMBR. DISTR. Z 20 86/92 2.0</t>
  </si>
  <si>
    <t>KIT EMBR. EMBR. CHEV. N300 190X18 SECO UBIC. K3-6</t>
  </si>
  <si>
    <t>KIT EMBR. EMBR. DAEWO 200X24 SECO UBIC. K3-6</t>
  </si>
  <si>
    <t>KIT EMBR. EMBR. VALEO 240MM</t>
  </si>
  <si>
    <t>KIT EMBR. FIAT FIORINO 190 LUK</t>
  </si>
  <si>
    <t>KIT-EMBR.-FIAT-PALIO-190--LUK</t>
  </si>
  <si>
    <t>kit fiat 190</t>
  </si>
  <si>
    <t>KIT EMBR. fiat palio</t>
  </si>
  <si>
    <t>KIT EMBR. FORD ECOSPORT 03/12 200MM S/ROD.</t>
  </si>
  <si>
    <t>KIT EMBR. FORD ECOSPORT 220 S/ROD. VALEO UBIC. K1-7</t>
  </si>
  <si>
    <t>FD60020</t>
  </si>
  <si>
    <t>KIT EMBR. FORD FOCUS FIESTA KA 200mm</t>
  </si>
  <si>
    <t>FD70050</t>
  </si>
  <si>
    <t>KIT EMBR. FORD RANGER 2.3 2.5 230X23 2PC UBIC K3-8</t>
  </si>
  <si>
    <t>KIT EMBR. FORD RANGER 2.3 2.5 BENC. LUK</t>
  </si>
  <si>
    <t>KIT EMBR. FORD RANGER 2.8 DIESEL</t>
  </si>
  <si>
    <t>KIT EMBR. FORD RANGER 3.2 BT50 270 X 23 LUK S/ROD.</t>
  </si>
  <si>
    <t>BT-20</t>
  </si>
  <si>
    <t>KIT EMBR. FUELLE HOMOC. CHEVROLET</t>
  </si>
  <si>
    <t>BT-139</t>
  </si>
  <si>
    <t>MT20270</t>
  </si>
  <si>
    <t>KIT EMBR. H100 L200 2.5</t>
  </si>
  <si>
    <t>HOVER</t>
  </si>
  <si>
    <t>KIT EMBR. HOVER</t>
  </si>
  <si>
    <t>KIT EMBR. HY H100 225 TERRACAN VALEO</t>
  </si>
  <si>
    <t>KIT EMBR. HY- TUCSON 2.0 235</t>
  </si>
  <si>
    <t>KIT EMBR. HY. ACCENT 06/11 240 MM VALEO</t>
  </si>
  <si>
    <t>KIT EMBR. HY. ACCENT 1.6 RB DIESEL 240 VALEO UBIC.K3-5</t>
  </si>
  <si>
    <t>KIT EMBR. HY. ACCENT 11/ 6 VEL. 210MM VALEO</t>
  </si>
  <si>
    <t>KIT EMBR. HY. ACCENT 11/ RIO 11/ 200X20</t>
  </si>
  <si>
    <t>KIT EMBR. HY. ACCENT 200 VALEO K3-8</t>
  </si>
  <si>
    <t>KIT EMBR. HY. ACCENT 200 X 20 6 VEL. VALEO</t>
  </si>
  <si>
    <t>KIT EMBR. HY. ACCENT 200MM VALEO</t>
  </si>
  <si>
    <t>KIT EMBR. HY. ACCENT DIESEL 215MM</t>
  </si>
  <si>
    <t>KIT EMBR. HY. ACCENT NEW 240MM VALEO</t>
  </si>
  <si>
    <t>KIT EMBR. HY. ACCENT PRIME 215MM VALEO</t>
  </si>
  <si>
    <t>KIT EMBR. HY. ACCENT RB 215 X 20</t>
  </si>
  <si>
    <t>KIT EMBR. HY. ACCENT RB 6 VEL. 200X20 SECO UBIC K3-6</t>
  </si>
  <si>
    <t>KIT EMBR. HY. ATOZ KIA MORNING EON 180MM UBIC. K1-1</t>
  </si>
  <si>
    <t>KEMRELANT</t>
  </si>
  <si>
    <t>KIT EMBR. HY. ELANTRA</t>
  </si>
  <si>
    <t>KIT EMBR. HY. ELANTRA 215mm VALEO</t>
  </si>
  <si>
    <t>KIT EMBR. HY. ELANTRA 215 X 20 VALEO</t>
  </si>
  <si>
    <t>KIT EMBR. HY. H-1 05-07 240 MM VALEO</t>
  </si>
  <si>
    <t>KIT EMBR. HY. H-100 240MM VALEO</t>
  </si>
  <si>
    <t>KIT EMBR. HY. H1 07/10 250X23 VALEO UBIC. K2-8</t>
  </si>
  <si>
    <t>KIT EMBR. HY. H1 12/14 260MM 6 VEL.</t>
  </si>
  <si>
    <t>KIT EMBR. HY. H1 2012/ 254 VALEO</t>
  </si>
  <si>
    <t>KIT EMBR. HY. H100 240 SECO</t>
  </si>
  <si>
    <t>KIT EMBR. HY. H100 2.5 225X23 VALEO</t>
  </si>
  <si>
    <t>KIT EMBR. HY. H100 225MM K5-4</t>
  </si>
  <si>
    <t>KIT EMBR. HY. H100 228 S/ROD. VALEO</t>
  </si>
  <si>
    <t>KIT EMBR. HY. H100 240MM VALEO</t>
  </si>
  <si>
    <t>KIT EMBR. HY. H100. 225MM. VALEO K5-4</t>
  </si>
  <si>
    <t>KIT EMBR. HY. I10 181 X 24 VALEO</t>
  </si>
  <si>
    <t>KIT EMBR. HY. i10 200mm</t>
  </si>
  <si>
    <t>H900183</t>
  </si>
  <si>
    <t>KIT EMBR. HY. I10 KIA MORNING 180X24 SECO UBIC. K3-7</t>
  </si>
  <si>
    <t>KIT EMBR. HY. I10 RIO MORNING 190mm VALEO</t>
  </si>
  <si>
    <t>KIT EMBR. HY. NEW H1 250 VALEO</t>
  </si>
  <si>
    <t>KIT EMBR. HY. STA. FE 09/14 240mm C/VOLANTE</t>
  </si>
  <si>
    <t>KIT EMBR. HY. STA. FE 2.4 SORENTO 240X23</t>
  </si>
  <si>
    <t>HA00880</t>
  </si>
  <si>
    <t>KIT EMBR. HY. TERRACAM 2.9 250MM</t>
  </si>
  <si>
    <t>KIT EMBR. HY. TERRACAN 225.</t>
  </si>
  <si>
    <t>KIT EMBR. HY. TERRACAN 250 LUK</t>
  </si>
  <si>
    <t>KIT EMBR. HY. TUCSON 235 X 132 D. C/VOLANTE</t>
  </si>
  <si>
    <t>KIT EMBR. HY. TUCSON 235</t>
  </si>
  <si>
    <t>KIT EMBR. HY. TUCSON 235.</t>
  </si>
  <si>
    <t>KIT EMBR. HY. TUCSON CAREN SPORT. 2 PZ.</t>
  </si>
  <si>
    <t>KIT EMBR. HY. TUCSON KIA 237 VALEO</t>
  </si>
  <si>
    <t>HA00610</t>
  </si>
  <si>
    <t>KIT EMBR. HY. TUCSON SPORTAGE 2PC.</t>
  </si>
  <si>
    <t>KIT EMBR. HYUNDAI ACCENT M215</t>
  </si>
  <si>
    <t>KIT EMBR. HYUNDAI ACCENT PRIMER 215MM</t>
  </si>
  <si>
    <t>KIT EMBR. HYUNDAI H1 07/09</t>
  </si>
  <si>
    <t>KIT EMBR. HYUNDAI I-10</t>
  </si>
  <si>
    <t>KIT EMBR. HYUNDAI SANTA FE 2.2</t>
  </si>
  <si>
    <t>KIT EMBR. KIA AVELLA RIO 1.3 1.5 200MM</t>
  </si>
  <si>
    <t>KIT EMBR. KIA CARNIVAL GRAN CARN. 2.9</t>
  </si>
  <si>
    <t>KIT EMBR. KIA CLARUS 225</t>
  </si>
  <si>
    <t>KIAFRONT</t>
  </si>
  <si>
    <t>KIT EMBR. KIA FRONTIER</t>
  </si>
  <si>
    <t>KIT EMBR. KIA MORNING 184MM VALEO UBIC. K3-1</t>
  </si>
  <si>
    <t>KIT EMBR. KIA RIO AVELLA 200X20 VALEO UBIC.K3-4</t>
  </si>
  <si>
    <t>KIT EMBR. KIA RIO JB 1.4 G4EE 215</t>
  </si>
  <si>
    <t>KITEMSOR</t>
  </si>
  <si>
    <t>KIT EMBR. KIA SORENTO</t>
  </si>
  <si>
    <t>KIT EMBR. KIT EMBRIAGUE TY. YARIS VALEO UBIC. K2-2</t>
  </si>
  <si>
    <t>KIT EMBR. LUV 2.3 215X24 S/ROD. VALEO</t>
  </si>
  <si>
    <t>kitembmb</t>
  </si>
  <si>
    <t>KITMB</t>
  </si>
  <si>
    <t>KIT EMBR. M. BENZ SPRINTER</t>
  </si>
  <si>
    <t>KIT EMBR. MAHINDRA</t>
  </si>
  <si>
    <t>KIT EMBR. MAHINDRA SCORPIO 2.2 240X21 INDIO UBIC. K2-10</t>
  </si>
  <si>
    <t>kitmax</t>
  </si>
  <si>
    <t>KITMAX</t>
  </si>
  <si>
    <t>KIT EMBR. MAXUS</t>
  </si>
  <si>
    <t>KIT EMBR. MAZDA 3 200mm</t>
  </si>
  <si>
    <t>KIT EMBR. MAZDA 323 190 VALEO</t>
  </si>
  <si>
    <t>KIT EMBR. MAZDA 323 ARTIS 200X20</t>
  </si>
  <si>
    <t>KIT EMBR. MAZDA B2500 240.</t>
  </si>
  <si>
    <t>fd80421</t>
  </si>
  <si>
    <t>FD80421</t>
  </si>
  <si>
    <t>KIT EMBR. MAZDA BT-50 / RANGER 3 pcs. 250mm</t>
  </si>
  <si>
    <t>MT30120</t>
  </si>
  <si>
    <t>KIT EMBR. MIT. L-300 215X23 2 PC. EXEDY</t>
  </si>
  <si>
    <t>KIT EMBR. MIT. L200 250 X 23 06/15</t>
  </si>
  <si>
    <t>KIT EMBR. MITS. L-200 275</t>
  </si>
  <si>
    <t>KIT EMBR. MITS. L200 1.6 200 X 20</t>
  </si>
  <si>
    <t>KIT EMBR. mits. l200 2.4 2016/</t>
  </si>
  <si>
    <t>KIT EMBR. MITSUB 1.6 1.8 250X20.</t>
  </si>
  <si>
    <t>KEMT074010</t>
  </si>
  <si>
    <t>KIT EMBR. MT. L200 KATANA 2.5 250 X 23 S/ROD. SECO</t>
  </si>
  <si>
    <t>KIT EMBR. MT. L200 KATANA 225 VALEO</t>
  </si>
  <si>
    <t>KIT EMBR. MZ. BT50 07/ 250mm</t>
  </si>
  <si>
    <t>versa</t>
  </si>
  <si>
    <t>VERSA</t>
  </si>
  <si>
    <t>KIT EMBR. NISS VERSA</t>
  </si>
  <si>
    <t>KIT-EMB-NISSAN-NP300</t>
  </si>
  <si>
    <t>KIT EMBR. NISSAN NP300</t>
  </si>
  <si>
    <t>KIT EMBR. NS J18 L18 225.</t>
  </si>
  <si>
    <t>KIT EMBR. NS NAVARA 2.5</t>
  </si>
  <si>
    <t>KIT EMBR. NS TIIDA SIN ROD. K5-3</t>
  </si>
  <si>
    <t>KIT EMBR. NS. D-21 KA24 240MM VALEO UBIC. K1-8</t>
  </si>
  <si>
    <t>KIT EMBR. NS. D21 S/ROD. 240 X24 VALEO</t>
  </si>
  <si>
    <t>KIT EMBR. NS. D21 KA24 240 VALEO UBIC. K2-4</t>
  </si>
  <si>
    <t>KEDT144010</t>
  </si>
  <si>
    <t>KIT EMBR. NS. D21 S/ROD. 240 X 24</t>
  </si>
  <si>
    <t>KEMNAVARA</t>
  </si>
  <si>
    <t>KIT EMBR. NS. NAVARA</t>
  </si>
  <si>
    <t>KINAV1</t>
  </si>
  <si>
    <t>KIT EMBR. NS. NAVARA 2.5</t>
  </si>
  <si>
    <t>KIT EMBR. NS. NP300 276 X 24</t>
  </si>
  <si>
    <t>KIT EMBR. NS. SUNNY 180mm</t>
  </si>
  <si>
    <t>KIT EMBR. NS. TERRANO 2.5</t>
  </si>
  <si>
    <t>FEDT604000</t>
  </si>
  <si>
    <t>KIT EMBR. NS. TERRANO 2.5 250</t>
  </si>
  <si>
    <t>KIT EMBR. NS. TERRANO 2.5 S/ROD. 250mm.</t>
  </si>
  <si>
    <t>KIT EMBR. NS. TERRANO 2.5 SECO 2 PCS. K4-6</t>
  </si>
  <si>
    <t>KIT EMBR. NS. TERRANO 2.5 250MM VALEO</t>
  </si>
  <si>
    <t>KIT EMBR. NS. TERRANO 2.5 250X24 EXEDY UBIC. K2-9</t>
  </si>
  <si>
    <t>KIT EMBR. NS. TERRANO 250.</t>
  </si>
  <si>
    <t>KIT EMBR. NS. TERRANO D22 250MM</t>
  </si>
  <si>
    <t>KIT EMBR. NS. TIIDA C/ROD. JP.</t>
  </si>
  <si>
    <t>KIT EMBR. NS. TIIDA S/ROD. VALEO</t>
  </si>
  <si>
    <t>KIT EMBR. NS. TIIDA SIN RDTO EMBR. VALEO</t>
  </si>
  <si>
    <t>FEDT114000</t>
  </si>
  <si>
    <t>KIT EMBR. NS. V16 190MM</t>
  </si>
  <si>
    <t>KIT EMBR. NS. V16 C/ROD. MRK LUK</t>
  </si>
  <si>
    <t>KIT EMBR. NS. V16 LUK CON ROD. INA</t>
  </si>
  <si>
    <t>fedt234000</t>
  </si>
  <si>
    <t>FEDT23400</t>
  </si>
  <si>
    <t>KIT EMBR. NS. V16 SECO</t>
  </si>
  <si>
    <t>KIT EMBR. NS. V16 190.</t>
  </si>
  <si>
    <t>KIT EMBR. NS. V16 LUK 190MM</t>
  </si>
  <si>
    <t>JEDT234000</t>
  </si>
  <si>
    <t>KIT EMBR. NS. V16 ORIGINAL C/PIOLA</t>
  </si>
  <si>
    <t>KEDT234010</t>
  </si>
  <si>
    <t>KIT EMBR. NS. V16 S/ROD. 190 X 18 SECO</t>
  </si>
  <si>
    <t>KIT EMBR. NS. V16 S/ROD. VALEO</t>
  </si>
  <si>
    <t>KIT EMBR. PALIO SIENA 1.3.</t>
  </si>
  <si>
    <t>KIT EMBR. PEUGEOT</t>
  </si>
  <si>
    <t>KIT EMBR. PEUGEOT 405. 200X16.</t>
  </si>
  <si>
    <t>KIT EMBR. PORTER 254 M VALEO</t>
  </si>
  <si>
    <t>KIT EMBR. PRIDE 180.</t>
  </si>
  <si>
    <t>0L00200</t>
  </si>
  <si>
    <t>KIT EMBR. RENAULT CLIO PLATINA 200X16 03/17 LUK</t>
  </si>
  <si>
    <t>KIT EMBR. RENAULT CLIO II 200MM.</t>
  </si>
  <si>
    <t>KIT EMBR. S7R SUZUKI ALTO 180</t>
  </si>
  <si>
    <t>KIT EMBR. SAMSUNG SM3 SIN ROD. VALEO UBIC. K3-3</t>
  </si>
  <si>
    <t>KIT EMBR. SM3 215 VALEO</t>
  </si>
  <si>
    <t>KIT EMBR. SM5 225 VALEO</t>
  </si>
  <si>
    <t>KIT EMBR. SN ROD. HYUNDAI H1 2012/</t>
  </si>
  <si>
    <t>KIT EMBR. SOLATI H350 D4CB PRENSA DISCO VOLANTE VALEO</t>
  </si>
  <si>
    <t>KIT EMBR. SSANGYONG</t>
  </si>
  <si>
    <t>KITSSAN</t>
  </si>
  <si>
    <t>KISSAN</t>
  </si>
  <si>
    <t>KIT EMBR. SSANGYONG ACTYON O.C. 41975</t>
  </si>
  <si>
    <t>KIT EMBR. SSANGYONG KORANDO 225X22 UBIC. K2-8</t>
  </si>
  <si>
    <t>KIT EMBR. SSANSUNG SM3 215 VALEO S/ROD.</t>
  </si>
  <si>
    <t>KIT EMBR. SUB. IMPRESA 225.</t>
  </si>
  <si>
    <t>KIT EMBR. SUBARU 225 X 24 VALEO</t>
  </si>
  <si>
    <t>KIT EMBR. SUZUKI 200mm SIN ROD.</t>
  </si>
  <si>
    <t>KIT EMBR. SUZUKI G. NOMADE TY. HILUX 227 X 21 VALEO UBIC. K3-5 K1-9 K2-10</t>
  </si>
  <si>
    <t>KIT EMBR. SZ 190.</t>
  </si>
  <si>
    <t>KIT EMBR. SZ CELERIO 190 VALEO</t>
  </si>
  <si>
    <t>KIT EMBR. SZ VITARA 215 MM VALEO</t>
  </si>
  <si>
    <t>KIT EMBR. SZ. AERI 200X20 VALEO UBIC. K1-3 K1-6</t>
  </si>
  <si>
    <t>KIT EMBR. SZ. ALTO MATIZ S/ROD. 170 X 18</t>
  </si>
  <si>
    <t>KIT EMBR. SZ. BALENO 190. SIN ROD.</t>
  </si>
  <si>
    <t>KIT EMBR. SZ. BALENO 190X 18 VALEO</t>
  </si>
  <si>
    <t>KIT EMBR. SZ. CELERIO CHANGAN 190X18 LUK</t>
  </si>
  <si>
    <t>KIT EMBR. SZ. DZIRE 13/17 SWIFT 1.2 12/17 190X18 VALEO UBIC. K1-3</t>
  </si>
  <si>
    <t>KIT EMBR. SZ. GRAN NOMADE 2.0 J20 06/14</t>
  </si>
  <si>
    <t>Z400330</t>
  </si>
  <si>
    <t>KIT EMBR. SZ. GRAN NOMADE 2.0 J20A</t>
  </si>
  <si>
    <t>sz08-szc04</t>
  </si>
  <si>
    <t>KIT EMBR. SZ. MARUTI FRONTE S/ROD. 160</t>
  </si>
  <si>
    <t>KIT EMBR. SZ. MASTER VAN 190MM</t>
  </si>
  <si>
    <t>KIT EMBR. SZ. MZ. 190 VALEO</t>
  </si>
  <si>
    <t>Z900044</t>
  </si>
  <si>
    <t>KIT EMBR. SZ. SJ413 190 X 20</t>
  </si>
  <si>
    <t>KIT EMBR. SZ. ST-90 SIN RODAM. VALEO UBIC. K3-1</t>
  </si>
  <si>
    <t>Z900054</t>
  </si>
  <si>
    <t>KIT EMBR. SZ. VITARA 1.6 G16A 215X20 EXEDY</t>
  </si>
  <si>
    <t>KIT EMBR. TATA</t>
  </si>
  <si>
    <t>KEMTYC</t>
  </si>
  <si>
    <t>KIT EMBR. TOY. COROLLA</t>
  </si>
  <si>
    <t>TY37260</t>
  </si>
  <si>
    <t>KIT EMBR. TOYOTA HILUX KUN</t>
  </si>
  <si>
    <t>KIT EMBR. TY HILUX 227 MM VALEO</t>
  </si>
  <si>
    <t>KIT EMBR. TY HILUX 242 MM VALEO</t>
  </si>
  <si>
    <t>KIT EMBR. TY TERCEL 200MM VALEO</t>
  </si>
  <si>
    <t>KIT EMBR. TY YARIS 216 VALEO</t>
  </si>
  <si>
    <t>KIT EMBR. TY. HILUX 2.5 06/ 260 X 21 VALEO</t>
  </si>
  <si>
    <t>KIT EMBR. TY. HILUX 2.5 2KD</t>
  </si>
  <si>
    <t>KIT EMBR. TY. HILUX 237X21 DAIHATSU</t>
  </si>
  <si>
    <t>KIT EMBR. TY. HILUX GUN 278 X 21 S/ROD.</t>
  </si>
  <si>
    <t>KIEMBTY</t>
  </si>
  <si>
    <t>KIT EMBR. TY. HILUX KUN</t>
  </si>
  <si>
    <t>KIT EMBR. TY. HILUX KUN 275 X 21 S/ROD. LUK</t>
  </si>
  <si>
    <t>KIT EMBR. TY. TERCEL 200MM VALEO</t>
  </si>
  <si>
    <t>KIT EMBR. TY. TERCEL 200MM</t>
  </si>
  <si>
    <t>KIT EMBR. TY. TERCEL 200MMX21 VALEO UBIC. K1-6 K2-8</t>
  </si>
  <si>
    <t>KIT EMBR. TY. TERCEL 200X21 SECO UBIC. K3-7</t>
  </si>
  <si>
    <t>KETY504010</t>
  </si>
  <si>
    <t>KIT EMBR. TY. YARIS S/ROD. 212 X 21 SECO</t>
  </si>
  <si>
    <t>SK119</t>
  </si>
  <si>
    <t>KIT EMBR. TY. YARIS 18/</t>
  </si>
  <si>
    <t>TY10634</t>
  </si>
  <si>
    <t>KIT EMBR. TY. YARIS 2 PCS. EXEDY</t>
  </si>
  <si>
    <t>KIEMBR</t>
  </si>
  <si>
    <t>KIT EMBR. VALEO</t>
  </si>
  <si>
    <t>KIT EMBR. VOLSW GOLF. 2.0 215MM</t>
  </si>
  <si>
    <t>KIT EMBR. VW. ESCARABAJO 180.</t>
  </si>
  <si>
    <t>KIT-EMBRAGUE-HD</t>
  </si>
  <si>
    <t>KIT EMBRAGUE HD35</t>
  </si>
  <si>
    <t>KIT EMPAQUETADURA CHEV. MONTANA 1.8</t>
  </si>
  <si>
    <t>KITEMP</t>
  </si>
  <si>
    <t>KIT EMPAQUETADURA DE MOTOR</t>
  </si>
  <si>
    <t>KIT EMPAQUETADURA H100 2.5 DIESEL</t>
  </si>
  <si>
    <t>KIT EMPAQUETADURA HYUNDAI H1</t>
  </si>
  <si>
    <t>KIT EMPAQUETADURA MAZDA B2200</t>
  </si>
  <si>
    <t>KIT EMPAQUETADURA MAZDA B2600</t>
  </si>
  <si>
    <t>KIT EMPAQUETADURA mitsubishi l 200 2.5</t>
  </si>
  <si>
    <t>KIT EMPAQUETADURA MOTOR HYUNDAI</t>
  </si>
  <si>
    <t>KIT EMPAQUETADURA suzuki maruti</t>
  </si>
  <si>
    <t>KIT EMPAQUETADURA SUZUKI VITARA 1.6</t>
  </si>
  <si>
    <t>KIT EMPAQUETADURA toyota hilux 2.4 2rz</t>
  </si>
  <si>
    <t>SPCH236203</t>
  </si>
  <si>
    <t>KIT REG. ALTURA CHEV. LUV</t>
  </si>
  <si>
    <t>LAVADO DE EQUIPO MOTOR Y CABINA</t>
  </si>
  <si>
    <t>LAVADO EN SECO 500ML.</t>
  </si>
  <si>
    <t>LENTES GRIS WURTH</t>
  </si>
  <si>
    <t>LETRERO TAXI C/IMAN</t>
  </si>
  <si>
    <t>LIJA AGUA G600 W-MAX</t>
  </si>
  <si>
    <t>LIJA AGUA G800 W-MAX</t>
  </si>
  <si>
    <t>LIJA MURO/MADERA G240 W-MAX</t>
  </si>
  <si>
    <t>LIJA MURO/MADERA G280 W-MAX</t>
  </si>
  <si>
    <t>AIRE COMPRIMIDO</t>
  </si>
  <si>
    <t>LIMPIA AIRE COMPRIMIDO WURTH</t>
  </si>
  <si>
    <t>CYCLO</t>
  </si>
  <si>
    <t>LIMPIA ALFOMBRA MAX CLEAN CYCLO</t>
  </si>
  <si>
    <t>MASTER</t>
  </si>
  <si>
    <t>LIMPIA ALFOMBRAS ULTRA FOAM CLEANER MASTER</t>
  </si>
  <si>
    <t>LIMPIA AROS DE LLANTAS SONAX</t>
  </si>
  <si>
    <t>LIMPIA CARB. LIQUI MTX VERGASERREININGER 300ML.</t>
  </si>
  <si>
    <t>CARBO-OFF</t>
  </si>
  <si>
    <t>LIMPIA CARBURADOR 300 ml. WURTH</t>
  </si>
  <si>
    <t>LIMPIA CARBURADOR HELP 400 ml.</t>
  </si>
  <si>
    <t>C-1</t>
  </si>
  <si>
    <t>LIMPIA CARBURADOR SPRAY CYCLO 354 GR.</t>
  </si>
  <si>
    <t>V-379 100021</t>
  </si>
  <si>
    <t>LIMPIA CARBURADOR VERSACHEM SPRAY 300GR.</t>
  </si>
  <si>
    <t>LIMPIA CATALITICO LIQUI MOLY 300ml</t>
  </si>
  <si>
    <t>LIMPIA CONT. CAR FRAN</t>
  </si>
  <si>
    <t>LIMPIA CONTACTO ELECTR. CYCLO 312GR.</t>
  </si>
  <si>
    <t>PTLC01</t>
  </si>
  <si>
    <t>LIMPIA CONTACTO ELECTRICO 155gr VERSACHEM</t>
  </si>
  <si>
    <t>LIMPIA CONTACTO HELP CONTACT 200ml</t>
  </si>
  <si>
    <t>LIMPIA CONTACTO VERSACHEM 240ml/170g</t>
  </si>
  <si>
    <t>W-max</t>
  </si>
  <si>
    <t>LIMPIA CONTACTO W-MAX 300ml WURTH</t>
  </si>
  <si>
    <t>LIMPIA CROMO Y METAL CYCLO</t>
  </si>
  <si>
    <t>LIMPIA DEPOSITO C/AUTOM. LIQUI MOLY 300ML</t>
  </si>
  <si>
    <t>LIMPIA EXTERMINADOR OLORES SONAX</t>
  </si>
  <si>
    <t>DIESEL-PART</t>
  </si>
  <si>
    <t>DIESEL PART</t>
  </si>
  <si>
    <t>LIMPIA FILTRO DIESEL LIQUI MOLY</t>
  </si>
  <si>
    <t>LIMPIA FILTRO PARTICULA LIQUI MOLY 250ml.</t>
  </si>
  <si>
    <t>LIMPIA FRENOS SPRAY 500ML</t>
  </si>
  <si>
    <t>LIMPIA INYECTOR BENC. LIQUI MOLY 300 ML.</t>
  </si>
  <si>
    <t>LIMPIA INYECTOR BENC. MAX 44 473ML.</t>
  </si>
  <si>
    <t>C44B</t>
  </si>
  <si>
    <t>LIMPIA INYECTOR BENC. MAX-44 237ML.</t>
  </si>
  <si>
    <t>LIMPIA INYECTOR BENCINA 355ML VERSACHEM</t>
  </si>
  <si>
    <t>C-40</t>
  </si>
  <si>
    <t>LIMPIA INYECTOR BENCINERO 350ML CYCLO</t>
  </si>
  <si>
    <t>LIMPIA INYECTOR DIESEL 250ML SYSTEMPFLEGE</t>
  </si>
  <si>
    <t>LIMPIA INYECTOR DIESEL 355ML VERSACHEM</t>
  </si>
  <si>
    <t>C-260</t>
  </si>
  <si>
    <t>LIMPIA INYECTOR DIESEL 6XT CYCLO</t>
  </si>
  <si>
    <t>LIMPIA INYECTOR DIESEL LIQUI M. 1 LT PURGE</t>
  </si>
  <si>
    <t>LIMPIA INYECTOR DIESEL LIQUI MOLY 250 ML.</t>
  </si>
  <si>
    <t>LIMPIA INYECTOR LUBRISTONE ELEVA OCTANAJE 350</t>
  </si>
  <si>
    <t>LIMPIA INYECTOR WURTH 200 ML</t>
  </si>
  <si>
    <t>CARBURETOR</t>
  </si>
  <si>
    <t>LIMPIA INYECTOR Y CARBURADOR DE BENCINA GUMOUT</t>
  </si>
  <si>
    <t>KLINESP</t>
  </si>
  <si>
    <t>LIMPIA LLANTAS KLINKAR ESPUMA</t>
  </si>
  <si>
    <t>LIMPIA MOTOR ENGINE FLUSH LIQUI MOLY</t>
  </si>
  <si>
    <t>LIMPIA MOTOR FLUSH 355CC CAR FRAN</t>
  </si>
  <si>
    <t>LIMPIA MOTOR FLUSH CYCLO 3 MINUTO 433ML</t>
  </si>
  <si>
    <t>LIMPIA MOTORES DESENGRANTE VERSACHEM</t>
  </si>
  <si>
    <t>LIMPIAPAR</t>
  </si>
  <si>
    <t>LIMPIA PARABRISA CONC. LUBRISTONE</t>
  </si>
  <si>
    <t>AS657 LIMPIA VIDRIO</t>
  </si>
  <si>
    <t>LIMPIA PARABRISA PRESTONE 3.78 LT.</t>
  </si>
  <si>
    <t>LIMPIA PARABRISA WURTH WATER OFF 100 ML.</t>
  </si>
  <si>
    <t>CLEANER</t>
  </si>
  <si>
    <t>LIMPIA RADIADOR LIQUI MOLY</t>
  </si>
  <si>
    <t>LIMPIA RADIADOR LIQUI MOLY 300ML.</t>
  </si>
  <si>
    <t>SHAM-500</t>
  </si>
  <si>
    <t>LIMPIA SHAMPOO AUTOBRILLANTE LUBRISTONE</t>
  </si>
  <si>
    <t>ARMORALL</t>
  </si>
  <si>
    <t>LIMPIA SHAMPOO CON CERA ARMORALL</t>
  </si>
  <si>
    <t>LIMPIA SILICON PROTECTOR 2000 VERSACHEM</t>
  </si>
  <si>
    <t>LIMPIA SPRAY RATONES</t>
  </si>
  <si>
    <t>LIMPIA TAPICES CLEANER SONAX</t>
  </si>
  <si>
    <t>C-392</t>
  </si>
  <si>
    <t>LIMPIA TAPIZ SPRAY ALFOMBRA</t>
  </si>
  <si>
    <t>C395</t>
  </si>
  <si>
    <t>LIMPIA TAPIZ Y ALFOMBRA CYCLO</t>
  </si>
  <si>
    <t>LIMPIA-500</t>
  </si>
  <si>
    <t>LIMPIA VIDRIOS Y PARABRISAS 500ML</t>
  </si>
  <si>
    <t>C207</t>
  </si>
  <si>
    <t>LIMPIA Y ANTICONGELANTE PARABRISA CYCLO</t>
  </si>
  <si>
    <t>REGMIT</t>
  </si>
  <si>
    <t>LIMPIA Y REGENERACIÓN L200 DPF</t>
  </si>
  <si>
    <t>LIMPIADOR DE FILTRO DE PARTICULAS DIESEL WURTH 400 ML</t>
  </si>
  <si>
    <t>P82220</t>
  </si>
  <si>
    <t>LIMPIADOR DE FRENO VERSACHEM</t>
  </si>
  <si>
    <t>LIMPIADOR DE FRENO W-MAX 500 ML. WURTH</t>
  </si>
  <si>
    <t>LIMPIADOR DE FRENOS Y LIMPIEZA WURTH 600ML</t>
  </si>
  <si>
    <t>LIMPIADOR FILTRO DPF WURTH 500 ml:</t>
  </si>
  <si>
    <t>LIQUIDO DE FRENO BOSCH DOT 3 200ml.</t>
  </si>
  <si>
    <t>LIQUIDO DE FRENO BOSCH DOT 3 500 ml.</t>
  </si>
  <si>
    <t>LIQUIDO DE FRENO BOSCH DOT 4 200ml.</t>
  </si>
  <si>
    <t>LIQUIDO DE FRENO BOSCH DOT 4 500 ml.</t>
  </si>
  <si>
    <t>FC-80420-500</t>
  </si>
  <si>
    <t>LIQUIDO DE FRENO VARGA 500ml DOT3</t>
  </si>
  <si>
    <t>LIQUIDO DE FRENO WAGNER 1 LT.</t>
  </si>
  <si>
    <t>LIQUIDO DE FRENO WAGNER 21 DOT3 1/4</t>
  </si>
  <si>
    <t>LIQUIDO DE FRENO WAGNER 21B 1 LT. ENVASE PLASTICO</t>
  </si>
  <si>
    <t>FC-9158B</t>
  </si>
  <si>
    <t>FC-9184B</t>
  </si>
  <si>
    <t>LIQUIDO DE FRENO WAGNER 250 ml. DOT3</t>
  </si>
  <si>
    <t>FC-9114B</t>
  </si>
  <si>
    <t>LIQUIDO DE FRENO WAGNER 355ml DOT3</t>
  </si>
  <si>
    <t>FC-120764B</t>
  </si>
  <si>
    <t>LIQUIDO DE FRENO WAGNER DOT 4 250M.</t>
  </si>
  <si>
    <t>LIQUIDO DE FRENO WAGNER DOT 4 237 ML</t>
  </si>
  <si>
    <t>LIQUIDO DE FRENO WAGNER DOT3 355 ML</t>
  </si>
  <si>
    <t>LIQFRENOWURTH</t>
  </si>
  <si>
    <t>LIQUIDO DE FRENO WURTH 250 ml.</t>
  </si>
  <si>
    <t>LL10</t>
  </si>
  <si>
    <t>LLAVE 10 MM. PUNTA CORONA</t>
  </si>
  <si>
    <t>LL11</t>
  </si>
  <si>
    <t>LLAVE 11 M. PUNTA CORONA</t>
  </si>
  <si>
    <t>LLAVE 11 MM. PUNTA CORONA</t>
  </si>
  <si>
    <t>LLAVE 12 MM. PUNTA CORONA</t>
  </si>
  <si>
    <t>LLAVE 13 MM- PUNTA CORONA</t>
  </si>
  <si>
    <t>LLAVE 14 MM. PUNTA CORONA</t>
  </si>
  <si>
    <t>LLAVE 17 MM. PUNTA CORONA</t>
  </si>
  <si>
    <t>LLAVE 19 MM. PUNTA CORONA</t>
  </si>
  <si>
    <t>llave25</t>
  </si>
  <si>
    <t>LLAVE25</t>
  </si>
  <si>
    <t>LLAVE BUIA INC. 12MM</t>
  </si>
  <si>
    <t>LL-50743-1</t>
  </si>
  <si>
    <t>LLAVE17</t>
  </si>
  <si>
    <t>LLAVE BUJIA 21mm GRANDE</t>
  </si>
  <si>
    <t>LLAVE27</t>
  </si>
  <si>
    <t>LLAVE BUJIA 14MM LARGA</t>
  </si>
  <si>
    <t>LLAVE13</t>
  </si>
  <si>
    <t>LLAVE BUJIA 16MM LARGA</t>
  </si>
  <si>
    <t>LLAVE BUJIA 16mm LARGA</t>
  </si>
  <si>
    <t>LLAVE26</t>
  </si>
  <si>
    <t>LLAVE BUJIA INC. 10MM</t>
  </si>
  <si>
    <t>LLAVE CADENA FILTRO</t>
  </si>
  <si>
    <t>LLAVE CADENA SACA FILTRO</t>
  </si>
  <si>
    <t>LLAVE-CR</t>
  </si>
  <si>
    <t>LLAVECRUZ</t>
  </si>
  <si>
    <t>LLAVE CRUZ</t>
  </si>
  <si>
    <t>LL-301-G</t>
  </si>
  <si>
    <t>LLAVE CRUZ LARGA</t>
  </si>
  <si>
    <t>LLAVE DE CALEFACCION CHEV CORSA 3 VIAS</t>
  </si>
  <si>
    <t>LLAVE SACA FILTRO C/CUERO</t>
  </si>
  <si>
    <t>LLAVE</t>
  </si>
  <si>
    <t>LLAVE VARIAS</t>
  </si>
  <si>
    <t>GM-076</t>
  </si>
  <si>
    <t>LOGO CHEVROLET</t>
  </si>
  <si>
    <t>GM-095</t>
  </si>
  <si>
    <t>DA-054</t>
  </si>
  <si>
    <t>LOGO EX SALOON</t>
  </si>
  <si>
    <t>KI-009</t>
  </si>
  <si>
    <t>LOGO KIA FONDO ROJO</t>
  </si>
  <si>
    <t>DA-066</t>
  </si>
  <si>
    <t>LOGO NISSAN</t>
  </si>
  <si>
    <t>DA-70</t>
  </si>
  <si>
    <t>DA-71</t>
  </si>
  <si>
    <t>DA-043</t>
  </si>
  <si>
    <t>DA-090</t>
  </si>
  <si>
    <t>GM-062</t>
  </si>
  <si>
    <t>LOGO OPEL</t>
  </si>
  <si>
    <t>SZ-017</t>
  </si>
  <si>
    <t>LOGO SUZUKI</t>
  </si>
  <si>
    <t>TO-077</t>
  </si>
  <si>
    <t>LOGO TOYOTA</t>
  </si>
  <si>
    <t>TO-067</t>
  </si>
  <si>
    <t>TO-501</t>
  </si>
  <si>
    <t>LUBRICANTE ANTI-OXIDO RADIADOR VERSACHEM</t>
  </si>
  <si>
    <t>AF2</t>
  </si>
  <si>
    <t>LUBRICANTE ANTIFRICCION PARA MOTOR 150ML</t>
  </si>
  <si>
    <t>GUNK</t>
  </si>
  <si>
    <t>LUBRICANTE LIMPIA INYECTOR DIESEL GUNK</t>
  </si>
  <si>
    <t>LUC JEAN</t>
  </si>
  <si>
    <t>LUC JEAN .</t>
  </si>
  <si>
    <t>LUCES CAMBIO UNIVERSAL</t>
  </si>
  <si>
    <t>MALLA PROTECTORA</t>
  </si>
  <si>
    <t>MANGUERA AGUA 1'' 200 PSI 25MM</t>
  </si>
  <si>
    <t>MANGUERA AGUA 1/2 200PSI 13MM</t>
  </si>
  <si>
    <t>MANGUERA AGUA 3/4 200PSI 19MM</t>
  </si>
  <si>
    <t>MANGAM</t>
  </si>
  <si>
    <t>MANGUERA AMARILLA</t>
  </si>
  <si>
    <t>MB6</t>
  </si>
  <si>
    <t>MANGUERA BENCINA AMARILLA 6 mm</t>
  </si>
  <si>
    <t>MANGUERA CHEV. CORSA INFERIOR RADIADOR</t>
  </si>
  <si>
    <t>MANGUERA CHEV. CORSA SUPERIOR</t>
  </si>
  <si>
    <t>MANGUERA CHEV. CORSA SUPERIOR RADIADOR</t>
  </si>
  <si>
    <t>MANGUERA CHEV. LUV 2.3 SUPERIOR RADIADOR</t>
  </si>
  <si>
    <t>MANG</t>
  </si>
  <si>
    <t>MANGUERA COMBUSTIBLE</t>
  </si>
  <si>
    <t>MANGUERA NEGRA 10MM 3/8 NORFLEX BENCINA</t>
  </si>
  <si>
    <t>MANGUERA NEGRA 13 MM 1/2 BENCINA</t>
  </si>
  <si>
    <t>MANGUERA NEGRA 6 MM 1/4 LUCIFLEX REF. BENCINA</t>
  </si>
  <si>
    <t>MANGUERA NEGRA 8 MM 5/16 LUCIFLEX BENCINA</t>
  </si>
  <si>
    <t>MANGUERA NS. V16 INFERIOR</t>
  </si>
  <si>
    <t>MANGUERA RADIADOR NS. V16 SUPERIOR</t>
  </si>
  <si>
    <t>MANGUERA RADIADOR NS. V16 GA16 INFERIOR</t>
  </si>
  <si>
    <t>SPAGUETTI10</t>
  </si>
  <si>
    <t>MANGUERA SPAGUETTI NEGRO 10MM</t>
  </si>
  <si>
    <t>SPAGUETTI12</t>
  </si>
  <si>
    <t>MANGUERA SPAGUETTI NEGRO 12MM</t>
  </si>
  <si>
    <t>SPAGUETTI8</t>
  </si>
  <si>
    <t>MANGUERA SPAGUETTI NEGRO 8MM</t>
  </si>
  <si>
    <t>MANILLA ALZA VIDRIO SZ CARRY / VITARA</t>
  </si>
  <si>
    <t>MANILLA PORTALON NISSAN</t>
  </si>
  <si>
    <t>MANILLA PUERTA INT. DEL. IZQ. SZ VITARA</t>
  </si>
  <si>
    <t>TA-024-26506</t>
  </si>
  <si>
    <t>MANILLA PUERTA C/ LLAVE TIPO T</t>
  </si>
  <si>
    <t>MANILLA PUERTA EXT. CHEV. LUV 89/ IZQ.</t>
  </si>
  <si>
    <t>MANILLA PUERTA EXT. IZQ. NISSAN V16</t>
  </si>
  <si>
    <t>H100990</t>
  </si>
  <si>
    <t>MANILLA PUERTA HY. H100 EXTERIOR IZQ. PLASTICA</t>
  </si>
  <si>
    <t>MANILLA PUERTA INT. DER. NISSAN V16</t>
  </si>
  <si>
    <t>MANILLA PUERTA INT. IZQ. NISSAN V16</t>
  </si>
  <si>
    <t>MASC. CHEV. LUV 89-90 NEGRA</t>
  </si>
  <si>
    <t>L110210</t>
  </si>
  <si>
    <t>MASC. CHEV. LUV 96/97 CON SILVIN</t>
  </si>
  <si>
    <t>L110750</t>
  </si>
  <si>
    <t>MASC. CHEV. LUV 98/</t>
  </si>
  <si>
    <t>L100130</t>
  </si>
  <si>
    <t>MASC. CHEV. LUV 99/2001 GRIS</t>
  </si>
  <si>
    <t>L110200</t>
  </si>
  <si>
    <t>MASC. CHEV. LUV AÑO 93/ 95.</t>
  </si>
  <si>
    <t>MASC. CHEV. LUV AÑO 97</t>
  </si>
  <si>
    <t>MASC. CHEV. LUV D-MAX AÑO 2004.</t>
  </si>
  <si>
    <t>CRCH150121</t>
  </si>
  <si>
    <t>MASC. CHEV. SAIL 2016/</t>
  </si>
  <si>
    <t>MASC. NS. D-21 NEGRA</t>
  </si>
  <si>
    <t>MASC. NS. D-21 NEGRA 93/2008</t>
  </si>
  <si>
    <t>MASC. NS. D21 CROMADA</t>
  </si>
  <si>
    <t>MASC. NS. D22 CROMADA</t>
  </si>
  <si>
    <t>MASC. NS. V 16 05/</t>
  </si>
  <si>
    <t>MASC. TOYOTA 4 X 4 AÑO 2002/ 2004</t>
  </si>
  <si>
    <t>TY70078</t>
  </si>
  <si>
    <t>MASC. TY. NEW YARIS 06-09 SEDAN NEGRA</t>
  </si>
  <si>
    <t>CRDT140110</t>
  </si>
  <si>
    <t>MASCARA NS. D21 KA24 CROMADA</t>
  </si>
  <si>
    <t>MASCARA CHEV. CORSA 00/ NEGRA</t>
  </si>
  <si>
    <t>CRCH230102</t>
  </si>
  <si>
    <t>CRCH23102</t>
  </si>
  <si>
    <t>MASCARA CHEV. LUV 89-90</t>
  </si>
  <si>
    <t>CRCH230101</t>
  </si>
  <si>
    <t>MASCARA CHEV. LUV 89/90</t>
  </si>
  <si>
    <t>CRCH23106</t>
  </si>
  <si>
    <t>CRCH230105</t>
  </si>
  <si>
    <t>MASCARA CHEV. LUV 93-95</t>
  </si>
  <si>
    <t>L110490</t>
  </si>
  <si>
    <t>CRCH330111</t>
  </si>
  <si>
    <t>MASCARA CHEV. LUV 96-98 GRIS C/SEAL BEAM</t>
  </si>
  <si>
    <t>CRCH230111</t>
  </si>
  <si>
    <t>MASCARA CHEV. LUV 96/</t>
  </si>
  <si>
    <t>CRCH330112</t>
  </si>
  <si>
    <t>MASCARA CHEV. LUV 97/ CROMADA</t>
  </si>
  <si>
    <t>MASCARA CHEV. LUV 97/98</t>
  </si>
  <si>
    <t>MASCARA CHEV. SAIL 1.4</t>
  </si>
  <si>
    <t>MASCARA DAEWOO LANOS</t>
  </si>
  <si>
    <t>MASDONG</t>
  </si>
  <si>
    <t>MASCARA DONGFENG</t>
  </si>
  <si>
    <t>MASFORD</t>
  </si>
  <si>
    <t>MASCARA FORD</t>
  </si>
  <si>
    <t>MASCARA--HY--ACCENT--RB</t>
  </si>
  <si>
    <t>MASCARA HY ACCENT RB</t>
  </si>
  <si>
    <t>MASCARA HY I 10 08/10</t>
  </si>
  <si>
    <t>MASC</t>
  </si>
  <si>
    <t>MASCARA HYUN. ACCENT</t>
  </si>
  <si>
    <t>MASCKR</t>
  </si>
  <si>
    <t>MASCARA KIA RIO 4</t>
  </si>
  <si>
    <t>MASCARA MIT L200 2014</t>
  </si>
  <si>
    <t>MASCARA mits. l200</t>
  </si>
  <si>
    <t>SDT230105</t>
  </si>
  <si>
    <t>MASCARA NISSAN V16</t>
  </si>
  <si>
    <t>MASCARA NS. D21</t>
  </si>
  <si>
    <t>CRDT140106</t>
  </si>
  <si>
    <t>MASCARA NS. D21 94/11 GRIS</t>
  </si>
  <si>
    <t>MASCARA NS. D21 CROMADA</t>
  </si>
  <si>
    <t>CRDT600102</t>
  </si>
  <si>
    <t>MASCARA NS. TERRANO 03/14</t>
  </si>
  <si>
    <t>CRDT450104</t>
  </si>
  <si>
    <t>MASCARA NS. TIIDA 15/16</t>
  </si>
  <si>
    <t>MASCARA NS. TIIDA 2010/ NEGRA</t>
  </si>
  <si>
    <t>MASCARA NS. V16 05-10 NEGRA</t>
  </si>
  <si>
    <t>CRDT230105</t>
  </si>
  <si>
    <t>MASCARA NS. V16 05/11 NEGRA</t>
  </si>
  <si>
    <t>MASCARA SAMSUNG SM3</t>
  </si>
  <si>
    <t>MASCARA SAMSUNG SM3 06/11 ORIGINAL</t>
  </si>
  <si>
    <t>TY30070</t>
  </si>
  <si>
    <t>MASCARA TY TERCEL 95/97 TAIWAN</t>
  </si>
  <si>
    <t>MASCARA TY. TERCEL 95-97</t>
  </si>
  <si>
    <t>MASCARA TY. YARIS 03-06</t>
  </si>
  <si>
    <t>MASCARA TY. YARIS 06/</t>
  </si>
  <si>
    <t>CRTY500106</t>
  </si>
  <si>
    <t>MASCARA TY. YARIS 06/09</t>
  </si>
  <si>
    <t>CRTY500112</t>
  </si>
  <si>
    <t>CRTY50012</t>
  </si>
  <si>
    <t>MASCARA TY. YARIS 10-13 NEGRA</t>
  </si>
  <si>
    <t>TY10450</t>
  </si>
  <si>
    <t>MASCARA TY. YARIS 2003/2005</t>
  </si>
  <si>
    <t>MASCARA-VERNA</t>
  </si>
  <si>
    <t>MASCARA VERNA</t>
  </si>
  <si>
    <t>C-301</t>
  </si>
  <si>
    <t>MASILLA EPOXICA CYCLO</t>
  </si>
  <si>
    <t>MATAPERRO 4 X 4 2002/2004.</t>
  </si>
  <si>
    <t>L111290</t>
  </si>
  <si>
    <t>MATAPERRO CHEV. LUV 89/92</t>
  </si>
  <si>
    <t>L111270</t>
  </si>
  <si>
    <t>MATAPERRO CHEV. LUV 93-96</t>
  </si>
  <si>
    <t>L111280</t>
  </si>
  <si>
    <t>MATAPERRO CHV LUV 97/01</t>
  </si>
  <si>
    <t>TYP011NA</t>
  </si>
  <si>
    <t>MATAPERRO TY HILUX 02/04</t>
  </si>
  <si>
    <t>MATAPERRO TY. HALUX</t>
  </si>
  <si>
    <t>mzdcol</t>
  </si>
  <si>
    <t>MZDCOL</t>
  </si>
  <si>
    <t>MAZA CHEVROLET COLORADO</t>
  </si>
  <si>
    <t>MAZA DEL. CHEV AVEO</t>
  </si>
  <si>
    <t>MAZA DEL. CHEV. OPTRA VIVAN</t>
  </si>
  <si>
    <t>MAZA DEL. HYUNDAI ELANTRA</t>
  </si>
  <si>
    <t>MAZA DEL. JEEP GRAN CHEROKEE 2000/04 4X4</t>
  </si>
  <si>
    <t>0N00250</t>
  </si>
  <si>
    <t>MAZA DEL. NS. NAVARA 4X4</t>
  </si>
  <si>
    <t>MAZA DEL. NS. TIIDA 05/ KAF</t>
  </si>
  <si>
    <t>FEDT231703</t>
  </si>
  <si>
    <t>MAZA DEL. NS. V16 SENTRA II KAF</t>
  </si>
  <si>
    <t>MAZA DEL. SZ. GRAN VITARA 2001/</t>
  </si>
  <si>
    <t>TY05497</t>
  </si>
  <si>
    <t>MAZA DEL. TY. HILUX KUN 04/ SKF</t>
  </si>
  <si>
    <t>MAZA DEL.NS. TIIDA C/ABS</t>
  </si>
  <si>
    <t>MAZA RDA DEL C/ RODAMIENTO NS TIIDA 1.6 1.8</t>
  </si>
  <si>
    <t>MAZA RDA. DEL TY TERCEL 90/94</t>
  </si>
  <si>
    <t>MAZA RDA. DEL VOLSW GOLF</t>
  </si>
  <si>
    <t>MAZA RDA. DEL. CHEV. AVEO SAIL 1.4 SPARK GT</t>
  </si>
  <si>
    <t>MAZA RDA. DEL. CORSA DAEWOO</t>
  </si>
  <si>
    <t>MAZA RDA. DEL. HY. ACCENT RB 1.4</t>
  </si>
  <si>
    <t>MAZA RDA. DEL. HY. CCENT RB KIA RIO 2012/ AF</t>
  </si>
  <si>
    <t>MAZA RDA. DEL. NS. V16</t>
  </si>
  <si>
    <t>MAZA RDA. DEL. TY. YARIS 06/13 C/ABS</t>
  </si>
  <si>
    <t>MAZA RDA. TRAS HY. ACCENT RB 11/ KAF</t>
  </si>
  <si>
    <t>MAZA RDA. TRAS. DELNEW YARIS</t>
  </si>
  <si>
    <t>MAZA RDA. TRAS. HY. ACCENT RB 11/ C/ABS KAF</t>
  </si>
  <si>
    <t>MAZA RDA. TRAS. NS SENTRA 1.8 B15</t>
  </si>
  <si>
    <t>MAZA RDA. TRAS. NS. V16</t>
  </si>
  <si>
    <t>MAZA RDA. TRAS. NS. V16 SKF</t>
  </si>
  <si>
    <t>MAZA RUEDA TRAS. &lt;</t>
  </si>
  <si>
    <t>FEDT451713</t>
  </si>
  <si>
    <t>MAZA RUEDA TRAS. NS. TIIDA</t>
  </si>
  <si>
    <t>MAZA RUEDA TRAS. NS. V16</t>
  </si>
  <si>
    <t>MAZA RUEDA TRASERO CHEV. AVEO 04-13 SPARK</t>
  </si>
  <si>
    <t>TY3108</t>
  </si>
  <si>
    <t>MAZA TRAS TY. YARIS 99/05.</t>
  </si>
  <si>
    <t>MAZA TRAS. NS. TIIDA KAF</t>
  </si>
  <si>
    <t>MAZA TRAS. NS. TIIDA C/ROD. C/ABS 4 PERNOS 06/14 WURTEX</t>
  </si>
  <si>
    <t>FEDT231723</t>
  </si>
  <si>
    <t>MAZA TRAS. NS. V16</t>
  </si>
  <si>
    <t>MAZA TRAS. NS. V16 ATSUKI</t>
  </si>
  <si>
    <t>MAZA TRAS. NS. V16 SENTRA II KAF</t>
  </si>
  <si>
    <t>MAZA-DEL-IZQ</t>
  </si>
  <si>
    <t>MAZA DEL TY RAV4</t>
  </si>
  <si>
    <t>TRBB000148</t>
  </si>
  <si>
    <t>MENSULA CHEV. SAIL 1.4 DER. 11/17</t>
  </si>
  <si>
    <t>TRBB000149</t>
  </si>
  <si>
    <t>MENSULA CHEV. SAIL 1.4 IZQ. 11/17</t>
  </si>
  <si>
    <t>MENSULA DER NEW YARIS</t>
  </si>
  <si>
    <t>MENSULA PARACH. NS. TIIDA DEL. DER.</t>
  </si>
  <si>
    <t>MENSULA PARACH. NS. TIIDA DEL. IZQ.</t>
  </si>
  <si>
    <t>MENSULA</t>
  </si>
  <si>
    <t>MENSULA PARACHOQUE</t>
  </si>
  <si>
    <t>MENSULA--OPTICO</t>
  </si>
  <si>
    <t>MENSULA BAJO OPTICO DER HY ACCENT RB</t>
  </si>
  <si>
    <t>MENSUA-OPTICO</t>
  </si>
  <si>
    <t>MENSULA BAJO OPTICO IZQ HY ACCENT RB</t>
  </si>
  <si>
    <t>MENSULA-ACCENT</t>
  </si>
  <si>
    <t>MENSULA PARACHOQ. DER HY ACCENT RB</t>
  </si>
  <si>
    <t>MENSULA-PARACHOQ</t>
  </si>
  <si>
    <t>MENUSLA PARACHOQ. IZQ HY ACCENT RB</t>
  </si>
  <si>
    <t>METAL COMP.DEL.DER.STD HYUNDAI - MITS. 2.4</t>
  </si>
  <si>
    <t>METAL COMP.TRAS.IZQ STD HYUNDAI - MITS.</t>
  </si>
  <si>
    <t>METAL COMPENSADOR HYUNDAI - MITSB.</t>
  </si>
  <si>
    <t>METAL-BIELA-BT-50</t>
  </si>
  <si>
    <t>METAL BIELA MZD BT-50</t>
  </si>
  <si>
    <t>METAL BIELA STD NISS. V16</t>
  </si>
  <si>
    <t>MICA AZUL BALIZA</t>
  </si>
  <si>
    <t>MICA BALIZA AMBAR</t>
  </si>
  <si>
    <t>x-1212</t>
  </si>
  <si>
    <t>MICA MERCEDES BENZ</t>
  </si>
  <si>
    <t>MODULO ELECTRONICO CHEV</t>
  </si>
  <si>
    <t>MODULO ENC. CHEV. 250 UNIVERSAL REGITAR</t>
  </si>
  <si>
    <t>MODULO ENC. CHEV. MONZA</t>
  </si>
  <si>
    <t>MODULO ENC. CHEV. MONZA DAEWOO</t>
  </si>
  <si>
    <t>MODULO ENCENDIDO HONDA</t>
  </si>
  <si>
    <t>MODULO ENCENDIDO MITSUBISHI</t>
  </si>
  <si>
    <t>ES108</t>
  </si>
  <si>
    <t>MOLDURA BLANCA BUMPER</t>
  </si>
  <si>
    <t>MOLDURA CROMADA</t>
  </si>
  <si>
    <t>MOLDURA OPTICO IZQ. NS. V16 (BIGOTE)</t>
  </si>
  <si>
    <t>MOTOR CREMALLERA DEL IZQ HY ELANTRA</t>
  </si>
  <si>
    <t>MOTOR PARTIDA FORD RANGER</t>
  </si>
  <si>
    <t>MOTOR PARTIDA NISSAN V-16</t>
  </si>
  <si>
    <t>MOTOR PARTIDA NS. D21</t>
  </si>
  <si>
    <t>MOTOR DE PARTIDA CHEV SPARK 04/</t>
  </si>
  <si>
    <t>MOTOR DE PARTIDA CHEV VIVANT 1.4</t>
  </si>
  <si>
    <t>MOTOR DE PARTIDA CHEV. AVEO SAIL</t>
  </si>
  <si>
    <t>MOTOR DE PARTIDA CHEV. CORSA</t>
  </si>
  <si>
    <t>MOTOR DE PARTIDA CHEV. CORSA 1.4/1.6 ECHLIN</t>
  </si>
  <si>
    <t>MOTOR DE PARTIDA CHEV. CORSA 9 DTE</t>
  </si>
  <si>
    <t>MOTPARTCRUZE</t>
  </si>
  <si>
    <t>MOTPARCRUZE</t>
  </si>
  <si>
    <t>MOTOR DE PARTIDA CHEV. CRUZE</t>
  </si>
  <si>
    <t>MOTOR DE PARTIDA CHEV. DMAX 3.0</t>
  </si>
  <si>
    <t>MOTOR DE PARTIDA CHEV. LUV 2.2</t>
  </si>
  <si>
    <t>MOTOR DE PARTIDA CHEV. LUV 2.2 ECHLIN</t>
  </si>
  <si>
    <t>MOTOR DE PARTIDA CHEV. LUV 2.3</t>
  </si>
  <si>
    <t>MOTOR DE PARTIDA CHEV. LUV 2.3 ECHLIN</t>
  </si>
  <si>
    <t>MOTOR DE PARTIDA CHEV. LUV 2.3 REMY</t>
  </si>
  <si>
    <t>MOTOR DE PARTIDA CHEV. LUV DMAX 9 D.</t>
  </si>
  <si>
    <t>MOTOR DE PARTIDA CHEV. S.10 2.4</t>
  </si>
  <si>
    <t>MOTOR DE PARTIDA CHEV. SAIL 1.4</t>
  </si>
  <si>
    <t>MOTOR DE PARTIDA CHEVROLET LUV 89/ 1.6 2.3</t>
  </si>
  <si>
    <t>MOTOR DE PARTIDA DAIHATSU 550 S60</t>
  </si>
  <si>
    <t>MPDOG</t>
  </si>
  <si>
    <t>MOTOR DE PARTIDA DODGE CARAVAN 3.6</t>
  </si>
  <si>
    <t>MOTOR DE PARTIDA DW RACER</t>
  </si>
  <si>
    <t>MOTOR DE PARTIDA FORD AEROSTAR 2.3 2.5 10 DTS</t>
  </si>
  <si>
    <t>MOTOR DE PARTIDA FORD RANGER 2.5 2.3 93/2006 BENC.</t>
  </si>
  <si>
    <t>MOTOR DE PARTIDA HY H1 2.5 08/ PLANO DELGADO</t>
  </si>
  <si>
    <t>MOTOR DE PARTIDA HY. ACCENT RIO 11/</t>
  </si>
  <si>
    <t>MOTOR DE PARTIDA HY. H100 2.5 10D.</t>
  </si>
  <si>
    <t>MOTOR DE PARTIDA HYUNDAI SANTA FE</t>
  </si>
  <si>
    <t>MOTOR DE PARTIDA ISUZU 2.3</t>
  </si>
  <si>
    <t>MOTOR DE PARTIDA KIA CERATO 2005/08 10D.</t>
  </si>
  <si>
    <t>MOTOR DE PARTIDA KIA FRONTIER 2.5</t>
  </si>
  <si>
    <t>MOTOR DE PARTIDA LUV 2.2</t>
  </si>
  <si>
    <t>MOTOR DE PARTIDA MAZDA 323</t>
  </si>
  <si>
    <t>MOTOR DE PARTIDA MITS / MAZDA</t>
  </si>
  <si>
    <t>MOTOR DE PARTIDA MITS. L200 2.5 07/ 10 D.</t>
  </si>
  <si>
    <t>MT-MIT4</t>
  </si>
  <si>
    <t>MOTOR DE PARTIDA MITS. L200 KATANA 10 D.</t>
  </si>
  <si>
    <t>MOTOR DE PARTIDA NISSAN 150 Y 12V 9D</t>
  </si>
  <si>
    <t>MOTOR DE PARTIDA NISSAN D21 L18 9DT.</t>
  </si>
  <si>
    <t>MOTOR DE PARTIDA NISSAN J-18 12V 9D</t>
  </si>
  <si>
    <t>MOTOR DE PARTIDA NISSAN L-18</t>
  </si>
  <si>
    <t>MOTOR DE PARTIDA NISSAN PRIMERA</t>
  </si>
  <si>
    <t>MOTOR DE PARTIDA NISSAN TD27</t>
  </si>
  <si>
    <t>MOTOR DE PARTIDA NISSAN V16 CORTO 12V</t>
  </si>
  <si>
    <t>MOTOR DE PARTIDA NISSAN Z-20</t>
  </si>
  <si>
    <t>MOTOR DE PARTIDA NS V16</t>
  </si>
  <si>
    <t>MOTOR DE PARTIDA NS. 150Y J18 720</t>
  </si>
  <si>
    <t>MOTOR DE PARTIDA NS. D21 2.4 PUNTA ECHLIN</t>
  </si>
  <si>
    <t>MOTOR DE PARTIDA NS. D21 KA24</t>
  </si>
  <si>
    <t>MOTOR DE PARTIDA NS. E-16 LARGO</t>
  </si>
  <si>
    <t>0N00230</t>
  </si>
  <si>
    <t>MOTOR DE PARTIDA NS. NAVARA 2.5</t>
  </si>
  <si>
    <t>MOTOR DE PARTIDA NS. NP300 15/</t>
  </si>
  <si>
    <t>MOTOR DE PARTIDA NS. TERRANO 2.5</t>
  </si>
  <si>
    <t>MOTOR DE PARTIDA NS. TERRANO 2.5 DIESEL</t>
  </si>
  <si>
    <t>MOTOR DE PARTIDA NS. TERRANO 2.5 YD25</t>
  </si>
  <si>
    <t>MOTOR DE PARTIDA NS. TIIDA</t>
  </si>
  <si>
    <t>MOTOR DE PARTIDA NS. V16 GA16 95/2002 CORTO</t>
  </si>
  <si>
    <t>MOTOR DE PARTIDA NS. V16 GA16 LARGO</t>
  </si>
  <si>
    <t>MOTOR DE PARTIDA SM3</t>
  </si>
  <si>
    <t>MOTOR DE PARTIDA SUZUKI ST-90</t>
  </si>
  <si>
    <t>MOTOR DE PARTIDA SZ BALENO 94/04</t>
  </si>
  <si>
    <t>MOTOR DE PARTIDA TOYOTA</t>
  </si>
  <si>
    <t>MOTOR DE PARTIDA TOYOTA HILUX 22R</t>
  </si>
  <si>
    <t>MOTOR DE PARTIDA TY TERCEL 1.5 93/ ECHLIN</t>
  </si>
  <si>
    <t>MOTOR DE PARTIDA TY YARIS</t>
  </si>
  <si>
    <t>MOTOR DE PARTIDA TY. HILUX 2.4 22R 93/97</t>
  </si>
  <si>
    <t>MOTOR DE PARTIDA TY. YARIS 99/13 9D. SIAS</t>
  </si>
  <si>
    <t>MOTOR PARTIDA SAIL 1.4</t>
  </si>
  <si>
    <t>MT-BIELA-HD</t>
  </si>
  <si>
    <t>MT BIELA HD35</t>
  </si>
  <si>
    <t>MT-AXIAL</t>
  </si>
  <si>
    <t>MT AXIAL HD35</t>
  </si>
  <si>
    <t>MT-BANCADA-HD</t>
  </si>
  <si>
    <t>MT BANCADA HD35</t>
  </si>
  <si>
    <t>RODAMIENTOS</t>
  </si>
  <si>
    <t>MUÑON CHEV. SPARK DER.</t>
  </si>
  <si>
    <t>MUÑON DER NISSAN TERRANO</t>
  </si>
  <si>
    <t>MUÑON IZQ</t>
  </si>
  <si>
    <t>NEBLINERO AMARILLO</t>
  </si>
  <si>
    <t>NEBLINERO BLANCO</t>
  </si>
  <si>
    <t>CH10270</t>
  </si>
  <si>
    <t>NEBLINERO CHERY IQ. IZQ. 08/</t>
  </si>
  <si>
    <t>NEBLINERO CHEV. SAIL 11/ IZQUIERDO</t>
  </si>
  <si>
    <t>NEBLINERO CHEV. SPARK GT 10-12 DER.</t>
  </si>
  <si>
    <t>NEBLINERO CHV CORSA IZQ.</t>
  </si>
  <si>
    <t>L110550</t>
  </si>
  <si>
    <t>NEBLINERO CHV LUV IZQ. 2003</t>
  </si>
  <si>
    <t>NEBLINERO DER. CHEV S-10</t>
  </si>
  <si>
    <t>NEBLINERO DER. KIA RIO 1.4 2012 / 2014</t>
  </si>
  <si>
    <t>0T00148</t>
  </si>
  <si>
    <t>NEBLINERO DER. NS TIIDA 05/</t>
  </si>
  <si>
    <t>NEBLINERO HY. ACCENT RB 11/ DER.</t>
  </si>
  <si>
    <t>NEBLINERO HY. ACCENT RB 11/ IZQ.</t>
  </si>
  <si>
    <t>NEBLINERO IZQ .MAZDA 3</t>
  </si>
  <si>
    <t>FMCH010922</t>
  </si>
  <si>
    <t>NEBLINERO IZQ. CORSA PLUS 04/</t>
  </si>
  <si>
    <t>NEBLINERO</t>
  </si>
  <si>
    <t>NABLINERO</t>
  </si>
  <si>
    <t>NEBLINERO IZQ. HYUNDAI I-10</t>
  </si>
  <si>
    <t>NEBLINERO IZQ. HYUNDAI I10</t>
  </si>
  <si>
    <t>MD30153</t>
  </si>
  <si>
    <t>NEBLINERO IZQ. MAZDA 3 03/05</t>
  </si>
  <si>
    <t>NEBLINERO IZQ. MAZDA 3 2003/</t>
  </si>
  <si>
    <t>0T00138</t>
  </si>
  <si>
    <t>NEBLINERO IZQ. NS TIIDA 05/</t>
  </si>
  <si>
    <t>NEBLINERO KIA CERATO DERECHO 2006</t>
  </si>
  <si>
    <t>NEBLINERO KIA CERATO IZQ. 2009</t>
  </si>
  <si>
    <t>NEBLINERO KIA RIO 1.4 20012 / 2014</t>
  </si>
  <si>
    <t>NEBLINERO MITS. MONTERO</t>
  </si>
  <si>
    <t>OT00138</t>
  </si>
  <si>
    <t>NEBLINERO NS TIIDA IZQ. 2005</t>
  </si>
  <si>
    <t>NEBLINERO PEUGEOT 306 IZQ.</t>
  </si>
  <si>
    <t>N876-AM</t>
  </si>
  <si>
    <t>NEBLINERO RECT. CROMADO AMBAR</t>
  </si>
  <si>
    <t>NEBLINERO SAMSUNG SM3 1 AMP. IZQ.</t>
  </si>
  <si>
    <t>NEBLINERO SM3 06/14 IZQ</t>
  </si>
  <si>
    <t>NEBLINERO SM3 07/ IZQ. C/NEBL.</t>
  </si>
  <si>
    <t>NEBLINERO SM3 07/ DER. C/NEBL.</t>
  </si>
  <si>
    <t>NEBLINERO SZ GRAN VITARA 2006/</t>
  </si>
  <si>
    <t>NEBLINERO SZ GRAN VITARA DER. 01/06</t>
  </si>
  <si>
    <t>NEBLINERO SZ GRAN VITARA IZQ. 01/06</t>
  </si>
  <si>
    <t>TY32577</t>
  </si>
  <si>
    <t>NEBLINERO TY KUN PAR</t>
  </si>
  <si>
    <t>NEON AZUL CN IMAN TAXI</t>
  </si>
  <si>
    <t>NISSAN PRIMERA GWN -48</t>
  </si>
  <si>
    <t>NISSAN SENTRA V-16 191MM</t>
  </si>
  <si>
    <t>z400523</t>
  </si>
  <si>
    <t>OPTICO</t>
  </si>
  <si>
    <t>MT40647</t>
  </si>
  <si>
    <t>OPTICO MITS. LANCER 96/98 IZQ.</t>
  </si>
  <si>
    <t>OPTICO SAMSUNG 04/05 IZQ.</t>
  </si>
  <si>
    <t>OPTICO 6052 C PROYECTOR</t>
  </si>
  <si>
    <t>OPTICO--N400</t>
  </si>
  <si>
    <t>OPTICO CHEV N400</t>
  </si>
  <si>
    <t>OPTICO CHEV ASTRA 1.4 92/94 IZQ</t>
  </si>
  <si>
    <t>L110250</t>
  </si>
  <si>
    <t>OPTICO CHEV LUV 02/ DER.</t>
  </si>
  <si>
    <t>OPTICO CHEV. ASTRA 03/07 IZQ.</t>
  </si>
  <si>
    <t>OPTICO CHEV. ASTRA 95/98 DER.</t>
  </si>
  <si>
    <t>OPTICO CHEV. CORSA 1.6 PLUS 06/10 IZQ.</t>
  </si>
  <si>
    <t>OPTICO CHEV. CORSA 2000/ IZQ.</t>
  </si>
  <si>
    <t>OPTICO CHEV. CORSA 93-99 DER.</t>
  </si>
  <si>
    <t>OPTICO CHEV. CORSA 93/99 DER.</t>
  </si>
  <si>
    <t>OPTICO CHEV. CORSA 93/99 IZQ.</t>
  </si>
  <si>
    <t>OPTICO CHEV. CORSA DER.</t>
  </si>
  <si>
    <t>OPTICO CHEV. CORSA IZQ.</t>
  </si>
  <si>
    <t>OPTICO CHEV. CORSA PIUS 04/ DER.</t>
  </si>
  <si>
    <t>L110328</t>
  </si>
  <si>
    <t>OPTICO CHEV. DMAX 05/09 IZQ.</t>
  </si>
  <si>
    <t>L110348</t>
  </si>
  <si>
    <t>OPTICO CHEV. DMAX 05/09 DER.</t>
  </si>
  <si>
    <t>OPTICO CHEV. DMAX 12/14 DER. F10-31</t>
  </si>
  <si>
    <t>OPTICO CHEV. DMAX 2005/2009 IZQ.</t>
  </si>
  <si>
    <t>OPTICO CHEV. DMAX 2010/ DER.</t>
  </si>
  <si>
    <t>OPTICO CHEV. LUV 01/ DER.</t>
  </si>
  <si>
    <t>OPTICO CHEV. LUV 01/ IZQ.</t>
  </si>
  <si>
    <t>L110240</t>
  </si>
  <si>
    <t>OPTICO CHEV. LUV 2002/ IZQ.</t>
  </si>
  <si>
    <t>L110260</t>
  </si>
  <si>
    <t>OPTICO CHEV. LUV 97/01 DER.</t>
  </si>
  <si>
    <t>L110230</t>
  </si>
  <si>
    <t>OPTICO CHEV. LUV 97/01 IZQ</t>
  </si>
  <si>
    <t>FMCH335102</t>
  </si>
  <si>
    <t>OPTICO CHEV. LUV 98/ IZQ.</t>
  </si>
  <si>
    <t>OPTICO CHEV. LUV DMAX 2015/ DER.</t>
  </si>
  <si>
    <t>OPTICO CHEV. LUV DMAX 2015/ IZQ.</t>
  </si>
  <si>
    <t>OPTICO CHEV. N300 IZQ.</t>
  </si>
  <si>
    <t>OPTICO CHEV. SAIL 1.5 16/ DER.</t>
  </si>
  <si>
    <t>OPTICO CHEV. SAIL 10-04 IZQ.</t>
  </si>
  <si>
    <t>OPTICO CHEV. SAIL 10/14 DER.</t>
  </si>
  <si>
    <t>FMCH155101</t>
  </si>
  <si>
    <t>OPTICO CHEV. SAIL 10/15 DER.</t>
  </si>
  <si>
    <t>FMCH155102</t>
  </si>
  <si>
    <t>OPTICO CHEV. SAIL 10/15 IZQ.</t>
  </si>
  <si>
    <t>OPTICO CHEV. SAIL 11/ DER.</t>
  </si>
  <si>
    <t>OPTICO CHEV. SAIL 11/ IZQ. F15-56</t>
  </si>
  <si>
    <t>OPTICO CHEV. SAIL DER.</t>
  </si>
  <si>
    <t>OPTICO CHEV. SPARK 06/15 DER.</t>
  </si>
  <si>
    <t>OPTICO CHV CORSA IZQ. 2000</t>
  </si>
  <si>
    <t>OPTICO CHV DMAX DER. 2005</t>
  </si>
  <si>
    <t>OPTICO CHV LUV DER. 1997</t>
  </si>
  <si>
    <t>OPTICO CRYSLER CARAVAN 08/10 DER.</t>
  </si>
  <si>
    <t>OPTICO DER. CHEV. SAIL 2011/</t>
  </si>
  <si>
    <t>OPTICO DODGE CARAVAN 08/10 DER.</t>
  </si>
  <si>
    <t>OPTDONG</t>
  </si>
  <si>
    <t>OPTICO DONGFENG</t>
  </si>
  <si>
    <t>OPTICO DW POINTER IZQ.</t>
  </si>
  <si>
    <t>FA40718</t>
  </si>
  <si>
    <t>OPTICO FIAT FIORINO IZQ. 2005</t>
  </si>
  <si>
    <t>FA60487</t>
  </si>
  <si>
    <t>OPTICO FIAT PALIO/SIENA IZQ.</t>
  </si>
  <si>
    <t>OPTICO FORD EGE 11/14 IZQ. F10-34</t>
  </si>
  <si>
    <t>OPTICO FORD FIESTA IZQ. 96/99</t>
  </si>
  <si>
    <t>FD80173</t>
  </si>
  <si>
    <t>OPTICO FORD RANGER 93-97 DER.</t>
  </si>
  <si>
    <t>OPTICO FORD RANGER 98/02 IZQ.</t>
  </si>
  <si>
    <t>OPTICO FORD RANGER IZQ. 98/00</t>
  </si>
  <si>
    <t>OPTICO HONDA ACCORD IZQ. 1994</t>
  </si>
  <si>
    <t>H708170</t>
  </si>
  <si>
    <t>OPTICO HY ACCENT DER.</t>
  </si>
  <si>
    <t>OPTICO HY ACCENT DER. 95/96</t>
  </si>
  <si>
    <t>OPTICO HY ACCENT IZQ. 95/96</t>
  </si>
  <si>
    <t>H101820</t>
  </si>
  <si>
    <t>OPTICO HY H100 DER. 1997</t>
  </si>
  <si>
    <t>OPTICO HY I-10 DER. 11/13</t>
  </si>
  <si>
    <t>OPTICO HY. I-10 IZQ.</t>
  </si>
  <si>
    <t>H001748</t>
  </si>
  <si>
    <t>OPTICO HY. ACCENT 94/96 DER.</t>
  </si>
  <si>
    <t>H000010</t>
  </si>
  <si>
    <t>OPTICO HY. ACCENT 98/99 . LH</t>
  </si>
  <si>
    <t>OPTICO HY. ACCENT RB 13/14 IZQ. F15-58</t>
  </si>
  <si>
    <t>OPTICO HY. ACCENT RB 1.4 13/14 5 PIN DER.</t>
  </si>
  <si>
    <t>FMHY015162</t>
  </si>
  <si>
    <t>OPTICO HY. ACCENT RB 11/14 IZQ.</t>
  </si>
  <si>
    <t>OPTICO HY. ACCENT RB 15/ 7 PIN</t>
  </si>
  <si>
    <t>H800258</t>
  </si>
  <si>
    <t>OPTICO HY. EXCEL 92/94 DER.</t>
  </si>
  <si>
    <t>HT00258</t>
  </si>
  <si>
    <t>OPTICO HY. GETZ 03/06 DER.</t>
  </si>
  <si>
    <t>H101828</t>
  </si>
  <si>
    <t>OPTICO HY. H100 97/04 DER.</t>
  </si>
  <si>
    <t>H200108</t>
  </si>
  <si>
    <t>OPTICO HY. I 10 DER.</t>
  </si>
  <si>
    <t>HZ00098</t>
  </si>
  <si>
    <t>OPTICO HY. I10 1.1 08/10 IZQ. F9-28</t>
  </si>
  <si>
    <t>OPTICO HY. I10 11/13 DER.</t>
  </si>
  <si>
    <t>OPTICO HY. TUCSON 10-4 IZQ.</t>
  </si>
  <si>
    <t>OPTICO HY.. ELANTRA 11/13 DER.</t>
  </si>
  <si>
    <t>OPTICO HYUNDAI ACCENT 1.6 2008</t>
  </si>
  <si>
    <t>K000040</t>
  </si>
  <si>
    <t>OPTICO KIA BESTA 95/ DER..</t>
  </si>
  <si>
    <t>OPTICO KIA NEW CERATO DER.DEPO</t>
  </si>
  <si>
    <t>OPTICO KIA NEW CERATO IZQ. DEPO</t>
  </si>
  <si>
    <t>KR01048</t>
  </si>
  <si>
    <t>OPTICO KIA NEW RIO IZQ. 2006</t>
  </si>
  <si>
    <t>K500230</t>
  </si>
  <si>
    <t>OPTICO KIA POP 1.1 DER. MOBIS</t>
  </si>
  <si>
    <t>OPTICO KIA SPORTAGE 2011/ DER.</t>
  </si>
  <si>
    <t>OPMHSC</t>
  </si>
  <si>
    <t>OPTICO MAHINDRA SCORPION</t>
  </si>
  <si>
    <t>OPTICO MAZDA 3 2003/ DER.</t>
  </si>
  <si>
    <t>OPT26</t>
  </si>
  <si>
    <t>OPTICO MAZDA 6 03/07 DER. C/NEBLINERO</t>
  </si>
  <si>
    <t>OPTICO MB. SPRINTER 03/18 IZQ. F5-29</t>
  </si>
  <si>
    <t>OPTICO MIT. MONTERO 01-07 DER.</t>
  </si>
  <si>
    <t>OPL200</t>
  </si>
  <si>
    <t>OPTICO MITS. L200 IZQ.</t>
  </si>
  <si>
    <t>OPTICO MITS. L200 KATANA IZQ. 2007</t>
  </si>
  <si>
    <t>OPTICO MITS. MONTERO 98/02 IZQ.</t>
  </si>
  <si>
    <t>MT40657</t>
  </si>
  <si>
    <t>OPTICO MT. LANCER 96-98 DER. TYC</t>
  </si>
  <si>
    <t>MD20357</t>
  </si>
  <si>
    <t>OPTICO MZ 626 DER.</t>
  </si>
  <si>
    <t>MDA0317</t>
  </si>
  <si>
    <t>OPTICO MZ. ARTIS DER. SEDAN. 94-96.</t>
  </si>
  <si>
    <t>opnquas</t>
  </si>
  <si>
    <t>OPNQUAS</t>
  </si>
  <si>
    <t>OPTICO NISSAN QASHQAI LADO DERECHO</t>
  </si>
  <si>
    <t>OPTICO NS SENTRA B15 1.8 DER. 2006</t>
  </si>
  <si>
    <t>OPTICO NS. J-18 88/90 IZQ.</t>
  </si>
  <si>
    <t>0N000387</t>
  </si>
  <si>
    <t>OPTICO NS. NAVARA DER.</t>
  </si>
  <si>
    <t>0N00377</t>
  </si>
  <si>
    <t>OPTICO NS. NAVARA DER. TYC</t>
  </si>
  <si>
    <t>0N00387</t>
  </si>
  <si>
    <t>OPTICO NS. NAVARA IZQ.</t>
  </si>
  <si>
    <t>0N003897</t>
  </si>
  <si>
    <t>OPTICO NS. NAVARA IZQ. TYC</t>
  </si>
  <si>
    <t>FMDT815101</t>
  </si>
  <si>
    <t>OPTICO NS. NP300 DER. TYC</t>
  </si>
  <si>
    <t>OPTICO NS. NP300 IZQ. TYC</t>
  </si>
  <si>
    <t>OPTICO NS. SENTRA B13 DER.</t>
  </si>
  <si>
    <t>HNS709</t>
  </si>
  <si>
    <t>OPTICO NS. SENTRA B13 DER. 90/91</t>
  </si>
  <si>
    <t>OPTICO NS. SENTRA B15 DER.</t>
  </si>
  <si>
    <t>OPTICO NS. SENTRA B15 IZQ.</t>
  </si>
  <si>
    <t>OPTICO NS. SENTRA DER. 1991</t>
  </si>
  <si>
    <t>OPTICO NS. TERRANO DER. 02</t>
  </si>
  <si>
    <t>FMDT605111</t>
  </si>
  <si>
    <t>OPTICO NS. TERRANO 02/12 DER.</t>
  </si>
  <si>
    <t>FMDT605112</t>
  </si>
  <si>
    <t>OPTICO NS. TERRANO 02/12 IZQ.</t>
  </si>
  <si>
    <t>OPTICO NS. TERRANO 03-14 DER.</t>
  </si>
  <si>
    <t>OPTICO NS. TERRANO 03/ IZQ.</t>
  </si>
  <si>
    <t>OPTICO NS. TERRANO 2.5 DER.</t>
  </si>
  <si>
    <t>OPTICO NS. TERRANO D22 IZQ.</t>
  </si>
  <si>
    <t>OPTICO NS. TERRANO D22 IZQ. TYC</t>
  </si>
  <si>
    <t>OPTICO NS. TERRANO DER.</t>
  </si>
  <si>
    <t>OPTICO NS. TERRANO IZQ.</t>
  </si>
  <si>
    <t>OPTICO NS. TERRANO IZQ. 02/</t>
  </si>
  <si>
    <t>FMDT455101</t>
  </si>
  <si>
    <t>OPTICO NS. TIIDA DER.</t>
  </si>
  <si>
    <t>0T00277</t>
  </si>
  <si>
    <t>OPTICO NS. TIIDA 2010/ DER.</t>
  </si>
  <si>
    <t>FMDT455102</t>
  </si>
  <si>
    <t>OPTICO NS. TIIDA IZQ.</t>
  </si>
  <si>
    <t>0T00287</t>
  </si>
  <si>
    <t>0T00287 090600506</t>
  </si>
  <si>
    <t>OPTICO NS. TIIDA IZQ. 2010/</t>
  </si>
  <si>
    <t>OPTICO NS. V 16 2005/ DER.</t>
  </si>
  <si>
    <t>OPTICO NS. V16 01-04 DER.</t>
  </si>
  <si>
    <t>FMDT235181</t>
  </si>
  <si>
    <t>OPTICO NS. V16 2005/ DER. AZUL</t>
  </si>
  <si>
    <t>OPTICO NS. V16 01-04 IZQ.</t>
  </si>
  <si>
    <t>OPTICO NS. V16 2005/ IZQ. TYC</t>
  </si>
  <si>
    <t>OPTICO NS. V16 DER.</t>
  </si>
  <si>
    <t>OPTICO NS. V16 DER. 00/05</t>
  </si>
  <si>
    <t>OPTICO NS. V16 IZQ.</t>
  </si>
  <si>
    <t>TY1020041-L</t>
  </si>
  <si>
    <t>OPTICO NS. V16 IZQ. 01/04</t>
  </si>
  <si>
    <t>TY1020041</t>
  </si>
  <si>
    <t>OPTICO NS. V16 IZQ. 2000</t>
  </si>
  <si>
    <t>FMDT235123</t>
  </si>
  <si>
    <t>OPTICO NS. V16 JUEGO TUNNING TIPO LUPA</t>
  </si>
  <si>
    <t>OPTICO NS. V16 TUNNING PAR</t>
  </si>
  <si>
    <t>opver</t>
  </si>
  <si>
    <t>OPVER</t>
  </si>
  <si>
    <t>OPTICO NS. VERSA</t>
  </si>
  <si>
    <t>FMDT315131</t>
  </si>
  <si>
    <t>OPTICO NS. VERSA 20/23 DER.</t>
  </si>
  <si>
    <t>OPTICO NS. VERSA 2012/ IZQ.</t>
  </si>
  <si>
    <t>OPTICO NS.SENTRA II 1.8 2006/ IZQ.</t>
  </si>
  <si>
    <t>OPTICO PEUGEOT 406 IZQ.</t>
  </si>
  <si>
    <t>OPTICO R. MEGANE III 11/14 IZQ. F4-24</t>
  </si>
  <si>
    <t>OPTICO SAMSUNG DER.</t>
  </si>
  <si>
    <t>OPTICO SAMSUNG SM3 DER.</t>
  </si>
  <si>
    <t>OPTICO SM3 DERECHO</t>
  </si>
  <si>
    <t>OPTICO SM3 07/14 IZQ.</t>
  </si>
  <si>
    <t>OPTICO SM3 07/14 DER.</t>
  </si>
  <si>
    <t>OPTICO SUB. LEGACY 90/94 DER. F4-23</t>
  </si>
  <si>
    <t>OPSZ</t>
  </si>
  <si>
    <t>OPTICO SUZUKI J24</t>
  </si>
  <si>
    <t>OPTICO SZ AEREO IZQ. 02/07</t>
  </si>
  <si>
    <t>Z001420</t>
  </si>
  <si>
    <t>OPTICO SZ MASTERVAN 1.3 IZQ.</t>
  </si>
  <si>
    <t>Z700097</t>
  </si>
  <si>
    <t>OPTICO SZ. AERIO 02/ DEER.</t>
  </si>
  <si>
    <t>OPTICO SZ. ALTO 20/23 IZQ.</t>
  </si>
  <si>
    <t>OPTICO SZ. ALTO IZQ.</t>
  </si>
  <si>
    <t>OPTICO SZ. CELERIO 09/14 DER.</t>
  </si>
  <si>
    <t>Z001430</t>
  </si>
  <si>
    <t>OPTICO SZ. MASTERVAN DER.</t>
  </si>
  <si>
    <t>Z001438</t>
  </si>
  <si>
    <t>OPTICO TUNNING NISSAN V16</t>
  </si>
  <si>
    <t>TY12607</t>
  </si>
  <si>
    <t>OPTICO TY COROLLA 09/11 IZQ.</t>
  </si>
  <si>
    <t>TY51183</t>
  </si>
  <si>
    <t>OPTICO TY NEW YARIS DER. 06/11</t>
  </si>
  <si>
    <t>TY50158</t>
  </si>
  <si>
    <t>OPTICO TY NEW YARIS DER. 2006</t>
  </si>
  <si>
    <t>TY51193</t>
  </si>
  <si>
    <t>OPTICO TY NEW YARIS IZQ. 06/11</t>
  </si>
  <si>
    <t>OPTICO TY NEW YARIS KIT TUNING</t>
  </si>
  <si>
    <t>TY02020</t>
  </si>
  <si>
    <t>OPTICO TY TERCEL 95/97 IZQ.</t>
  </si>
  <si>
    <t>TY1020191L</t>
  </si>
  <si>
    <t>OPTICO TY TERRANO IZQ. 98/01</t>
  </si>
  <si>
    <t>OPTICO TY YARIS 2002 IZQ.</t>
  </si>
  <si>
    <t>OPTICO TY YARIS DER. 03/06</t>
  </si>
  <si>
    <t>TY30093</t>
  </si>
  <si>
    <t>OPTICO TY YARIS IZQ. 03/05</t>
  </si>
  <si>
    <t>OPTYHILU</t>
  </si>
  <si>
    <t>OPTICO TY. HILUX</t>
  </si>
  <si>
    <t>FMTY435111</t>
  </si>
  <si>
    <t>OPTICO TY. KUN 2016/ DER.</t>
  </si>
  <si>
    <t>FMTY435112</t>
  </si>
  <si>
    <t>OPTICO TY. KUN 2016/ IZQ.</t>
  </si>
  <si>
    <t>FMTY605131</t>
  </si>
  <si>
    <t>OPTICO TY. RAV4 DER.</t>
  </si>
  <si>
    <t>TY02019</t>
  </si>
  <si>
    <t>OPTICO TY. TERCEL 95-97 DER.</t>
  </si>
  <si>
    <t>OPTICO TY. TERCEL IZQ. 90/92</t>
  </si>
  <si>
    <t>OPTICO TY. YARIS 02/05 DER. DEP. UBIC. F11-36</t>
  </si>
  <si>
    <t>FMTY505121</t>
  </si>
  <si>
    <t>OPTICO TY. YARIS 03/05 DER</t>
  </si>
  <si>
    <t>OPTICO TY. YARIS 03/05 IZQ.</t>
  </si>
  <si>
    <t>FMTY505122</t>
  </si>
  <si>
    <t>TY50690</t>
  </si>
  <si>
    <t>OPTICO TY. YARIS 06-11 DER.</t>
  </si>
  <si>
    <t>FMTY505162</t>
  </si>
  <si>
    <t>OPTICO TY. YARIS 06/13 IZQ.</t>
  </si>
  <si>
    <t>FMTY505161</t>
  </si>
  <si>
    <t>OPTICO TY. YARIS 06/13 DER.</t>
  </si>
  <si>
    <t>P017562</t>
  </si>
  <si>
    <t>O017562</t>
  </si>
  <si>
    <t>OPTICO TY. YARIS 06/13 DER. DEPO</t>
  </si>
  <si>
    <t>OPTICO TY. YARIS 14/ IZQ.</t>
  </si>
  <si>
    <t>FMTY515131</t>
  </si>
  <si>
    <t>OPTICO TY. YARIS 14/16 DER.</t>
  </si>
  <si>
    <t>FMTY515132</t>
  </si>
  <si>
    <t>OPTICO TY. YARIS 14/16 IZQ.</t>
  </si>
  <si>
    <t>OPTICO TY. YARIS 14/18 IZQ.</t>
  </si>
  <si>
    <t>TY30091</t>
  </si>
  <si>
    <t>OPTICO TY. YARIS 99-02 IZQ. TYC</t>
  </si>
  <si>
    <t>TY30092</t>
  </si>
  <si>
    <t>OPTICO TY. YARIS 99-02 DER. TYC</t>
  </si>
  <si>
    <t>OPTICO TY. YARIS 99/02 IZQ.</t>
  </si>
  <si>
    <t>OPTICO TY. YARIS IZQ.</t>
  </si>
  <si>
    <t>TY50148</t>
  </si>
  <si>
    <t>OPTICO TY. YARIS NEW SPORT IZQ. 2006</t>
  </si>
  <si>
    <t>OPTICO TY. YARIS NEW 2006/ DER</t>
  </si>
  <si>
    <t>OPTICO TY. YARIS NEW 2006/ IZQ.</t>
  </si>
  <si>
    <t>TY50700</t>
  </si>
  <si>
    <t>OPTICO TY. YARIS NEW 2006/11 IZQ.</t>
  </si>
  <si>
    <t>OPTICO TY. YARIS NEW KIT TUNING</t>
  </si>
  <si>
    <t>OPTICO TY. YARIS SPORT DER. 2002</t>
  </si>
  <si>
    <t>OPTICO TY. YARIS SPORT DER. 99/02</t>
  </si>
  <si>
    <t>OPTICO-VERNA</t>
  </si>
  <si>
    <t>OPTICO VERNA</t>
  </si>
  <si>
    <t>OPTICO-DER-KIA-MORNING-1.0</t>
  </si>
  <si>
    <t>OPTICO DER KIA MORNING 1.0</t>
  </si>
  <si>
    <t>OPTICO-IZQ-KIA-MORNING-1.0</t>
  </si>
  <si>
    <t>OPTICO IZQ KIA MORNING 1.0</t>
  </si>
  <si>
    <t>OPTICO-IZQ-CELERIO</t>
  </si>
  <si>
    <t>OPTICO SZ. CELERIO</t>
  </si>
  <si>
    <t>PAÑOWURTH</t>
  </si>
  <si>
    <t>PAÑO ABSORVENTE 64X43WURTH</t>
  </si>
  <si>
    <t>CRCH151221</t>
  </si>
  <si>
    <t>PARACH. CHEV SAIL 1.4 DEL. A-1 A-14</t>
  </si>
  <si>
    <t>PARACH. CHEV SAIL 1.5 DEL 16/</t>
  </si>
  <si>
    <t>PARACH. CHEV, N300 1.2 11/13 TRAS.</t>
  </si>
  <si>
    <t>L110440</t>
  </si>
  <si>
    <t>PARACH. CHEV. LUV DMAX 4X2 2005/2009 DELANTERO</t>
  </si>
  <si>
    <t>PARACH. CHEV. AVEO 04/05 C/NEBL. DEL. A-9</t>
  </si>
  <si>
    <t>PARACH. CHEV. AVEO 06/ CHEV.</t>
  </si>
  <si>
    <t>PARACH. CHEV. AVEO 06/07 DELANTERO</t>
  </si>
  <si>
    <t>CRCH101221</t>
  </si>
  <si>
    <t>PARACH. CHEV. AVEO 07/ DEL. A-1</t>
  </si>
  <si>
    <t>PARACH. CHEV. AVEO 1.4 04/05 DEL.</t>
  </si>
  <si>
    <t>PARACH. CHEV. AVEO 2006/ TRASERO</t>
  </si>
  <si>
    <t>PARACH. CHEV. CORSA /99</t>
  </si>
  <si>
    <t>PARACH. CHEV. CORSA 1.6 00/08 DEL. A-7</t>
  </si>
  <si>
    <t>PARACH. CHEV. CORSA 1.6 06/10 DEL. A-7</t>
  </si>
  <si>
    <t>PARACH. CHEV. CORSA 1.6 2000/ C/HOYO CHEV.</t>
  </si>
  <si>
    <t>CRCH011212</t>
  </si>
  <si>
    <t>PARACH. CHEV. CORSA 1.6 93/08 TRAS.</t>
  </si>
  <si>
    <t>PARACH. CHEV. CORSA AÑO 2000 DELANTERO</t>
  </si>
  <si>
    <t>PARACH. CHEV. CORSA MEX 10/ TRAS.</t>
  </si>
  <si>
    <t>PARACH. CHEV. CORSA PLUS 06/ A-16</t>
  </si>
  <si>
    <t>PARACH. CHEV. CORSA PLUS 11/ A-16</t>
  </si>
  <si>
    <t>PARACH. CHEV. CRUZE DELANTERO</t>
  </si>
  <si>
    <t>CRCH331251</t>
  </si>
  <si>
    <t>PARACH. CHEV. DMAX 05/ DELANTERO</t>
  </si>
  <si>
    <t>PARACH. CHEV. DMAX 05/11 DEL.</t>
  </si>
  <si>
    <t>PARACH. CHEV. DMAX 15/20 DEL. A-14</t>
  </si>
  <si>
    <t>PARACH. CHEV. LUV 2003/ DELANTERO</t>
  </si>
  <si>
    <t>L110570</t>
  </si>
  <si>
    <t>PARACH. CHEV. LUV 2003/ C/NEB. DELANTERO</t>
  </si>
  <si>
    <t>PARACH. CHEV. OPTRA /2004 DELANTERO</t>
  </si>
  <si>
    <t>PARACH. CHEV. OPTRA 2005 DELANTERO</t>
  </si>
  <si>
    <t>CRCH151202</t>
  </si>
  <si>
    <t>PARACH. CHEV. SAIL 1.4 11/17 TRAS. A-13</t>
  </si>
  <si>
    <t>PARACH. CHEV. SAIL 1.4 14/ NEW CLASSIC DELANTERO</t>
  </si>
  <si>
    <t>PARACH. CHEV. SAIL 1.4 TRASERO A-2</t>
  </si>
  <si>
    <t>CRCH151261</t>
  </si>
  <si>
    <t>PARACH. CHEV. SAIL 1.5 A-6</t>
  </si>
  <si>
    <t>CRCH151251</t>
  </si>
  <si>
    <t>PARACH. CHEV. SAIL 1.5 DEL.</t>
  </si>
  <si>
    <t>PARACH. CHEV. SAIL 1.5 TRAS. A-4</t>
  </si>
  <si>
    <t>PARACH. CHEV. SAIL DEL.</t>
  </si>
  <si>
    <t>PARACH. CHEV. SAIL.1.5 DEL.</t>
  </si>
  <si>
    <t>PARACH. CHEV. SPARK 800 1,0 06/09</t>
  </si>
  <si>
    <t>PARACH. CHEV. SPARK 800 1.0 TRAS. 04/16</t>
  </si>
  <si>
    <t>PARACH. CHEV. SPARK 800 1.0 13/16 DELANTERO</t>
  </si>
  <si>
    <t>CRCH051211</t>
  </si>
  <si>
    <t>PARACH. CHEV. SPARK GT 11/13 DEL. A-8</t>
  </si>
  <si>
    <t>PARACH. CHEV. SPARK GT. 2009/ DELANTERO</t>
  </si>
  <si>
    <t>PARACH. CHEV.LUV 2.2 99/05 DEL. NETMOTOR</t>
  </si>
  <si>
    <t>PARACH. DAEWOO LANOS DELANTERO</t>
  </si>
  <si>
    <t>CRCH011211</t>
  </si>
  <si>
    <t>PARACH. DEL. CHEV. CORSA 00/08</t>
  </si>
  <si>
    <t>PARACH. DEL. CHEV. LUV 2002/</t>
  </si>
  <si>
    <t>PARACH. DEL. CHEV. SAIL 1.4 10-16</t>
  </si>
  <si>
    <t>CRCH151211</t>
  </si>
  <si>
    <t>PARACH. DEL. CHEV. SAIL 1.4 11/16 UB A1-10</t>
  </si>
  <si>
    <t>PARDONG</t>
  </si>
  <si>
    <t>PARACH. DEL. DONGFENG</t>
  </si>
  <si>
    <t>CRHY011241</t>
  </si>
  <si>
    <t>PARACH. DEL. HY. ACCENT 06/11 UB A1-03 12</t>
  </si>
  <si>
    <t>PARACH. DEL. HY. ELANTRA 11/15 UB A1-02</t>
  </si>
  <si>
    <t>PARACH. DEL. HY. TUCSON 05/10 UB1-1</t>
  </si>
  <si>
    <t>HYUNDAI</t>
  </si>
  <si>
    <t>PARACH. DEL. HYUNDAI ACCENT 2012/</t>
  </si>
  <si>
    <t>PARACH</t>
  </si>
  <si>
    <t>PARACH. DEL. HYUNDAI I-10</t>
  </si>
  <si>
    <t>PARACH. DEL. KIA CERATO 13/18 UB A1-04</t>
  </si>
  <si>
    <t>PARACH. DEL. KIA SPORTAGE 16/17 UB A1-13</t>
  </si>
  <si>
    <t>parl200</t>
  </si>
  <si>
    <t>PARL200</t>
  </si>
  <si>
    <t>PARACH. DEL. L200 DAKAR</t>
  </si>
  <si>
    <t>PARACH. DEL. MAZDA 2 08/14 A1-08</t>
  </si>
  <si>
    <t>PARACH. DEL. NS. NAVARA C/ MOLDURA A-9</t>
  </si>
  <si>
    <t>CRDT811221</t>
  </si>
  <si>
    <t>PARACH. DEL. NS. NP300 15/20 UB A1-05</t>
  </si>
  <si>
    <t>PARACH. DEL. NS. V16 ALSACIA</t>
  </si>
  <si>
    <t>AERIO</t>
  </si>
  <si>
    <t>PARACH. DEL. SUZUKI AERIO</t>
  </si>
  <si>
    <t>PARSZ</t>
  </si>
  <si>
    <t>PARACH. DEL. SUZUKI J24</t>
  </si>
  <si>
    <t>PARDHILU</t>
  </si>
  <si>
    <t>PARACH. DEL. TOYOTA HILUX</t>
  </si>
  <si>
    <t>CRTY501261</t>
  </si>
  <si>
    <t>CRDTY501261</t>
  </si>
  <si>
    <t>PARACH. DEL. TY. YARIS 2006/ UB A-3</t>
  </si>
  <si>
    <t>PARACH. DEL.CHEV. AVEO 1.4 07/11 UB A1-14</t>
  </si>
  <si>
    <t>PARACH. HY. ACCENT 06/ TRASERO</t>
  </si>
  <si>
    <t>PARACH. HY. ACCENT 06/11 DEL, A-1</t>
  </si>
  <si>
    <t>H708110</t>
  </si>
  <si>
    <t>PARACH. HY. ACCENT 2006/ DELANTERO</t>
  </si>
  <si>
    <t>PARACH. HY. ACCENT PRIME 01/06 DEL. A-1</t>
  </si>
  <si>
    <t>PARACH. HY. ACCENT RB 11/ TRAS. A-4 A-5</t>
  </si>
  <si>
    <t>PARACH. HY. ACCENT RB 2011/ DELANTERO A-1 A-4</t>
  </si>
  <si>
    <t>CRHY011291</t>
  </si>
  <si>
    <t>PARACH. HY. ACCENT RB 11/20 C/REJILLA A-1</t>
  </si>
  <si>
    <t>PARACH. HY. ELANTRA MD DELANTERO</t>
  </si>
  <si>
    <t>PARACH. HY. ELANTRA 07/10 DEL.</t>
  </si>
  <si>
    <t>PARACH. HY. ELANTRA 11/16 DEL.</t>
  </si>
  <si>
    <t>PARACH. HY. ELANTRA 13/15 DEL. A-3</t>
  </si>
  <si>
    <t>H8000060</t>
  </si>
  <si>
    <t>PARACH. HY. EXCEL 96/ DELANTERO</t>
  </si>
  <si>
    <t>PARACH. HY. H1 16/18 DEL. A-12</t>
  </si>
  <si>
    <t>PARACH. KIA CARENS 1.7 13/17 DEL. A-9</t>
  </si>
  <si>
    <t>PARACH. KIA CERATO 07/ DELANTERO</t>
  </si>
  <si>
    <t>PARACH. KIA MORNING 17/20 DEL. A-2</t>
  </si>
  <si>
    <t>PARACH. KIA MORNING 2003/ TRASERO</t>
  </si>
  <si>
    <t>PARACH. KIA MORNING 12-15 TRASERO</t>
  </si>
  <si>
    <t>KRKI201212</t>
  </si>
  <si>
    <t>PARACH. KIA MORNING 17/18 TRAS. A-6</t>
  </si>
  <si>
    <t>PARACH. KIA MORNING 2011/ TRASERO</t>
  </si>
  <si>
    <t>PARACH. KIA RIO 18/21 DEL. A-3</t>
  </si>
  <si>
    <t>PARACH. KIA RIO 02/03 DEL. A-5</t>
  </si>
  <si>
    <t>PARACH. KIA RIO 06/09 DELANTERO</t>
  </si>
  <si>
    <t>PARACH. KIA RIO 1.4 1-2 12/15 TRASERO A-9</t>
  </si>
  <si>
    <t>PARACH. KIA RIO 1.4 18/ TRAS. INF.</t>
  </si>
  <si>
    <t>KR00798</t>
  </si>
  <si>
    <t>PARACH. KIA RIO 1.5 2003/2005 DELANTERO</t>
  </si>
  <si>
    <t>PARACH. KIA RIO 4 DELANTERO</t>
  </si>
  <si>
    <t>PARACH. KIA RIO 4 1.4 2012-2013 DELANTERO</t>
  </si>
  <si>
    <t>PARACH. KIA RIO 4 12/18 A-3</t>
  </si>
  <si>
    <t>PARACH. KIA RIO JB 1.4 06/11 DEL.</t>
  </si>
  <si>
    <t>PARACH. KIA RIO JB 18/21 TRAS. SUP. HATCHBACK A-4</t>
  </si>
  <si>
    <t>PAMASC</t>
  </si>
  <si>
    <t>PARACH. MAHINDRA SCORPION</t>
  </si>
  <si>
    <t>PARACH. MAZDA 3 07/09 A-2</t>
  </si>
  <si>
    <t>MD30347</t>
  </si>
  <si>
    <t>PARACH. MAZDA 3 1.6 04/09 A-5</t>
  </si>
  <si>
    <t>PARACH. MIT. MONTERO V6 2003/06 C/HOYO DELANTERO</t>
  </si>
  <si>
    <t>PARACH. MIT. MONTERO V6 2003/06 C/HOYO TRASERO</t>
  </si>
  <si>
    <t>PARACH. MITS. L200 2.5 00/06 DEL. A-3</t>
  </si>
  <si>
    <t>PARACH. MITS. L200 2.5 06/15 DEL. A-2</t>
  </si>
  <si>
    <t>partrmon</t>
  </si>
  <si>
    <t>PARTRMON</t>
  </si>
  <si>
    <t>PARACH. MITS. MONTERO TRASERO</t>
  </si>
  <si>
    <t>crdt801201</t>
  </si>
  <si>
    <t>CRDT801201</t>
  </si>
  <si>
    <t>PARACH. NS. NAVARA 08/11 DEL.</t>
  </si>
  <si>
    <t>PARACH. NS. NAVARA 4X2 2007/ DELANTERO</t>
  </si>
  <si>
    <t>PARACH. NS. NAVARA TRASERO</t>
  </si>
  <si>
    <t>DS04149BAS</t>
  </si>
  <si>
    <t>PARACH. NS. PATFINER 99/04 DELANTERO</t>
  </si>
  <si>
    <t>PARACH. NS. PATHFINDER DELANTERO</t>
  </si>
  <si>
    <t>PARACH. NS. QASQAI 2008-2010 DELANTERO</t>
  </si>
  <si>
    <t>N8B079NA</t>
  </si>
  <si>
    <t>PARACH. NS. SENTRA 01/04 DELANTERO</t>
  </si>
  <si>
    <t>PARACH. NS. SENTRA 04/06 DELANTERO</t>
  </si>
  <si>
    <t>PARACH. NS. SENTRA 06/10 DELANTERO</t>
  </si>
  <si>
    <t>PARACH. NS. SENTRA 1.8 2001/ 2004. DELANTERO</t>
  </si>
  <si>
    <t>PARACH. NS. SENTRA 2004/ DELANTERO</t>
  </si>
  <si>
    <t>PARACH. NS. SENTRA AÑO 2000/ 2003</t>
  </si>
  <si>
    <t>PARACH. NS. SENTRA B-12 AÑO 88/ 93. TRASERO</t>
  </si>
  <si>
    <t>DS11008-00</t>
  </si>
  <si>
    <t>PARACH. NS. SENTRA DS11008-00 DELANTERO</t>
  </si>
  <si>
    <t>PARACH. NS. SENTRA. TRASERO</t>
  </si>
  <si>
    <t>CRDT601201</t>
  </si>
  <si>
    <t>PARACH. NS. TERRANO 2.5 4X4 DEL. A-1</t>
  </si>
  <si>
    <t>PARACH. NS. TERRANO 2.5 4X4 DEL. A-2 A-1</t>
  </si>
  <si>
    <t>CRDT601211</t>
  </si>
  <si>
    <t>PARACH. NS. TERRANO 4X2 DELANTERO</t>
  </si>
  <si>
    <t>PARACH. NS. TERRANO 4X4 DELANTERO</t>
  </si>
  <si>
    <t>PARACH. NS. TIIDA 2005/09 TRASERO</t>
  </si>
  <si>
    <t>PARACH. NS. TIIDA 2008/ DELANTERO</t>
  </si>
  <si>
    <t>PARACH. NS. TIIDA 2010 TRASERO</t>
  </si>
  <si>
    <t>PARACH. NS. TIIDA 2010/</t>
  </si>
  <si>
    <t>CRDT451241</t>
  </si>
  <si>
    <t>PARACH. NS. TIIDA 2010/ BICIM. DELANTERO</t>
  </si>
  <si>
    <t>PARACH. NS. TIIDA 2010/ DELANTERO</t>
  </si>
  <si>
    <t>PARACH. NS. TIIDA 2010/ DELANTERO A-3</t>
  </si>
  <si>
    <t>PARACH. NS. TIIDA DEL. A-16</t>
  </si>
  <si>
    <t>CRDT451242</t>
  </si>
  <si>
    <t>PARACH. NS. TIIDA TRAS. 09/16</t>
  </si>
  <si>
    <t>PARACH. NS. V-16 DELANTERO</t>
  </si>
  <si>
    <t>CRDT2312N3</t>
  </si>
  <si>
    <t>PARACH. NS. V16 DELANTERO</t>
  </si>
  <si>
    <t>PARACH. NS. V16 TRASERO</t>
  </si>
  <si>
    <t>CRDT231203</t>
  </si>
  <si>
    <t>PARACH. NS. V16 BICIM. DELANTERO</t>
  </si>
  <si>
    <t>CRDT231214</t>
  </si>
  <si>
    <t>PARACH. NS. V16 TRASERO A-13</t>
  </si>
  <si>
    <t>CRDT311212</t>
  </si>
  <si>
    <t>PARACH. NS. VERSA 1.6 15/19 TRAS. A-15</t>
  </si>
  <si>
    <t>CRDT311241</t>
  </si>
  <si>
    <t>CRDT311341</t>
  </si>
  <si>
    <t>PARACH. NS. VERSA 15/19 DEL. A-4</t>
  </si>
  <si>
    <t>PARACH. PEUGEOT 206 S/HOYO DELANTERO</t>
  </si>
  <si>
    <t>PARACH. PEUGEOT 207 2007/ TRENDY DELANTERO</t>
  </si>
  <si>
    <t>PARACH. PEUGEOT 306 DELANTERO</t>
  </si>
  <si>
    <t>PARACH. PEUGEOT 94/2003 DELANTERO</t>
  </si>
  <si>
    <t>PARACH. PEUGUEO 307 02/05 DEL. A-8</t>
  </si>
  <si>
    <t>PARACH. SAMSUNG SM3 DELANTERO</t>
  </si>
  <si>
    <t>PARACH. SAMSUNG SM3 2007 DELANTERO</t>
  </si>
  <si>
    <t>CRSS021201</t>
  </si>
  <si>
    <t>PARACH. SM3 06/13 DELANTERO C/HOYO</t>
  </si>
  <si>
    <t>CRSS021202</t>
  </si>
  <si>
    <t>PARACH. SM3 07/13 TRAS.</t>
  </si>
  <si>
    <t>PTSA</t>
  </si>
  <si>
    <t>PARACH. SUZUKI ALTO TRAS.</t>
  </si>
  <si>
    <t>PARACH. SZ. AERIO 05/07 DELANTERO</t>
  </si>
  <si>
    <t>PARACH. SZ. APV INFERIOR DELANTERO</t>
  </si>
  <si>
    <t>Z 100667</t>
  </si>
  <si>
    <t>PARACH. SZ. BALENO 95/98 DELANTERO</t>
  </si>
  <si>
    <t>Z100687</t>
  </si>
  <si>
    <t>PARACH. SZ. BALENO 99/04 DELANTERO</t>
  </si>
  <si>
    <t>PARACH. SZ. GRAN NOMADE DELANTERO</t>
  </si>
  <si>
    <t>Z000100</t>
  </si>
  <si>
    <t>PARACH. SZ. MARUTI /97 TRASERO</t>
  </si>
  <si>
    <t>PARACH. SZ. MARUTY 99/ TRASERO</t>
  </si>
  <si>
    <t>PARACH. SZ. VITARA 01-05 C/NEBL. DELANTERO</t>
  </si>
  <si>
    <t>PARACH. SZ. VITARA 2001/05 C/LUZ LAT. DELANTERO</t>
  </si>
  <si>
    <t>Z100667</t>
  </si>
  <si>
    <t>PARACH. SZ.BALENO 95/98 DELANTERO</t>
  </si>
  <si>
    <t>CRMTT01202</t>
  </si>
  <si>
    <t>PARACH. TRA. MIT. L200 19/</t>
  </si>
  <si>
    <t>PARACH. TRAS. CHEV. SAIL 1.4 11/</t>
  </si>
  <si>
    <t>PARACH. TRAS. CHEV. SPARK GT 11/13 UB A1-06 07</t>
  </si>
  <si>
    <t>PARACH. TRAS. NS. TIIDA 08/10</t>
  </si>
  <si>
    <t>PARACH. TRAS. NS. VERSA 11/14 UB A1-11</t>
  </si>
  <si>
    <t>CRDT311252</t>
  </si>
  <si>
    <t>PARACH. TRAS. NS. VERSA 20/24 UB A1-09</t>
  </si>
  <si>
    <t>PARTHILU</t>
  </si>
  <si>
    <t>PARACH. TRASERO TOYOTA HILUX</t>
  </si>
  <si>
    <t>TY 02440</t>
  </si>
  <si>
    <t>PARACH. TY .YARIS SPORT 06/08 TRASERO</t>
  </si>
  <si>
    <t>partydel</t>
  </si>
  <si>
    <t>PARTYDEL</t>
  </si>
  <si>
    <t>PARACH. TY COROLLA DELANTERO</t>
  </si>
  <si>
    <t>PARACH. TY. COROLLA 1.6 08/10 TRASERO</t>
  </si>
  <si>
    <t>PARACH. TY. COROLLA 1.6 2010 DELANTERO</t>
  </si>
  <si>
    <t>PARACH. TY. HILUX 05/08 DEL.</t>
  </si>
  <si>
    <t>PARACH. TY. HILUX 2.5 TRASERO</t>
  </si>
  <si>
    <t>CRTY521221</t>
  </si>
  <si>
    <t>PARACH. TY. HILUX 22/23 DEL. A-5</t>
  </si>
  <si>
    <t>PARACH. TY. HILUX DELANTERO</t>
  </si>
  <si>
    <t>PARACH. TY. HILUX KUN 05/08 DEL. A-3</t>
  </si>
  <si>
    <t>PARACH. TY. HILUX KUN 12/15 DELANTERO</t>
  </si>
  <si>
    <t>PARTRTY</t>
  </si>
  <si>
    <t>PARTRY</t>
  </si>
  <si>
    <t>PARACH. TY. HILUX TRASERO</t>
  </si>
  <si>
    <t>PARACH. TY. TERCEL 98/ DELANTERO</t>
  </si>
  <si>
    <t>TY30140</t>
  </si>
  <si>
    <t>TY02320</t>
  </si>
  <si>
    <t>PARACH. TY. TERCEL 92/ TRASERO</t>
  </si>
  <si>
    <t>TY04127BA</t>
  </si>
  <si>
    <t>PARACH. TY. TERCEL 92/99 DELANTERO</t>
  </si>
  <si>
    <t>TY30110</t>
  </si>
  <si>
    <t>PARACH. TY. TERCEL 95-97 DELANTERO</t>
  </si>
  <si>
    <t>CRTY451221</t>
  </si>
  <si>
    <t>PARACH. TY. TERCEL 95/97 DEL. A-16</t>
  </si>
  <si>
    <t>PARACH. TY. TERCEL 95/97 DELANTERO</t>
  </si>
  <si>
    <t>TY10430</t>
  </si>
  <si>
    <t>PARACH. TY. YARIS 03-05 DELANTERO</t>
  </si>
  <si>
    <t>PARACH. TY. YARIS 03-05 TRASERO</t>
  </si>
  <si>
    <t>CRTY501241</t>
  </si>
  <si>
    <t>CRDTY501241</t>
  </si>
  <si>
    <t>CRTY501242</t>
  </si>
  <si>
    <t>PARACH. TY. YARIS 03/05 TRASERO A-1A-5</t>
  </si>
  <si>
    <t>PARACH. TY. YARIS 03/06 TRAS. A-15</t>
  </si>
  <si>
    <t>CRTY501291</t>
  </si>
  <si>
    <t>PARACH. TY. YARIS 06*13 DEL.</t>
  </si>
  <si>
    <t>PARACH. TY. YARIS 06/ TRASERO</t>
  </si>
  <si>
    <t>PARACH. TY. YARIS 06/10 TRASERO</t>
  </si>
  <si>
    <t>TY51050</t>
  </si>
  <si>
    <t>PARACH. TY. YARIS 06/11 NEW DELANTERO A-5</t>
  </si>
  <si>
    <t>PARACH. TY. YARIS 06/13 DELANTERO</t>
  </si>
  <si>
    <t>CRTY501271</t>
  </si>
  <si>
    <t>PARACH. TY. YARIS 06/13 DEL. A-4 A-5 A-6 A-2</t>
  </si>
  <si>
    <t>PARACH. TY. YARIS 07/13 TRASERO</t>
  </si>
  <si>
    <t>CRTY50126</t>
  </si>
  <si>
    <t>CRTY501262</t>
  </si>
  <si>
    <t>PARACH. TY. YARIS 1.5 06/13 TRAS. A-2</t>
  </si>
  <si>
    <t>CRTY511221</t>
  </si>
  <si>
    <t>PARACH. TY. YARIS 14/17 DEL. A-3 A-4 A-15</t>
  </si>
  <si>
    <t>PARACH. TY. YARIS 14/18 DELANTERO</t>
  </si>
  <si>
    <t>PARACH. TY. YARIS 14/18 DEL. A-1</t>
  </si>
  <si>
    <t>CRTY521212</t>
  </si>
  <si>
    <t>PARACH. TY. YARIS 18/21 A-2 A-15</t>
  </si>
  <si>
    <t>PARACH. TY. YARIS 2003-2006 TRASERO</t>
  </si>
  <si>
    <t>PARACH. TY. YARIS 2016 TRASERO</t>
  </si>
  <si>
    <t>PARACH. TY. YARIS INFERIOR. SPORT 99/02 DELANTERO</t>
  </si>
  <si>
    <t>TY50310</t>
  </si>
  <si>
    <t>PARACH. TY. YARIS SEDAN 2007/ TRASERO</t>
  </si>
  <si>
    <t>CRTY501282</t>
  </si>
  <si>
    <t>PARACH. TY. YARIS SPORT 06/08 TRAS. A-6</t>
  </si>
  <si>
    <t>CRTY501252</t>
  </si>
  <si>
    <t>PARACH. TY. YARIS SPORT 1.3 03/05 A-8</t>
  </si>
  <si>
    <t>CRTY511211</t>
  </si>
  <si>
    <t>PARACH. TY. YARIS SPORT 12/14 DEL. A-15</t>
  </si>
  <si>
    <t>TY10015</t>
  </si>
  <si>
    <t>PARACH. TY. YARIS SPORT 99/02 DELANTERO</t>
  </si>
  <si>
    <t>TY02470</t>
  </si>
  <si>
    <t>PARACH. TY. YARIS TRASERO</t>
  </si>
  <si>
    <t>TY02440</t>
  </si>
  <si>
    <t>PARACH. TY. YARYS 06/ DELANTERO</t>
  </si>
  <si>
    <t>PARACHOQ-HY-PORTER</t>
  </si>
  <si>
    <t>PARACHOQ DEL HY PORTER 2.5</t>
  </si>
  <si>
    <t>CRDT311251</t>
  </si>
  <si>
    <t>PARACHOQ DEL NS VERSA 20/22</t>
  </si>
  <si>
    <t>JEEP--COMPAS</t>
  </si>
  <si>
    <t>PARACHOQ TRAS JEEP COMPASS</t>
  </si>
  <si>
    <t>CRKI201251</t>
  </si>
  <si>
    <t>PARACHOQ DEL KIA MORNING 18/19 UB A1-15</t>
  </si>
  <si>
    <t>PARACHOQ-VERNA</t>
  </si>
  <si>
    <t>PARACHOQ DEL VERNA</t>
  </si>
  <si>
    <t>PARACHOQ INF YARIS</t>
  </si>
  <si>
    <t>PARACHOQ SUP YARIS</t>
  </si>
  <si>
    <t>PARACHOQUE--DEL--N400</t>
  </si>
  <si>
    <t>PARACHOQUE DEL CHEV N400</t>
  </si>
  <si>
    <t>PARTIDOR EN FRIO 446 ML CYCLO</t>
  </si>
  <si>
    <t>PARTIDOR EN FRIO FAST START 204g</t>
  </si>
  <si>
    <t>PARTIDOR EN FRIO PRESTONE 303g</t>
  </si>
  <si>
    <t>SUPER STAR</t>
  </si>
  <si>
    <t>PARTIDOR EN FRIO SUPER START200 ML</t>
  </si>
  <si>
    <t>PARTIDOR EN FRIO WURTH 300ml.</t>
  </si>
  <si>
    <t>PTPP30</t>
  </si>
  <si>
    <t>PASTA DE PULIR UNIVERSAL VERSACHEM</t>
  </si>
  <si>
    <t>PASTA ESMERIL VALV. FINA/GRUESA VERS.</t>
  </si>
  <si>
    <t>PASTA PULIR PINTURA</t>
  </si>
  <si>
    <t>PASTILLA BATERIA</t>
  </si>
  <si>
    <t>PASTILLA FRENO HYUNDAI</t>
  </si>
  <si>
    <t>LP1099</t>
  </si>
  <si>
    <t>PASTILLA FRENO TY. KUN</t>
  </si>
  <si>
    <t>PASTILLA NISSAN TERRANO 4X4</t>
  </si>
  <si>
    <t>DAKOTA</t>
  </si>
  <si>
    <t>FR962M</t>
  </si>
  <si>
    <t>PASTILLA FRENO</t>
  </si>
  <si>
    <t>CS1269A</t>
  </si>
  <si>
    <t>PASTILLA FRENO AVEO SPARK GT</t>
  </si>
  <si>
    <t>md8001p</t>
  </si>
  <si>
    <t>MD8001P</t>
  </si>
  <si>
    <t>PASTILLA FRENO BT50</t>
  </si>
  <si>
    <t>PASTILLA FRENO CHARADE 1.3 / 1.5 90/97</t>
  </si>
  <si>
    <t>PASTILLA FRENO CHEROKEE.</t>
  </si>
  <si>
    <t>CS1390A</t>
  </si>
  <si>
    <t>PASTILLA FRENO CHERY SPARK IQ. LANOS NUB.</t>
  </si>
  <si>
    <t>CS688A</t>
  </si>
  <si>
    <t>PASTILLA FRENO CHEV CORSA</t>
  </si>
  <si>
    <t>CS4175A</t>
  </si>
  <si>
    <t>PASTILLA FRENO CHEV DMAX</t>
  </si>
  <si>
    <t>PASTILLA FRENO CHEV OPTRA 04/ STP</t>
  </si>
  <si>
    <t>CD-8174</t>
  </si>
  <si>
    <t>PASTILLA FRENO CHEV S-10</t>
  </si>
  <si>
    <t>FR110HD</t>
  </si>
  <si>
    <t>PASTILLA FRENO CHEV S-10 BLAZER</t>
  </si>
  <si>
    <t>CS4174A</t>
  </si>
  <si>
    <t>PASTILLA FRENO CHEV. ASTRA CRUZE ORLANDO TRAS.</t>
  </si>
  <si>
    <t>BE2718</t>
  </si>
  <si>
    <t>PASTILLA FRENO CHEV. AVEO OPTRA</t>
  </si>
  <si>
    <t>PASTILLA FRENO CHEV. AVEO SONIC</t>
  </si>
  <si>
    <t>PASTILLA FRENO CHEV. AVEO SPARK GT STP</t>
  </si>
  <si>
    <t>PASTILLA FRENO CHEV. AVEO SPARK GT MANDO</t>
  </si>
  <si>
    <t>PASTILLA FRENO CHEV. AVEO SPARK GT WURTEX</t>
  </si>
  <si>
    <t>PASTILLA FRENO CHEV. CHEVETTE. 79/83. ALFA.ROM.</t>
  </si>
  <si>
    <t>CS2915A</t>
  </si>
  <si>
    <t>PASTILLA FRENO CHEV. CORSA</t>
  </si>
  <si>
    <t>PASTILLA FRENO CHEV. CORSA MURCIELAGO</t>
  </si>
  <si>
    <t>PASTILLA FRENO CHEV. CORSA MURCIELAGO D-688</t>
  </si>
  <si>
    <t>CD8110D0</t>
  </si>
  <si>
    <t>PASTILLA FRENO CHEV. CORSA MURCIELAGO.</t>
  </si>
  <si>
    <t>FR688M</t>
  </si>
  <si>
    <t>PASTILLA FRENO CHEV. CORSA T. MURCIELAGO</t>
  </si>
  <si>
    <t>PASTILLA FRENO CHEV. CRUZE ORLANDO</t>
  </si>
  <si>
    <t>FR4175M</t>
  </si>
  <si>
    <t>PASTILLA FRENO CHEV. D MAX 2010/</t>
  </si>
  <si>
    <t>FR1039M</t>
  </si>
  <si>
    <t>PASTILLA FRENO CHEV. D-MAX COLORADO</t>
  </si>
  <si>
    <t>DG4175</t>
  </si>
  <si>
    <t>PASTILLA FRENO CHEV. DMAX 2005/</t>
  </si>
  <si>
    <t>PASTILLA FRENO CHEV. DMAX 2010/ STP</t>
  </si>
  <si>
    <t>CS1039A</t>
  </si>
  <si>
    <t>PASTILLA FRENO CHEV. DMAX COLORADO</t>
  </si>
  <si>
    <t>PASTILLA FRENO CHEV. DMAX COLORADO HOOVER MANDO</t>
  </si>
  <si>
    <t>FR4175S</t>
  </si>
  <si>
    <t>PASTILLA FRENO CHEV. DMAX.</t>
  </si>
  <si>
    <t>PASTILLA FRENO CHEV. FREE V16</t>
  </si>
  <si>
    <t>PASTILLA FRENO CHEV. ISUZU D-279</t>
  </si>
  <si>
    <t>FR363M</t>
  </si>
  <si>
    <t>PASTILLA FRENO CHEV. LUV</t>
  </si>
  <si>
    <t>L11101P</t>
  </si>
  <si>
    <t>PASTILLA FRENO CHEV. LUV 1.6 2.2 2.3.</t>
  </si>
  <si>
    <t>CD4029M</t>
  </si>
  <si>
    <t>FECH236003</t>
  </si>
  <si>
    <t>PASTILLA FRENO CHEV. LUV 2.3</t>
  </si>
  <si>
    <t>PASTILLA FRENO CHEV. LUV 89/ JG. D-363</t>
  </si>
  <si>
    <t>T119801</t>
  </si>
  <si>
    <t>PASTILLA FRENO CHEV. LUV V16</t>
  </si>
  <si>
    <t>T119802</t>
  </si>
  <si>
    <t>PASTILLA FRENO CHEV. LUV. 82/84.</t>
  </si>
  <si>
    <t>PASTILLA FRENO CHEV. OPTRA 1.6</t>
  </si>
  <si>
    <t>FR48HD</t>
  </si>
  <si>
    <t>PASTILLA FRENO CHEV. S-10 BRASILEÑA</t>
  </si>
  <si>
    <t>DG4176</t>
  </si>
  <si>
    <t>PASTILLA FRENO CHEV. SAIL</t>
  </si>
  <si>
    <t>fech15003</t>
  </si>
  <si>
    <t>PASTILLA FRENO chev. sail</t>
  </si>
  <si>
    <t>cd-8738</t>
  </si>
  <si>
    <t>CD-8738</t>
  </si>
  <si>
    <t>FBCHPD1155</t>
  </si>
  <si>
    <t>PASTILLA FRENO CHEV. SAIL 1.4</t>
  </si>
  <si>
    <t>PASTILLA FRENO CHEV. SAIL 1.4 MANDO</t>
  </si>
  <si>
    <t>PASTILLA FRENO CHEV. SAIL 1.5 STP DEL.</t>
  </si>
  <si>
    <t>PASTILLA FRENO CHEV. SAIL STP</t>
  </si>
  <si>
    <t>CS785A</t>
  </si>
  <si>
    <t>PASTILLA FRENO CHEV. SILVERADO</t>
  </si>
  <si>
    <t>PASTILLA FRENO CHEV. SONIC STP</t>
  </si>
  <si>
    <t>PASTILLA FRENO CHEV. SPARK 800 1.0 CHERY STP</t>
  </si>
  <si>
    <t>PASTILLA FRENO CHEV. SPARK CHERY MANDO</t>
  </si>
  <si>
    <t>PASTILLA FRENO CHEV. SPARK DW. LANOS.</t>
  </si>
  <si>
    <t>PASTILLA FRENO CHEV. V-6 D-369</t>
  </si>
  <si>
    <t>CS2928A</t>
  </si>
  <si>
    <t>PE8001P</t>
  </si>
  <si>
    <t>PASTILLA FRENO CITROEN ELYSEE</t>
  </si>
  <si>
    <t>DG813</t>
  </si>
  <si>
    <t>PASTILLA FRENO DAEWOO</t>
  </si>
  <si>
    <t>PASTILLA FRENO DAEWOO.</t>
  </si>
  <si>
    <t>PASTILLA FRENO DAIHATSU GIRO</t>
  </si>
  <si>
    <t>H20206P</t>
  </si>
  <si>
    <t>PASTILLA FRENO DEL. HY. H1 07/19 STP</t>
  </si>
  <si>
    <t>PASTILLA FRENO DH. APLAUSE.</t>
  </si>
  <si>
    <t>DH20010</t>
  </si>
  <si>
    <t>PASTILLA FRENO DH. GIRO CHARADE 90/</t>
  </si>
  <si>
    <t>PASTILLA FRENO DMAX COLORADO GRAT WALL WINGLE D-1039</t>
  </si>
  <si>
    <t>CS967A</t>
  </si>
  <si>
    <t>PASTILLA FRENO DODGE DURANGO 4.7 03/09 TRAS.</t>
  </si>
  <si>
    <t>FR1084M</t>
  </si>
  <si>
    <t>PASTILLA FRENO DODGE DURANGO 4.7 5.7 RAM 1500</t>
  </si>
  <si>
    <t>PASTILLA FRENO DODGE JOUNNEY.</t>
  </si>
  <si>
    <t>PASTILLA FRENO DODGE.</t>
  </si>
  <si>
    <t>FR1455S</t>
  </si>
  <si>
    <t>PASTILLA FRENO DURANGO</t>
  </si>
  <si>
    <t>DG1175</t>
  </si>
  <si>
    <t>PASTILLA FRENO FIESTA</t>
  </si>
  <si>
    <t>PASTILLA FRENO FORD KA / SEPHIA.</t>
  </si>
  <si>
    <t>MD5002P</t>
  </si>
  <si>
    <t>PASTILLA FRENO FORD RANGER 2.3 93-98 STP</t>
  </si>
  <si>
    <t>FR1546M</t>
  </si>
  <si>
    <t>PASTILLA FRENO FORD RANGER.</t>
  </si>
  <si>
    <t>FR2905M</t>
  </si>
  <si>
    <t>MD8003F</t>
  </si>
  <si>
    <t>cs1951a</t>
  </si>
  <si>
    <t>CS1951A</t>
  </si>
  <si>
    <t>PASTILLA FRENO GEELY</t>
  </si>
  <si>
    <t>FT0003G</t>
  </si>
  <si>
    <t>PASTILLA FRENO GEELY LIFAN 2010/</t>
  </si>
  <si>
    <t>CS4177A</t>
  </si>
  <si>
    <t>PASTILLA FRENO GREAT WALL</t>
  </si>
  <si>
    <t>PASTILLA FRENO H-100.</t>
  </si>
  <si>
    <t>HT0005M</t>
  </si>
  <si>
    <t>PASTILLA FRENO HY ACCENT 94/04</t>
  </si>
  <si>
    <t>BE924</t>
  </si>
  <si>
    <t>PASTILLA FRENO HY ELANTRA 07/11 CHERY</t>
  </si>
  <si>
    <t>H60001P</t>
  </si>
  <si>
    <t>PASTILLA FRENO HY ELANTRA 07/11 TUCSON 04/10 SPORTAGE</t>
  </si>
  <si>
    <t>PASTILLA FRENO HY ELANTRA.</t>
  </si>
  <si>
    <t>HF0027M</t>
  </si>
  <si>
    <t>PASTILLA FRENO HY H1 05/07 TERRACAN 01/03 MANDO</t>
  </si>
  <si>
    <t>FR864M</t>
  </si>
  <si>
    <t>PASTILLA FRENO HY H1 2005/</t>
  </si>
  <si>
    <t>H20206M</t>
  </si>
  <si>
    <t>PASTILLA FRENO HY H1 NEW.</t>
  </si>
  <si>
    <t>PASTILLA FRENO HY. ACCENT 06-10</t>
  </si>
  <si>
    <t>PASTILLA FRENO HY. ACCENT 94-06 GETZ 03-11</t>
  </si>
  <si>
    <t>H00137P</t>
  </si>
  <si>
    <t>PASTILLA FRENO HY. ACCENT ELANTRA /04 STP</t>
  </si>
  <si>
    <t>BE440</t>
  </si>
  <si>
    <t>PASTILLA FRENO HY. ACCENT GETZ</t>
  </si>
  <si>
    <t>BE1593</t>
  </si>
  <si>
    <t>PASTILLA FRENO HY. ACCENT RB 11/</t>
  </si>
  <si>
    <t>PASTILLA FRENO HY. ACCENT RB KIA 11/14 RIO ELANTRA</t>
  </si>
  <si>
    <t>FR1156M</t>
  </si>
  <si>
    <t>PASTILLA FRENO HY. ACCENT.</t>
  </si>
  <si>
    <t>PASTILLA FRENO HY. ELANTRA CERATO</t>
  </si>
  <si>
    <t>PASTILLA FRENO HY. H1 08/</t>
  </si>
  <si>
    <t>CS1204A</t>
  </si>
  <si>
    <t>PASTILLA FRENO HY. I10 KIA MORNING</t>
  </si>
  <si>
    <t>H48039M</t>
  </si>
  <si>
    <t>PASTILLA FRENO HY. NEW ACCENT KIA RIO</t>
  </si>
  <si>
    <t>DG1593</t>
  </si>
  <si>
    <t>PASTILLA FRENO HY. NEW ACCENT.</t>
  </si>
  <si>
    <t>FR1033M</t>
  </si>
  <si>
    <t>PASTILLA FRENO HY. NEW H1 2008/</t>
  </si>
  <si>
    <t>PH-05</t>
  </si>
  <si>
    <t>PASTILLA FRENO HY. NEW PORTER</t>
  </si>
  <si>
    <t>PASTILLA FRENO HY. PRIME. ACCENT 94/98.</t>
  </si>
  <si>
    <t>DG1157</t>
  </si>
  <si>
    <t>PASTILLA FRENO HY. TUCSON KIA RIO</t>
  </si>
  <si>
    <t>FR924M</t>
  </si>
  <si>
    <t>PASTILLA FRENO HY. TUCSON SONATA SPORTAGE FRITEC</t>
  </si>
  <si>
    <t>H10171G</t>
  </si>
  <si>
    <t>PASTILLA FRENO HY. VOLKS. H-100 93/</t>
  </si>
  <si>
    <t>H70694M</t>
  </si>
  <si>
    <t>PASTILLA FRENO HYUNDAI SSANGYONG MANDO</t>
  </si>
  <si>
    <t>PASTILLA FRENO HYUNDAI H1 HR 2.5</t>
  </si>
  <si>
    <t>CS1033A</t>
  </si>
  <si>
    <t>PASTILLA FRENO HYUNDAI H1 NEW</t>
  </si>
  <si>
    <t>DG1202</t>
  </si>
  <si>
    <t>PASTILLA FRENO KIA - HYUNDAI</t>
  </si>
  <si>
    <t>PASTILLA FRENO KIA AVELLA ESCORT RIO 323</t>
  </si>
  <si>
    <t>K002010</t>
  </si>
  <si>
    <t>PASTILLA FRENO KIA BESTA 2.2 K-2400</t>
  </si>
  <si>
    <t>KC0001P</t>
  </si>
  <si>
    <t>PASTILLA FRENO KIA CARENS</t>
  </si>
  <si>
    <t>DG941</t>
  </si>
  <si>
    <t>PASTILLA FRENO KIA CERATO</t>
  </si>
  <si>
    <t>KM0065P</t>
  </si>
  <si>
    <t>PASTILLA FRENO KIA MORNING 08/15 STP</t>
  </si>
  <si>
    <t>KA0001A</t>
  </si>
  <si>
    <t>PASTILLA FRENO KIA RIO 05/- SEPHIA</t>
  </si>
  <si>
    <t>KR80000</t>
  </si>
  <si>
    <t>PASTILLA FRENO KIA RIO II 03/05.</t>
  </si>
  <si>
    <t>H48039P</t>
  </si>
  <si>
    <t>PASTILLA FRENO KIA RIO JB 06/11 STP</t>
  </si>
  <si>
    <t>PASTILLA FRENO KIA RIO.</t>
  </si>
  <si>
    <t>D-1156</t>
  </si>
  <si>
    <t>PASTILLA FRENO KIA RIO. ACCENT 06/10</t>
  </si>
  <si>
    <t>BE1733</t>
  </si>
  <si>
    <t>PASTILLA FRENO L200 06/19</t>
  </si>
  <si>
    <t>FR2681HD</t>
  </si>
  <si>
    <t>PASTILLA FRENO M. B. SPRINTER 2500 DELANTERAS</t>
  </si>
  <si>
    <t>PASTILLA FRENO M. BENZ TRASERAS.</t>
  </si>
  <si>
    <t>BB0153</t>
  </si>
  <si>
    <t>PASTILLA FRENO M. BENZ. SPRINTER</t>
  </si>
  <si>
    <t>PFD1006</t>
  </si>
  <si>
    <t>PASTILLA FRENO M.BENZ.</t>
  </si>
  <si>
    <t>PASTILLA FRENO MAHINDRA</t>
  </si>
  <si>
    <t>FR3100M</t>
  </si>
  <si>
    <t>PASTILLA FRENO MAHINDRA.</t>
  </si>
  <si>
    <t>FR1044M</t>
  </si>
  <si>
    <t>PASTILLA FRENO MAZDA 3.</t>
  </si>
  <si>
    <t>FR798M</t>
  </si>
  <si>
    <t>PASTILLA FRENO MAZDA 323 99/2000</t>
  </si>
  <si>
    <t>PASTILLA FRENO MAZDA B 2500</t>
  </si>
  <si>
    <t>PASTILLA FRENO MAZDA B.</t>
  </si>
  <si>
    <t>fr320m</t>
  </si>
  <si>
    <t>PASTILLA FRENO mazda b2600</t>
  </si>
  <si>
    <t>PASTILLA FRENO MAZDA BT50</t>
  </si>
  <si>
    <t>PASTILLA FRENO MAZDA CTAS. B-2000 FE.</t>
  </si>
  <si>
    <t>CD6123</t>
  </si>
  <si>
    <t>PASTILLA FRENO MIT. L-200 2.5.</t>
  </si>
  <si>
    <t>MT2009G</t>
  </si>
  <si>
    <t>PASTILLA FRENO MIT. L-200 DIESEL/BENCINERA.</t>
  </si>
  <si>
    <t>MT2007P</t>
  </si>
  <si>
    <t>FR1733HD</t>
  </si>
  <si>
    <t>PASTILLA FRENO MIT. L-200 KATANA 2006/</t>
  </si>
  <si>
    <t>PASTILLA FRENO MIT. L-200 KATANA.</t>
  </si>
  <si>
    <t>MT2001M</t>
  </si>
  <si>
    <t>PASTILLA FRENO MIT. L-200 L-300 MONTERO.</t>
  </si>
  <si>
    <t>MT2007M</t>
  </si>
  <si>
    <t>PASTILLA FRENO MIT. L200 06/ 4X4 MANDO</t>
  </si>
  <si>
    <t>DG1733</t>
  </si>
  <si>
    <t>PASTILLA FRENO MITS. L200 2.5 15/</t>
  </si>
  <si>
    <t>CS1733A</t>
  </si>
  <si>
    <t>MT2005P</t>
  </si>
  <si>
    <t>PASTILLA FRENO MITS. L200 KATANA 99/08.</t>
  </si>
  <si>
    <t>DG530</t>
  </si>
  <si>
    <t>PASTILLA FRENO MITS. MONTERO 3.0 OULANDER</t>
  </si>
  <si>
    <t>BP5910</t>
  </si>
  <si>
    <t>PASTILLA FRENO MITSHUBISHI.</t>
  </si>
  <si>
    <t>PASTILLA FRENO MITSUBISHI MONTERO-L200 KATANA</t>
  </si>
  <si>
    <t>FR976M</t>
  </si>
  <si>
    <t>PASTILLA FRENO MONTERO TY RUNNER.</t>
  </si>
  <si>
    <t>PASTILLA FRENO MZ. 323 RIO AVELLA</t>
  </si>
  <si>
    <t>PASTILLA FRENO MZ. 6 JFBK</t>
  </si>
  <si>
    <t>D-333</t>
  </si>
  <si>
    <t>PASTILLA FRENO NISSAN D21</t>
  </si>
  <si>
    <t>FR1094M</t>
  </si>
  <si>
    <t>PASTILLA FRENO NISSAN NAVARA</t>
  </si>
  <si>
    <t>CD-1250M/DS</t>
  </si>
  <si>
    <t>PASTILLA FRENO NISSAN TIIDA</t>
  </si>
  <si>
    <t>PASTILLA FRENO NISSAN V 16.</t>
  </si>
  <si>
    <t>PASTILLA FRENO NISSAN V16</t>
  </si>
  <si>
    <t>D-510</t>
  </si>
  <si>
    <t>PASTILLA FRENO NISSAN V16 D-510</t>
  </si>
  <si>
    <t>D-441</t>
  </si>
  <si>
    <t>PASTILLA FRENO NS D21 720.</t>
  </si>
  <si>
    <t>0L0001A</t>
  </si>
  <si>
    <t>PASTILLA FRENO NS PLATINA</t>
  </si>
  <si>
    <t>PASTILLA FRENO NS SUNNY.</t>
  </si>
  <si>
    <t>CD8280M</t>
  </si>
  <si>
    <t>PASTILLA FRENO NS TERRANO 4X4 CD828M</t>
  </si>
  <si>
    <t>0T00010</t>
  </si>
  <si>
    <t>PASTILLA FRENO NS TIIDDA</t>
  </si>
  <si>
    <t>PASTILLA FRENO NS VERSA 1/24 STP</t>
  </si>
  <si>
    <t>FR333M</t>
  </si>
  <si>
    <t>PASTILLA FRENO NS. D-21 TERRANO PATFHINDER FRITEC</t>
  </si>
  <si>
    <t>PASTILLA FRENO NS. D2. TERRANO</t>
  </si>
  <si>
    <t>CS333A</t>
  </si>
  <si>
    <t>PASTILLA FRENO NS. D21</t>
  </si>
  <si>
    <t>CD1063</t>
  </si>
  <si>
    <t>PASTILLA FRENO NS. D21 DAIWA</t>
  </si>
  <si>
    <t>PASTILLA FRENO NS. D21 2.4 93/10</t>
  </si>
  <si>
    <t>PASTILLA FRENO NS. D21 93/ STP</t>
  </si>
  <si>
    <t>PASTILLA FRENO NS. D21 KA24</t>
  </si>
  <si>
    <t>PASTILLA FRENO NS. D21 TERRANO 4X2</t>
  </si>
  <si>
    <t>PASTILLA FRENO NS. NAVARA</t>
  </si>
  <si>
    <t>PASTILLA FRENO NS. NAVARA 08/ STP</t>
  </si>
  <si>
    <t>PASTILLA FRENO NS. NP300 DEL.</t>
  </si>
  <si>
    <t>CD-1248M</t>
  </si>
  <si>
    <t>PASTILLA FRENO NS. PAHFINDER.</t>
  </si>
  <si>
    <t>PASTILLA FRENO NS. QASHQAI 09/14 STP</t>
  </si>
  <si>
    <t>D1039</t>
  </si>
  <si>
    <t>PASTILLA FRENO NS. TERRANO</t>
  </si>
  <si>
    <t>CD-1102M</t>
  </si>
  <si>
    <t>PASTILLA FRENO NS. TERRANO 4 X 2</t>
  </si>
  <si>
    <t>DG830</t>
  </si>
  <si>
    <t>PASTILLA FRENO NS. TERRANO 4X4</t>
  </si>
  <si>
    <t>CD-1267</t>
  </si>
  <si>
    <t>PASTILLA FRENO NS. TERRANO 4X4.</t>
  </si>
  <si>
    <t>PASTILLA FRENO NS. TERRANO 96/06 PATF. STP</t>
  </si>
  <si>
    <t>FR830M</t>
  </si>
  <si>
    <t>PASTILLA FRENO NS. TERRANO D22</t>
  </si>
  <si>
    <t>FR7580M</t>
  </si>
  <si>
    <t>PASTILLA FRENO NS. TIIDA</t>
  </si>
  <si>
    <t>DG7580</t>
  </si>
  <si>
    <t>0T0001G</t>
  </si>
  <si>
    <t>0T0001P</t>
  </si>
  <si>
    <t>PASTILLA FRENO NS. TIIDA STP</t>
  </si>
  <si>
    <t>PASTILLA FRENO NS. TIIDA 06-10 VERSA</t>
  </si>
  <si>
    <t>CD-1520M/DS</t>
  </si>
  <si>
    <t>PASTILLA FRENO NS. TIIDA CD-1520M/DS</t>
  </si>
  <si>
    <t>0T0001M</t>
  </si>
  <si>
    <t>PASTILLA FRENO NS. TIIDA MANDO</t>
  </si>
  <si>
    <t>CD1133</t>
  </si>
  <si>
    <t>PASTILLA FRENO NS. V-16 CD1133</t>
  </si>
  <si>
    <t>CD-1133M/DS</t>
  </si>
  <si>
    <t>FEDT236003</t>
  </si>
  <si>
    <t>PASTILLA FRENO NS. V16 CD-1133M/DS</t>
  </si>
  <si>
    <t>PASTILLA FRENO NS. V16 STP</t>
  </si>
  <si>
    <t>FEDT236013</t>
  </si>
  <si>
    <t>PASTILLA FRENO NS. V16 DIFORZA</t>
  </si>
  <si>
    <t>CD-1288M/DS</t>
  </si>
  <si>
    <t>PASTILLA FRENO NS. VERSA</t>
  </si>
  <si>
    <t>CS1592A</t>
  </si>
  <si>
    <t>PASTILLA FRENO NS. VERSA 1.6 DEL.</t>
  </si>
  <si>
    <t>PASTILLA FRENO NS. VERSA 20/21 REICH</t>
  </si>
  <si>
    <t>PASTILLA FRENO NS. XTRAIL .</t>
  </si>
  <si>
    <t>CS141A</t>
  </si>
  <si>
    <t>PASTILLA FRENO PEUGEOT 505 DEL.</t>
  </si>
  <si>
    <t>PE4002S</t>
  </si>
  <si>
    <t>PASTILLA FRENO RENAUL PEUG.</t>
  </si>
  <si>
    <t>MT40020</t>
  </si>
  <si>
    <t>PASTILLA FRENO RENAULT ECLIPSE 78/85 3K/KP8# WG</t>
  </si>
  <si>
    <t>FR1193M</t>
  </si>
  <si>
    <t>PASTILLA FRENO S. SM3</t>
  </si>
  <si>
    <t>DG1193</t>
  </si>
  <si>
    <t>PASTILLA FRENO SAMSUNG SM3</t>
  </si>
  <si>
    <t>BP1403</t>
  </si>
  <si>
    <t>PASTILLA FRENO SAMSUNG SM7.</t>
  </si>
  <si>
    <t>H68009M</t>
  </si>
  <si>
    <t>PASTILLA FRENO SANTA FE SORENTO.</t>
  </si>
  <si>
    <t>SA1001G</t>
  </si>
  <si>
    <t>PASTILLA FRENO SM3</t>
  </si>
  <si>
    <t>PS-04</t>
  </si>
  <si>
    <t>sa1001m</t>
  </si>
  <si>
    <t>PASTILLA FRENO SM3 MANDO</t>
  </si>
  <si>
    <t>PA1001P</t>
  </si>
  <si>
    <t>PASTILLA FRENO SM3 STP</t>
  </si>
  <si>
    <t>SA4001G</t>
  </si>
  <si>
    <t>PASTILLA FRENO SM5 MAXIMA SENTRA II</t>
  </si>
  <si>
    <t>FR1269M</t>
  </si>
  <si>
    <t>PASTILLA FRENO SPARK 1.2 / AVEO</t>
  </si>
  <si>
    <t>PASTILLA FRENO SUBARU.</t>
  </si>
  <si>
    <t>PASTILLA FRENO SUZUKI AERIO1600. MI 16.</t>
  </si>
  <si>
    <t>A-449K-NA</t>
  </si>
  <si>
    <t>PASTILLA FRENO SZ BALENO</t>
  </si>
  <si>
    <t>FR177M</t>
  </si>
  <si>
    <t>PASTILLA FRENO SZ MARUTI FRONTE.</t>
  </si>
  <si>
    <t>CS430A</t>
  </si>
  <si>
    <t>PASTILLA FRENO SZ SQ5 SX4.</t>
  </si>
  <si>
    <t>PASTILLA FRENO SZ VITARA.</t>
  </si>
  <si>
    <t>Z60001M</t>
  </si>
  <si>
    <t>PASTILLA FRENO SZ. ALTO 03/ MANDO</t>
  </si>
  <si>
    <t>PASTILLA FRENO SZ. ALTO CELERIO MASTERVAN</t>
  </si>
  <si>
    <t>PASTILLA FRENO SZ. CARRY.</t>
  </si>
  <si>
    <t>PASTILLA FRENO SZ. GRAN VITARA- NOMADE</t>
  </si>
  <si>
    <t>Z2000IP</t>
  </si>
  <si>
    <t>PASTILLA FRENO SZ. SWIFT 2004/11</t>
  </si>
  <si>
    <t>D-1345</t>
  </si>
  <si>
    <t>PASTILLA FRENO TIIDA.</t>
  </si>
  <si>
    <t>0T001M</t>
  </si>
  <si>
    <t>DG303</t>
  </si>
  <si>
    <t>PASTILLA FRENO TOYOTA HILUX</t>
  </si>
  <si>
    <t>PASTINST</t>
  </si>
  <si>
    <t>PASTILLA FRENO TOYOTA HILUX E INSTALACION</t>
  </si>
  <si>
    <t>PASTILLA FRENO TOYOTA.</t>
  </si>
  <si>
    <t>PASTILLA FRENO TOYOTA. RAV 4.</t>
  </si>
  <si>
    <t>KU0004P</t>
  </si>
  <si>
    <t>PASTILLA FRENO TRAS. HY. ACCENT RB 11/ TUCSON</t>
  </si>
  <si>
    <t>PASTILLA FRENO TY 2Y HILUX.</t>
  </si>
  <si>
    <t>PASTILLA FRENO TY HILUX 2.5</t>
  </si>
  <si>
    <t>FR502M</t>
  </si>
  <si>
    <t>PASTILLA FRENO TY HILUX 2005/</t>
  </si>
  <si>
    <t>BP5904</t>
  </si>
  <si>
    <t>PASTILLA FRENO TY HILUX.</t>
  </si>
  <si>
    <t>TY0059G</t>
  </si>
  <si>
    <t>FR822</t>
  </si>
  <si>
    <t>PASTILLA FRENO TY YARIS 2005/</t>
  </si>
  <si>
    <t>D822</t>
  </si>
  <si>
    <t>PASTILLA FRENO TY YARIS.</t>
  </si>
  <si>
    <t>PASTILLA FRENO TY. COROLLA TRASERA JFBK</t>
  </si>
  <si>
    <t>FR436M</t>
  </si>
  <si>
    <t>PASTILLA FRENO TY. HILUX 4X4</t>
  </si>
  <si>
    <t>FETY206033</t>
  </si>
  <si>
    <t>PASTILLA FRENO TY. HILUX 89/ 4X2 DIFORZA</t>
  </si>
  <si>
    <t>fety406023</t>
  </si>
  <si>
    <t>FETY406023</t>
  </si>
  <si>
    <t>PASTILLA FRENO TY. HILUX 98/ 4X4 DOFORZA</t>
  </si>
  <si>
    <t>FR1099</t>
  </si>
  <si>
    <t>PASTILLA FRENO TY. HILUX KUN 2010.</t>
  </si>
  <si>
    <t>RX976</t>
  </si>
  <si>
    <t>RX 976</t>
  </si>
  <si>
    <t>PASTILLA FRENO TY. HILUX RUNNER DEL.</t>
  </si>
  <si>
    <t>PASTILLA FRENO TY. KUN 07/ ECO GOLD</t>
  </si>
  <si>
    <t>TY0065G</t>
  </si>
  <si>
    <t>PASTILLA FRENO TY. NEW YARIS 06/10</t>
  </si>
  <si>
    <t>CD-2252/DS</t>
  </si>
  <si>
    <t>PASTILLA FRENO TY. NEW YARIS 2006/ DAIWA ROJA</t>
  </si>
  <si>
    <t>RX1210</t>
  </si>
  <si>
    <t>PASTILLA FRENO TY. RAV4 COROLLA</t>
  </si>
  <si>
    <t>DG1251</t>
  </si>
  <si>
    <t>D-242</t>
  </si>
  <si>
    <t>PASTILLA FRENO TY. TERCEL</t>
  </si>
  <si>
    <t>CS242A</t>
  </si>
  <si>
    <t>FR242M</t>
  </si>
  <si>
    <t>PASTILLA FRENO TY. TERCEL /99</t>
  </si>
  <si>
    <t>TY4002G</t>
  </si>
  <si>
    <t>PASTILLA FRENO TY. TERCEL 78/85.</t>
  </si>
  <si>
    <t>PASTILLA FRENO TY. YARIS 06/</t>
  </si>
  <si>
    <t>TY0065P</t>
  </si>
  <si>
    <t>PASTILLA FRENO TY. YARIS 06/ STP</t>
  </si>
  <si>
    <t>PASTILLA FRENO TY. YARIS 14/18</t>
  </si>
  <si>
    <t>cs1184a</t>
  </si>
  <si>
    <t>PASTILLA FRENO TY. YARIS 2006/ SAFETY</t>
  </si>
  <si>
    <t>TY9013G</t>
  </si>
  <si>
    <t>PASTILLA FRENO TY. YARIS 2013/</t>
  </si>
  <si>
    <t>TY9013P</t>
  </si>
  <si>
    <t>PASTILLA FRENO TY. YARIS 2013/18 STP</t>
  </si>
  <si>
    <t>DG831</t>
  </si>
  <si>
    <t>PASTILLA FRENO TY. YARIS 99-05</t>
  </si>
  <si>
    <t>PASTILLA FRENO TY. YARIS 99/04 D-831 REICK</t>
  </si>
  <si>
    <t>TY5002G</t>
  </si>
  <si>
    <t>PASTILLA FRENO TY. YARIS 99/04 WURTEX</t>
  </si>
  <si>
    <t>TY0062P</t>
  </si>
  <si>
    <t>FR831M</t>
  </si>
  <si>
    <t>PASTILLA FRENO TY. YARIS 99/05</t>
  </si>
  <si>
    <t>TY0065M</t>
  </si>
  <si>
    <t>PASTILLA FRENO TY. YARIS NEW 06/12 MANDO</t>
  </si>
  <si>
    <t>PASTILLA FRENO TY. YARIS VITZ. 99/2002.</t>
  </si>
  <si>
    <t>CD-2252/DO</t>
  </si>
  <si>
    <t>CD2252/DO</t>
  </si>
  <si>
    <t>PASTILLA FRENO TY.. NEW YARIS 2006/ DAIWA AZUL</t>
  </si>
  <si>
    <t>CS831A</t>
  </si>
  <si>
    <t>PASTILLA FRENO TY.YARIS SIN ABS /2005</t>
  </si>
  <si>
    <t>PASTILLA FRENO VW GOLF 99/03 BORA POLO STP</t>
  </si>
  <si>
    <t>PASTILLA FRENO WRANGLER</t>
  </si>
  <si>
    <t>patines freno dmax Hilux 2020</t>
  </si>
  <si>
    <t>PEGAMENTO ESPEJO INT. VERSACHEM</t>
  </si>
  <si>
    <t>PEGAMENTO LA GOTITA WURTH 2 G.</t>
  </si>
  <si>
    <t>PEGAMENTO LOCTITE 495 20gr (GRANDE</t>
  </si>
  <si>
    <t>PEGATANKE</t>
  </si>
  <si>
    <t>PEGAMENTO PEGATANKE EPOXI</t>
  </si>
  <si>
    <t>PEGAMENTO SUPER BONDER LOCTITE</t>
  </si>
  <si>
    <t>PEGAMENTO SUPER GLUE BONDER 2 GR WURTH</t>
  </si>
  <si>
    <t>PEGAMENTO SUPER GLUE PERMATEX</t>
  </si>
  <si>
    <t>PEGAMENTO SUPER GLUE WURTH BONDER 20GR</t>
  </si>
  <si>
    <t>PEH100</t>
  </si>
  <si>
    <t>PERNO BARRA ESTAB. HYUNDAI H100</t>
  </si>
  <si>
    <t>TBI</t>
  </si>
  <si>
    <t>PERNO BARRA ESTAB. KIA</t>
  </si>
  <si>
    <t>PERNO CULATA MITS. L200 06/20</t>
  </si>
  <si>
    <t>PERHY</t>
  </si>
  <si>
    <t>PERNO RUEDA HYUNDAI</t>
  </si>
  <si>
    <t>PERNO CULATA KIA</t>
  </si>
  <si>
    <t>PERTIGA 10 PIE FAROL ROJO</t>
  </si>
  <si>
    <t>PERTIGA 10 PIES</t>
  </si>
  <si>
    <t>PE1006</t>
  </si>
  <si>
    <t>PERTIGA 10 PIES COMPLETA</t>
  </si>
  <si>
    <t>PE1007</t>
  </si>
  <si>
    <t>PERTIGA 12 PIES ROJA</t>
  </si>
  <si>
    <t>PERTIGA 8 PIES</t>
  </si>
  <si>
    <t>PE1005</t>
  </si>
  <si>
    <t>AA ALCALINA</t>
  </si>
  <si>
    <t>PILA AA ALCALINA WURTH</t>
  </si>
  <si>
    <t>AAA ALCALINA</t>
  </si>
  <si>
    <t>PILA AAA ALCALINA WURTH</t>
  </si>
  <si>
    <t>PINO</t>
  </si>
  <si>
    <t>PINO AROMATICO NEW CAR</t>
  </si>
  <si>
    <t>PINO AROMATICO VARIOS</t>
  </si>
  <si>
    <t>PIÑON CIG. NISSAN D21 KA24 18 DIENTE</t>
  </si>
  <si>
    <t>PIÑON CIGUEÑAL</t>
  </si>
  <si>
    <t>PIÑON CIGUEÑAL CAVALIER - S-10</t>
  </si>
  <si>
    <t>PIÑON CIGUEÑAL CHEV. LUV 89/</t>
  </si>
  <si>
    <t>PIÑON CIGUEÑAL MONZA - DAEWOO</t>
  </si>
  <si>
    <t>PIÑON CTA. KLM. CHEV. SAIL 1.4</t>
  </si>
  <si>
    <t>0-136-048</t>
  </si>
  <si>
    <t>PIÑON EJE LEVA 38D CAVALIER 2.4</t>
  </si>
  <si>
    <t>PIÑON EJE LEVA CAVALIER - S-10</t>
  </si>
  <si>
    <t>PIÑON EJE LEVA NISSAN CTAS 2.4 KA24DE - D22</t>
  </si>
  <si>
    <t>PIÑON EJE LEVA NISSAN J18</t>
  </si>
  <si>
    <t>PIÑON EJE LEVA NISSAN L Z</t>
  </si>
  <si>
    <t>PIÑON EJE LEVA NS D21 KA24E</t>
  </si>
  <si>
    <t>PIÑON EJE LEVA NS. D-21 KA24 36 D.</t>
  </si>
  <si>
    <t>PIÑON LEVA LUV 2.2 - S10</t>
  </si>
  <si>
    <t>PIÑON LEVA RAV 4</t>
  </si>
  <si>
    <t>POLMAH</t>
  </si>
  <si>
    <t>PIÑON MAHINDRA</t>
  </si>
  <si>
    <t>PIÑON DIST. ACTYON</t>
  </si>
  <si>
    <t>PINTURA SPRAY 400 ML. WURTH</t>
  </si>
  <si>
    <t>PINTURA SPRAY GRAFITO 400 WURTH</t>
  </si>
  <si>
    <t>PIOLA</t>
  </si>
  <si>
    <t>PIOLA ACELERADOR NISSAN L18</t>
  </si>
  <si>
    <t>PIOLA EMBR.</t>
  </si>
  <si>
    <t>PIOLA EMBR. CHEV CORSA 97/</t>
  </si>
  <si>
    <t>PIOLA EMBR. CHEV. SPARK 800</t>
  </si>
  <si>
    <t>PIOLA EMBR. KIA MORNING AVELLA RIO 00/06</t>
  </si>
  <si>
    <t>PIOLA EMBR. NISSAN V16 ORIGINAL</t>
  </si>
  <si>
    <t>PIOLA FRENO MANO DEL. INFERIOR CHEV SAIL 1.4</t>
  </si>
  <si>
    <t>PIOLA FRENO MANO TRAS LH/RH CHEV. SAIL 1.4</t>
  </si>
  <si>
    <t>PIOLA NS. V16 CTA. KLM.</t>
  </si>
  <si>
    <t>PSELECT</t>
  </si>
  <si>
    <t>PIOLA SELECTORA ACCENT</t>
  </si>
  <si>
    <t>PIOLA SELECTORA CHEV. SPARK GT</t>
  </si>
  <si>
    <t>PIOLA SELECTORA HY. H100 2.5 93/</t>
  </si>
  <si>
    <t>PIOLA SELECTORA HY. PORTER D4BB D4BF</t>
  </si>
  <si>
    <t>PIOLA SELECTORA IZ. NKR</t>
  </si>
  <si>
    <t>pistones-bt-50</t>
  </si>
  <si>
    <t>PISTONES MZD BT-50</t>
  </si>
  <si>
    <t>PLATINO CHEV. 250 OPALA</t>
  </si>
  <si>
    <t>PLATINO CHEV. LUV /88</t>
  </si>
  <si>
    <t>PLATINO CHEVETTE</t>
  </si>
  <si>
    <t>SUPEN</t>
  </si>
  <si>
    <t>PLATINO DAIHATSU SUZUKI TOYOTA SD-102V</t>
  </si>
  <si>
    <t>PLATINO F.292</t>
  </si>
  <si>
    <t>PLATINO FIAT FEMSACO</t>
  </si>
  <si>
    <t>PLATINO FIAT LADA</t>
  </si>
  <si>
    <t>PLATINO FORD / CHEVROLET</t>
  </si>
  <si>
    <t>NPS-108R</t>
  </si>
  <si>
    <t>PLATINO LUV / SUBARU</t>
  </si>
  <si>
    <t>PLATINO NISSAN NEW ERA</t>
  </si>
  <si>
    <t>PLATINO OPALA CHEV 250</t>
  </si>
  <si>
    <t>PLATINO TOYOTA COROLLA</t>
  </si>
  <si>
    <t>PLATINO TOYOTA SUZUKI</t>
  </si>
  <si>
    <t>PLUMILLA 14 HELLA 1 PCS</t>
  </si>
  <si>
    <t>PLUMILLA 22 HELLA 1 PCS</t>
  </si>
  <si>
    <t>="16"/400"</t>
  </si>
  <si>
    <t>PLUMILLA WURTH 16" UNIDAD</t>
  </si>
  <si>
    <t>PLUMILLA WURTH 18</t>
  </si>
  <si>
    <t>="18"/450"</t>
  </si>
  <si>
    <t>PLUMILLA WURTH 18" UNIDAD</t>
  </si>
  <si>
    <t>="20"/500"</t>
  </si>
  <si>
    <t>PLUMILLA WURTH 20" UNIDAD</t>
  </si>
  <si>
    <t>="21"/525"</t>
  </si>
  <si>
    <t>PLUMILLA WURTH 21" UNIDAD</t>
  </si>
  <si>
    <t>="22"/550"</t>
  </si>
  <si>
    <t>PLUMILLA WURTH 22"/550</t>
  </si>
  <si>
    <t>="28"/700"</t>
  </si>
  <si>
    <t>PLUMILLA WURTH 24 UNIDAD</t>
  </si>
  <si>
    <t>="24"/600"</t>
  </si>
  <si>
    <t>PLUMILLA WURTH 24"/600</t>
  </si>
  <si>
    <t>POLEA BBA. AGUA CHEV. SAIL</t>
  </si>
  <si>
    <t>POLEA GUIA CHEVROLET</t>
  </si>
  <si>
    <t>RX132</t>
  </si>
  <si>
    <t>PORTA CARBON ALT.</t>
  </si>
  <si>
    <t>PORTA FUSIBLE CUÑO</t>
  </si>
  <si>
    <t>PORTA FUSIBLE CUÑO CON TAPA</t>
  </si>
  <si>
    <t>PORTA FILTRO CHEV SPARK</t>
  </si>
  <si>
    <t>PORTA FILTRO COMPLETO KIA ONNURI</t>
  </si>
  <si>
    <t>PORTA FILTRO H100</t>
  </si>
  <si>
    <t>PORTA FILTRO HY. ACCENT RB</t>
  </si>
  <si>
    <t>HYH0002</t>
  </si>
  <si>
    <t>PORTA FILTRO HYUNDAI H100 COMPLETO</t>
  </si>
  <si>
    <t>PORTA FILTRO PETROLEO KIA</t>
  </si>
  <si>
    <t>PORTA-FILTRO-TY-YARIS</t>
  </si>
  <si>
    <t>PORTA FILTRO TY YARIS</t>
  </si>
  <si>
    <t>carroceria</t>
  </si>
  <si>
    <t>PORTA FILTRO SAIL 54564554</t>
  </si>
  <si>
    <t>PORTY</t>
  </si>
  <si>
    <t>PORTALON TY. HILUX</t>
  </si>
  <si>
    <t>PORTALON DMAX</t>
  </si>
  <si>
    <t>PORTALON DMAX 2.5</t>
  </si>
  <si>
    <t>PRE</t>
  </si>
  <si>
    <t>PRE CARTER HD35</t>
  </si>
  <si>
    <t>PRENSA 181 SUZUKI ST90</t>
  </si>
  <si>
    <t>PRENSA CHERY IQ. 182</t>
  </si>
  <si>
    <t>PRENSA Daihatsu 1000 173mm valeo 20-2</t>
  </si>
  <si>
    <t>PRENSA EMBR 227 IMPREZA SUBARU LEGACY</t>
  </si>
  <si>
    <t>PRENSA EMBR HYUNDAI ATOS /98</t>
  </si>
  <si>
    <t>PRENSA EMBR NISSAN TIIDA</t>
  </si>
  <si>
    <t>PRENSA EMBR SUZUKI GRAN NOMADE 2.0</t>
  </si>
  <si>
    <t>PRENSA EMBR. 160 DAIHATSU</t>
  </si>
  <si>
    <t>PRENSA EMBR. 184 MATIZ SPAK</t>
  </si>
  <si>
    <t>PRENSA EMBR. 227 MITS L200</t>
  </si>
  <si>
    <t>PRENSA EMBR. CHANGAN BENNI.</t>
  </si>
  <si>
    <t>PRENSA EMBR. CHERY 227.</t>
  </si>
  <si>
    <t>PRENSA EMBR. CHEV .242.00</t>
  </si>
  <si>
    <t>PRENSA EMBR. CHEV LUV 2.8 240MM</t>
  </si>
  <si>
    <t>PRENSA EMBR. CHEV. AVEO OPTRA 218 X 144</t>
  </si>
  <si>
    <t>PRENSA EMBR. CHEV. AVEO OPTRA VIVANT 218X144</t>
  </si>
  <si>
    <t>PRENSA EMBR. CHEV. CAPTIVA 2.4 237MM VALEO UBIC. K1-7</t>
  </si>
  <si>
    <t>PRENSA EMBR. CHEV. CAVALIER 2.2 215</t>
  </si>
  <si>
    <t>PRENSA EMBR. CHEV. CORSA 1.4 190 MM K3-16</t>
  </si>
  <si>
    <t>PRENSA EMBR. CHEV. D-MAX 250MM VALEO</t>
  </si>
  <si>
    <t>PRENSA EMBR. CHEV. DMAX 2.4 242</t>
  </si>
  <si>
    <t>PRENSA EMBR. CHEV. DMAX 48.5 ALT. 250 B. WAGNER</t>
  </si>
  <si>
    <t>PRENSA EMBR. CHEV. LUV 1.6 200X130</t>
  </si>
  <si>
    <t>PRENSA EMBR. CHEV. LUV 2.2 217 VALEO.</t>
  </si>
  <si>
    <t>PRENSA EMBR. CHEV. LUV. 2.3 217.</t>
  </si>
  <si>
    <t>PRENSA EMBR. CHEV. SAIL 1.4 201mm VALEO</t>
  </si>
  <si>
    <t>PRENSA EMBR. CHEV. SPARK 186 VALEO</t>
  </si>
  <si>
    <t>PRENSA EMBR. CHEV. SPARK 800 181</t>
  </si>
  <si>
    <t>PRENSA EMBR. CHEV. SPARK GT 192</t>
  </si>
  <si>
    <t>PRENSA EMBR. CHEVROLET LUV 2.2 217</t>
  </si>
  <si>
    <t>PRENSA EMBR. DAEWOO 206 x 133 valeo K3-16</t>
  </si>
  <si>
    <t>PRENSA EMBR. DAEWOO NUBIRA 200MM</t>
  </si>
  <si>
    <t>PRENSA EMBR. DAIHATSU 192</t>
  </si>
  <si>
    <t>PRENSA EMBR. DH. SZ. TY. 227 VALEO</t>
  </si>
  <si>
    <t>PRENSA EMBR. DH. TERIOS 1.3 190</t>
  </si>
  <si>
    <t>PRENSA EMBR. F DAIH 550 160.</t>
  </si>
  <si>
    <t>PRENSA EMBR. F. ESCAPE 227 VALEO</t>
  </si>
  <si>
    <t>PRENSA EMBR. F. ESCORT 201 VALEO UBIC. K3-11</t>
  </si>
  <si>
    <t>PRENSA EMBR. FIAT 170.</t>
  </si>
  <si>
    <t>PRENSA EMBR. FIAT 190.</t>
  </si>
  <si>
    <t>PRENSA EMBR. FIAT PALIO 190</t>
  </si>
  <si>
    <t>PRENSA EMBR. FORD ECOSPORT 190</t>
  </si>
  <si>
    <t>PRENSA EMBR. FORD RANGER .</t>
  </si>
  <si>
    <t>FD70080</t>
  </si>
  <si>
    <t>PRENSA EMBR. FORD RANGER 2.5</t>
  </si>
  <si>
    <t>PRENSA EMBR. G20 160.</t>
  </si>
  <si>
    <t>PRENSA EMBR. GRAN NOMADE 242.</t>
  </si>
  <si>
    <t>PRENSA EMBR. H1 242.</t>
  </si>
  <si>
    <t>PRENSA EMBR. HAVAL 225 MM. K2-10</t>
  </si>
  <si>
    <t>PRENSA EMBR. HILUX 238MM.</t>
  </si>
  <si>
    <t>PRENSA EMBR. HONDA CIVIC 192MM</t>
  </si>
  <si>
    <t>PRENSA EMBR. HONDA CIVIC 200 VALEO UBIC. K3-12</t>
  </si>
  <si>
    <t>PRENSA EMBR. HY ACCENT 1.5 215MM</t>
  </si>
  <si>
    <t>PRENSA EMBR. HY ACCENT 202MM</t>
  </si>
  <si>
    <t>PRENSA EMBR. HY ACCENT 215MM</t>
  </si>
  <si>
    <t>PRENSA EMBR. HY. ACCENT RB 200 MM</t>
  </si>
  <si>
    <t>PRENSA EMBR. HY. I-10 200MM VALEO</t>
  </si>
  <si>
    <t>PRENSA EMBR. HY. I-10 202</t>
  </si>
  <si>
    <t>PRENSA EMBR. HY. MIT. SZ. 217MM</t>
  </si>
  <si>
    <t>PRENSA EMBR. HY. STA FE 225 VALEO</t>
  </si>
  <si>
    <t>PRENSA EMBR. HYUNDAI ACCENT 215</t>
  </si>
  <si>
    <t>PRENSA EMBR. HYUNDAI H 100 MM 228 93/</t>
  </si>
  <si>
    <t>PRENSA EMBR. HYUNDAI NEW H 1 250MM</t>
  </si>
  <si>
    <t>PRENSA EMBR. HYUNDAI STA. FE 225. 2016 K3-13</t>
  </si>
  <si>
    <t>PRENSA EMBR. ISUZU LUV 3.2 241MM</t>
  </si>
  <si>
    <t>PRENSA EMBR. KIA 240.</t>
  </si>
  <si>
    <t>PRENSA EMBR. KIA 242.</t>
  </si>
  <si>
    <t>PRENSA EMBR. KIA ASIA A 262 mm</t>
  </si>
  <si>
    <t>PRENSA EMBR. KIA AVELLA 200 MM</t>
  </si>
  <si>
    <t>PRENSA EMBR. KIA AVELLA 200 VALEO</t>
  </si>
  <si>
    <t>PRENSA EMBR. KIA AVELLA 200.</t>
  </si>
  <si>
    <t>PRENSA EMBR. KIA CARNIVAL 240</t>
  </si>
  <si>
    <t>PRENSA EMBR. KIA OPTIMA SONATA 227 X 143 HDC-55</t>
  </si>
  <si>
    <t>PRENSA EMBR. L-200 225.</t>
  </si>
  <si>
    <t>PRENSA EMBR. MAHINDRA 2.2 UBIC. K2-9</t>
  </si>
  <si>
    <t>PRENSA EMBR. MAHINDRA 242</t>
  </si>
  <si>
    <t>PRENSA EMBR. MATIZ TICO ALTO 170.</t>
  </si>
  <si>
    <t>PRENSA EMBR. MAZDA 626. 217X148X252</t>
  </si>
  <si>
    <t>PRENSA EMBR. MAZDA B2200 227.</t>
  </si>
  <si>
    <t>PRENSA EMBR. MAZDA FE F2 227MM</t>
  </si>
  <si>
    <t>PRENSA EMBR. MIT. L-200 228MM</t>
  </si>
  <si>
    <t>PRENSA EMBR. MIT. L200 HY. 228 VALEO</t>
  </si>
  <si>
    <t>PRENSA EMBR. MITS. L200 227</t>
  </si>
  <si>
    <t>PRENSA EMBR. MITS. L200 1.6 VALEO UBIC. K3-12</t>
  </si>
  <si>
    <t>PRENSA EMBR. MITS. LANCER 200MM.</t>
  </si>
  <si>
    <t>PRENSA EMBR. MITS. LANCER 201</t>
  </si>
  <si>
    <t>PRENSA EMBR. MITSUBISHI 229MM</t>
  </si>
  <si>
    <t>PRENSA EMBR. MITSUBISHI 230 VALEO</t>
  </si>
  <si>
    <t>PRENSA EMBR. MITSUBISHI 242</t>
  </si>
  <si>
    <t>PRENSA EMBR. MONZA 1.8. 218.</t>
  </si>
  <si>
    <t>PRENSA EMBR. MONZA 215 92/</t>
  </si>
  <si>
    <t>PRENSA EMBR. MONZA 92/ 215.</t>
  </si>
  <si>
    <t>PRENSA EMBR. MZ. ARTIS 323 MPV VALEO 200MM</t>
  </si>
  <si>
    <t>PRENSA EMBR. NEW H1 250. 2008/</t>
  </si>
  <si>
    <t>PRENSA EMBR. NISSAN 227 VALEO</t>
  </si>
  <si>
    <t>PRNAV</t>
  </si>
  <si>
    <t>PRENSA EMBR. NISSAN NAVARA</t>
  </si>
  <si>
    <t>PRENSA EMBR. NS. 250mm</t>
  </si>
  <si>
    <t>PRENSA EMBR. NS. D21 240 VALEO</t>
  </si>
  <si>
    <t>PRENSA EMBR. NS. PATHFINDER 252</t>
  </si>
  <si>
    <t>PRENSA EMBR. NS. SUNNY 180</t>
  </si>
  <si>
    <t>PRENSA EMBR. NS. TERRANO 250 X 18 VALEO</t>
  </si>
  <si>
    <t>PRENSA EMBR. NS. TERRANO D22 250</t>
  </si>
  <si>
    <t>PRENSA EMBR. NS. TIIDA 200.</t>
  </si>
  <si>
    <t>PRENSA EMBR. NS. TIIDA 217 VALEO</t>
  </si>
  <si>
    <t>PRENSA EMBR. OPEL CORSA 200X132X220</t>
  </si>
  <si>
    <t>PRENSA EMBR. PEUGEOT 206 180MM</t>
  </si>
  <si>
    <t>PRENSA EMBR. SAMSUNG SM3 202</t>
  </si>
  <si>
    <t>PRENSA EMBR. SAMSUNG SM5 184 VALEO.</t>
  </si>
  <si>
    <t>PRENSA EMBR. SANSUM SM3 217MM</t>
  </si>
  <si>
    <t>PRENSA EMBR. SM3 200.</t>
  </si>
  <si>
    <t>PRENSA EMBR. SM3 VALEO 215MM</t>
  </si>
  <si>
    <t>PRENSA EMBR. SMSUNG SM3 215</t>
  </si>
  <si>
    <t>PRENSA EMBR. SPARK 181.</t>
  </si>
  <si>
    <t>PRENSA EMBR. SSANGYONG KORANDO 230</t>
  </si>
  <si>
    <t>PRENSA EMBR. SUB. LOYALE 202MM plat desplazado ubic.K3-11</t>
  </si>
  <si>
    <t>PRENSA EMBR. SUBARU 202.</t>
  </si>
  <si>
    <t>PRENSA EMBR. SUBARU JUSTY 1.2. 180</t>
  </si>
  <si>
    <t>PRENSA EMBR. SUZ. 225</t>
  </si>
  <si>
    <t>PRENSA EMBR. SUZ. SJ410 180 VALEO UBIC. K3-12</t>
  </si>
  <si>
    <t>PRENSA EMBR. SUZUKI 192 VALEO</t>
  </si>
  <si>
    <t>PRENSA EMBR. SUZUKI SWIFT 192</t>
  </si>
  <si>
    <t>PRENSA EMBR. SWISFT 201. AEREO</t>
  </si>
  <si>
    <t>PRENSA EMBR. SZ 200.</t>
  </si>
  <si>
    <t>PRENSA EMBR. SZ CARRY SJ410 181 VALEO</t>
  </si>
  <si>
    <t>PRENSA EMBR. SZ GRAN NOMADE 225</t>
  </si>
  <si>
    <t>PRENSA EMBR. SZ ST-90 180 VALEO</t>
  </si>
  <si>
    <t>PRENSA EMBR. SZ. ALTO 170 VALEO</t>
  </si>
  <si>
    <t>PRENSA EMBR. SZ. APV 215.</t>
  </si>
  <si>
    <t>PRENSA EMBR. SZ. BALENO 203.</t>
  </si>
  <si>
    <t>PRENSA EMBR. SZ. CELERIO</t>
  </si>
  <si>
    <t>PRENSA EMBR. SZ. GRAN VITARA 225 X 155</t>
  </si>
  <si>
    <t>PRENSA EMBR. SZ. MARUTI 165 VALEO</t>
  </si>
  <si>
    <t>PRENSA EMBR. SZ. MARUTI 165.</t>
  </si>
  <si>
    <t>PRENSA EMBR. SZ. MARUTI FR. 165 VALEO</t>
  </si>
  <si>
    <t>PRENSA EMBR. SZ. MASTER VAN 190MM</t>
  </si>
  <si>
    <t>PRENSA EMBR. SZ. MASTERVAN BENNI 190. EXEDY JP.</t>
  </si>
  <si>
    <t>PRENSA EMBR. SZ. MASTERVAN CELERIO 190MM EXEDY</t>
  </si>
  <si>
    <t>PRENSA EMBR. SZ. SAMURAI SJ-413 192</t>
  </si>
  <si>
    <t>PRENSA EMBR. SZ. VITARA 1.6 215 VALEO UBIC. K3-4</t>
  </si>
  <si>
    <t>PRENSA EMBR. SZ. VITARA 203 M. VALEO</t>
  </si>
  <si>
    <t>PRENSA EMBR. SZ. VITARA 203MM</t>
  </si>
  <si>
    <t>PRENSA EMBR. SZ. WAGON 182 VALEO</t>
  </si>
  <si>
    <t>PRENSA EMBR. TERRANO 3.2 260MM</t>
  </si>
  <si>
    <t>PRENSA EMBR. TIIDA.</t>
  </si>
  <si>
    <t>PRENSA EMBR. TY CORONA 1.8 226MM</t>
  </si>
  <si>
    <t>PRENSA EMBR. TY. 2T COROLLA 198MM</t>
  </si>
  <si>
    <t>PRENSA EMBR. TY. COROLLA</t>
  </si>
  <si>
    <t>PRENSA EMBR. TY. COROLLA 198MM</t>
  </si>
  <si>
    <t>PRENSA EMBR. TY. HILUX 2.5 236.</t>
  </si>
  <si>
    <t>PRENSA EMBR. TY. HILUX 237 VALEO UBIC. K3-8</t>
  </si>
  <si>
    <t>PRENSA EMBR. TY. HILUX 260</t>
  </si>
  <si>
    <t>PRENSA EMBR. TY. HILUX KUN 275</t>
  </si>
  <si>
    <t>PRENSA EMBR. TY. RAV 4 263</t>
  </si>
  <si>
    <t>PRENSA EMBR. TY. RAV 4 236</t>
  </si>
  <si>
    <t>PRENSA EMBR. V16 SENTRA 191.</t>
  </si>
  <si>
    <t>PRENSA EMBR. VITARA</t>
  </si>
  <si>
    <t>PRENSA EMBR. VITARA 200.</t>
  </si>
  <si>
    <t>PRENSA EMBR. VITARA G16 215.</t>
  </si>
  <si>
    <t>PRENSA EMBR. VOLSK 192.</t>
  </si>
  <si>
    <t>PRENSA EMBR. WINGLE 250.</t>
  </si>
  <si>
    <t>PRENSA EMBRAGUE BENNI</t>
  </si>
  <si>
    <t>PRENSA EMBRAGUE FORD FIESTA ECOSPORT 190mm</t>
  </si>
  <si>
    <t>PRENNAVARA</t>
  </si>
  <si>
    <t>PRENAVARA</t>
  </si>
  <si>
    <t>PRENSA EMBRAGUE NS. NAVARA</t>
  </si>
  <si>
    <t>PRENSA EMR. TERRANO 2.7 242MM</t>
  </si>
  <si>
    <t>PRENSA mazda b2600</t>
  </si>
  <si>
    <t>PRENSA MAZDA B2600</t>
  </si>
  <si>
    <t>PRENSA SUZUKI ST90</t>
  </si>
  <si>
    <t>prensa-embrague</t>
  </si>
  <si>
    <t>PRENSA EMB. CRUZE</t>
  </si>
  <si>
    <t>PROBADOR METAL. PLATEADO</t>
  </si>
  <si>
    <t>PROTECTOR DE COBRE PARA EMPAQUETADURA PASTA 100GR</t>
  </si>
  <si>
    <t>KUPFERSPRAY</t>
  </si>
  <si>
    <t>PROTECTOR DE EMPAQ. Y PASTILLA FRENO SPRAY 250g</t>
  </si>
  <si>
    <t>BUMPER</t>
  </si>
  <si>
    <t>PROTECTOR DE PARACH. UNIVERSAL BUMPER</t>
  </si>
  <si>
    <t>PTA2</t>
  </si>
  <si>
    <t>PUERTA HY. ACCENT</t>
  </si>
  <si>
    <t>PTA</t>
  </si>
  <si>
    <t>PUERTA</t>
  </si>
  <si>
    <t>PUERTA HYUNDAI ELANTRA 2013</t>
  </si>
  <si>
    <t>PTAMAH</t>
  </si>
  <si>
    <t>PUERTA MAHINDRA SCORPION DEL. IZQ.</t>
  </si>
  <si>
    <t>PTYAR</t>
  </si>
  <si>
    <t>PUERTA TY. YARIS</t>
  </si>
  <si>
    <t>crch051412</t>
  </si>
  <si>
    <t>PUERTA DEL IZQ SPARK GT crch051412</t>
  </si>
  <si>
    <t>PULVERIZADOR W-MAX 1.5 LT</t>
  </si>
  <si>
    <t>PUNTA DER. BLANCO AMBAR. TERRANO</t>
  </si>
  <si>
    <t>PUNTA HOMOCINETICA TOYOTA YARIS 2000-2005 24X23X56</t>
  </si>
  <si>
    <t>H-100260</t>
  </si>
  <si>
    <t>PUNTA IZQ. 97.FURGON. GRACE VAN.</t>
  </si>
  <si>
    <t>PUNTA IZQ. V-16</t>
  </si>
  <si>
    <t>PTMO04</t>
  </si>
  <si>
    <t>PURGANTE RADIADOR 55G. BOLSA PERMA PURGA</t>
  </si>
  <si>
    <t>RAD. MOTOR CRUZE CHEVROLETT</t>
  </si>
  <si>
    <t>RADIADOR AIRE ACON. CHEV. SPARK 1.0 800 10/16 UB. RB1-3</t>
  </si>
  <si>
    <t>RADIADOR AIRE ACOND. CHEV. SAIL 1.5 UB RC4-3-4</t>
  </si>
  <si>
    <t>RADIADOR AIRE ACOND. HY. ACCENT RB 11/ UB. RC4-2</t>
  </si>
  <si>
    <t>CRDT603003</t>
  </si>
  <si>
    <t>RADIADOR AIRE ACOND. NS. TERRANO 2.5 98/14 UB RC4-2-3</t>
  </si>
  <si>
    <t>HG00100</t>
  </si>
  <si>
    <t>RADIADOR AIRE ACONDICIONADO. H.GALOPE</t>
  </si>
  <si>
    <t>RADIADOR AUXILIAR NS. TIDA</t>
  </si>
  <si>
    <t>RADIADOR CALEFACCION CHEV. SAIL 1.4</t>
  </si>
  <si>
    <t>RADIADOR CHERY IQ. 800RC4-2 RC4-2-2 RB3-2</t>
  </si>
  <si>
    <t>RADIADOR--N400</t>
  </si>
  <si>
    <t>RADIADOR CHEV N400</t>
  </si>
  <si>
    <t>RADIADOR CHEV SPARK 06/ WURTEX</t>
  </si>
  <si>
    <t>RADIADOR CHEV. ASTRA 1.4 1.6 S/AIRE 92/98 UB. RC3-2</t>
  </si>
  <si>
    <t>RADIADOR CHEV. AVEO 1.4 C/ AC.</t>
  </si>
  <si>
    <t>CRCH102803</t>
  </si>
  <si>
    <t>RADIADOR CHEV. AVEO 1.4 04/16 UB. RB4-1 RC3-3</t>
  </si>
  <si>
    <t>RADIADOR CHEV. AVEO 1.4 2003/06</t>
  </si>
  <si>
    <t>RADIADOR CHEV. AVEO SIN AIRE ACON.</t>
  </si>
  <si>
    <t>RADIADOR CHEV. CORSA 1.8 / 02. EVOLUCION UB. RD2-3-1</t>
  </si>
  <si>
    <t>RADIADOR CHEV. CORSA 1.8 01/11 C/AIRE UB. RD4-2</t>
  </si>
  <si>
    <t>RADIADOR CHEV. CORSA C/AIRE ATSUKI RC3-3</t>
  </si>
  <si>
    <t>CRCH012823</t>
  </si>
  <si>
    <t>RADIADOR CHEV. CORSA CON AIRE</t>
  </si>
  <si>
    <t>RADIADOR CHEV. CORSA S/AIRE</t>
  </si>
  <si>
    <t>RADIADOR CHEV. CORSA S/AIRE UB RC2-2-5</t>
  </si>
  <si>
    <t>RADIADOR CHEV. CORSA SIN AIRE</t>
  </si>
  <si>
    <t>RADIADOR CHEV. CORSA SN/ AIRE.</t>
  </si>
  <si>
    <t>RADIADOR CHEV. DMAX</t>
  </si>
  <si>
    <t>RADMAX</t>
  </si>
  <si>
    <t>RADIADOR CHEV. DMAX 2.5 15/20 UB. RB4-2</t>
  </si>
  <si>
    <t>RADIADOR CHEV. LUV 2.2</t>
  </si>
  <si>
    <t>CRCH332823</t>
  </si>
  <si>
    <t>RADIADOR CHEV. LUV 2.2 ATSUKI 25-4</t>
  </si>
  <si>
    <t>RADIADOR CHEV. LUV 2.3</t>
  </si>
  <si>
    <t>RADIADOR CHEV. LUV 2.3 ATSUKI</t>
  </si>
  <si>
    <t>RADIADOR CHEV. LUV DMAX 2.5 15/19 UB RC3-2-3</t>
  </si>
  <si>
    <t>RADIADOR CHEV. N400 1.5 20/23 UB RC3-3-1</t>
  </si>
  <si>
    <t>RADIADOR CHEV. OPTRA 04/12 VIVANT REZZO RD3-3 -5 RC4-1</t>
  </si>
  <si>
    <t>RADIADOR CHEV. OPTRA 04/16</t>
  </si>
  <si>
    <t>CRCH112803</t>
  </si>
  <si>
    <t>RADIADOR CHEV. OPTRA 1.6</t>
  </si>
  <si>
    <t>RADIADOR CHEV. S-10</t>
  </si>
  <si>
    <t>RADIADOR CHEV. S10 2.2 AMERICANA</t>
  </si>
  <si>
    <t>RADIADOR CHEV. SAIL 1.4 11/16 RB2-3 RB3-3</t>
  </si>
  <si>
    <t>RADIADOR CHEV. SAIL 1.5</t>
  </si>
  <si>
    <t>RADIADOR CHEV. SAIL 1.5 CONDENSADOR</t>
  </si>
  <si>
    <t>RADIADOR CHEV. SPARK 05/ MATIZ 03/ RB1-3</t>
  </si>
  <si>
    <t>RADIADOR CHEV. SPARK GT 10/16 RB2-2</t>
  </si>
  <si>
    <t>RADIADOR CHEV. SPARK GT 1.2</t>
  </si>
  <si>
    <t>RADIADOR CHEV. VIVANT 1.6 04/09 CONDENSADOR UB. RC4-3</t>
  </si>
  <si>
    <t>RADIADOR CHEVR. OPTRA 1.6</t>
  </si>
  <si>
    <t>RADIADOR CHV. LUV 2.3</t>
  </si>
  <si>
    <t>RACKI</t>
  </si>
  <si>
    <t>RADIADOR COND. KIA RIO 4</t>
  </si>
  <si>
    <t>CONTY</t>
  </si>
  <si>
    <t>CONTYH</t>
  </si>
  <si>
    <t>RADIADOR CONDENSADOR DE AIRE TY. HILUX</t>
  </si>
  <si>
    <t>RADIADOR CONDENSADOR HY. H1 2.5 2.4 98/10 DIESEL BENC. UB. RC4-2-1</t>
  </si>
  <si>
    <t>RADIADOR CONDENSADOR KIA MORNING 11/ UB. RD2-2-2</t>
  </si>
  <si>
    <t>RADIADOR CONDENSADOR MIT L200 2.5 RB3-1</t>
  </si>
  <si>
    <t>RADIADOR CONDENSADOR SZ. SWIFT 1.2 13/13 UB.RC3-1-1</t>
  </si>
  <si>
    <t>RADIADOR CONDENSADOR TY. HILUX KUN 2.5 3.0 05/15 UB. RC4-1-1</t>
  </si>
  <si>
    <t>RADIADOR DAEWOO NUBIRA. 97/99. MEC. UB RC4-1-3</t>
  </si>
  <si>
    <t>RADTERIO</t>
  </si>
  <si>
    <t>RADIADOR DH. TERIOS</t>
  </si>
  <si>
    <t>RADIDOD</t>
  </si>
  <si>
    <t>RADIADOR DODGE</t>
  </si>
  <si>
    <t>RADURA</t>
  </si>
  <si>
    <t>RADIADOR DODGE DURANGO</t>
  </si>
  <si>
    <t>RADIADOR DW. LANOS LARGO</t>
  </si>
  <si>
    <t>RADIADOR DW. NUBIRA RB2-2</t>
  </si>
  <si>
    <t>RADIADOR DW. RACER.</t>
  </si>
  <si>
    <t>RADIADOR ESCORPIO. RD3-1</t>
  </si>
  <si>
    <t>RADIADOR FIAT FIORINO S/AIRE 89/08 UB. RB1-3</t>
  </si>
  <si>
    <t>RADIADOR FORD ECOSPORT 03/08 FIESTA 04/10 UB RC4-2-4</t>
  </si>
  <si>
    <t>RADIADOR FORD FIESTA / ECOSPORT DIESEL 96/03 RB4-1</t>
  </si>
  <si>
    <t>RADIADOR FORD FIESTA 11/16 UB RC3-3-4</t>
  </si>
  <si>
    <t>RADIADOR HONDA CIVIC 92/95 UB. RC2-2-3</t>
  </si>
  <si>
    <t>H401068</t>
  </si>
  <si>
    <t>RADIADOR HY ACCENT. PRIME 1.5 00/05.</t>
  </si>
  <si>
    <t>H003788</t>
  </si>
  <si>
    <t>RADIADOR HY. ACCENT 1.3 - 1.5.</t>
  </si>
  <si>
    <t>H480608</t>
  </si>
  <si>
    <t>RADIADOR HY. ACCENT 1.4 1.6 06/10</t>
  </si>
  <si>
    <t>RADIADOR HY. ACCENT 1.5 06/10</t>
  </si>
  <si>
    <t>RADIADOR HY. ACCENT 1.5 06/10 DIESEL RB2-1</t>
  </si>
  <si>
    <t>H480958</t>
  </si>
  <si>
    <t>RADIADOR HY. ACCENT 1.5 06/11 RB2-3</t>
  </si>
  <si>
    <t>RADIADOR HY. ACCENT 1.5 DIESEL 06/10 UB RD3-2-1</t>
  </si>
  <si>
    <t>RADIADOR HY. ACCENT 1.6 DIESEL 11/ UB. RC3-3</t>
  </si>
  <si>
    <t>RADIADOR HY. ACCENT 11/ RIO 4 5 11/</t>
  </si>
  <si>
    <t>RADIADOR HY. ACCENT 94-99 T/MEC.</t>
  </si>
  <si>
    <t>RADIADOR HY. ACCENT RB</t>
  </si>
  <si>
    <t>RADIADOR HY. ACCENT RB 1.4 1.6 11/</t>
  </si>
  <si>
    <t>RADIADOR HY. ACCENT RB 1.6 DIESEL 11/18</t>
  </si>
  <si>
    <t>RADIADOR HY. ACCENT RB 1.6 DIESEL 11/20 RC2-2</t>
  </si>
  <si>
    <t>RADIADOR HY. ACCENT RB 11/18 AIRE ACOND.</t>
  </si>
  <si>
    <t>H480600</t>
  </si>
  <si>
    <t>RADIADOR HY. ACCENT.</t>
  </si>
  <si>
    <t>RADIADOR HY. ACCENT. RB</t>
  </si>
  <si>
    <t>RADIADOR HY. ELANTRA 06/</t>
  </si>
  <si>
    <t>H702185</t>
  </si>
  <si>
    <t>RADIADOR HY. ELANTRA 07/11 MEC.</t>
  </si>
  <si>
    <t>RADIADOR HY. ELANTRA 1.5 1.6 90/95</t>
  </si>
  <si>
    <t>RADIADOR HY. ELANTRA 1.6 17/18 UB. RD4-1-1</t>
  </si>
  <si>
    <t>RADIADOR HY. ELANTRA 11/16 CERATO AUTOMATICO UB RC3-3-3</t>
  </si>
  <si>
    <t>RADIADOR HY. GETZ 1.3</t>
  </si>
  <si>
    <t>RADIADOR HY. H100 DIESEL BENCINERO</t>
  </si>
  <si>
    <t>H108818</t>
  </si>
  <si>
    <t>RADIADOR HY. H100.</t>
  </si>
  <si>
    <t>RADIADOR HY. I10 14/20 UB RC3-3-2</t>
  </si>
  <si>
    <t>RADIADOR HY. MATRIX 1.6 02/07 UB. RB3-3</t>
  </si>
  <si>
    <t>RADIADOR HY. PORTER 2.5 00/09 RB3-3</t>
  </si>
  <si>
    <t>RADIADOR HY. TUCSON 2.0 05/09 MEC. RD2-3</t>
  </si>
  <si>
    <t>RADIADOR HY. TUCSON 2.0 10/15 CONDENSADOR UB RC4-1-2</t>
  </si>
  <si>
    <t>hu00645</t>
  </si>
  <si>
    <t>HU00645</t>
  </si>
  <si>
    <t>RADIADOR HY. TUCSON 2.0 D4EA 05/09 DIESEL UB. RD3-1</t>
  </si>
  <si>
    <t>rad.</t>
  </si>
  <si>
    <t>TRAJET</t>
  </si>
  <si>
    <t>RADIADOR HYUN. TRAJET</t>
  </si>
  <si>
    <t>RADIADOR HYUNDAI 1-10</t>
  </si>
  <si>
    <t>RADIADOR HYUNDAI ELANTRA</t>
  </si>
  <si>
    <t>RADIADOR HYUNDAI. i10 1.1 07/14</t>
  </si>
  <si>
    <t>INTNAV</t>
  </si>
  <si>
    <t>RADIADOR INTERCOOLER NAVARA</t>
  </si>
  <si>
    <t>RADIADOR-JAC</t>
  </si>
  <si>
    <t>RADIADOR JAC</t>
  </si>
  <si>
    <t>RADIADOR K. CARENS 1.8 2003.... 2006/</t>
  </si>
  <si>
    <t>RADKIA</t>
  </si>
  <si>
    <t>RADIADOR KIA</t>
  </si>
  <si>
    <t>RADIADOR KIA CAREN 2.0 07/12 DIESEL UB. RD3-1-2</t>
  </si>
  <si>
    <t>RADIADOR KIA CAREN 2.0 AUTOM. 07/12 UB. RC3-1</t>
  </si>
  <si>
    <t>RADIADOR KIA CARENS 07/12 AUTOMAT.RD3-1-1</t>
  </si>
  <si>
    <t>RADIADOR KIA CARENS 1.8.</t>
  </si>
  <si>
    <t>RADIADOR KIA CARENS 2.0 RD2-3</t>
  </si>
  <si>
    <t>RADIADOR KIA CARENS 2.0 2006/</t>
  </si>
  <si>
    <t>KC01050</t>
  </si>
  <si>
    <t>RADIADOR KIA CARENS. II 2002.</t>
  </si>
  <si>
    <t>RADIADOR KIA CERATO MEC. HCC</t>
  </si>
  <si>
    <t>RADIADOR KIA FRONTIER 2.7.</t>
  </si>
  <si>
    <t>RADIADOR KIA MORNING 12/19 RD1-3</t>
  </si>
  <si>
    <t>RADIADOR KIA MORNING 1.0 1.2 17/ UB RC4-2-5</t>
  </si>
  <si>
    <t>RADIADOR KIA MORNING 1.1 05/08.</t>
  </si>
  <si>
    <t>RADIADOR KIA MORNING 1.1 08/11 RC2-2</t>
  </si>
  <si>
    <t>RADIADOR KIA MORNING 12/15 RB1-2</t>
  </si>
  <si>
    <t>RADIADOR KIA OPTIMA</t>
  </si>
  <si>
    <t>CRKI102813</t>
  </si>
  <si>
    <t>RADIADOR KIA RIO 03/05</t>
  </si>
  <si>
    <t>RADIADOR KIA RIO 1.4 1.6 JB 06/11 UB. RB3-2</t>
  </si>
  <si>
    <t>CRKI012803</t>
  </si>
  <si>
    <t>RADIADOR KIA SEPHIA 95/98 RB2-2 RC3-1</t>
  </si>
  <si>
    <t>RADIADOR KIA SORENTO DIESEL D4CB 04/09 UB. RC3-2</t>
  </si>
  <si>
    <t>RADIADOR L200 2.5 07/13 INTERCOOLER RD2-2</t>
  </si>
  <si>
    <t>MT20120</t>
  </si>
  <si>
    <t>RADIADOR L200 2.5.</t>
  </si>
  <si>
    <t>RADIADOR LARGO HY ACCENT PRIME</t>
  </si>
  <si>
    <t>radiadmah</t>
  </si>
  <si>
    <t>radmah</t>
  </si>
  <si>
    <t>RADIADOR mahindra</t>
  </si>
  <si>
    <t>radmz</t>
  </si>
  <si>
    <t>RADIADOR mazda 323</t>
  </si>
  <si>
    <t>RADIADOR MAZDA 626 2.0 93/04 AUTOMATICO RB2-3</t>
  </si>
  <si>
    <t>RADIADOR MAZDA BT50</t>
  </si>
  <si>
    <t>RADIADOR MAZDA BT50 07/12 B2500</t>
  </si>
  <si>
    <t>RADIADOR-MEC</t>
  </si>
  <si>
    <t>RADIADOR MECANICO</t>
  </si>
  <si>
    <t>RG70048</t>
  </si>
  <si>
    <t>RADIADOR MEGANE 1.6 CN/ AIRE.</t>
  </si>
  <si>
    <t>RADIADOR MIT. MONTERO 94-97 AUT.</t>
  </si>
  <si>
    <t>RADIADOR MITS. L200 2.5 96/06 UB. RD3-2-2</t>
  </si>
  <si>
    <t>RADIADOR MITS. L200 2.4 15/20 UB RD2-2-1</t>
  </si>
  <si>
    <t>RADMIT</t>
  </si>
  <si>
    <t>RADIADOR MITS. L200 2.4 2015/20 RD2-1</t>
  </si>
  <si>
    <t>RADIADOR MITS. L200 2.5 07/ 4D56T BHORKE UB 3-1-2</t>
  </si>
  <si>
    <t>RADIADOR MITS. L200 2.5 06/15 UB. RB4-2</t>
  </si>
  <si>
    <t>RADIADOR MITS. MONTERO SPORT 3.0 V6 00/11</t>
  </si>
  <si>
    <t>RADIADOR MONTERO 2.5 01/07.</t>
  </si>
  <si>
    <t>KS11010</t>
  </si>
  <si>
    <t>RADIADOR MOTOR KIS SEPHIA 1.8</t>
  </si>
  <si>
    <t>RADIADOR MOTOR SUZ. MARUTI</t>
  </si>
  <si>
    <t>RADIADOR MOTOR SZ ALTO</t>
  </si>
  <si>
    <t>RADIADOR MZ. ARTIZ. RD3-1</t>
  </si>
  <si>
    <t>RADIADOR MZ. CX5 12/17 AUTOM.</t>
  </si>
  <si>
    <t>RADIADOR NISSAN D21</t>
  </si>
  <si>
    <t>RADIADOR NISSAN NAVARA</t>
  </si>
  <si>
    <t>RADIADOR NS. D21 KA24. 2.40C 93/08 ATSUKI RC2-2</t>
  </si>
  <si>
    <t>RADIADOR NS. MARCH VERSA 15/18 UB RC4-3-3</t>
  </si>
  <si>
    <t>PO21841</t>
  </si>
  <si>
    <t>RADIADOR NS. NAVARA</t>
  </si>
  <si>
    <t>RADIADOR NS. NP300</t>
  </si>
  <si>
    <t>RADIADOR NS. SENTRA 1.8 QG18 00/07 UB. RD3-3-1</t>
  </si>
  <si>
    <t>RADIADOR NS. SENTRA 1.8 SM3</t>
  </si>
  <si>
    <t>RADIADOR NS. SENTRA LX- SLX.</t>
  </si>
  <si>
    <t>RADIADOR NS. TERRANO 2.4 KA24DE BENC</t>
  </si>
  <si>
    <t>RADIADOR NS. TERRANO 2.5 C/A</t>
  </si>
  <si>
    <t>RADIADOR NS. TERRANO 2.5 YD25 RD4-1 RB3-3</t>
  </si>
  <si>
    <t>RADIADOR NS. TERRANO 2.7 TD27 98/01 UB. RC3-2</t>
  </si>
  <si>
    <t>CRDT602803</t>
  </si>
  <si>
    <t>RADIADOR NS. TERRANO D22 DIESEL</t>
  </si>
  <si>
    <t>RADIADOR NS. TIIDA</t>
  </si>
  <si>
    <t>RADIADOR NS. TIIDA RB2-1</t>
  </si>
  <si>
    <t>RADIADOR NS. V-16 TAPA ROJA . ATSUKI</t>
  </si>
  <si>
    <t>RADIADOR NS. V16 CALEFACCION</t>
  </si>
  <si>
    <t>RADIADOR NS. V16 GA16 T. PLOMA AAG</t>
  </si>
  <si>
    <t>CRDT232843</t>
  </si>
  <si>
    <t>RADIADOR NS. V16 GA16 TAPA PLOMA</t>
  </si>
  <si>
    <t>RADIADOR NS. V16 GA16. UB. RC1-2</t>
  </si>
  <si>
    <t>CRDT312803</t>
  </si>
  <si>
    <t>RADIADOR NS. VERSA 12/17 RC4-1</t>
  </si>
  <si>
    <t>0T00038</t>
  </si>
  <si>
    <t>RADIADOR NS.TIIDA</t>
  </si>
  <si>
    <t>RADIADOR PEUGEOT 206 1.4 1.6 C/AIRE 99/08 UB. RC2-2-4</t>
  </si>
  <si>
    <t>RADIADOR SAMSUNG</t>
  </si>
  <si>
    <t>RADIADOR SENTRA BIZ12 90/</t>
  </si>
  <si>
    <t>CRSS022803</t>
  </si>
  <si>
    <t>RADIADOR SM3 2009/</t>
  </si>
  <si>
    <t>RADIADOR SUB. LEGACY 91/94</t>
  </si>
  <si>
    <t>SU20140</t>
  </si>
  <si>
    <t>RADIADOR SUB. LEGACY AUTOMATICO 95/99 RD2-2 RD4-2</t>
  </si>
  <si>
    <t>RADIADOR SUBARU IMPREZA 2.0 03/05 UB. RD2-3-2</t>
  </si>
  <si>
    <t>RADIADOR SUBARU IMPREZA 2.5 02/10 UB. RC3-3</t>
  </si>
  <si>
    <t>RADIADOR SUBARU LEGACY 91/94 1.8 2.0 RD2-2</t>
  </si>
  <si>
    <t>RADIADOR SUBARY LEGACY 2.5 3.03/09 RD2-2</t>
  </si>
  <si>
    <t>RADIADOR SUZUKI APV 1.6 05/17 UB RC2-2-1</t>
  </si>
  <si>
    <t>RADSZ</t>
  </si>
  <si>
    <t>RADIADOR SUZUKI J24</t>
  </si>
  <si>
    <t>Z87988</t>
  </si>
  <si>
    <t>RADIADOR SZ AEREO MECANICO.</t>
  </si>
  <si>
    <t>RADIADOR SZ GRAN NOMADE. 06/14 CONDENSADOR RB2-1</t>
  </si>
  <si>
    <t>RADIADOR SZ. AERIO 1.6 LIANA</t>
  </si>
  <si>
    <t>RADIADOR SZ. G. NOMADE 2.0 VITARA 2.0 98-2006</t>
  </si>
  <si>
    <t>RADIADOR SZ. GRAN NOMADE 2.0 07/</t>
  </si>
  <si>
    <t>RADIADOR SZ. GRAN NOMADE J20 J24 06/ RB2-3</t>
  </si>
  <si>
    <t>RADIADOR SZ. GRAN VITARA 1.6 98/05 RC2-2</t>
  </si>
  <si>
    <t>RADIADOR SZ. GRAN VITARA.</t>
  </si>
  <si>
    <t>RADIADOR SZ. JIMMY</t>
  </si>
  <si>
    <t>RADIADOR SZ. JIMMY 1.3 -16 V. 99/ MOTOR S/AIRE.</t>
  </si>
  <si>
    <t>Z100220</t>
  </si>
  <si>
    <t>RADIADOR SZ. MARUTI 800 95/09 UB RC2-2-2</t>
  </si>
  <si>
    <t>RADIADOR SZ.SWIFT 12/17 UB.RB3-2</t>
  </si>
  <si>
    <t>TY50550</t>
  </si>
  <si>
    <t>RADIADOR TY TERCEL 95/99.MECANICO</t>
  </si>
  <si>
    <t>RADIADOR TY. COROLLA 04/08</t>
  </si>
  <si>
    <t>RADIADOR TY. COROLLA 1ZZFE 02/08 AUTOM. UB. RD4-2</t>
  </si>
  <si>
    <t>RADIADOR TY. COROLLA ZZE T/AUT.</t>
  </si>
  <si>
    <t>RADIADOR TY. HILUX 2.4 16/</t>
  </si>
  <si>
    <t>RADIADOR TY. HILUX 2.4 16/ UB RC3-2-2</t>
  </si>
  <si>
    <t>RADIADOR TY. HILUX 2.4 22R 2Y</t>
  </si>
  <si>
    <t>RADIADOR TY. HILUX 2.5 3.0 16V. KUN 05/15 CONDENSADOR RC2-3</t>
  </si>
  <si>
    <t>RADIADOR TY. HILUX 22R 2Y 4Y</t>
  </si>
  <si>
    <t>RADIADOR TY. HILUX RZ UB RC2-2</t>
  </si>
  <si>
    <t>TY31078</t>
  </si>
  <si>
    <t>RADIADOR TY. KUN 1-2 KD 05/10 UB RC3-2-4 /1</t>
  </si>
  <si>
    <t>RADIADOR TY. TERCEL 95-99</t>
  </si>
  <si>
    <t>RADIADOR TY. YARIS 1.5 14/17</t>
  </si>
  <si>
    <t>CRTY512803</t>
  </si>
  <si>
    <t>RADIADOR TY. YARIS 14/15</t>
  </si>
  <si>
    <t>RADIADOR TY. YARIS 14/17 UBRC1-2</t>
  </si>
  <si>
    <t>RADIADOR TY. YARIS 17/19</t>
  </si>
  <si>
    <t>TY10810</t>
  </si>
  <si>
    <t>CRTY502823</t>
  </si>
  <si>
    <t>RADIADOR TY. YARIS 99/2005 RC3-1</t>
  </si>
  <si>
    <t>TY80000</t>
  </si>
  <si>
    <t>RADIADOR TY. YARIS NEW 06/ ATSUKI RD1-2</t>
  </si>
  <si>
    <t>TY8000</t>
  </si>
  <si>
    <t>RADIADOR TY. YARIS. 06/13. MEC.</t>
  </si>
  <si>
    <t>TY40110</t>
  </si>
  <si>
    <t>RADIADOR TY.TERCEL 95/99. ATSUKI</t>
  </si>
  <si>
    <t>RADIADOR VW. GOL 1.0. 8 VALV. 97/ S.AIRE G2.</t>
  </si>
  <si>
    <t>RDO. EMBR. CHARADE.</t>
  </si>
  <si>
    <t>RDO. EMBR. DAHITSU.</t>
  </si>
  <si>
    <t>RDO. EMBR. DH. G21-G11-G200</t>
  </si>
  <si>
    <t>CRDT231232</t>
  </si>
  <si>
    <t>REFUERZO NS. V16 TRASERO</t>
  </si>
  <si>
    <t>REFUERZO PARACH. CHEV. SAIL 1.4 DEL.</t>
  </si>
  <si>
    <t>REFUERZO PARACH. DEL. CHEV. SAIL 1.5</t>
  </si>
  <si>
    <t>CRDT231211</t>
  </si>
  <si>
    <t>REFUERZO PARACH. DEL. NS. V16</t>
  </si>
  <si>
    <t>REKIR</t>
  </si>
  <si>
    <t>REFUERZO PARACH. KIA RIO</t>
  </si>
  <si>
    <t>REFUERZO PARACH. TRAS. NS. V16</t>
  </si>
  <si>
    <t>REFSUZ</t>
  </si>
  <si>
    <t>REFUERZO PARACHOQUE SUZUKI J24</t>
  </si>
  <si>
    <t>REFUERZO PARACH. DEL. TY. YARIS 06/13</t>
  </si>
  <si>
    <t>REFUERZO-PARACH.-KIA-MORNING-1.0</t>
  </si>
  <si>
    <t>REFUERZO PARACH. KIA MORNING 1.0</t>
  </si>
  <si>
    <t>REG. VOLT HY. H1 KIA FRONTIER F.D.</t>
  </si>
  <si>
    <t>REG. VOLT. 811 NISSAN</t>
  </si>
  <si>
    <t>REG. VOLT. CHEV. CAVALIER REGITAR D705R</t>
  </si>
  <si>
    <t>REG. VOLT. CHEV. LUV 2.2 GA391</t>
  </si>
  <si>
    <t>REG. VOLT. CHEV. LUV 2.3 GA375</t>
  </si>
  <si>
    <t>REG. VOLT. NISSAN V16 - D21 IB-355</t>
  </si>
  <si>
    <t>REG. VOLT. UNIVERSAL</t>
  </si>
  <si>
    <t>IB-375CH</t>
  </si>
  <si>
    <t>REG. VOLTAGE CHEV LUV 2.3</t>
  </si>
  <si>
    <t>REG. VOLTAJE HYUNDAI</t>
  </si>
  <si>
    <t>REGULADOR VOLT. KIA MORNING</t>
  </si>
  <si>
    <t>REGULADOR VOLT. CHEV LUV 2.2</t>
  </si>
  <si>
    <t>IPS59002</t>
  </si>
  <si>
    <t>REGULADOR VOLT. ELECTR. 2 CONTACTO</t>
  </si>
  <si>
    <t>REGULADOR VOLT. ELECTR. 4 SALIDA</t>
  </si>
  <si>
    <t>REGULADOR VOLT. KIA AVELLA</t>
  </si>
  <si>
    <t>REGULADOR VOLT. MERCEDES BENZ</t>
  </si>
  <si>
    <t>REGULADOR VOLT. NISSSAN J18</t>
  </si>
  <si>
    <t>REGULADOR VOLT. NS. V16 GA16 D21</t>
  </si>
  <si>
    <t>REJILLA</t>
  </si>
  <si>
    <t>REJILLA PARACHOQUE HYUNDAI I-10</t>
  </si>
  <si>
    <t>REJKR</t>
  </si>
  <si>
    <t>REJILLA PARACHOQUE KIA RIO 4</t>
  </si>
  <si>
    <t>REJILLA PARACHOQUE PEUGEOT 306 T. CORTA</t>
  </si>
  <si>
    <t>REJILLA PARACHOQUE TY. YARIS 14/18</t>
  </si>
  <si>
    <t>RELAY 4 P. 12V. 87</t>
  </si>
  <si>
    <t>RELAY 4 PATAS NISSAN</t>
  </si>
  <si>
    <t>R4M/120 000</t>
  </si>
  <si>
    <t>RELAY 4 TERM. 24V - 20AMP.</t>
  </si>
  <si>
    <t>RELAY 5 P. 12V. 87</t>
  </si>
  <si>
    <t>R5M/120-042</t>
  </si>
  <si>
    <t>R5M/120 042</t>
  </si>
  <si>
    <t>RELAY 5 TERM. 12V / 30AMP.</t>
  </si>
  <si>
    <t>NY0225</t>
  </si>
  <si>
    <t>HY-0225</t>
  </si>
  <si>
    <t>RELAY 5 TERM. 12V 50AMP NOSSO</t>
  </si>
  <si>
    <t>RELAY 5 TERM. CHEVROLET / NISSAN</t>
  </si>
  <si>
    <t>RELAY BBA. BENC. NISSAN V16</t>
  </si>
  <si>
    <t>L100480</t>
  </si>
  <si>
    <t>RELAY LUCES 5 PATA. CHEV LUV</t>
  </si>
  <si>
    <t>reloj comp</t>
  </si>
  <si>
    <t>RELOJ COMP</t>
  </si>
  <si>
    <t>reloj COMPRESIMETRO</t>
  </si>
  <si>
    <t>AIPS073031</t>
  </si>
  <si>
    <t>RELOJ COMPRESIMETRO C/FLEXIBLE</t>
  </si>
  <si>
    <t>A30</t>
  </si>
  <si>
    <t>RELOJ ELECRT. AMPERIMETRO</t>
  </si>
  <si>
    <t>RELOJ ELECTRICO ACEITE</t>
  </si>
  <si>
    <t>RELOJ TEMPERATURA ELECTR.</t>
  </si>
  <si>
    <t>RENOVADOR ARMORALL ESPUMA PARA LLANTAS 510ML</t>
  </si>
  <si>
    <t>RENOVADOR DE NEUMATICO HELP 400 ML</t>
  </si>
  <si>
    <t>RN400</t>
  </si>
  <si>
    <t>RENOVADOR DE NEUMATICOS ESPUMA 350ML WURTH</t>
  </si>
  <si>
    <t>RENOVADOR NEUMATICO BRILLANTIL 500ML</t>
  </si>
  <si>
    <t>RENVERS</t>
  </si>
  <si>
    <t>RENOVADOR NEUMATICO SPRAY VERSACHEM 400CC</t>
  </si>
  <si>
    <t>RENOVADOR SPRAY CAR FRAN</t>
  </si>
  <si>
    <t>PTSE05</t>
  </si>
  <si>
    <t>RENOVADOR SPRAY VERSACHEM 400CC</t>
  </si>
  <si>
    <t>SU60033</t>
  </si>
  <si>
    <t>REP. BBA. AGUA SUBARU 600</t>
  </si>
  <si>
    <t>REP. CARB. CHV. LUV. /88.</t>
  </si>
  <si>
    <t>REP. CARB. NISSAN 1.6</t>
  </si>
  <si>
    <t>REP. CARB. NISSAN D-21 Z20</t>
  </si>
  <si>
    <t>REP. CARB. NISSAN DATSUN J18</t>
  </si>
  <si>
    <t>REP. CARB. NISSAN SUNNY 1.3</t>
  </si>
  <si>
    <t>REP. CARB. NS. 150Y KEYSTER</t>
  </si>
  <si>
    <t>REP. CARB. NS. D21 Z24</t>
  </si>
  <si>
    <t>REP. CARB. NS. SENTRA 1.6 E16</t>
  </si>
  <si>
    <t>REP. CARB. NS. SUNNY E15 1.5</t>
  </si>
  <si>
    <t>REP. CARB. SK. 410</t>
  </si>
  <si>
    <t>REP. CARB. TOYOTA HILUX</t>
  </si>
  <si>
    <t>REP. CARBURADOR K11 DAIHATSU</t>
  </si>
  <si>
    <t>REP. CARBURADOR NISSAN L16 L18</t>
  </si>
  <si>
    <t>REP. PORTALON TRAS.</t>
  </si>
  <si>
    <t>REP. CARB. CARB- CHEV. LUV 2.3 COMPLETO</t>
  </si>
  <si>
    <t>REP. CARB. CARB. CHEV. C-20 BRAS. MONZA 2.0</t>
  </si>
  <si>
    <t>REP. CARB. CARB. CHEV. LUV 1.6 89 ADEL.</t>
  </si>
  <si>
    <t>REP. CARB. CARB. CHEV. LUV 2.3 89 92</t>
  </si>
  <si>
    <t>L113290</t>
  </si>
  <si>
    <t>REP. CARB. CARB. CHEV. LUV 2.3 CAT.</t>
  </si>
  <si>
    <t>REP. CARB. CARB. CHEV. MONZA 1.8</t>
  </si>
  <si>
    <t>REP. CARB. CARB. CHEV. OPALA 4 CIL.</t>
  </si>
  <si>
    <t>REP. CARB. CARB. DH. CHARADE G-20</t>
  </si>
  <si>
    <t>REP. CARB. CARB. NS. SENTRA E16</t>
  </si>
  <si>
    <t>REP. CARB. CARB. TY. COROLLA 2E</t>
  </si>
  <si>
    <t>REP. CARB. CARB. TY. HILUX 2Y</t>
  </si>
  <si>
    <t>REP. CARB. CATAL. CHEV LUV 2.3</t>
  </si>
  <si>
    <t>K11-8017N</t>
  </si>
  <si>
    <t>REP. CARB. CHEV LUV 2.0 G200</t>
  </si>
  <si>
    <t>REP. CARB. CHEV. LUV 2.3 89/92</t>
  </si>
  <si>
    <t>REP. CARB. CHEV. MONZA 1.8</t>
  </si>
  <si>
    <t>REP. CARB. CHEV. MONZA 2.0 C-20</t>
  </si>
  <si>
    <t>REP. CARB. DH. 1.3 1.5</t>
  </si>
  <si>
    <t>REP. CARB. ELECTR. CHEVETTE</t>
  </si>
  <si>
    <t>REP. CARB. HONDA 1.6</t>
  </si>
  <si>
    <t>REP. CARB. HYUNDAI PONY 1.2</t>
  </si>
  <si>
    <t>K11-4902H</t>
  </si>
  <si>
    <t>REP. CARB. NISSAN</t>
  </si>
  <si>
    <t>K15-4676HW</t>
  </si>
  <si>
    <t>F31322</t>
  </si>
  <si>
    <t>K11-4911H</t>
  </si>
  <si>
    <t>REP. CARB. NISSAN 720</t>
  </si>
  <si>
    <t>REP. CARB. NISSAN V16 1.4</t>
  </si>
  <si>
    <t>REP. CARB. NISSAN Z24</t>
  </si>
  <si>
    <t>REP. CARB. NS. 150Y</t>
  </si>
  <si>
    <t>ECASO</t>
  </si>
  <si>
    <t>REP. CARB. SUBARU</t>
  </si>
  <si>
    <t>K11-5512H</t>
  </si>
  <si>
    <t>GS1429</t>
  </si>
  <si>
    <t>REP. CARB. SUBARU 550 / 650</t>
  </si>
  <si>
    <t>REP. CARB. SUBARU 600</t>
  </si>
  <si>
    <t>REP. CARB. SUZUKI CARRY 88/98</t>
  </si>
  <si>
    <t>REP. CARB. SUZUKI SJ413</t>
  </si>
  <si>
    <t>REP. CARB. SUZUKI ST-90</t>
  </si>
  <si>
    <t>REP. CARB. TOYOTA HILUX 2Y 1.8</t>
  </si>
  <si>
    <t>REP. CARB. TY TERCEL 2E 1.3</t>
  </si>
  <si>
    <t>REP. CARB. TY. 3Y 4Y</t>
  </si>
  <si>
    <t>REPALT</t>
  </si>
  <si>
    <t>REPARACION ALTERNADOR</t>
  </si>
  <si>
    <t>repculata</t>
  </si>
  <si>
    <t>REPCULATA</t>
  </si>
  <si>
    <t>REPARACION culata asiento sepillado reg. val. con past. GXWN-93</t>
  </si>
  <si>
    <t>REPARACION-CULATA-Y-CIGUEÑAL</t>
  </si>
  <si>
    <t>REP CUL CIG</t>
  </si>
  <si>
    <t>REPARACION CULATA Y CIGUEÑAL</t>
  </si>
  <si>
    <t>REPARAELEC5</t>
  </si>
  <si>
    <t>REPARELEC</t>
  </si>
  <si>
    <t>REPARACION ELECTRICA</t>
  </si>
  <si>
    <t>REPARACION ESTANQUE GASOLINA Y DIESEL</t>
  </si>
  <si>
    <t>REPINY</t>
  </si>
  <si>
    <t>REPARACION INYECTORES</t>
  </si>
  <si>
    <t>rpctaford</t>
  </si>
  <si>
    <t>RPCTFORD</t>
  </si>
  <si>
    <t>REPARACION REPARACION. FORD RANGER, KIT EMB, MOTOR PARTIDA</t>
  </si>
  <si>
    <t>REPUESTOS-MOTOR-KIA</t>
  </si>
  <si>
    <t>REPUESTOS</t>
  </si>
  <si>
    <t>rep-nissan-cterrano</t>
  </si>
  <si>
    <t>repnissan</t>
  </si>
  <si>
    <t>REPUESTOS carroceria nissan</t>
  </si>
  <si>
    <t>REPUESTOS-CHEV--DMAX</t>
  </si>
  <si>
    <t>REPUESTOS CHEV DMAX</t>
  </si>
  <si>
    <t>REPLUV</t>
  </si>
  <si>
    <t>REPUESTOS CHEV LUV</t>
  </si>
  <si>
    <t>repspark</t>
  </si>
  <si>
    <t>REPSPARK</t>
  </si>
  <si>
    <t>REPUESTOS CHEV SPARK GT</t>
  </si>
  <si>
    <t>repuesaveo</t>
  </si>
  <si>
    <t>REPAVEO</t>
  </si>
  <si>
    <t>REPUESTOS CHEV. AVEO</t>
  </si>
  <si>
    <t>RPCHEDM</t>
  </si>
  <si>
    <t>REPUESTOS CHEV. DMAX 2015 GXXW87</t>
  </si>
  <si>
    <t>REPTSAIL</t>
  </si>
  <si>
    <t>REPUESTOS CHEV. SAIL</t>
  </si>
  <si>
    <t>repuemaz</t>
  </si>
  <si>
    <t>REPUEMAZ</t>
  </si>
  <si>
    <t>REPUESTOS CTA. MAZDA</t>
  </si>
  <si>
    <t>REPCUL</t>
  </si>
  <si>
    <t>REPUESTOS DE CULATA MZDA BT50</t>
  </si>
  <si>
    <t>REPUESTOS DE MOTOR CHEV</t>
  </si>
  <si>
    <t>CORSA</t>
  </si>
  <si>
    <t>REPUESTOS DE MOTOR CHEV. CORSA</t>
  </si>
  <si>
    <t>REPDODGERAM</t>
  </si>
  <si>
    <t>REPUESTOS DODGE RAM SDZH 99</t>
  </si>
  <si>
    <t>repuestlan</t>
  </si>
  <si>
    <t>RPTOLANUS</t>
  </si>
  <si>
    <t>REPUESTOS DW. LANUS</t>
  </si>
  <si>
    <t>REPELECTR</t>
  </si>
  <si>
    <t>REPUESTOS ELECTRICO</t>
  </si>
  <si>
    <t>RPTFIA</t>
  </si>
  <si>
    <t>REPUESTOS FIAT</t>
  </si>
  <si>
    <t>REPH100</t>
  </si>
  <si>
    <t>REPUESTOS H100</t>
  </si>
  <si>
    <t>REPHY</t>
  </si>
  <si>
    <t>REPUESTOS HYUNDAI</t>
  </si>
  <si>
    <t>REPUESTOS KIA</t>
  </si>
  <si>
    <t>REPKIA</t>
  </si>
  <si>
    <t>REPUESTOS KIA BESTA</t>
  </si>
  <si>
    <t>RPTOKIACER</t>
  </si>
  <si>
    <t>REPUESTOS KIA CERATO</t>
  </si>
  <si>
    <t>REPUESTOS L200</t>
  </si>
  <si>
    <t>REPUESTOS-SSSS</t>
  </si>
  <si>
    <t>REPUESTOS MAXUS</t>
  </si>
  <si>
    <t>rptmz</t>
  </si>
  <si>
    <t>RPTMZ</t>
  </si>
  <si>
    <t>REPUESTOS MAZDA</t>
  </si>
  <si>
    <t>REPTMB</t>
  </si>
  <si>
    <t>REPUESTOS MERC. BENZ</t>
  </si>
  <si>
    <t>REPUESTOS-MITS</t>
  </si>
  <si>
    <t>REPUESTOS MITS MONTERO</t>
  </si>
  <si>
    <t>KIA-SORENTO</t>
  </si>
  <si>
    <t>REPUESTOS MOTOR KIA SORENTO</t>
  </si>
  <si>
    <t>RPD21</t>
  </si>
  <si>
    <t>REPUESTOS MOTOR NS D21</t>
  </si>
  <si>
    <t>REPTERRANO</t>
  </si>
  <si>
    <t>REPUESTOS NISSAN TERRANO</t>
  </si>
  <si>
    <t>REPNP300</t>
  </si>
  <si>
    <t>REPUESTOS NS. NP300</t>
  </si>
  <si>
    <t>NV350</t>
  </si>
  <si>
    <t>REPUESTOS NV350</t>
  </si>
  <si>
    <t>rptosm3</t>
  </si>
  <si>
    <t>REPUESTOS sm3</t>
  </si>
  <si>
    <t>REPUESTOS SZ SWIFT</t>
  </si>
  <si>
    <t>rpttoy</t>
  </si>
  <si>
    <t>REPTOY</t>
  </si>
  <si>
    <t>REPUESTOS TOYOTA</t>
  </si>
  <si>
    <t>REPUESTOS VARIOS</t>
  </si>
  <si>
    <t>REPVOLS</t>
  </si>
  <si>
    <t>REPUESTOS VOLSWAGEN</t>
  </si>
  <si>
    <t>rptodongfen</t>
  </si>
  <si>
    <t>RPTODONFEN</t>
  </si>
  <si>
    <t>REPUESTOS Y REPARACION CAMION DONG FENG 2013</t>
  </si>
  <si>
    <t>AIPS059041</t>
  </si>
  <si>
    <t>RESISTENCIA BOBINA</t>
  </si>
  <si>
    <t>RESORTEPERT</t>
  </si>
  <si>
    <t>RESORTE PERTIGA</t>
  </si>
  <si>
    <t>RETEN</t>
  </si>
  <si>
    <t>RETEN 100X120X13 CIG.TRAS. HYUNDAY. UBIC.34-5</t>
  </si>
  <si>
    <t>RETEN 102X125X13 CIG.TRAS. KIA. UBIC.32-3</t>
  </si>
  <si>
    <t>H501270</t>
  </si>
  <si>
    <t>RETEN 124X101X13.5 CIG TRAS. HYUNDAY / UBIC.31</t>
  </si>
  <si>
    <t>RETEN 12X22X19.5 CAJA DE CAMBIO.DAIHATSU. UBIC. 1-1</t>
  </si>
  <si>
    <t>RETEN 13X26X7 CAJA CAMBIO. CORSA. UBIC. 4-7</t>
  </si>
  <si>
    <t>RETEN 14.8X30X5 ALTERNADOR H100 HYUNDAI UBIC. 0-3</t>
  </si>
  <si>
    <t>RETEN 14X25X19.35 CAJA CAMBIO.NISSAN</t>
  </si>
  <si>
    <t>RETEN 17X28X7 CONTRAPESO. HYUNDAI. UBIC. 1-2</t>
  </si>
  <si>
    <t>RETEN 17X28X7 HYUNDAY BB. ACEITE</t>
  </si>
  <si>
    <t>RETEN 17X30X7 SELLO DE ACEITE. MAZDA.1-3</t>
  </si>
  <si>
    <t>RETEN 17X32X13 UBIC. 2-6</t>
  </si>
  <si>
    <t>RETEN 18X32X38X13 PALANCA CAMBIO SELEC. V 16 UBIC 1-4</t>
  </si>
  <si>
    <t>RETEN 20X31X7 ISUZU BBA. INYECTORA ub 1-5</t>
  </si>
  <si>
    <t>RETEN 20X32X5 TY. TERCEL BBA. ACEITE UBIC. 1-7</t>
  </si>
  <si>
    <t>RETEN 20X35X7 CAJA CAMBIO. CHARADE</t>
  </si>
  <si>
    <t>RETEN 20X35X7 DAIHATSU SUZUKI</t>
  </si>
  <si>
    <t>RETEN 20X35X9 LEVA SUBARU</t>
  </si>
  <si>
    <t>Z000580</t>
  </si>
  <si>
    <t>RETEN 20X47X8.5 CAJA CAMBIO.SUZUKI. UBIC. 2</t>
  </si>
  <si>
    <t>RETEN 23X40X7,5 BBA. ACEITE CHEV. LUV R- 2-3</t>
  </si>
  <si>
    <t>RETEN 23X40X7.5 BBA. ACEITE LUV UBIC. 2</t>
  </si>
  <si>
    <t>RETEN 24X40X7.5 UBIC. 3-1</t>
  </si>
  <si>
    <t>RETEN 24X40X8 CAJA DE CAMBIO. MAZDA.</t>
  </si>
  <si>
    <t>TY50390</t>
  </si>
  <si>
    <t>RETEN 25.5X37.5X6 BBA. ACEITE TY YARIS UBIC. 2</t>
  </si>
  <si>
    <t>RETEN 25X35X6 COMPENSADOR IZQ. HYUNDAI L200 UBIC. 4-1</t>
  </si>
  <si>
    <t>RETEN 25X37.5X6 CIG DEL. TY YARIS. UB. 2-7</t>
  </si>
  <si>
    <t>RETEN 25X37.5X8 BBA. ACEITE TY. YARIS UBIC 2</t>
  </si>
  <si>
    <t>RETEN 25X37X8 CAJA DE CAMBIO.TOYOTA.</t>
  </si>
  <si>
    <t>RETEN 25X37X8 TY. YARIS TERCEL C/CAMBIO UBIC. 2-8</t>
  </si>
  <si>
    <t>RETEN 25X38X8 UBIC. 4-1</t>
  </si>
  <si>
    <t>RETEN 25X40X8 EJE SELECTOR. NISSAN</t>
  </si>
  <si>
    <t>RETEN 25X44X10 LEVA. SUBARU. UBIC. 2-6</t>
  </si>
  <si>
    <t>RETEN 26X38X8 UBIC. 4-2</t>
  </si>
  <si>
    <t>RETEN 26X42X8 CIG.DEL. CHEV. CORSA. DAEWOO UBIC.2-4</t>
  </si>
  <si>
    <t>RETEN 27X40X8 BOMBA ACEITE. HONDA</t>
  </si>
  <si>
    <t>RETEN 27X43X9 CAJA DE CAMBIO.KIA. ubic. 1-6</t>
  </si>
  <si>
    <t>RETEN 27X43X9 EJE ELEVA HONDA UBIC. 3</t>
  </si>
  <si>
    <t>RETEN 27X45X9 RUEDA DEL. SUBARU. UBIC. 3-3</t>
  </si>
  <si>
    <t>RETEN 27X49X7.5 T.VALVULA NISSAN V-16 UBIC. 3-4</t>
  </si>
  <si>
    <t>RETEN 28.5X36X8 UBIC. 3-6</t>
  </si>
  <si>
    <t>RETEN 28X38X10X15 SALIDA CAJA CAMBIO UBIC. 3-5</t>
  </si>
  <si>
    <t>RETEN 28X38X10X15 SALIDA DE CAJA. UBIC. 3</t>
  </si>
  <si>
    <t>RETEN 28X40X8 CAJA DE CAMBIO. NISSAN.</t>
  </si>
  <si>
    <t>RETEN 28X41X7 EJE SELECTOR. HONDA.</t>
  </si>
  <si>
    <t>RETEN 28X42X7 EJE LEVA. HONDA.</t>
  </si>
  <si>
    <t>RETEN 28X43X7 UBIC. 3-7</t>
  </si>
  <si>
    <t>RETEN 28X45X10 CAJA CAMBIO. MITSUBISHI. UBIC. 3-8</t>
  </si>
  <si>
    <t>RETEN 28X47X8.... UBIC. 4-3</t>
  </si>
  <si>
    <t>RETEN 28X5X36X8 RDA TRAS. MAZDA. UBIC. 3</t>
  </si>
  <si>
    <t>RETEN 29X45X8 EJE LEVA. HONDA. UBIC. 4</t>
  </si>
  <si>
    <t>RETEN 30X40X7 EJE LEVA. KIA UBIC. 4-5 19-1</t>
  </si>
  <si>
    <t>RETEN 30X40X7 KIA LEVA UBIC. 20-1-2-3</t>
  </si>
  <si>
    <t>RETEN 30X42X8 CHEV. AVEO OPTRA</t>
  </si>
  <si>
    <t>RETEN 30X42X8 CIG. AVEO</t>
  </si>
  <si>
    <t>RETEN 30X42X8 LUV SECTOR DIRECC. UBIC. 4</t>
  </si>
  <si>
    <t>RETEN 30X44X7 LEVA. MAZDA.</t>
  </si>
  <si>
    <t>L210495</t>
  </si>
  <si>
    <t>RETEN 30X45X8 CHEV. LUV LEVA R-2 UBIC. 4</t>
  </si>
  <si>
    <t>RETEN 30X45X8 EJE LEVA. LUV. UBIC 4</t>
  </si>
  <si>
    <t>RETEN 30X45X8 LEVA .TOYOTA.</t>
  </si>
  <si>
    <t>RETEN 30X46X7 CIG DEL. HYUNDAI UBIC. 4</t>
  </si>
  <si>
    <t>RETEN 30X46X8 CIG DEL. HYUNDAI.</t>
  </si>
  <si>
    <t>RETEN 30X47X10 L. HOMOC. REN. C-ELYSEE UBIC. 19-3</t>
  </si>
  <si>
    <t>RETEN 30X50X11....UBIC. 4-6</t>
  </si>
  <si>
    <t>RETEN 31X50X8 CIG. LUV2.2. MONZA UBIC. 4</t>
  </si>
  <si>
    <t>RETEN 31X50X8X LUV UBIC. 5-2</t>
  </si>
  <si>
    <t>RETEN 32X 47X 8 CIG CHV LUV DEL</t>
  </si>
  <si>
    <t>RETEN 32X42X10X15 SALIDA CAJA SUZUKI UBIC. 5-3</t>
  </si>
  <si>
    <t>RETEN 32X44X6 BOMBA ACEITE. ISUZU UBIC. 36-1</t>
  </si>
  <si>
    <t>RETEN 32X45X6 UBIC. 4-8</t>
  </si>
  <si>
    <t>RETEN 32X45X8 LEVA. SUBARU.</t>
  </si>
  <si>
    <t>RETEN 32X46X6 CIG DEL SZ. DAIHATSU UBIC. 4</t>
  </si>
  <si>
    <t>RETEN 32X46X7 LEVA. MAZDA.</t>
  </si>
  <si>
    <t>RETEN 32X46X7 MAZDA EJE LEVA UBIC. 6-2</t>
  </si>
  <si>
    <t>RETEN 32X47X10 DISTRIBUCION. VOLS. UBIC. 5</t>
  </si>
  <si>
    <t>Z000540</t>
  </si>
  <si>
    <t>RETEN 32X47X8 CIG. DEL. SUZUKI. UBIC. 35-4</t>
  </si>
  <si>
    <t>RETEN 32X48X7 CIG DEL. DAIHATSU.</t>
  </si>
  <si>
    <t>RETEN 32X48X8</t>
  </si>
  <si>
    <t>RETEN 32X50X8 EJE LEVA NISSAN E16. UBIC. 5-7 36-2</t>
  </si>
  <si>
    <t>RETEN 33X49X8 CIG. DEL. SUBARU</t>
  </si>
  <si>
    <t>RETEN 34X40X7 DAIHATSU - KIA- MAZDA</t>
  </si>
  <si>
    <t>F801-10-602</t>
  </si>
  <si>
    <t>RETEN 34X48X7 EJE LEVA DAIHTSU UBIC. 5</t>
  </si>
  <si>
    <t>RETEN 34X48X7 EJE LEVA. DAIH.KIA.MZ.SK. UBIC. 5</t>
  </si>
  <si>
    <t>RETEN 34X54X9X15 SALIDA DE CAJA. TOYOTA. UBIC 5-4</t>
  </si>
  <si>
    <t>RETEN 34X55X9.5 RDA TRAS. CHEVROLET. UBIC. 36-4</t>
  </si>
  <si>
    <t>RETEN 34X63X9X15 SALIDA CAJA CAMB. TY YARIS. UBIC. 6-1</t>
  </si>
  <si>
    <t>RETEN 34X80X10...</t>
  </si>
  <si>
    <t>RETEN 35. 00X 62.00X 10 00X 16.5 CIG DEL. SUZUKI</t>
  </si>
  <si>
    <t>RETEN 35X46X8 RDA TRAS. MITSUBISHI. UBIC 36-3</t>
  </si>
  <si>
    <t>RETEN 35X48X7 UBIC 6-2</t>
  </si>
  <si>
    <t>RETEN 35X48X7 CORSA LEVA UBIC. 6</t>
  </si>
  <si>
    <t>RETEN 35X48X7 EJE LEVA CHEV.</t>
  </si>
  <si>
    <t>RETEN 35X49X12.5 S/CAJA CHEVROLET UBIC.6-3</t>
  </si>
  <si>
    <t>RETEN 35X49X6 EJE LEVA DAIH. TY.</t>
  </si>
  <si>
    <t>RETEN 35X49X6 EJE LEVA TOYOTA BBA. ACEITE</t>
  </si>
  <si>
    <t>RETEN 35X49X6 LEVA TOYOTA UBIC. 5-5</t>
  </si>
  <si>
    <t>RETEN 35X50X11 C. CAMBIO NISSAN</t>
  </si>
  <si>
    <t>RETEN 35X50X11 SALIDA CAJA NISSAN D21. UBIC. 6</t>
  </si>
  <si>
    <t>RETEN 35X50X8 HY. KIA 6-8</t>
  </si>
  <si>
    <t>RETEN 35X50X8 EJE LEVA. HY. MITS. R-10 UBIC. 6-5</t>
  </si>
  <si>
    <t>RETEN 35X54.9X7/14 CAJA CAMBIO.CHEV. DW. UBIC. 6-8</t>
  </si>
  <si>
    <t>RETEN 35X54X 10/15 CAM/ CORSA UBIC. 7-1</t>
  </si>
  <si>
    <t>RETEN 35X55X11 RDA TRAS INT. TOYOTA. UBIC. 7-3</t>
  </si>
  <si>
    <t>RETEN 35X56X10X13.5 DIFERENCIAL DER Y IZQ. HYUNDAI. UBIC. 7</t>
  </si>
  <si>
    <t>RETEN 35X56X8X12.5 EJE LEVA. HONDA UBIC. 7</t>
  </si>
  <si>
    <t>RETEN 35X56X9/15 C/CAMBIO KIA</t>
  </si>
  <si>
    <t>RETEN 35X56X9/15 PALIER DER-IZQ. KIA UBIC. 7-4</t>
  </si>
  <si>
    <t>RETEN 35X58X8 EJE PALIER. HONDA ubi. 8-2 37-1</t>
  </si>
  <si>
    <t>RETEN 35X62X10X16.5 SUZUKI UBIC 8</t>
  </si>
  <si>
    <t>RETEN 35X68.9X15 DAIHATSU HOMOC.</t>
  </si>
  <si>
    <t>RETEN 35X68.9X15.5 SALIDA HOMOCINETICA. DAIH. G-20.</t>
  </si>
  <si>
    <t>RETEN 35X68X9/12 EJE PALIER IZQ.HONDA. UBIC. 8-3 36-4</t>
  </si>
  <si>
    <t>RETEN 35X72X9.5 DIFERENCIAL LATERAL.SUZUKI UBIC. 9</t>
  </si>
  <si>
    <t>RETEN 36.5 X 50 X5.7 CIG. DEL. MAZDA UBIC. 9</t>
  </si>
  <si>
    <t>RETEN 36X49X7 CIG DEL. NISSAN. UBIC. 6-4 39-4</t>
  </si>
  <si>
    <t>RETEN 36X49X7 DISTRIB. DEL CIG. SUNNY UBIC. 9-6</t>
  </si>
  <si>
    <t>RETEN 36X50.5X7.00 CIG. DEL KIA</t>
  </si>
  <si>
    <t>RETEN 37X47X10. NISSAN</t>
  </si>
  <si>
    <t>RETEN 37X49X7.5 CI DEL. H100. UBIC. 10</t>
  </si>
  <si>
    <t>RETEN 37X50X6 CIG. DEL HYUNDAI</t>
  </si>
  <si>
    <t>RETEN 38.5X53X8 EJE LEVA. SUBARU. UBIC. 10</t>
  </si>
  <si>
    <t>RETEN 38.5X58X11 CIG. DEL. TOYOTA. UBIC 11</t>
  </si>
  <si>
    <t>RETEN 38X49.2X9 SAL.CAJA CAMBIO. LUV.</t>
  </si>
  <si>
    <t>RETEN 38X50X6 EJE LEVA TOYOTA. UBIC. 10-3</t>
  </si>
  <si>
    <t>RETEN 38X50X8 LEVA TOYOTA. UBIC. 10</t>
  </si>
  <si>
    <t>RETEN 38X52X6 RUEDA DEL HYUNDAI. UBIC. 10</t>
  </si>
  <si>
    <t>RETEN28527</t>
  </si>
  <si>
    <t>RETEN 38X52X7 UB. 10-6</t>
  </si>
  <si>
    <t>RETEN 38X52X9 DAIHATSULEVA JP.</t>
  </si>
  <si>
    <t>RETEN 38X52X9 EJE LEVA. DAIHATSU. UBIC. 10-6</t>
  </si>
  <si>
    <t>RETEN 38X54X7 CIG DEL. NISSAN. UBIC. 11</t>
  </si>
  <si>
    <t>RETEN 38X55X11 UBIC. 37-1</t>
  </si>
  <si>
    <t>RETEN 38X55X9 EJE LEVA. SUBARU UBIC. 11</t>
  </si>
  <si>
    <t>RETEN 38X55X9.TAPA DISTRIB. NISSAN. UBIC 11-2</t>
  </si>
  <si>
    <t>RETEN 38X74X11 PINON ATAQUE.TOYOTA. UBIC. 37-1</t>
  </si>
  <si>
    <t>RETEN 39.5X67.5X13 ACCENT RB EJE PAL.</t>
  </si>
  <si>
    <t>RETEN 39X51X7.5. NISSAN. UBIC 12</t>
  </si>
  <si>
    <t>RETEN 39X76.5X10.5X14 EJE TRAS INT. HYUNDAI. UBIC 12</t>
  </si>
  <si>
    <t>RETEN 40X52X58.5X10 RDA TRAS. CHEV. DAEWOO UBIC 15</t>
  </si>
  <si>
    <t>RETEN 40X52X6 LEVA. GEMENIS. UBIIC 12</t>
  </si>
  <si>
    <t>RETEN 40X52X7 CIG.DEL. NISSAN. UBIC. 12</t>
  </si>
  <si>
    <t>RETEN 40X52X7 RDA TRAS. VOLS. UBIC. 12</t>
  </si>
  <si>
    <t>RETEN 40X52X9 PIÑON. VOLS. UBIC 12</t>
  </si>
  <si>
    <t>RETEN 40X54X5.30 RDA DEL EXT.MAZDA.</t>
  </si>
  <si>
    <t>RETEN 40X55X9 BBA. ACEITE CHEV LUV. UBIC 13</t>
  </si>
  <si>
    <t>RETEN 40X55X9 EJE LEVA NISSAN. UBIC 13</t>
  </si>
  <si>
    <t>RETEN 40X56X20 CAJA DE CAMBIO. NISSAN V16. UBIC 13</t>
  </si>
  <si>
    <t>RETEN 40X56X7 CIG DEL. CHEV. ISUZU. LADA. UBIC 13</t>
  </si>
  <si>
    <t>RETEN 40X56X7 LUV CIG. DEL</t>
  </si>
  <si>
    <t>RETEN 40X56X8 SAL.CAJA CAMBIO DIFERENCIAL. NISSAN ubic.13</t>
  </si>
  <si>
    <t>RETEN 40X61X7X12 RUEDA TRAS. HYUNDAY. UBIC 13</t>
  </si>
  <si>
    <t>RETEN 40X62X8X11.5 EJE PALIER. HONDA. UBIC 14</t>
  </si>
  <si>
    <t>RETEN 40X64X16 RDA DEL. DAIHATSU.UBIC 14</t>
  </si>
  <si>
    <t>RETEN 40X72X11X18.5 RUEDA TRASERA SUZUKI. UBIC. 14</t>
  </si>
  <si>
    <t>RETEN 40X75X12 PINON ATAQUE.KIA</t>
  </si>
  <si>
    <t>RETEN 40X76X9X12.5 EJE PALIER. HONDA. UBIC14</t>
  </si>
  <si>
    <t>RETEN 41X53X7 ACCENT UBIC. 14-4</t>
  </si>
  <si>
    <t>RETEN 41X56X7 RUEDA TRAS. DATSUN. UBIC 14</t>
  </si>
  <si>
    <t>RETEN 41X61X8X12 HYUNDAI UB. 14-6 42-4</t>
  </si>
  <si>
    <t>RETEN 42.8X55X11 CAJA CAMBIO MITS. L200 UBIC.15</t>
  </si>
  <si>
    <t>RETEN 42X53X7 EJE LEVA. MAZDA. UBIC. 37-4</t>
  </si>
  <si>
    <t>RETEN 42X55X8 EJE LEVA.TOYOTA NS. UB. 15-2</t>
  </si>
  <si>
    <t>RETEN 42X55X9 RDA TRAS. HY. MITS. UBIC 37-3</t>
  </si>
  <si>
    <t>RETEN 42X56X7 CHEV. AVEO VIVANT LEVA ubic. 13-6</t>
  </si>
  <si>
    <t>RETEN 42X60X7 CIG. DEL. TOYOTA.</t>
  </si>
  <si>
    <t>RETEN 42X62X10 UBIC. 37-4</t>
  </si>
  <si>
    <t>RETEN 42X62X7 CIG.DEL. SUZUKI. UBIC 15</t>
  </si>
  <si>
    <t>RETEN 42X65X12 CAJA CAMBIO. MITS. UBIC 36-3</t>
  </si>
  <si>
    <t>RETEN 42X66X10 TRAS CAJA NISSAN. UBIC 15</t>
  </si>
  <si>
    <t>RETEN 42X72.5X12</t>
  </si>
  <si>
    <t>RETEN 43X50X9 RDA TRAS. KIA. MAZDA. UBIC. 16-2</t>
  </si>
  <si>
    <t>RETEN 43X54X7.5 RDA TRAS. NISSAN UBIC. 16-3</t>
  </si>
  <si>
    <t>RETEN 43X55X7.5 RUEDA DEL. NISSAN. UBIC. 16-1</t>
  </si>
  <si>
    <t>RD49328</t>
  </si>
  <si>
    <t>RETEN 44.78X61.37X9.52 EJE LEVA. UBIC. 17</t>
  </si>
  <si>
    <t>RETEN 44X60X7 HYUNDAI CIG. DEL. UBIC. 16-5</t>
  </si>
  <si>
    <t>RETEN 44X62X11 RUEDA TRAS. VOLKSWAGEN. UBIC. 17</t>
  </si>
  <si>
    <t>RETEN 44X62X8X14 RUEDA SUZUKI. UBIC. 16</t>
  </si>
  <si>
    <t>RETEN 45X58X9 RDA TRAS. MITS. UBIC. 19-2</t>
  </si>
  <si>
    <t>RETEN 45X60X7.8 RUEDA DEL. DAIHATSU. UBIC. 16</t>
  </si>
  <si>
    <t>RETEN 45X60X9 DISTRIBUCION. CHEVETTE. ubic. 18</t>
  </si>
  <si>
    <t>RETEN 45X60X9.... CHEVETTE. UBIC 18</t>
  </si>
  <si>
    <t>RETEN 45X63X7 RUEDA DEL. DAIHATSU. UBIC. 17</t>
  </si>
  <si>
    <t>RETEN 45X63X7.5 CIG. DEL. SUZUKI. UBIC. 18</t>
  </si>
  <si>
    <t>RETEN 45X65X11...</t>
  </si>
  <si>
    <t>RETEN 45X68X12 DISTRIBUCION. TOYOTA. UBIC. 38-1 38-2</t>
  </si>
  <si>
    <t>RETEN 45X80X10X16.5 DIFERENCIAL IZQ. DAIHATSU. UBIC. 17</t>
  </si>
  <si>
    <t>RETEN 46X102X10.5X15.5 EJE TRAS EXT. HYUNDAI. UBIC. 19</t>
  </si>
  <si>
    <t>RETEN 46X58X7 CIG.DEL. NISSAN. UBIC. 19-1</t>
  </si>
  <si>
    <t>RETEN 46X59.1X12 RDA DEL. NISSAN. UBIC. 19</t>
  </si>
  <si>
    <t>RETEN 47.7X73.08X9.5X12 EJE TRAS EXT. HY. KIA. UBIC. 19</t>
  </si>
  <si>
    <t>RETEN 48X62X13 RDA DEL. NISSAN UBIC. 38-3</t>
  </si>
  <si>
    <t>RETEN 48X62X7 RDA DEL TOYOTA.</t>
  </si>
  <si>
    <t>RETEN 48X64X14 RDA DEL. CHEV. LUV</t>
  </si>
  <si>
    <t>RETEN 48X65X9 CAJA CAMBIO. HYUNDAY. UBIC. 23</t>
  </si>
  <si>
    <t>RETEN 48X68X7 CIG. DEL. TOYOTA. UBIC. 23</t>
  </si>
  <si>
    <t>RETEN 48X70X9 CIG.DEL. NISSAN. UBIC. 23</t>
  </si>
  <si>
    <t>RETEN 50X62X7 CIG. DEL TERRANO 2.5 DIESEL UBIC. 23</t>
  </si>
  <si>
    <t>RETEN 50X65X9 MAZA DEL. L200</t>
  </si>
  <si>
    <t>RETEN 50X65X9 RDA DEL. HYUNDAI UBIC. 23</t>
  </si>
  <si>
    <t>H100580</t>
  </si>
  <si>
    <t>RETEN 50X65X9 RUEDA DEL. HYUNDAI UBIC 23</t>
  </si>
  <si>
    <t>H002120</t>
  </si>
  <si>
    <t>RETEN 50X66.5X13X16.5 RUEDA DEL. HY.ACCENT. UBIC. 24</t>
  </si>
  <si>
    <t>RETEN 50X67X11 RDA TRAS. NISSAN. UBIC 24</t>
  </si>
  <si>
    <t>RETEN 50X67X9 LUV RDA. DEL UBIC.23-4 23-5 23-6</t>
  </si>
  <si>
    <t>RETEN 50X68X9 CIG DEL. LUV 2.0 UBIC. 24</t>
  </si>
  <si>
    <t>RETEN 50X68X9X14.5 CIG. TY. HILUX</t>
  </si>
  <si>
    <t>RETEN 50X70X9 RDA TRAS. TY HILUX. UBIC. 24</t>
  </si>
  <si>
    <t>RETEN 50X72X12 CAJA CAMBIO. NISSAN UBIC.39-1</t>
  </si>
  <si>
    <t>RETEN 50X90X14 CIG. DEL. F. RANGER</t>
  </si>
  <si>
    <t>RETEN 51X63X6 RUEDA DEL. MAZDA. UBIC. 26</t>
  </si>
  <si>
    <t>RETEN 51X65X9 RDA. TRAS HYUNDAI. UBIC 25</t>
  </si>
  <si>
    <t>RETEN 51X70X11 TAPA DE DISTRIBUCION. KIA MAZDA. UBIC. 26</t>
  </si>
  <si>
    <t>RETEN 52X67X7 RDA DEL. NISSAN UBIC. 39-2</t>
  </si>
  <si>
    <t>RETEN 52X68X7X13 RUEDA DEL. MAZDA. UBIC. 26</t>
  </si>
  <si>
    <t>RETEN 52X70X7.5 RDA. DEL. NISSAN.</t>
  </si>
  <si>
    <t>RETEN 52X72X7.5 RDA TRAS. LUV 4X4. UBIC. 26</t>
  </si>
  <si>
    <t>RETEN 54X05X10 RUEDA DEL. TERRANO.</t>
  </si>
  <si>
    <t>RETEN 54X65X10X15 RDA. DEL TERRANO. UBIC. 26</t>
  </si>
  <si>
    <t>RETEN 54X65X13 RDA DEL. NISSAN. UBIC. 27</t>
  </si>
  <si>
    <t>RETEN 54X66X7.5X10 RDA DEL EXT. TOYOTA UBIC. 27-3</t>
  </si>
  <si>
    <t>RETEN 54X72X13 UBIC. 39-3</t>
  </si>
  <si>
    <t>RETEN 55X68X8X11 NISSAN V16 RDA. DEL. EXT. UBIC. 27</t>
  </si>
  <si>
    <t>RETEN 55X78X10X16.90 CIG DEL. HYUNDAI</t>
  </si>
  <si>
    <t>RETEN 56X66.50X13X16.65 RDA DEL. HYUNDAI. UBIC 24</t>
  </si>
  <si>
    <t>RETEN 56X68X5X10 RDA DEL. MAZDA. UBIC. 28</t>
  </si>
  <si>
    <t>RETEN 56X74.2X10.3 NISSAN V16 RDA. DEL. INT. UBIC. 27-4</t>
  </si>
  <si>
    <t>RETEN 56X74X8.5 RDA TRAS. NS D22. UBIC.28</t>
  </si>
  <si>
    <t>RETEN 56X76X6X11 NS. PRIMERA RDA. DEL. UBIC. 27</t>
  </si>
  <si>
    <t>RETEN 57X77X10 CIG. TRAS, SUBARU UBIC. 28</t>
  </si>
  <si>
    <t>RETEN 58X74X10 CIG. TRAS. DAIHATSU. UBIC 28</t>
  </si>
  <si>
    <t>RETEN 59X75X10 RDA. DEL LUV.</t>
  </si>
  <si>
    <t>RETEN 60X76.3X9.6 CIG. TRAS. FORD. UBIC. 29</t>
  </si>
  <si>
    <t>RETEN 60X80X8 CIG. TRAS. CHEV.</t>
  </si>
  <si>
    <t>RETEN 60X80X8 SZ. CIG. TRAS. UBIC. 29-4</t>
  </si>
  <si>
    <t>RETEN 60X82X12 CIG TRAS. NISSAN. UBIC. 29</t>
  </si>
  <si>
    <t>RETEN 62X85X13 CIG DEL. NISSAN. UBIC.29</t>
  </si>
  <si>
    <t>RETEN 65X90X13 RUEDA DEL. KIA. UBIC.29</t>
  </si>
  <si>
    <t>RETEN 66X85X8X10 RUEDA DEL. TOYOTA. UBIC.30</t>
  </si>
  <si>
    <t>RETEN 70X90X10 RDA. TRAS VOLKSWAGEN. UBIC.30</t>
  </si>
  <si>
    <t>RETEN 70X92X12 CIG TRAS. TOYOTA.</t>
  </si>
  <si>
    <t>RETEN 70X92X8.5 CIG TRAS. TOYOTA. UBIC.30</t>
  </si>
  <si>
    <t>RETEN 72X96X9 CIG.TRAS. HYUNDAI. UBIC.30</t>
  </si>
  <si>
    <t>RETEN 72X98X8 UBIC. 33-1</t>
  </si>
  <si>
    <t>RETEN 73.5X89X8.5 CIG. TRAS. DAIH UBIC. 31-5</t>
  </si>
  <si>
    <t>RETEN 74X98X12 CIG.TRAS.HONDA. UBIC.31</t>
  </si>
  <si>
    <t>RETEN 75.9X95X11 CIC TRAS. CHEVETTE. UBIC.31</t>
  </si>
  <si>
    <t>RETEN 75X100X13 CIG.TRAS. TOYOTA. UBIC.31</t>
  </si>
  <si>
    <t>RETEN 75X100X8.5 CIG. TRAS TOTOTA UBIC.31</t>
  </si>
  <si>
    <t>RETEN 75X107X8 CIG. TRAS. TY YARIS. UBIC. 32-5</t>
  </si>
  <si>
    <t>RETEN 77X91X8 CIG. TRAS. SAIL 1.4 1.5 UBIC. 32-1</t>
  </si>
  <si>
    <t>RETEN 80X100X10 CIG TRAS. NISSAN. UBIC.33-3</t>
  </si>
  <si>
    <t>RETEN 80X100X10 CIG.TRAS. UBIC.33-3</t>
  </si>
  <si>
    <t>RETEN 80X100X13 CIG TRAS. NISSAN</t>
  </si>
  <si>
    <t>RETEN 80X100X8.5 CIG.TRAS. TERCEL. UBIC. 31-3</t>
  </si>
  <si>
    <t>RETEN 80X104X11 CIG TRAS NISSAN</t>
  </si>
  <si>
    <t>RETEN 80X105X13 CIG.TRAS. MAZDA.</t>
  </si>
  <si>
    <t>RETEN 80X96X9 CIG.TRAS. HYUNDAI. UBIC.32-2</t>
  </si>
  <si>
    <t>RETEN 80X98X10 CIG. TRAS. CORSA DW. SABO UBIC. 42-4</t>
  </si>
  <si>
    <t>RETEN 80X98X10 CIG TRAS. CHEV. DAEWOO. UBIC,33-2</t>
  </si>
  <si>
    <t>RETEN 82X105X13 CIG.TRAS. CHEVROLET.</t>
  </si>
  <si>
    <t>RETEN 83X100X9 CIG.TRAS. MAZDA. UBIC.31-7</t>
  </si>
  <si>
    <t>RETEN 83X103X8 CIG. TRASERO SUZUKI. IBIC. 32-4</t>
  </si>
  <si>
    <t>RETEN 84x104x11 CIG NISSAN V16 T/ PLOMA. UBIC.33-5</t>
  </si>
  <si>
    <t>RETEN 84X104X11 CIG.TRAS. NISSAN. UBIC.33</t>
  </si>
  <si>
    <t>RETEN 84X104X8.5 CIG.TRAS. NS.YD25. UBIC.33-2</t>
  </si>
  <si>
    <t>RETEN 84X104X8.5 NISSAN CIG. TRAS. YD25 UBIC. 33-2</t>
  </si>
  <si>
    <t>RETEN 84X117X8.5 CNS. TIIDA CIG. TRAS.UBIC- 44-6</t>
  </si>
  <si>
    <t>RETEN 85X105X12 CIG.TRAS. VOLS. UBIC.33</t>
  </si>
  <si>
    <t>RETEN 86X100X10 CIG.TRAS. NISSAN.</t>
  </si>
  <si>
    <t>RETEN 86X103X10 CIG. TRAS. SUBARU</t>
  </si>
  <si>
    <t>RETEN 86X103X10 CIG.TRAS. SUBARU. UBIC.32-5</t>
  </si>
  <si>
    <t>RETEN 86X108X11 CIG. TRAS. FORD. UBIC.32</t>
  </si>
  <si>
    <t>RETEN 88X106X9 CIG. TRAS. TY. HILUX UBIC.33-4</t>
  </si>
  <si>
    <t>RETEN 90X104X11 CIG.TRAS. CHEV.LUV. UBIC. 32-6</t>
  </si>
  <si>
    <t>RETEN 91X107X8 CIG. TRAS. MITS. L200 2.5 UBIC. 31-4</t>
  </si>
  <si>
    <t>RETEN 91X111X9 CIG.TRAS. MITS. UBIC. 34-1</t>
  </si>
  <si>
    <t>RETEN 91X114X9 UBIC. 34-2</t>
  </si>
  <si>
    <t>RETEN 92X114X8X7 CIG TRAS. MITS. UBIC. 34</t>
  </si>
  <si>
    <t>RETEN 93X114X13 CIG. TRAS. SSANGYONG UBIC. 31-6</t>
  </si>
  <si>
    <t>RETEN 95X115X12 CIG. TRAS. TY DYNA. UBIC.34</t>
  </si>
  <si>
    <t>RETEN 95X118X10 CIG. TRAS. CHEV LUV. UBIC.34-4</t>
  </si>
  <si>
    <t>L210480</t>
  </si>
  <si>
    <t>RETEN 95X118X10 CIG. TRAS. CHV LUV. UBIC 34</t>
  </si>
  <si>
    <t>RETEN CHEVROLET LUV 2.2</t>
  </si>
  <si>
    <t>RETEN CIG DEL CHEVR LUV</t>
  </si>
  <si>
    <t>RETEN CIG TRAS. RANGER BENCINERO.</t>
  </si>
  <si>
    <t>RETEN CIG. DEL 26X42X8 DAEWOO / CORSA UBIC, 3</t>
  </si>
  <si>
    <t>RETEN CIG. TRAS. FORD ECOSPORT FIESTA /12 SABO</t>
  </si>
  <si>
    <t>RETEN CIG.TRAS CHEV LUV 90X104X11. UBIC.32-6</t>
  </si>
  <si>
    <t>H101150</t>
  </si>
  <si>
    <t>RETEN COMP. IZQ. 25X35X6 HYUNDAI H100 UBIC. 2</t>
  </si>
  <si>
    <t>RETEN ESC. MITSUBISHI</t>
  </si>
  <si>
    <t>RETEN NS. TERRANO CIG. TRAS. 84X104X8.5 UBIC. 33-5</t>
  </si>
  <si>
    <t>RETEN oring ns. v16 12x22x7 UBIC. 1-8</t>
  </si>
  <si>
    <t>RETEN RUEDA TRASERA NAVARA</t>
  </si>
  <si>
    <t>RETEN suzuki swif</t>
  </si>
  <si>
    <t>RETEN VAL. ADM. HONDA</t>
  </si>
  <si>
    <t>RETEN VAL. ADM. NS V16 GA16</t>
  </si>
  <si>
    <t>RETEN VAL. ADM. SUBARU JUSTY</t>
  </si>
  <si>
    <t>RETEN VAL. CHEV. CORSA MZ DW. SABO JG.</t>
  </si>
  <si>
    <t>RETEN VAL. CHEV. LUV 2.2 CORSA DW. JG.</t>
  </si>
  <si>
    <t>RETEN VAL. ESC. HONDA JP.</t>
  </si>
  <si>
    <t>RETEN VAL. NISSAN 150Y</t>
  </si>
  <si>
    <t>RETEN VAL.ADM. HY ACCENT</t>
  </si>
  <si>
    <t>RETEN VAL.ADM. KIA RIO</t>
  </si>
  <si>
    <t>RETEN VAL.ADM.ESC. HY SANTAMO</t>
  </si>
  <si>
    <t>RETEN VAL.TY YARIS</t>
  </si>
  <si>
    <t>RETEN VALV NS. 150Y</t>
  </si>
  <si>
    <t>RETEN VALV SUZUKI SWIF 1.6 16V</t>
  </si>
  <si>
    <t>RETEN VALV. ADM ESC. SZ GRAN NOMADE</t>
  </si>
  <si>
    <t>RETEN VALV. ADM Y ESC. OPTRA / AVEO</t>
  </si>
  <si>
    <t>RETEN VALV. ADM. CHARADE</t>
  </si>
  <si>
    <t>RETEN VALV. ADM. DODGE</t>
  </si>
  <si>
    <t>RETEN VALV. ADM. FIAT 600</t>
  </si>
  <si>
    <t>RETEN VALV. ADM. HONDA</t>
  </si>
  <si>
    <t>H004150</t>
  </si>
  <si>
    <t>RETEN VALV. ADM. HY ACCENT/ELANTRA</t>
  </si>
  <si>
    <t>RETEN VALV. ADM. KIA - MAZDA</t>
  </si>
  <si>
    <t>RETEN VALV. ADM. MITS. ROSA CARTER</t>
  </si>
  <si>
    <t>RETEN VALV. ADM. NISSAN PATROL</t>
  </si>
  <si>
    <t>RETEN VALV. ADM. NS SUNNY</t>
  </si>
  <si>
    <t>RETEN VALV. ADM. TOYOTA 18R</t>
  </si>
  <si>
    <t>RETEN VALV. ADM. TY YARIS</t>
  </si>
  <si>
    <t>RETEN VALV. ADM.ESC. MAZDA B</t>
  </si>
  <si>
    <t>RETEN VALV. ADM.ESC. NISSAN J15 J16</t>
  </si>
  <si>
    <t>RETEN VALV. AVELLA CLARUS BT50 323 BJ</t>
  </si>
  <si>
    <t>RETEN VALV. CHEV. LUV</t>
  </si>
  <si>
    <t>RETEN VALV. CHEV. LUV 2.3</t>
  </si>
  <si>
    <t>RETEN VALV. CHEV. SPARK</t>
  </si>
  <si>
    <t>RETEN VALV. DAIHATSU 8V.</t>
  </si>
  <si>
    <t>RETEN VALV. DH. CHARADE ASIA</t>
  </si>
  <si>
    <t>RETEN VALV. ESC. DODGE</t>
  </si>
  <si>
    <t>RETEN VALV. ESC. HONDA</t>
  </si>
  <si>
    <t>RETEN VALV. HY. H100 2.5 H1 KGK JP.</t>
  </si>
  <si>
    <t>RETEN VALV. HY. H100 DIESEL</t>
  </si>
  <si>
    <t>RETEN VALV. JG.. CHEV LUV 1.6 76/98</t>
  </si>
  <si>
    <t>RETEN VALV. KIA 2.2</t>
  </si>
  <si>
    <t>0K770-10-155</t>
  </si>
  <si>
    <t>RETEN VALV. KIA 2.4</t>
  </si>
  <si>
    <t>RETEN VALV. MAZDA ADM. ESC</t>
  </si>
  <si>
    <t>RETEN VALV. MAZDA ARTIS 323</t>
  </si>
  <si>
    <t>RETEN VALV. MIT. L200 KGK</t>
  </si>
  <si>
    <t>RETEN VALV. NS. NAVARA YD25</t>
  </si>
  <si>
    <t>RETEN VALV. NS. ADM. ESC. DIESEL</t>
  </si>
  <si>
    <t>RETEN VALV. NS. CTAS ADM. ESC.</t>
  </si>
  <si>
    <t>RETEN VALV. NS. D-21 KA24 ESC.</t>
  </si>
  <si>
    <t>RETEN VALV. NS. D21 KA24 ADM.</t>
  </si>
  <si>
    <t>RETEN VALV. NS. V-16 SUNNY</t>
  </si>
  <si>
    <t>RETEN VALV. NS. V16 SEN II GA 16</t>
  </si>
  <si>
    <t>RETEN VALV. SUBARU</t>
  </si>
  <si>
    <t>RETEN VALV. SUBARU JUSTY</t>
  </si>
  <si>
    <t>RETEN VALV. SUZUKI FRONTE ST90 CARRY</t>
  </si>
  <si>
    <t>RETEN VALV. SUZUKI ST90</t>
  </si>
  <si>
    <t>RETEN VALV. SZ ST-90 / SWIFT</t>
  </si>
  <si>
    <t>RETEN VALV. SZ. ALTO MARUTI KGK</t>
  </si>
  <si>
    <t>RETEN VALV. TOYOTA T K C</t>
  </si>
  <si>
    <t>RETEN VALV. TY. COROLLA 1.6 2.0 3S AE AT KGK</t>
  </si>
  <si>
    <t>RETEN VALV. TY. DINA</t>
  </si>
  <si>
    <t>RETEN VALV. TY. HILUX 2RZ ADMISION</t>
  </si>
  <si>
    <t>RETEN VALV. TY. TERCEL</t>
  </si>
  <si>
    <t>RETEN VALV. TY. TERCEL 5E ADM.</t>
  </si>
  <si>
    <t>RETEN VALV. TY. TERCEL 5E ESC.</t>
  </si>
  <si>
    <t>RETEN VALV. TY. TERCEL ACCENT KGK</t>
  </si>
  <si>
    <t>RETEN VALV. TY. YARIS.</t>
  </si>
  <si>
    <t>RETEN VALV.ADM. FIAT FIORINO 8MM</t>
  </si>
  <si>
    <t>RETEN VALV.ADM. NISSAN J16</t>
  </si>
  <si>
    <t>RETEN VALV.ADM. TY HILUX 12R</t>
  </si>
  <si>
    <t>RETEN VALV.ADM.ESC. CHEV LUV 2.2</t>
  </si>
  <si>
    <t>RETEN VALV.ADM.ESC. FORD ESCORT 1.9</t>
  </si>
  <si>
    <t>RETEN VALV.ESC. FORD RANGER 2.3</t>
  </si>
  <si>
    <t>RETEN VALV.ESC.ADM. FORD RANGER</t>
  </si>
  <si>
    <t>RETEN VALVULA</t>
  </si>
  <si>
    <t>rvalcap</t>
  </si>
  <si>
    <t>RETEN valvula captiva</t>
  </si>
  <si>
    <t>RETEN VALVULA CHEV LUV</t>
  </si>
  <si>
    <t>RETEN VALVULA CHEVETTE SABO JG.</t>
  </si>
  <si>
    <t>RETEN VALVULA CHEVR. AVEO / SPARK</t>
  </si>
  <si>
    <t>RETEN VALVULA ESC. TOYOTA</t>
  </si>
  <si>
    <t>RETEN VALVULA ESCAPE TOYOTA RZ</t>
  </si>
  <si>
    <t>RETEN VALVULA ISUZU 2.8 2.5 DIESEL JG</t>
  </si>
  <si>
    <t>RETEN VALVULA MAZDA BT50</t>
  </si>
  <si>
    <t>RETEN VALVULA NS, TERRANO 2.5</t>
  </si>
  <si>
    <t>RETEN VALVULA NS. D21 KA24</t>
  </si>
  <si>
    <t>RETORNO</t>
  </si>
  <si>
    <t>RETORNO COMBUSTIBLE</t>
  </si>
  <si>
    <t>RETROCESO ALARMA 12V. 24V.</t>
  </si>
  <si>
    <t>ROBERT .</t>
  </si>
  <si>
    <t>ROCHESTER CHEVROLET 81/84</t>
  </si>
  <si>
    <t>ROD. 32008</t>
  </si>
  <si>
    <t>ROD. 32009</t>
  </si>
  <si>
    <t>ROD. 48548 SKF</t>
  </si>
  <si>
    <t>ROD. 6001 UBIC. 9-1-15</t>
  </si>
  <si>
    <t>ROD. 6002 UBIC. 9-1-14</t>
  </si>
  <si>
    <t>ROD. 6206-2RS</t>
  </si>
  <si>
    <t>ROD. 6302 2RS UBIC. 9-1-8</t>
  </si>
  <si>
    <t>ROD. 6303 2RS PFI UBIC. 9-1-7</t>
  </si>
  <si>
    <t>ROD. 6305 2RS UBIC. 9-1-4</t>
  </si>
  <si>
    <t>ROD. 69349 UBIC. 9-9-10</t>
  </si>
  <si>
    <t>ROD. AUX. TERCEL 2E.</t>
  </si>
  <si>
    <t>ROD. AUXILIAR HONDA</t>
  </si>
  <si>
    <t>ROD. AUXILIAR HY. ACCENT PRIME ELANT. GETZ KIA CERATO</t>
  </si>
  <si>
    <t>ROD. CAJA 6308D-32N</t>
  </si>
  <si>
    <t>ROD. CAJA CAMBIO. NS V16.</t>
  </si>
  <si>
    <t>ROD. CARDAN MAZDA BT50</t>
  </si>
  <si>
    <t>ROD. CARDAN NS. D21 KA24E</t>
  </si>
  <si>
    <t>ROD. CARDAN NS. TERRANO 2.5</t>
  </si>
  <si>
    <t>TY31160</t>
  </si>
  <si>
    <t>ROD. CARDAN TY. HILUX</t>
  </si>
  <si>
    <t>ROD. CAZOLETA NS. V16</t>
  </si>
  <si>
    <t>ROD. CHEV. LUV 2.2</t>
  </si>
  <si>
    <t>ROD. COMPENSADOR HYUN. SANTA FE</t>
  </si>
  <si>
    <t>ROD. DEL SZ. BALENO 40X72X33X36</t>
  </si>
  <si>
    <t>ROD. DISTR. KIA MAZDA</t>
  </si>
  <si>
    <t>ROD. DISTR. SZ. ALTO APV BALENO GMB</t>
  </si>
  <si>
    <t>ROD. DISTRIB. CHEV. MONZA TJB</t>
  </si>
  <si>
    <t>ROD. DW. MONZA</t>
  </si>
  <si>
    <t>ROD. EMB, D-21 NISSAN</t>
  </si>
  <si>
    <t>ROD. EMB. ACCENT PRIME ELANTRA MATRIZ GETZ</t>
  </si>
  <si>
    <t>ROD. EMB. CHARADE COURE</t>
  </si>
  <si>
    <t>ROD. EMB. CHE. SPARK.</t>
  </si>
  <si>
    <t>ROD. EMB. CHEV. D MAX MRK JP.</t>
  </si>
  <si>
    <t>ROD. EMB. CHEV. LUV 3.2</t>
  </si>
  <si>
    <t>ROD. EMB. CHEV. MONZA KAF</t>
  </si>
  <si>
    <t>ROD. EMB. CHV. LUV 3.2</t>
  </si>
  <si>
    <t>ROD. EMB. D 21 K A 24</t>
  </si>
  <si>
    <t>ROD. EMB. DAIHATSU</t>
  </si>
  <si>
    <t>ROD. EMB. DAIHATSU CUORE</t>
  </si>
  <si>
    <t>ROD. EMB. DAIHATSU TERIO</t>
  </si>
  <si>
    <t>ROD. EMB. DH. CHARADE 1.3 1.6</t>
  </si>
  <si>
    <t>ROD. EMB. FI. FIORINO C/ CACHO SKF</t>
  </si>
  <si>
    <t>ROD. EMB. FIAT</t>
  </si>
  <si>
    <t>ROD. EMB. FORD RANGER HIDRAULICO 2.3 2.5 3.0 4.0</t>
  </si>
  <si>
    <t>ROD. EMB. HONDA ACCORD</t>
  </si>
  <si>
    <t>ROD. EMB. HY. ACCENT VALEO</t>
  </si>
  <si>
    <t>ROD. EMB. HYUNDAI ACCENT</t>
  </si>
  <si>
    <t>ROD. EMB. ISUZU LUV</t>
  </si>
  <si>
    <t>ROD. EMB. KIA AVELLA PRIDE RIO</t>
  </si>
  <si>
    <t>ROD. EMB. LUV 2.3</t>
  </si>
  <si>
    <t>ROD. EMB. LUV D-MAX</t>
  </si>
  <si>
    <t>ROD. EMB. LUV ISUZU LUV</t>
  </si>
  <si>
    <t>ROD. EMB. MAHINDRA 33X70X33</t>
  </si>
  <si>
    <t>ROD. EMB. MAZDA 2000CC. TJB</t>
  </si>
  <si>
    <t>ROD. EMB. MITSUBICHI L 200</t>
  </si>
  <si>
    <t>ROD. EMB. NISSAN D 21</t>
  </si>
  <si>
    <t>ROD. EMB. NISSAN VALEO</t>
  </si>
  <si>
    <t>ROD. EMB. NS D 21 KAF</t>
  </si>
  <si>
    <t>ROD. EMB. NS. D-21 KA24 TJB</t>
  </si>
  <si>
    <t>ROD. EMB. NS. D21 KA24 VALEO</t>
  </si>
  <si>
    <t>ROD. EMB. NS. V16 SENTRA 93/2008</t>
  </si>
  <si>
    <t>ROD. EMB. NS. V16 SKF</t>
  </si>
  <si>
    <t>ROD. EMB. PEUGEOT 504</t>
  </si>
  <si>
    <t>ROD. EMB. SB. LEGACY TJB</t>
  </si>
  <si>
    <t>ROD. EMB. SUZUKI CARRY</t>
  </si>
  <si>
    <t>ROD. EMB. SZ. AEREO HAFEI CHANGAN</t>
  </si>
  <si>
    <t>ROD. EMB. SZ. ALTO BALENO TICO MATIZ SPARK TICO</t>
  </si>
  <si>
    <t>ROD. EMB. TOYOTA DYNA</t>
  </si>
  <si>
    <t>ROD. EMB. TY. COROLA YARIS</t>
  </si>
  <si>
    <t>ROD. EMB. TY. T 2Y 3Y 18RR 22R</t>
  </si>
  <si>
    <t>ROD. EMB. TY. YARIS 84.5</t>
  </si>
  <si>
    <t>ROD. EMB.TICO MATIZ</t>
  </si>
  <si>
    <t>ROD. EMBR SUZUKI GRAN NOMADE</t>
  </si>
  <si>
    <t>ROD. EMBR. 3K 4K.</t>
  </si>
  <si>
    <t>ROD. EMBR. ATOZ I-10 MORNING.</t>
  </si>
  <si>
    <t>ROD. EMBR. AVEO - DW.</t>
  </si>
  <si>
    <t>ROD. EMBR. BESTA.</t>
  </si>
  <si>
    <t>ROD. EMBR. CANTER ROSA.</t>
  </si>
  <si>
    <t>ROD. EMBR. CHANGAN</t>
  </si>
  <si>
    <t>ROD. EMBR. CHEV S-10 C-10 BAJO.</t>
  </si>
  <si>
    <t>ROD. EMBR. CHEV. ALTO.</t>
  </si>
  <si>
    <t>ROD. EMBR. CHEV. ASTRA</t>
  </si>
  <si>
    <t>ROEMDMAX</t>
  </si>
  <si>
    <t>ROD. EMBR. CHEV. DMAX</t>
  </si>
  <si>
    <t>ROD. EMBR. CHEV. LUV 1.6 ST-90 NBN JP.</t>
  </si>
  <si>
    <t>ROD. EMBR. CHEV. LUV 2.8</t>
  </si>
  <si>
    <t>ROD. EMBR. CHEVETTE.</t>
  </si>
  <si>
    <t>ROD. EMBR. DAEWOO. AVEO</t>
  </si>
  <si>
    <t>ROD. EMBR. DAIHATSU.</t>
  </si>
  <si>
    <t>ROD. EMBR. DMAX.</t>
  </si>
  <si>
    <t>ROD. EMBR. FIAT 147.</t>
  </si>
  <si>
    <t>ROD. EMBR. FIESTA / FOCUS.</t>
  </si>
  <si>
    <t>ROD. EMBR. FORD RANGER MZ. BT50 KOYO</t>
  </si>
  <si>
    <t>ROD. EMBR. GRAN NOMADE.</t>
  </si>
  <si>
    <t>ROD. EMBR. GRAN NOMADE/ VIT.</t>
  </si>
  <si>
    <t>ROD. EMBR. H-100 PORTER.</t>
  </si>
  <si>
    <t>ROD. EMBR. H-100.</t>
  </si>
  <si>
    <t>ROD. EMBR. H100 D4B.</t>
  </si>
  <si>
    <t>ROD. EMBR. HILUX.</t>
  </si>
  <si>
    <t>ROD. EMBR. HONDA.</t>
  </si>
  <si>
    <t>ROD. EMBR. HY. ELANTRA EXCEL SONATA VALEO</t>
  </si>
  <si>
    <t>ROD. EMBR. ISUZU NKR.11800</t>
  </si>
  <si>
    <t>ROD. EMBR. KIA MORNING. I10 RIO 1.2</t>
  </si>
  <si>
    <t>ROD. EMBR. KIA POP AVELLA PRIDE</t>
  </si>
  <si>
    <t>ROD. EMBR. LUV 1.6.</t>
  </si>
  <si>
    <t>ROD. EMBR. LUV 2.2.</t>
  </si>
  <si>
    <t>ROD. EMBR. LUV 2.3</t>
  </si>
  <si>
    <t>L112120</t>
  </si>
  <si>
    <t>ROD. EMBR. LUV 2.3.</t>
  </si>
  <si>
    <t>ROD. EMBR. LUV ST-90.</t>
  </si>
  <si>
    <t>ROD. EMBR. MARUTI.</t>
  </si>
  <si>
    <t>ROD. EMBR. MAZDA 3.</t>
  </si>
  <si>
    <t>ROD. EMBR. MAZDA B2500</t>
  </si>
  <si>
    <t>ROD. EMBR. ND D22 - TERRANO.</t>
  </si>
  <si>
    <t>ROD. EMBR. NISSAN</t>
  </si>
  <si>
    <t>ROD. EMBR. NISSAN.</t>
  </si>
  <si>
    <t>ROD. EMBR. NS SUNNY.</t>
  </si>
  <si>
    <t>ROD. EMBR. NS TERRANO 2.4.</t>
  </si>
  <si>
    <t>ROD. EMBR. NS V16</t>
  </si>
  <si>
    <t>ROD. EMBR. NS V16.</t>
  </si>
  <si>
    <t>ROD. EMBR. PALIO UNO.</t>
  </si>
  <si>
    <t>ROD. EMBR. PEUGEOT.</t>
  </si>
  <si>
    <t>ROD. EMBR. SAMSUNG SM3</t>
  </si>
  <si>
    <t>ROD. EMBR. ST-90.</t>
  </si>
  <si>
    <t>ROD. EMBR. SUBARU.</t>
  </si>
  <si>
    <t>ROD. EMBR. SUZUKI</t>
  </si>
  <si>
    <t>ROD. EMBR. SWIFT.</t>
  </si>
  <si>
    <t>ROD. EMBR. SZ CARRY VITARA AEREO VALEO</t>
  </si>
  <si>
    <t>ROD. EMBR. SZ JIMMY.</t>
  </si>
  <si>
    <t>ROD. EMBR. SZ MARUTI.</t>
  </si>
  <si>
    <t>ROD. EMBR. SZ MASTER VAN.</t>
  </si>
  <si>
    <t>ROD. EMBR. SZ. ALTO BALENO TICO SPARK MATIZ</t>
  </si>
  <si>
    <t>ROD. EMBR. SZ. MARUTI</t>
  </si>
  <si>
    <t>ROD. EMBR. TERCEL.</t>
  </si>
  <si>
    <t>ROD. EMBR. TERRACAN.</t>
  </si>
  <si>
    <t>ROD. EMBR. TERRANO 2.5.</t>
  </si>
  <si>
    <t>RCT4500</t>
  </si>
  <si>
    <t>ROD. EMBR. TY DYNA.</t>
  </si>
  <si>
    <t>ROD. EMBR. TY HILUX.</t>
  </si>
  <si>
    <t>ROD. EMBR. TY KUN.</t>
  </si>
  <si>
    <t>ROD. EMBR. TY RAV4.</t>
  </si>
  <si>
    <t>ROD. EMBR. TY TK.</t>
  </si>
  <si>
    <t>ROD. EMBR. TY YARIS.</t>
  </si>
  <si>
    <t>ROD. EMBR. TY. YARIS.</t>
  </si>
  <si>
    <t>ROD. EMBR. UNO FIRE.</t>
  </si>
  <si>
    <t>ROD. EMBR. VW.</t>
  </si>
  <si>
    <t>ROD. EMBR. WINGLE.</t>
  </si>
  <si>
    <t>RODAMIENTO-EMBR.-NS-V16-KAF</t>
  </si>
  <si>
    <t>ROD. EMBRAGUE</t>
  </si>
  <si>
    <t>ROD. EMPUJE. 205-405 PEUGEOT.</t>
  </si>
  <si>
    <t>ROD. EMPUJE. ISUZU.</t>
  </si>
  <si>
    <t>VKC3500</t>
  </si>
  <si>
    <t>ROD. EMPUJE. NISSAN.</t>
  </si>
  <si>
    <t>ROD. HIDR. MAHINDRA ORIGINAL</t>
  </si>
  <si>
    <t>ROD. HIDRAULICO FORD RANGER</t>
  </si>
  <si>
    <t>ROD. LM 44649</t>
  </si>
  <si>
    <t>ROD. LM 44649 UBIC 9-9-6</t>
  </si>
  <si>
    <t>ROD. LM 69349</t>
  </si>
  <si>
    <t>K500860</t>
  </si>
  <si>
    <t>ROD. LM68149/11</t>
  </si>
  <si>
    <t>ROD. LM68149/11 WURTEX</t>
  </si>
  <si>
    <t>ROD. NS VERSA MARCH 25X55X48 TRAS</t>
  </si>
  <si>
    <t>ROD. P/ TAQ. LM86647 H100</t>
  </si>
  <si>
    <t>rodiner</t>
  </si>
  <si>
    <t>RODINER</t>
  </si>
  <si>
    <t>ROD. PILOTO INERCIA</t>
  </si>
  <si>
    <t>ROD. RD. DEL. SENTRA. 38X74X50</t>
  </si>
  <si>
    <t>ROD. RDA DEL. NEW YARIS.</t>
  </si>
  <si>
    <t>ROD. RDA TRAS NISSAN D21</t>
  </si>
  <si>
    <t>ROD. RDA TRAS SZ ALTO IGNIS 25X52X42</t>
  </si>
  <si>
    <t>ROD. RDA,DEL CHV. CORSA /AST. 34X66X37</t>
  </si>
  <si>
    <t>ROD. RDA. CHEV LUV GRACE BESTA</t>
  </si>
  <si>
    <t>ROD. RDA. CHEV- LUV D- MAX</t>
  </si>
  <si>
    <t>ROD. RDA. DEL CHV MZ 82/DW ESPERO</t>
  </si>
  <si>
    <t>ROD. RDA. DEL CHV. CORSA /AST. SKF 34X65X37</t>
  </si>
  <si>
    <t>ROD. RDA. DEL CHV. MZ.82 DW ESPERO 39X72X37</t>
  </si>
  <si>
    <t>ROD. RDA. DEL CHV. OPTRA/VIVANT / VETRA</t>
  </si>
  <si>
    <t>K709115</t>
  </si>
  <si>
    <t>ROD. RDA. DEL HY TUCSON KIA CARNIVAL 42X76X39</t>
  </si>
  <si>
    <t>ROD. RDA. DEL SUZUKI JEEP. 41X68X40</t>
  </si>
  <si>
    <t>ROD. RDA. DEL. CIVIC. 38X73X40</t>
  </si>
  <si>
    <t>ROD. RDA. DEL. COROLLA. 30X63X42</t>
  </si>
  <si>
    <t>ROD. RDA. DEL. COROLLA. 38X72X33/36</t>
  </si>
  <si>
    <t>H801821</t>
  </si>
  <si>
    <t>ROD. RDA. DEL. HY ELANTRA. SKF 39X74X34/36</t>
  </si>
  <si>
    <t>ROD. RDA. DEL. HY. ACCENT PRIME MORNING 38X70X37 SKF</t>
  </si>
  <si>
    <t>H104905</t>
  </si>
  <si>
    <t>ROD. RDA. DEL. LM 48548-10 SKF</t>
  </si>
  <si>
    <t>ROD. RDA. DEL. MITUBISHI -SAMSUNG. 26X22X56</t>
  </si>
  <si>
    <t>ROD. RDA. DEL. MONZA - DW.</t>
  </si>
  <si>
    <t>ROD. RDA. DEL. MZ. ARTIS 323 40X74X40</t>
  </si>
  <si>
    <t>ROD. RDA. DEL. NS. SENTRA 1.8 B15 SM3 40X74X36 SKF</t>
  </si>
  <si>
    <t>ROD. RDA. DEL. NS. SENTRA 1.8 MBS</t>
  </si>
  <si>
    <t>ROD. RDA. DEL. PEUGEOT. 42X82X35</t>
  </si>
  <si>
    <t>ROD. RDA. DEL. SENTRA. 40X74X36</t>
  </si>
  <si>
    <t>ROD. RDA. DEL. SZ MASTER VAN.</t>
  </si>
  <si>
    <t>ROD. RDA. DEL. SZ. SJ410 28X58X42</t>
  </si>
  <si>
    <t>ROD. RDA. DEL. TY TERCEL.</t>
  </si>
  <si>
    <t>ROD. RDA. DEL. TY. YARIS /05</t>
  </si>
  <si>
    <t>ROD. RDA. DEL. TY. YARIS /05 38X71X39 KAF</t>
  </si>
  <si>
    <t>ROD. RDA. DEL. TY. YARIS NEW 06-12</t>
  </si>
  <si>
    <t>ROD. RDA. NS. VERSA TRAS.</t>
  </si>
  <si>
    <t>ROD. RDA. TRAS 11749-10 UBIC. 9-9-2</t>
  </si>
  <si>
    <t>ROD. RDA. TRAS, HY. STA FE TUCSON 42X76X39 GSP</t>
  </si>
  <si>
    <t>ROD. RDA. TRAS. AVEO SAIL.</t>
  </si>
  <si>
    <t>ROD. RDA. TRAS. CHEV. SAIL 1.4 AVEO 25X52X37 SKF</t>
  </si>
  <si>
    <t>ROD. RDA. TRAS. FORD 29X53X37 SKF</t>
  </si>
  <si>
    <t>RDATJ</t>
  </si>
  <si>
    <t>ROD. RDA. TRAS. JEEP</t>
  </si>
  <si>
    <t>U-399/360L</t>
  </si>
  <si>
    <t>ROD. RDA. TRAS. NS D21 / H100 / FORD / S10 KAF 39.6X73X18.5</t>
  </si>
  <si>
    <t>ROD. RDA. TRAS. NS. MARCH/VERSA 25X55X48</t>
  </si>
  <si>
    <t>ROD. RDA. TRAS. NS. SENTRA B12 88/92 SKF 38X74X50</t>
  </si>
  <si>
    <t>ROD. RDA. TRAS. SPARK 30205 INTERIOR 25X52X13</t>
  </si>
  <si>
    <t>ROD. RDA. TRAS. SPARK EXT. 30204</t>
  </si>
  <si>
    <t>ROD. RDA. TRAS. SPARK INT. 30205 UBIC. 9-9-5</t>
  </si>
  <si>
    <t>ROD. RDA. TRAS. SUBARU.38X65X48</t>
  </si>
  <si>
    <t>ROD. RDA. TRAS. TOYOTA KUN 40X90X23/28</t>
  </si>
  <si>
    <t>ROD. RDA. TRAS. TY KUN. 42X82X40</t>
  </si>
  <si>
    <t>SPDT231203</t>
  </si>
  <si>
    <t>ROD. RUEDA NS. V16 DEL.</t>
  </si>
  <si>
    <t>ROD. RUEDA TRAS.LANCER</t>
  </si>
  <si>
    <t>ROD. ST80 SUZUKI</t>
  </si>
  <si>
    <t>ROD. TEN. DIST. HONDA</t>
  </si>
  <si>
    <t>ROD. TENSOR AUX. CHRYSLER 3.6 11/16</t>
  </si>
  <si>
    <t>ROD. TENSOR AUX. DODGE RAM 3.6 15/17</t>
  </si>
  <si>
    <t>ROD. TENSOR BALENO VITARA</t>
  </si>
  <si>
    <t>ROD. TENSOR CHEV CORSA EVOLUTION</t>
  </si>
  <si>
    <t>ROD. TENSOR CHEV. CHEVETTE</t>
  </si>
  <si>
    <t>ROD. TENSOR CHEV. CORSA B.W.</t>
  </si>
  <si>
    <t>ROD. TENSOR CHEV. CORSA DW. KAF</t>
  </si>
  <si>
    <t>ROD. TENSOR CHEV. CORSA SKF</t>
  </si>
  <si>
    <t>ROD. TENSOR CHEV. LUV 2.2</t>
  </si>
  <si>
    <t>ROD. TENSOR CHEV. LUV 89/</t>
  </si>
  <si>
    <t>ROD. TENSOR CHEV.GEMINIS 1.5 4XC1</t>
  </si>
  <si>
    <t>ROD. TENSOR DAEWOO / AVEO KAF</t>
  </si>
  <si>
    <t>ROD. TENSOR DAIHATSU</t>
  </si>
  <si>
    <t>ROD. TENSOR DAIHATSU G20 - 550</t>
  </si>
  <si>
    <t>ROD. TENSOR DISTR. H-100 DIESEL</t>
  </si>
  <si>
    <t>ROD. TENSOR DISTR. HONDA CIVIC 1.3 1.5 B GMB</t>
  </si>
  <si>
    <t>ROD. TENSOR DISTR. HY- i10 ATOZ</t>
  </si>
  <si>
    <t>ROD. TENSOR H-100 DIESEL COMP.</t>
  </si>
  <si>
    <t>ROD. TENSOR HONDA INTEGRA 1.8</t>
  </si>
  <si>
    <t>ROD. TENSOR HY ACCENT PRIME GETZ CERATO</t>
  </si>
  <si>
    <t>ROD. TENSOR HY. H 100 2.4 G4A 4G63</t>
  </si>
  <si>
    <t>ROD. TENSOR HYUNDAY AUX 1.</t>
  </si>
  <si>
    <t>ROD. TENSOR KIA BESTA 2.2 2R</t>
  </si>
  <si>
    <t>ROD. TENSOR MAZDA KIA PRIDE SEPHIA 323 GMB</t>
  </si>
  <si>
    <t>ROD. TENSOR NS V16 SUNNY</t>
  </si>
  <si>
    <t>ROD. TENSOR SUBARU 600 EK23</t>
  </si>
  <si>
    <t>ROD. TENSOR SUBARU.IMPREZA 2.0 EJ201</t>
  </si>
  <si>
    <t>ROD. TENSOR SUZUKI ALTO</t>
  </si>
  <si>
    <t>ROD. TENSOR SZ. BALENO.</t>
  </si>
  <si>
    <t>ROD. TENSOR SZ. GRAN NOMADE 2.0 J20A</t>
  </si>
  <si>
    <t>Z001233</t>
  </si>
  <si>
    <t>ROD. TENSOR SZ. VITARA APV MRK</t>
  </si>
  <si>
    <t>ROD. TENSOR TY. HILUX 3L 2L</t>
  </si>
  <si>
    <t>ROD. TENSOR TY. TERCEL 2E</t>
  </si>
  <si>
    <t>ROD. TENSOR TY. TERCEL 5E</t>
  </si>
  <si>
    <t>ROD. TENSOR TY.TERCEL</t>
  </si>
  <si>
    <t>ROD. CAZOLETA CHEV. AVEO SAIL</t>
  </si>
  <si>
    <t>ROD. CAZOLETA CHEV. AVEO SPART DEL. WURTEX</t>
  </si>
  <si>
    <t>ROD. CAZOLETA SAIL 1.4</t>
  </si>
  <si>
    <t>ROD. CAZOLETA TY. YARIS 06/13</t>
  </si>
  <si>
    <t>ROD. DEL.</t>
  </si>
  <si>
    <t>ROD. DEL. CHERY VOLKSWAGEN 39X68X37</t>
  </si>
  <si>
    <t>ROD. DEL. CHEV. CORSA 34X66X37</t>
  </si>
  <si>
    <t>ROD. DEL. CITROEN PEUGEOT 42X82X36</t>
  </si>
  <si>
    <t>ROD. DEL. HY ACCENT ELANTRA 42X78X40</t>
  </si>
  <si>
    <t>ROD. DEL. KIA MORNING RIO 38X72X37</t>
  </si>
  <si>
    <t>ROD. DEL. PAR CHEV. SPARK</t>
  </si>
  <si>
    <t>ROD. DEL. TY. TERCEL 38X71X33X30</t>
  </si>
  <si>
    <t>ROD. EMBR. . TERRANO 2.5</t>
  </si>
  <si>
    <t>ROD. EMBR. CHARADE</t>
  </si>
  <si>
    <t>ROD. EMBR. CHEV LUV 1.6 / ST90</t>
  </si>
  <si>
    <t>ROD. EMBR. CHEV LUV 2.3</t>
  </si>
  <si>
    <t>ROD. EMBR. CHEV LUV 2.3 GMB</t>
  </si>
  <si>
    <t>KECH154201</t>
  </si>
  <si>
    <t>ROD. EMBR. CHEV SAIL</t>
  </si>
  <si>
    <t>ROD. EMBR. CHEV SPARK</t>
  </si>
  <si>
    <t>ROD. EMBR. CHEV. ASKA GEMINIS</t>
  </si>
  <si>
    <t>ROD. EMBR. CHEV. ASTRA HIDRAULICO KIBOH</t>
  </si>
  <si>
    <t>ROD. EMBR. CHEV. BAJO</t>
  </si>
  <si>
    <t>ROD. EMBR. CHEV. CORSA LUK</t>
  </si>
  <si>
    <t>ROD. EMBR. CHEV. DMAX 2.4 2.5 3.0</t>
  </si>
  <si>
    <t>ROD. EMBR. CHEV. DMAX 2.5 3.0 KAF</t>
  </si>
  <si>
    <t>ROD. EMBR. CHEV. DMAX 2.5 3.0 MRK</t>
  </si>
  <si>
    <t>L100930</t>
  </si>
  <si>
    <t>ROD. EMBR. CHEV. LUV 2.2</t>
  </si>
  <si>
    <t>ROD. EMBR. CHEV. MONTANA ZAFIRA</t>
  </si>
  <si>
    <t>ROD. EMBR. CHEV. N300</t>
  </si>
  <si>
    <t>ROD. EMBR. CHEV. OPTRA 1.6 HIDR. WURTEX</t>
  </si>
  <si>
    <t>ROD. EMBR. CHEV. ORLANDO HIDRAULICO</t>
  </si>
  <si>
    <t>ROD. EMBR. CHEV. SAIL</t>
  </si>
  <si>
    <t>ROD. EMBR. CHEV. SAIL VALEO</t>
  </si>
  <si>
    <t>ROD. EMBR. CHEV. SPARK 800 1.0 ONNURI</t>
  </si>
  <si>
    <t>ROD. EMBR. CHEV. SPARK 1.0 SZ. ALTO BALENO CELERIO LUK</t>
  </si>
  <si>
    <t>ROD. EMBR. CORSA VALEO</t>
  </si>
  <si>
    <t>ROD. EMBR. CORSA WURTEX</t>
  </si>
  <si>
    <t>ROD. EMBR. DAHIATSU 1000 TERIOS</t>
  </si>
  <si>
    <t>ROD. EMBR. DAIHATSU CD CB</t>
  </si>
  <si>
    <t>ROD. EMBR. DAIHATSU G20 / L100</t>
  </si>
  <si>
    <t>ROD. EMBR. DH. CHARADE G20</t>
  </si>
  <si>
    <t>ROD. EMBR. EJE PILOTO FORD RANGER</t>
  </si>
  <si>
    <t>ROD. EMBR. EMB. CHEV. LUV 1.6 ST-90 RCT38SL</t>
  </si>
  <si>
    <t>ROD. EMBR. EMB. CHEV. LUV 2.3 COMPLETO HBC TW</t>
  </si>
  <si>
    <t>ROD. EMBR. EMB. HY. ACCENT VALEO</t>
  </si>
  <si>
    <t>ROD. EMBR. EMB. HY. FURGON</t>
  </si>
  <si>
    <t>ROD. EMBR. EMB. HY. NEW ACCENT KIA VALEO</t>
  </si>
  <si>
    <t>ROD. EMBR. EMB. KIA BESTA MAZDA MRK</t>
  </si>
  <si>
    <t>ROD. EMBR. EMB. NS. D22 TERRANO MRK</t>
  </si>
  <si>
    <t>ROD. EMBR. EMB. NS. SUNNY SM3</t>
  </si>
  <si>
    <t>ROD. EMBR. EMB. NS. TIIDA HIDRAULICO</t>
  </si>
  <si>
    <t>ROD. EMBR. EMB. SZ. ALTO TICO VALEO</t>
  </si>
  <si>
    <t>ROD. EMBR. EMB. TY. YARIS GELLY VALEO</t>
  </si>
  <si>
    <t>ROD. EMBR. EMBR. DH. CUORE</t>
  </si>
  <si>
    <t>000000 296330</t>
  </si>
  <si>
    <t>ROD. EMBR. EMBR. MZ BT50 FORD RANGER</t>
  </si>
  <si>
    <t>ROD. EMBR. EMBR. SZ. CARRY VITARA AEREO</t>
  </si>
  <si>
    <t>K580100</t>
  </si>
  <si>
    <t>ROD. EMBR. F. RANGER BESTA FRONTIER</t>
  </si>
  <si>
    <t>FD20038</t>
  </si>
  <si>
    <t>ROD. EMBR. FORD FIESTA / FOCUS</t>
  </si>
  <si>
    <t>ROD. EMBR. HIDR. CHEV. OPTRA / AVEO</t>
  </si>
  <si>
    <t>ROD. EMBR. HIDR. CHEVROLET</t>
  </si>
  <si>
    <t>ROD. EMBR. HIDR. GRAN NOMADE</t>
  </si>
  <si>
    <t>ROD. EMBR. HIDRAULICO CHEV S10 92-95</t>
  </si>
  <si>
    <t>ROD. EMBR. HIDRAULICO HY. STA. FE TUCSON</t>
  </si>
  <si>
    <t>ROD. EMBR. HY H1 MODERNO</t>
  </si>
  <si>
    <t>ROD. EMBR. HY. ACCENT</t>
  </si>
  <si>
    <t>H490440</t>
  </si>
  <si>
    <t>ROD. EMBR. HY. ACCENT RB SECO</t>
  </si>
  <si>
    <t>ROD. EMBR. HY. GALOPER</t>
  </si>
  <si>
    <t>ROD. EMBR. HY. H100 2.5 L200 2.5 07/</t>
  </si>
  <si>
    <t>ROD. EMBR. HY. H100 METAL</t>
  </si>
  <si>
    <t>ROD. EMBR. HY. I10 MORNING</t>
  </si>
  <si>
    <t>ROD. EMBR. HY. I10 MORNING RIO</t>
  </si>
  <si>
    <t>H501033</t>
  </si>
  <si>
    <t>ROD. EMBR. HY. MIGHTY PORTER</t>
  </si>
  <si>
    <t>ROD. EMBR. HY. NEW H1 KXB</t>
  </si>
  <si>
    <t>ROD. EMBR. HYDRAULICO FORD RANGER</t>
  </si>
  <si>
    <t>ROD. EMBR. HYUNDAI ACCENT</t>
  </si>
  <si>
    <t>ROD. EMBR. KIA AVELLA POP MZ. 323</t>
  </si>
  <si>
    <t>ROD. EMBR. MAZDA 323 AVELLA RIO</t>
  </si>
  <si>
    <t>ROD. EMBR. MAZDA B2600</t>
  </si>
  <si>
    <t>ROD. EMBR. MITS. L200 2.4 HIDRAULICO LUK</t>
  </si>
  <si>
    <t>ROD. EMBR. MITS. L200 2.4 93/98 BENC.</t>
  </si>
  <si>
    <t>ROD. EMBR. MITS. ROSA VALEO</t>
  </si>
  <si>
    <t>ROD. EMBR. NISSAN SUNNY</t>
  </si>
  <si>
    <t>ROD. EMBR. NISSAN SUNNY MRK</t>
  </si>
  <si>
    <t>ROD. EMBR. NS TERRANO</t>
  </si>
  <si>
    <t>ROD. EMBR. NS. D21 KA24</t>
  </si>
  <si>
    <t>ROD. EMBR. NS. D21 KA24 KAF</t>
  </si>
  <si>
    <t>ROD. EMBR. NS. D21 KA24 MRK</t>
  </si>
  <si>
    <t>ROD. EMBR. NS. D21 KA24 NAVARA</t>
  </si>
  <si>
    <t>FEDT8042005</t>
  </si>
  <si>
    <t>FEDT804200</t>
  </si>
  <si>
    <t>FMDT230751</t>
  </si>
  <si>
    <t>ROD. EMBR. NS. TERRANO 2.5</t>
  </si>
  <si>
    <t>ROD. EMBR. NS. TERRANO 2.5 JP.</t>
  </si>
  <si>
    <t>ROD. EMBR. NS. TIIDA HIDR. VALEO</t>
  </si>
  <si>
    <t>ROD. EMBR. NS. TIIDA VALEO</t>
  </si>
  <si>
    <t>ROD. EMBR. NS. V16</t>
  </si>
  <si>
    <t>ROD. EMBR. SANYONG</t>
  </si>
  <si>
    <t>ROD. EMBR. SSANGYONG ACTYON</t>
  </si>
  <si>
    <t>rod-tensor</t>
  </si>
  <si>
    <t>RODSSA</t>
  </si>
  <si>
    <t>ROD. EMBR. SSANYONG</t>
  </si>
  <si>
    <t>ROD. EMBR. SUBARU</t>
  </si>
  <si>
    <t>ROD. EMBR. SUBARU 600 KOYO</t>
  </si>
  <si>
    <t>ROD. EMBR. SZ CAŔRY VITARA</t>
  </si>
  <si>
    <t>ROD. EMBR. SZ. ALTO</t>
  </si>
  <si>
    <t>ROD. EMBR. SZ. ALTO SPARK MATIZ TICO</t>
  </si>
  <si>
    <t>ROD. EMBR. SZ. ALTO SWIFT CHANGAN</t>
  </si>
  <si>
    <t>ROD. EMBR. SZ. ALTO TICO</t>
  </si>
  <si>
    <t>ROD. EMBR. SZ. APV 1.6 05/07 KAF</t>
  </si>
  <si>
    <t>ROD. EMBR. SZ. APV 1.6 05/07 MRK</t>
  </si>
  <si>
    <t>ROD. EMBR. SZ. BALENO</t>
  </si>
  <si>
    <t>ROD. EMBR. SZ. BALENO IGNIS MRK</t>
  </si>
  <si>
    <t>ROD. EMBR. SZ. CARRY SAMURAI</t>
  </si>
  <si>
    <t>ROD. EMBR. SZ. CELERIO</t>
  </si>
  <si>
    <t>ROD. EMBR. SZ. GRAN NOMADE 2.4</t>
  </si>
  <si>
    <t>ROD. EMBR. SZ. GRAN VITARA VALEO</t>
  </si>
  <si>
    <t>ROD. EMBR. SZ. HIDR. GRAN NOMADE</t>
  </si>
  <si>
    <t>ROD. EMBR. SZ. MARUTI KAF</t>
  </si>
  <si>
    <t>ROD. EMBR. SZ. VITARA</t>
  </si>
  <si>
    <t>ROD. EMBR. TERRANO</t>
  </si>
  <si>
    <t>ROD. EMBR. TOYOTA</t>
  </si>
  <si>
    <t>ROD. EMBR. TOYOTA YARIS</t>
  </si>
  <si>
    <t>ROD. EMBR. TY YARIS VALEO</t>
  </si>
  <si>
    <t>ROD. EMBR. TY. HILUX NACHI</t>
  </si>
  <si>
    <t>ROD. EMBR. TY. HILUX 2.4 GUN</t>
  </si>
  <si>
    <t>ROD. EMBR. TY. HILUX KUN 2.5 12/15 MRK</t>
  </si>
  <si>
    <t>ROD. EMBR. TY. TERCEL /COROLLA 33X66X24 MRK</t>
  </si>
  <si>
    <t>ROD. EMBR. HIDR. S10 APACHE</t>
  </si>
  <si>
    <t>ROD. EMBRAGUE CHEV SONIC</t>
  </si>
  <si>
    <t>ROD. HIDRA.</t>
  </si>
  <si>
    <t>ROD. HIDRA. 000000</t>
  </si>
  <si>
    <t>ROD. HIDRA. NS. TIIDA</t>
  </si>
  <si>
    <t>ROD. RDA. DEL OPTRA SAIL 1.5</t>
  </si>
  <si>
    <t>ROD. RDA. DEL SZ. BALENO 40X72X33X36 WURTEX</t>
  </si>
  <si>
    <t>ROD. RDA. DEL. 12649-10 TY HILUX</t>
  </si>
  <si>
    <t>H100630</t>
  </si>
  <si>
    <t>ROD. RDA. DEL. 12649/10 KAF</t>
  </si>
  <si>
    <t>ROD. RDA. DEL. 14138A KIA</t>
  </si>
  <si>
    <t>ROD. RDA. DEL. 15578/520 KIA BESTA</t>
  </si>
  <si>
    <t>ROD. RDA. DEL. 300849/10 TERRANO</t>
  </si>
  <si>
    <t>K002390</t>
  </si>
  <si>
    <t>ROD. RDA. DEL. 32008</t>
  </si>
  <si>
    <t>ROD. RDA. DEL. 32009 CHEV. LUV INT- 89-08</t>
  </si>
  <si>
    <t>H104900</t>
  </si>
  <si>
    <t>ROD. RDA. DEL. 48548/10 KAF</t>
  </si>
  <si>
    <t>ROD. RDA. DEL. 6202-2RS</t>
  </si>
  <si>
    <t>ROD. RDA. DEL. 6203-2RS</t>
  </si>
  <si>
    <t>ROD. RDA. DEL. 6204-2RS</t>
  </si>
  <si>
    <t>ROD. RDA. DEL. 6205 2RS 25X52X15</t>
  </si>
  <si>
    <t>ROD. RDA. DEL. 6205 ZZ 25X52X15</t>
  </si>
  <si>
    <t>ROD. RDA. DEL. 69349//10</t>
  </si>
  <si>
    <t>ROD. RDA. DEL. AVEO SAIL SPARK 34X64X37 SKF</t>
  </si>
  <si>
    <t>ROD. RDA. DEL. CHERY IQ.</t>
  </si>
  <si>
    <t>ROD. RDA. DEL. CHEV. AVEO SPARK GT</t>
  </si>
  <si>
    <t>ROD. RDA. DEL. CHEV. LUV EXT. 32008J</t>
  </si>
  <si>
    <t>RODEXT</t>
  </si>
  <si>
    <t>ROD. RDA. DEL. EXTERIOR DMAX</t>
  </si>
  <si>
    <t>ROD. RDA. DEL. FORD ECOSPORT FIESTA 37X39X72</t>
  </si>
  <si>
    <t>ROD. RDA. DEL. FORD RANGER BT50 47X88X55</t>
  </si>
  <si>
    <t>ROD. RDA. DEL. HY ACCENT 57410</t>
  </si>
  <si>
    <t>KC01620</t>
  </si>
  <si>
    <t>ROD. RDA. DEL. HY. ELANTRA 42X78X40</t>
  </si>
  <si>
    <t>ROD. RDA. DEL. HY. TUCSON 45X84X39X41 SKF</t>
  </si>
  <si>
    <t>ROD. RDA. DEL. HYUNDAI ELANTRA 39X74X34X36</t>
  </si>
  <si>
    <t>RODINT</t>
  </si>
  <si>
    <t>ROD. RDA. DEL. INTERIOR CHEV. DMAX</t>
  </si>
  <si>
    <t>RDADELJ</t>
  </si>
  <si>
    <t>ROD. RDA. DEL. JEEP</t>
  </si>
  <si>
    <t>ROD. RDA. DEL. KIA BESTA 30205</t>
  </si>
  <si>
    <t>K709312</t>
  </si>
  <si>
    <t>ROD. RDA. DEL. KIA CAREN CHERY TIGGO SKF 42X80X45</t>
  </si>
  <si>
    <t>ROD. RDA. DEL. LM 11949</t>
  </si>
  <si>
    <t>ROD. RDA. DEL. LM603049-10</t>
  </si>
  <si>
    <t>ROD. RDA. DEL. MAZDA 3 42X80X45</t>
  </si>
  <si>
    <t>ROD. RDA. DEL. NS MARCH / FIAT 37X72X37 SKF</t>
  </si>
  <si>
    <t>ROD. RDA. DEL. NS. PRIMERA SQ5 SKF 42X76X35/38</t>
  </si>
  <si>
    <t>ROD. RDA. DEL. NS. V16</t>
  </si>
  <si>
    <t>ROD. RDA. DEL. NS. V16 MRK JP.</t>
  </si>
  <si>
    <t>ROD. RDA. DEL. NS. VERSA 37X72X37</t>
  </si>
  <si>
    <t>ROD. RDA. DEL. OPTRA SAIL 1.5 39X74X39</t>
  </si>
  <si>
    <t>ROD. RDA. DEL. PG. 206 PUNTO 35X72X33 KAF</t>
  </si>
  <si>
    <t>ROD. RDA. DEL. RDA. DEL. CHE. OPTRA VIVANT 39X74X39 SKF</t>
  </si>
  <si>
    <t>ROD. RDA. DEL. RDA. DEL. HONDA 92-95 43X79X38X41 TJB</t>
  </si>
  <si>
    <t>HS00910</t>
  </si>
  <si>
    <t>ROD. RDA. DEL. RDA. DEL. HY. TUCSON 45X84X39/41</t>
  </si>
  <si>
    <t>QVC027</t>
  </si>
  <si>
    <t>ROD. RDA. DEL. RDA. DEL. LM 11749/10 SKF</t>
  </si>
  <si>
    <t>H100635</t>
  </si>
  <si>
    <t>ROD. RDA. DEL. RDA. DEL. LM 12649-10 SKF</t>
  </si>
  <si>
    <t>ROD. RDA. DEL. RDA. DEL. LM 45449 SKF</t>
  </si>
  <si>
    <t>ROD. RDA. DEL. RDA. DEL. MITS. OUTLANDER 39X8X40</t>
  </si>
  <si>
    <t>ROD. RDA. DEL. RDA. DEL. MONZA DW SKF</t>
  </si>
  <si>
    <t>ROD. RDA. DEL. RDA. DEL. NISSAN V-16 SKF 38X74X33/36</t>
  </si>
  <si>
    <t>ROD. RDA. DEL. RDA. DEL. NS. V16 38X74X33/36</t>
  </si>
  <si>
    <t>ROD. RDA. DEL. RDA. DEL. TERCEL SKF</t>
  </si>
  <si>
    <t>ROD. RDA. DEL. RDA. DEL. TY. COROLLA 74X40X42 SKF</t>
  </si>
  <si>
    <t>ROD. RDA. DEL. RDA. DEL. TY. YARIS /05 SKF</t>
  </si>
  <si>
    <t>ROD. RDA. DEL. RDA. TRAS. HONDA 38X73X40 TJB</t>
  </si>
  <si>
    <t>ROD. RDA. DEL. SUBARU</t>
  </si>
  <si>
    <t>ROD. RDA. DEL. SUZ. CELERIO 35X62X40 SKF</t>
  </si>
  <si>
    <t>ROD. RDA. DEL. SZ. ALTO CELERIO IGNIS SWIFT 35X62X40</t>
  </si>
  <si>
    <t>TY05498</t>
  </si>
  <si>
    <t>ROD. RDA. DEL. TOY. HILUX KUN</t>
  </si>
  <si>
    <t>ROD. RDA. DEL. TY TERCEL 38X71X33</t>
  </si>
  <si>
    <t>ROD. RDA. DEL. TY. COROLLA 40X74X42 BYD</t>
  </si>
  <si>
    <t>ROD. RDA. DEL. TY. YARIS 00-05 SKF</t>
  </si>
  <si>
    <t>ROD. RDA. DEL. TY. YARIS 00/05 JP.</t>
  </si>
  <si>
    <t>ty06878</t>
  </si>
  <si>
    <t>TY06878</t>
  </si>
  <si>
    <t>ROD. RDA. DEL. TY. YARIS 06/ SKF</t>
  </si>
  <si>
    <t>ROD. RDA. DEL. TY. YARIS 06/13 40X75X39 MRK JAPON</t>
  </si>
  <si>
    <t>ROD. RDA. DEL. TY. YARIS 40X75X39 JP.</t>
  </si>
  <si>
    <t>ROD. RDA. DEL. TY. YARIS 99/05 38X71X39</t>
  </si>
  <si>
    <t>ROD. RDA. DEL. VOLKSWAGEN GOLF 40X72X37</t>
  </si>
  <si>
    <t>ROD. RDA. DEL. VOLKSWAGEN SKF</t>
  </si>
  <si>
    <t>a201473</t>
  </si>
  <si>
    <t>A201470</t>
  </si>
  <si>
    <t>ROD. TENSOR ASIA TOWNER / CHARADE</t>
  </si>
  <si>
    <t>ROD. TENSOR AUTOM. CHEVROLET 4.3</t>
  </si>
  <si>
    <t>ROD. TENSOR AUX N°2 MITS MONTERO</t>
  </si>
  <si>
    <t>ROD. TENSOR AUX. FORD RANGER</t>
  </si>
  <si>
    <t>ROD. TENSOR AUX. KIA MAZDA ARTIS</t>
  </si>
  <si>
    <t>ROD. TENSOR AUX. SUBARU LEGACY</t>
  </si>
  <si>
    <t>ROD. TENSOR AUXILIAR CORSA</t>
  </si>
  <si>
    <t>ROD. TENSOR AUXILIAR KIA - MAZDA</t>
  </si>
  <si>
    <t>ROD. TENSOR AVEO DW.</t>
  </si>
  <si>
    <t>ROD. TENSOR CHEV AVEO DW. OPTRA</t>
  </si>
  <si>
    <t>ROD. TENSOR CHEV MONZA</t>
  </si>
  <si>
    <t>ROD. TENSOR CHEV. CORSA 1.6</t>
  </si>
  <si>
    <t>ROD. TENSOR CHEV. CORSA 1.6 GTB-0220</t>
  </si>
  <si>
    <t>ROD. TENSOR CHEV. LUV 2.2 GMB</t>
  </si>
  <si>
    <t>ROD. TENSOR CHEV. LUV 2.3</t>
  </si>
  <si>
    <t>ROD. TENSOR CHEV. OPTRA</t>
  </si>
  <si>
    <t>ROD. TENSOR CHEV. SPARK MATIZ TICO</t>
  </si>
  <si>
    <t>ROD. TENSOR COMP. MIT L200 2.4</t>
  </si>
  <si>
    <t>ROD. TENSOR CORR DIST. DAIHATSU</t>
  </si>
  <si>
    <t>ROD. TENSOR CORREA</t>
  </si>
  <si>
    <t>ROD. TENSOR CORREA DIST KIA - MAZDA</t>
  </si>
  <si>
    <t>ROD. TENSOR CORREA DIST. SUBARU PIÑON DENTADO</t>
  </si>
  <si>
    <t>ROD. TENSOR CORREA HYUNDAI - MITSUBISHI</t>
  </si>
  <si>
    <t>ROD. TENSOR CORREA MITSUBISHI 3.0 / 3.5</t>
  </si>
  <si>
    <t>ROD. TENSOR CORREA MITSUBISHI 4G13</t>
  </si>
  <si>
    <t>ROD. TENSOR CORREA SUBARU</t>
  </si>
  <si>
    <t>ROD. TENSOR DAEWOO ORIGINAL</t>
  </si>
  <si>
    <t>ROD. TENSOR DAIHATSU 1.6</t>
  </si>
  <si>
    <t>ROD. TENSOR DESL. TY. TERCEL</t>
  </si>
  <si>
    <t>ROD. TENSOR DIR. HIDR. SZ. GRAN NOMADE</t>
  </si>
  <si>
    <t>ROD. TENSOR DIREC - HIDRAULICA SUZUKI SWIFT</t>
  </si>
  <si>
    <t>ROD. TENSOR DISTR. FIAT FIORINO 1.5</t>
  </si>
  <si>
    <t>ROD. TENSOR DISTR. FORD RANGER</t>
  </si>
  <si>
    <t>ROD. TENSOR DISTR. SUZUKI GRAN NOMADE XLT 2.0</t>
  </si>
  <si>
    <t>ROD. TENSOR DISTRIBUCION SZ. 16V.</t>
  </si>
  <si>
    <t>ROD. TENSOR FORD RANGER 2.3 / 2.5</t>
  </si>
  <si>
    <t>ROD. TENSOR FORD RANGER 2.5 BT-50</t>
  </si>
  <si>
    <t>ROD. TENSOR GUIA CHEV D-MAX 3.0 / LUV 3.2</t>
  </si>
  <si>
    <t>ROD. TENSOR HYUNDAI</t>
  </si>
  <si>
    <t>ROD. TENSOR HYUNDAI - KIA</t>
  </si>
  <si>
    <t>H100653</t>
  </si>
  <si>
    <t>ROD. TENSOR HYUNDAI H100 2.4 / L200 2.5</t>
  </si>
  <si>
    <t>ROD. TENSOR KIA 2.0 / MAZDA FE FE2 FE6 FE8</t>
  </si>
  <si>
    <t>ROD. TENSOR KIA CARNIVAL 2.5 K5</t>
  </si>
  <si>
    <t>ROD. TENSOR KIA CARNIVAL 2.5 K5 DOHC V6</t>
  </si>
  <si>
    <t>L112023</t>
  </si>
  <si>
    <t>ROD. TENSOR LUV 2.3 MRK</t>
  </si>
  <si>
    <t>ROD. TENSOR MAZDA</t>
  </si>
  <si>
    <t>ROD. TENSOR MITS L-200 KATANA 4D56T</t>
  </si>
  <si>
    <t>ROD. TENSOR MITS. L200 1.4 4G32</t>
  </si>
  <si>
    <t>ROD. TENSOR MITS. L200 2.4</t>
  </si>
  <si>
    <t>h700860</t>
  </si>
  <si>
    <t>ROD. TENSOR MITS. L200 4G63</t>
  </si>
  <si>
    <t>ROD. TENSOR MITSUBISHI</t>
  </si>
  <si>
    <t>ROD. TENSOR MITSUBISHI 2.0 2.4 - 4G63 4G64</t>
  </si>
  <si>
    <t>HG00680</t>
  </si>
  <si>
    <t>ROD. TENSOR MITSUBISHI 3.0 / V16</t>
  </si>
  <si>
    <t>ROD. TENSOR NS. SUNNY V16 TJB</t>
  </si>
  <si>
    <t>ROD. TENSOR NS. V16 E16</t>
  </si>
  <si>
    <t>ROD. TENSOR NS. V16 SUNNY</t>
  </si>
  <si>
    <t>ROD. TENSOR OPEL CORSA 16V</t>
  </si>
  <si>
    <t>ROD. TENSOR RODILLO TENSOR CHEV. CORSA SECO</t>
  </si>
  <si>
    <t>ROD. TENSOR SUZUKI</t>
  </si>
  <si>
    <t>Z000400</t>
  </si>
  <si>
    <t>ROD. TENSOR SUZUKI APV BALENO VITARA</t>
  </si>
  <si>
    <t>ROD. TENSOR TENS. DISTR. HONDA B20 B18 GMB</t>
  </si>
  <si>
    <t>ROD. TENSOR TENSOR CHEV. LUV 2.2 S-10 KAF</t>
  </si>
  <si>
    <t>ROD. TENSOR TENSOR CHEV. LUV 2.2 SECO</t>
  </si>
  <si>
    <t>ROD. TENSOR TENSOR DISTR. NS. TERRANO V6 GMB GT80340</t>
  </si>
  <si>
    <t>H706813</t>
  </si>
  <si>
    <t>ROD. TENSOR TENSOR HY. ELNT. SON. SANT. GT10050 MRK</t>
  </si>
  <si>
    <t>ROD. TENSOR TOYOTA HILUX</t>
  </si>
  <si>
    <t>ROD. TENSOR TOYOTA TERCEL 2E</t>
  </si>
  <si>
    <t>ROD. TENSOR TOYOTA TERCEL 3SF</t>
  </si>
  <si>
    <t>ROD. TENSOR VW. GT80070</t>
  </si>
  <si>
    <t>RODAMIENTO 34X64X37</t>
  </si>
  <si>
    <t>RODAMIENTO 6000 2RS UBIC. 9-1-16</t>
  </si>
  <si>
    <t>RODAMIENTO 6002</t>
  </si>
  <si>
    <t>RODAMIENTO 6003 2RS UBIC. 9-1-13</t>
  </si>
  <si>
    <t>RODAMIENTO 6200 2RS UBIC. 9-1-12</t>
  </si>
  <si>
    <t>RODAMIENTO 6200 ZZ</t>
  </si>
  <si>
    <t>RODAMIENTO 6201 2rs</t>
  </si>
  <si>
    <t>RODAMIENTO 6201 2RS UBIC. 9-1-11</t>
  </si>
  <si>
    <t>R-6201</t>
  </si>
  <si>
    <t>RODAMIENTO 6201 ZZ</t>
  </si>
  <si>
    <t>RODAMIENTO 6202-2RS UBIC. 9-1-11</t>
  </si>
  <si>
    <t>RODAMIENTO 6203 2RS UBIC. 9-1-10</t>
  </si>
  <si>
    <t>RODAMIENTO 6203 ZZ 17X40X12</t>
  </si>
  <si>
    <t>R-6204</t>
  </si>
  <si>
    <t>RODAMIENTO 6204 2RS PFI</t>
  </si>
  <si>
    <t>RODAMIENTO 6205 SKF UBIC. 9-1-5</t>
  </si>
  <si>
    <t>R-6207</t>
  </si>
  <si>
    <t>RODAMIENTO 6207 2RS UBIC. 9-1-3</t>
  </si>
  <si>
    <t>SKF</t>
  </si>
  <si>
    <t>RODAMIENTO 6300 2RS UBIC. 9-1-9</t>
  </si>
  <si>
    <t>R-6301</t>
  </si>
  <si>
    <t>RODAMIENTO 6301 2RS</t>
  </si>
  <si>
    <t>RODAMIENTO 6304 2RS UBIC. 9-1-6</t>
  </si>
  <si>
    <t>RODAMIENTO 6306 2RS 30X72X19 UBIC. 9-1-2</t>
  </si>
  <si>
    <t>RODAMIENTO C/ SEGURO 6307 RSR</t>
  </si>
  <si>
    <t>SX05665</t>
  </si>
  <si>
    <t>RODAMIENTO CARDAN CHEV LUV</t>
  </si>
  <si>
    <t>RODAMIENTO CARDAN TOYOTA HILUX 4X4 2005/ JP</t>
  </si>
  <si>
    <t>RODAMIENTO EMBR. MAHINDRA</t>
  </si>
  <si>
    <t>RODAMIENTO HR 30203</t>
  </si>
  <si>
    <t>RODAMIENTO LM 11749</t>
  </si>
  <si>
    <t>RODAMIENTO LM 11949 UBIC. 9-9-3</t>
  </si>
  <si>
    <t>RODAMIENTO LM 12649</t>
  </si>
  <si>
    <t>RODAMIENTO LM 12649 UBIC. 9-9-11</t>
  </si>
  <si>
    <t>RODAMIENTO LM 12749</t>
  </si>
  <si>
    <t>RODAMIENTO LM 45449 UBIC. 9-9-7</t>
  </si>
  <si>
    <t>RODAMIENTO LM 67048</t>
  </si>
  <si>
    <t>RODAMIENTO LM48548 UBIC. 9-9-8</t>
  </si>
  <si>
    <t>RODAMIENTO RDA TRAS CHEV AVEO / SPARK</t>
  </si>
  <si>
    <t>RODAMIENTO RDA TRAS DG358026 SZ VITARA</t>
  </si>
  <si>
    <t>RODAMIENTO TENSOR CORREA DODGE DURANGO</t>
  </si>
  <si>
    <t>ROT. INF. BRASIL C20</t>
  </si>
  <si>
    <t>ROT. INF. CHEV C 10</t>
  </si>
  <si>
    <t>ROT. INF. CHEV S10</t>
  </si>
  <si>
    <t>ROT. INF. CHEV. LUV. 1.6</t>
  </si>
  <si>
    <t>ROT. INF. DAEWOO ESPERO DER-IZQ.</t>
  </si>
  <si>
    <t>ROT. INF. FORD RANGE 2.3 3.0 4.0 89/97 AND</t>
  </si>
  <si>
    <t>ROT. INF. KIA CAREN DER-IZQ.</t>
  </si>
  <si>
    <t>ROT. INF. MAZDA ARTIS</t>
  </si>
  <si>
    <t>ROT. INF. MITS. L200 4X4</t>
  </si>
  <si>
    <t>ROT. INF. MITSUBISHI L200 4WD 81/98.</t>
  </si>
  <si>
    <t>ROT. INF. NISSAN D-21</t>
  </si>
  <si>
    <t>ROT. INF. NISSAN SENTRA E16 DER-IZQ</t>
  </si>
  <si>
    <t>ROT. INF. NISSAN STANZA DER.</t>
  </si>
  <si>
    <t>ROT. INF. NS. TERRANO DER. IZQ.</t>
  </si>
  <si>
    <t>ROT. INF. RANGER DER. IZQ. 97/</t>
  </si>
  <si>
    <t>ROT. INF. SUZUKI VITARA G16</t>
  </si>
  <si>
    <t>ROT. INF. USA CHEV C10</t>
  </si>
  <si>
    <t>ROT. INF.MAZDA ARTIS 18MM</t>
  </si>
  <si>
    <t>ROT. SUP. CHEV. LUV DER. IZQ.</t>
  </si>
  <si>
    <t>L110943</t>
  </si>
  <si>
    <t>ROT. SUP. CHV. LUV TROPER 81/91.</t>
  </si>
  <si>
    <t>ROT. SUP. FORD RANGER DER. IZQ.</t>
  </si>
  <si>
    <t>ROT. SUP. HY H100 / MITS L300</t>
  </si>
  <si>
    <t>ROT. SUP. MITS. L200</t>
  </si>
  <si>
    <t>ROT. SUP. MITSUBISHI L-200 DER. IZQ.</t>
  </si>
  <si>
    <t>ROT. SUP. MITSUBISHI L200</t>
  </si>
  <si>
    <t>ROT. SUP. NISSAN D-22 DER-IZQ.</t>
  </si>
  <si>
    <t>ROT. SUP. NS. V16 L200 40MM.</t>
  </si>
  <si>
    <t>TY71110</t>
  </si>
  <si>
    <t>ROT. SUP. TY4 RUNNER 96/2001</t>
  </si>
  <si>
    <t>ROT. SUPERIOR CHEV. DMAX 2.4 2.5 3.0 05/19 WURTEX</t>
  </si>
  <si>
    <t>ROT. SUPERIOR NS. VERSA MARCH 11/14 CTR</t>
  </si>
  <si>
    <t>ROTOR CHEV. LUV 2.3 93/98 YR 703 UBI. 9-0-1</t>
  </si>
  <si>
    <t>ROTOR CHEVROLET</t>
  </si>
  <si>
    <t>L113780</t>
  </si>
  <si>
    <t>ROTOR DIST TY COROLA YR 106</t>
  </si>
  <si>
    <t>ROTOR DIST. TY COROLA YD 106</t>
  </si>
  <si>
    <t>ROTOR DISTR. CHEVETTE</t>
  </si>
  <si>
    <t>YECNO.YR-206</t>
  </si>
  <si>
    <t>ROTOR DISTR. YR 206 NISSAN YEC IGNITION</t>
  </si>
  <si>
    <t>ROTOR DISTR. YR 226E NISSAN</t>
  </si>
  <si>
    <t>ROTOR DISTRIBUIDOR HYUNDAI / MAZDA / YR 303</t>
  </si>
  <si>
    <t>ROTOR DISTRIBUIDOR SUBARU / YR225</t>
  </si>
  <si>
    <t>DR 308</t>
  </si>
  <si>
    <t>ROTOR DR 308</t>
  </si>
  <si>
    <t>ROTOR ELECTR. CHEVETTE</t>
  </si>
  <si>
    <t>ROTOR NS. V16 YR 245E</t>
  </si>
  <si>
    <t>ROTOR NS. YR 206</t>
  </si>
  <si>
    <t>ROTOR YR 206 NISSAN DATSUN YEC</t>
  </si>
  <si>
    <t>ROTOR YR-223E</t>
  </si>
  <si>
    <t>ROTULA ASTRA / VECTRA / ZAFIRA</t>
  </si>
  <si>
    <t>ROTULA BANDEJA DER SSANGYON</t>
  </si>
  <si>
    <t>ROTULA CHEV MONZA</t>
  </si>
  <si>
    <t>ROTULA CHEV. LUV INFERIOR</t>
  </si>
  <si>
    <t>ROTULA CHEV. CORSA</t>
  </si>
  <si>
    <t>ROTULA CHEV. CORSA 98/</t>
  </si>
  <si>
    <t>ROTULA CHEV. DMAX 05/ 4X4 SUPERIOR STP</t>
  </si>
  <si>
    <t>ROTULA CHEV. DMAX 3.0 SUPERIOR A.N.D.</t>
  </si>
  <si>
    <t>ROTULA CHEV. LUV 2.3 4X4 INFERIOR STP</t>
  </si>
  <si>
    <t>ROTULA CHEV. LUV 4X4 INFERIOR</t>
  </si>
  <si>
    <t>ROTULA FORD RANGER INFERIOR</t>
  </si>
  <si>
    <t>ROTULA HY. KIA INF. 2 pernos</t>
  </si>
  <si>
    <t>ROTULA INF. CHEV CAPTIVA</t>
  </si>
  <si>
    <t>ROTULA INF. CHEV CTAS C 1500</t>
  </si>
  <si>
    <t>ROTULA INF. CHEV LUV 1.6 / 2.0 /88</t>
  </si>
  <si>
    <t>ROTULA INF. CHEV LUV 4X4 /88</t>
  </si>
  <si>
    <t>ROTULA INF. CHEV. K1500 V6 AND</t>
  </si>
  <si>
    <t>ROTULA INF. CHEV. LUV 4X4</t>
  </si>
  <si>
    <t>L110945</t>
  </si>
  <si>
    <t>ROTULA INF. CHEV. LUV 89/</t>
  </si>
  <si>
    <t>ROTULA INF. DAEWOO ATSUKI</t>
  </si>
  <si>
    <t>ROTULA INF. HY ACCENT / KIA RIO</t>
  </si>
  <si>
    <t>ROTULA INF. HYUNDAI ELANTRA / EXCEL</t>
  </si>
  <si>
    <t>ROTULA INF. KIA</t>
  </si>
  <si>
    <t>ROTULA INF. MITS. L-200 4X4 CTR</t>
  </si>
  <si>
    <t>ROTULA INF. MITS. L200 KATANA</t>
  </si>
  <si>
    <t>ROTULA INF. MITSUBISHI L200</t>
  </si>
  <si>
    <t>ROTULA INF. NISSAN TERRANO</t>
  </si>
  <si>
    <t>ROTULA INF. NS D21 ATSUKI</t>
  </si>
  <si>
    <t>ROTULA INF. NS. D-21 SAFETY</t>
  </si>
  <si>
    <t>ROTULA INF. NS. NAVARA</t>
  </si>
  <si>
    <t>ROTULA INF. NS. V16 39.5 ESTRIADA ATSUKI</t>
  </si>
  <si>
    <t>ROTULA INF. NS. V16 39MM LISA ATSUKI</t>
  </si>
  <si>
    <t>ROTULA INF. NS. V16 40MM ESTR. ATSUKI</t>
  </si>
  <si>
    <t>ROTULA INF. SAMSUNG SM3 CTR.</t>
  </si>
  <si>
    <t>ROTULA INF. TOYOTA KUN 2/4WD ATSUKI</t>
  </si>
  <si>
    <t>ROTULA INF. TOYOTA RAV 4</t>
  </si>
  <si>
    <t>ROTULA INF. TY YARIS</t>
  </si>
  <si>
    <t>ROTULA INF. TY. HILUX 4X2 Y R SAFETY</t>
  </si>
  <si>
    <t>ROTULA INFERIOR . CHEV. S-10 2.2 2.4 2.8</t>
  </si>
  <si>
    <t>ROTULA INFERIOR CHEV LUV 4X4</t>
  </si>
  <si>
    <t>ROTULA INFERIOR CHEV. S-10 2.2 2.4 2.8</t>
  </si>
  <si>
    <t>ROTULA INFERIOR CHEVETTE ATSUKI</t>
  </si>
  <si>
    <t>ROTULA INFERIOR DAEWOO</t>
  </si>
  <si>
    <t>ROTULA INFERIOR HONDA D13 D15 D16</t>
  </si>
  <si>
    <t>ROTULA INFERIOR HYUNDAI</t>
  </si>
  <si>
    <t>ROTULA INFERIOR NISSAN D21</t>
  </si>
  <si>
    <t>ROTULA INFERIOR TY. YARIS</t>
  </si>
  <si>
    <t>P019994</t>
  </si>
  <si>
    <t>ROTULA KIA RIO 06/11 INF</t>
  </si>
  <si>
    <t>ROTULA MAZDA</t>
  </si>
  <si>
    <t>ROTULA MAZDA B2500</t>
  </si>
  <si>
    <t>ROTULA MITS. L200</t>
  </si>
  <si>
    <t>ROTULA NF. NISSAN D21 4X4</t>
  </si>
  <si>
    <t>ROTULA NISSAN TIIDA</t>
  </si>
  <si>
    <t>ROTULA NISSAN D 21</t>
  </si>
  <si>
    <t>ROTULA NISSAN TERRANO</t>
  </si>
  <si>
    <t>ROTULA NISSAN V16 38MM</t>
  </si>
  <si>
    <t>ROTULA NISSAN V16 39MM</t>
  </si>
  <si>
    <t>ROTULA NISSAN V16 40MM</t>
  </si>
  <si>
    <t>ROTULA NS V16 / TY KUN 30MM</t>
  </si>
  <si>
    <t>SPDT140303</t>
  </si>
  <si>
    <t>ROTULA NS. D21 INFERIOR YOKOMITSU</t>
  </si>
  <si>
    <t>ROTULA NS. D21 SUPERIOR</t>
  </si>
  <si>
    <t>ROTULA NS. SUNNY</t>
  </si>
  <si>
    <t>L110988</t>
  </si>
  <si>
    <t>ROTULA NS. TERRANO D21 720 INF.</t>
  </si>
  <si>
    <t>ROTULA NS. TERRANO INF. CTR</t>
  </si>
  <si>
    <t>ROTULA NS. TERRANO SUPERIOR CTR</t>
  </si>
  <si>
    <t>ROTULA SUP. CHEV. S-10 2.2 2.4 2.8</t>
  </si>
  <si>
    <t>L110946</t>
  </si>
  <si>
    <t>ROTULA SUP. CHV. LUV 89/</t>
  </si>
  <si>
    <t>ROTULA SUP. MITSUBISHI / HYUNDAI</t>
  </si>
  <si>
    <t>ROTULA SUP. NS. D21 KA24</t>
  </si>
  <si>
    <t>ROTULA SUPERIOR DODGE DAKOTA</t>
  </si>
  <si>
    <t>ROTULA SUPERIOR LUV</t>
  </si>
  <si>
    <t>ROTULA SUPERIOR NISSAN 720</t>
  </si>
  <si>
    <t>ROTULA SUPERIOR NISSAN D21</t>
  </si>
  <si>
    <t>ROTULA SUPERIOR NS. TERRNO 2.5</t>
  </si>
  <si>
    <t>ROTULA TY. TERCEL AND</t>
  </si>
  <si>
    <t>ROTULAS INF.</t>
  </si>
  <si>
    <t>RTEN 56X72.2X8/10 RDA TRAS. SUZUKI. UBIC. 28</t>
  </si>
  <si>
    <t>U0100</t>
  </si>
  <si>
    <t>SALIDA DE AGUA NISSAN</t>
  </si>
  <si>
    <t>SALIDA DE AGUA SUZUKI</t>
  </si>
  <si>
    <t>SCSUC</t>
  </si>
  <si>
    <t>scanner automotriz CAMION SUCKER COPIAPO</t>
  </si>
  <si>
    <t>HR-VB-33</t>
  </si>
  <si>
    <t>HR VB 33</t>
  </si>
  <si>
    <t>scanner automotriz CTA HR VB 33</t>
  </si>
  <si>
    <t>hrvb35</t>
  </si>
  <si>
    <t>HR VB 35</t>
  </si>
  <si>
    <t>scanner automotriz CTA. HR VB 35</t>
  </si>
  <si>
    <t>SCNINTER</t>
  </si>
  <si>
    <t>scanner automotriz INTERNATIONAL 7006</t>
  </si>
  <si>
    <t>scanner-automotriz</t>
  </si>
  <si>
    <t>scanner</t>
  </si>
  <si>
    <t>scanner automotriz toda las marcas</t>
  </si>
  <si>
    <t>SEGRODV</t>
  </si>
  <si>
    <t>SEG ROD. NS. V16</t>
  </si>
  <si>
    <t>SEGURO DE VIDRIO CORREDERA HY FURGON</t>
  </si>
  <si>
    <t>SEGURO ROD. EMBR. NISSAN</t>
  </si>
  <si>
    <t>AIPS055213</t>
  </si>
  <si>
    <t>SEGURO TRABA PEDAL</t>
  </si>
  <si>
    <t>AIPS062402</t>
  </si>
  <si>
    <t>SEGURO TUERCA RUEDA 21mm</t>
  </si>
  <si>
    <t>SELLA FUGA BLOCK Y CULATA VERSACHEM 472ml</t>
  </si>
  <si>
    <t>SELLA FUGA CYCLO 443ML.</t>
  </si>
  <si>
    <t>servolenkungs</t>
  </si>
  <si>
    <t>SELLA FUGA LIQUI MOLY SERVOLENKUNGSOLVERLUSTOP 35 ml. caja direccion hidr.</t>
  </si>
  <si>
    <t>C52</t>
  </si>
  <si>
    <t>SELLA FUGA RADIADOR STOP LEAK</t>
  </si>
  <si>
    <t>SELLADOR BLOCK VERSACHEM</t>
  </si>
  <si>
    <t>SELLADOR DE COBRE EN SPRAY VERSACHEM 255gr.</t>
  </si>
  <si>
    <t>SELLADOR RADIADOR LIQUI MOLY</t>
  </si>
  <si>
    <t>SELLADOR RADIADOR VERSACH.</t>
  </si>
  <si>
    <t>NEGRO</t>
  </si>
  <si>
    <t>SELLADOR SILICONA MULTIUSO COLOR NEGRO</t>
  </si>
  <si>
    <t>BLANCO</t>
  </si>
  <si>
    <t>SELLADOR SILICONA MULTIUSO COLOR BLANCO</t>
  </si>
  <si>
    <t>PARABRISA</t>
  </si>
  <si>
    <t>SELLADOR SILOC PULIURETANO NEGRO</t>
  </si>
  <si>
    <t>JS167</t>
  </si>
  <si>
    <t>SELLO NS. V16 T. ROJA JG.</t>
  </si>
  <si>
    <t>ST26</t>
  </si>
  <si>
    <t>SELLO 26</t>
  </si>
  <si>
    <t>SELLO 26 BRONCE</t>
  </si>
  <si>
    <t>ST20</t>
  </si>
  <si>
    <t>SELLO AGUA 20 MM BRONCE</t>
  </si>
  <si>
    <t>ST21</t>
  </si>
  <si>
    <t>SELLO AGUA 21 MM BRONCE</t>
  </si>
  <si>
    <t>ST25</t>
  </si>
  <si>
    <t>SELLO AGUA 25 MM BRONCE</t>
  </si>
  <si>
    <t>ST28</t>
  </si>
  <si>
    <t>SELLO AGUA 28 MM. BRONCE</t>
  </si>
  <si>
    <t>ST30</t>
  </si>
  <si>
    <t>SELLO AGUA 30 MM. BRONCE</t>
  </si>
  <si>
    <t>ST34</t>
  </si>
  <si>
    <t>SELLO AGUA 34 MM.</t>
  </si>
  <si>
    <t>ST35</t>
  </si>
  <si>
    <t>SELLO AGUA 35 MM. BRONCE</t>
  </si>
  <si>
    <t>ST37</t>
  </si>
  <si>
    <t>SELLO37</t>
  </si>
  <si>
    <t>SELLO AGUA 37</t>
  </si>
  <si>
    <t>ST38</t>
  </si>
  <si>
    <t>SELLO AGUA 38 MM. BRONCE</t>
  </si>
  <si>
    <t>ST40</t>
  </si>
  <si>
    <t>SELLO AGUA 40 MM. BRONCE</t>
  </si>
  <si>
    <t>ST44</t>
  </si>
  <si>
    <t>SELLO AGUA 44 MM. BRONCE</t>
  </si>
  <si>
    <t>ST45</t>
  </si>
  <si>
    <t>SELLO 45</t>
  </si>
  <si>
    <t>SELLO AGUA 45 MM</t>
  </si>
  <si>
    <t>ST50</t>
  </si>
  <si>
    <t>SELLO AGUA 50 MM. BRONCE</t>
  </si>
  <si>
    <t>JS005</t>
  </si>
  <si>
    <t>SELLO CHEV. C10</t>
  </si>
  <si>
    <t>JS166</t>
  </si>
  <si>
    <t>SELLO NS. V16 GA16 JG.</t>
  </si>
  <si>
    <t>SELLO VALV. ESC.ADM. TOYOTA</t>
  </si>
  <si>
    <t>SELLO VALV. HYUNDAI - MITSUBISHI</t>
  </si>
  <si>
    <t>SELLO VALV.ADM.ESC. NISSAN J18</t>
  </si>
  <si>
    <t>SELLO VALVULA HUNDAY</t>
  </si>
  <si>
    <t>SELLO VALVULA SUBARU ADM.</t>
  </si>
  <si>
    <t>SELLO VALVULA. ADM.ESC. NISSAN V16</t>
  </si>
  <si>
    <t>SELLO VALVULA. ESC. ADM. HONDA</t>
  </si>
  <si>
    <t>SELLO VALVULA.ADM. TOYOTA-DAIHTSU T RZ Y L</t>
  </si>
  <si>
    <t>SENSOR ACEL. TPS MIT MONTERO</t>
  </si>
  <si>
    <t>SENSOR ACELERACIÓN SZ,. ALTO</t>
  </si>
  <si>
    <t>SENSOR CIGUEÑAL CHEV. SAIL 1.4</t>
  </si>
  <si>
    <t>SENSOR DETONACION MITS. CHARRIOT</t>
  </si>
  <si>
    <t>SENSOR LEVA CHEV SPARK</t>
  </si>
  <si>
    <t>SENISSAN</t>
  </si>
  <si>
    <t>SENSOR NISSAN</t>
  </si>
  <si>
    <t>SENSOR NS. D22 TERRANO POS. NEUTRO GENUINO</t>
  </si>
  <si>
    <t>SENSOR NS. NP300</t>
  </si>
  <si>
    <t>SENSOR OXIGENO 1 VIA</t>
  </si>
  <si>
    <t>SENSOR OXIGENO 1 VIA AC DELCO</t>
  </si>
  <si>
    <t>LS01 0258986501</t>
  </si>
  <si>
    <t>SENSOR OXIGENO 1 VIA BOSCH</t>
  </si>
  <si>
    <t>SENSOR OXIGENO 1 VIA DENSO</t>
  </si>
  <si>
    <t>SENSOR OXIGENO 2 VIAS DENSO</t>
  </si>
  <si>
    <t>LS-LS030079</t>
  </si>
  <si>
    <t>SENSOR OXIGENO 3 VIAS</t>
  </si>
  <si>
    <t>SENSOR OXIGENO 3 VIAS DENSO</t>
  </si>
  <si>
    <t>SENSOR OXIGENO 4 VIAS</t>
  </si>
  <si>
    <t>SENSOR OXIGENO 4 VIAS ECHLIN</t>
  </si>
  <si>
    <t>SENSOR OXIGENO 4 VIAS BOSCH</t>
  </si>
  <si>
    <t>SENSOR OXIGENO 4 VIAS DENSO</t>
  </si>
  <si>
    <t>LS02</t>
  </si>
  <si>
    <t>SENSOR OXIGENO BOSCH 3 VIA</t>
  </si>
  <si>
    <t>SENSOR POS. CIG. CHEV AVEO OPTRA VIVANT ECHLIN</t>
  </si>
  <si>
    <t>SENSOR-RETROCESO</t>
  </si>
  <si>
    <t>SENSOR RETROCESO</t>
  </si>
  <si>
    <t>SENSOR ROT. CIG. NS. NAVARA RECTO 3P. ORIGINAL</t>
  </si>
  <si>
    <t>SENSOR ROT. CIG. NS. TERRANO 2.5 ORIG.</t>
  </si>
  <si>
    <t>SENSOR ROTACION LEVA MAZDA</t>
  </si>
  <si>
    <t>VALVULA-CONTROL-D22</t>
  </si>
  <si>
    <t>SENSOR SENSOR</t>
  </si>
  <si>
    <t>SENSOR TEMP. 2 PIN. KIA</t>
  </si>
  <si>
    <t>H480670</t>
  </si>
  <si>
    <t>SENSOR TEMP. HY. NEW ACCENT H1 KIA</t>
  </si>
  <si>
    <t>WS3001</t>
  </si>
  <si>
    <t>BU-WS3601</t>
  </si>
  <si>
    <t>SENSOR TEMP. ROJO NS V16 / MURANO</t>
  </si>
  <si>
    <t>SENSOR TEMPERATURA SUZUKI</t>
  </si>
  <si>
    <t>SENSOR TEMPERATURA NISSAN</t>
  </si>
  <si>
    <t>SENSOR TERRANO 2.5</t>
  </si>
  <si>
    <t>SENSOR TPS AVEO CORSA LUV 2.2 S10</t>
  </si>
  <si>
    <t>SENSOR UNIVERSAL FILTRO PETROLEO</t>
  </si>
  <si>
    <t>SERVO FRENO NS. V16</t>
  </si>
  <si>
    <t>PTSE11</t>
  </si>
  <si>
    <t>SILICONA AEROSOL VAINILLA VERSACHEM</t>
  </si>
  <si>
    <t>SILICONA EMULSIONADA 200-400 330ML</t>
  </si>
  <si>
    <t>SILICONA EMULSIONADA BRISA MARINA 330ML</t>
  </si>
  <si>
    <t>SILICONA EMULSIONADA NEW CAR SPRAY 370ML.</t>
  </si>
  <si>
    <t>UV200</t>
  </si>
  <si>
    <t>SILICONA EMULSIONADA U.V 200-400</t>
  </si>
  <si>
    <t>SILICONA EMULSIONADA VAINILLA 330ML</t>
  </si>
  <si>
    <t>SILICONA GREY 5699 LOCTITE 2.7</t>
  </si>
  <si>
    <t>C/959</t>
  </si>
  <si>
    <t>SILICONA GREY CICLO U.S.A.</t>
  </si>
  <si>
    <t>SILICONA HELP SPRAY LIMON 400 ML</t>
  </si>
  <si>
    <t>C-951</t>
  </si>
  <si>
    <t>SILICONA NEGRA CYCLO</t>
  </si>
  <si>
    <t>SILICONA PROTECTOR 2000 VERSACHEM</t>
  </si>
  <si>
    <t>C-952</t>
  </si>
  <si>
    <t>SILICONA ROJA CYCLO</t>
  </si>
  <si>
    <t>SILICONA ROJA LOCTITE RED</t>
  </si>
  <si>
    <t>SILICONA</t>
  </si>
  <si>
    <t>SILIC.ROJA</t>
  </si>
  <si>
    <t>SILICONA ROJA RTV</t>
  </si>
  <si>
    <t>SILICONA ROJA SBOND</t>
  </si>
  <si>
    <t>SILICONA SPRAY 400 CC. VERSACHEM</t>
  </si>
  <si>
    <t>SILICONA SPRAY AUTO NUEVO KLINKAR</t>
  </si>
  <si>
    <t>SILICONA SPRAY HELP COCKPIT 400 ml.</t>
  </si>
  <si>
    <t>SILICONA spray klinkar</t>
  </si>
  <si>
    <t>SILICONA SPRAY LIMON VERSACHEM 400CC</t>
  </si>
  <si>
    <t>SILICONA SPRAY NEW CAR CAR FRAN 400 CC.</t>
  </si>
  <si>
    <t>SILICONA SPRAY VAINILLA KLINKAR</t>
  </si>
  <si>
    <t>SILICONA SPRAY VAINILLA CAR FRAN 400CC.</t>
  </si>
  <si>
    <t>SILICONA SPRAY WURTH 300ml.</t>
  </si>
  <si>
    <t>SILICONA TRANSPARENTE CYCLO</t>
  </si>
  <si>
    <t>SILICONA WURTH GRIS ALTA TEMP. 85G.</t>
  </si>
  <si>
    <t>SILICONA WURTH NEGRA 85GR.</t>
  </si>
  <si>
    <t>SILVIN H6054</t>
  </si>
  <si>
    <t>SOLD</t>
  </si>
  <si>
    <t>SOLDESTA</t>
  </si>
  <si>
    <t>SOLDADURA</t>
  </si>
  <si>
    <t>SOLENOIDE CHEV CORSA 1.6</t>
  </si>
  <si>
    <t>SOLENOIDE PARTIDA 12V. (CHANCHITO)</t>
  </si>
  <si>
    <t>SOPORTE C/CAMBIO NS. D21</t>
  </si>
  <si>
    <t>SOPORTE C/CAMBIO NS. V16</t>
  </si>
  <si>
    <t>SOPORTE CAJA CAMBIO TERRANO</t>
  </si>
  <si>
    <t>SOPORTE CAJA MITS. L200</t>
  </si>
  <si>
    <t>SOPORTE CARDAN CHEV LUV</t>
  </si>
  <si>
    <t>SOPCARDFORD</t>
  </si>
  <si>
    <t>SOPORTE CARDAN FORD</t>
  </si>
  <si>
    <t>SOPORTE CARDAN NISSAN TERRANO D21</t>
  </si>
  <si>
    <t>SOPORTE CARDAN NS. D21 4X4</t>
  </si>
  <si>
    <t>P025943</t>
  </si>
  <si>
    <t>SOPORTE CARDAN NS. D21 93/ WURTEX</t>
  </si>
  <si>
    <t>SOPORTE CARDAN NS. TERRANO 2.5 YD25</t>
  </si>
  <si>
    <t>SOPORTE CARDAN TY HILUX 4X4</t>
  </si>
  <si>
    <t>TY31155</t>
  </si>
  <si>
    <t>SOPORTE CARDAN TY. HILUX 4X4</t>
  </si>
  <si>
    <t>SOPORTE CHEV. SAIL 1.4 MOTOR DEL. IZQ. LADO CAJA</t>
  </si>
  <si>
    <t>SOPORTE DE MOTOR CHEV. LUV IZQ.</t>
  </si>
  <si>
    <t>SOPORTE DEL. INFERIOR CHEV SPARK GT</t>
  </si>
  <si>
    <t>SOPORTE MOTOR CHEROKEE DEL. IZQ.</t>
  </si>
  <si>
    <t>SOPORTE MOTOR CHEV. SAIL 1.4 11/</t>
  </si>
  <si>
    <t>SOPORTE MOTOR CHEV. SAIL IZQ.</t>
  </si>
  <si>
    <t>SOPORTE MOTOR DAEWOO TRASERO</t>
  </si>
  <si>
    <t>SOPORTE MOTOR DH. CHARADE G20</t>
  </si>
  <si>
    <t>SOPORTE MOTOR MITSUBISHI L200 POSTERIOR</t>
  </si>
  <si>
    <t>SOPORTE MOTOR NISSAN D21</t>
  </si>
  <si>
    <t>SOPORTE MOTOR NS. D21</t>
  </si>
  <si>
    <t>SOPORTE MOTOR NS. TIIDA IZQ. CAJA CN</t>
  </si>
  <si>
    <t>SOPORTE MOTOR NS. TIIDA TRAS.</t>
  </si>
  <si>
    <t>SOPORTE MOTOR NS. TIIDA TRAS. CAJA</t>
  </si>
  <si>
    <t>SOPORTE MOTOR NS. V16 90/11 DEL. DER.</t>
  </si>
  <si>
    <t>SOPSM3</t>
  </si>
  <si>
    <t>SOPORTE MOTOR SM3</t>
  </si>
  <si>
    <t>SOPORTE MOTOR TENSOR NISSAN TIIDA</t>
  </si>
  <si>
    <t>SOPORTE MOTOR TRASERO NS. TIIDA</t>
  </si>
  <si>
    <t>SOPORTE MOTOR TV16 TRAS. DER.</t>
  </si>
  <si>
    <t>SOPORTE PARACH. DEL. IZQ. SZ SWIFT</t>
  </si>
  <si>
    <t>SOPORTE PARACH. DEL.DER. SZ SWIFT</t>
  </si>
  <si>
    <t>SOPORTE PARACH. DEL.DER. TY NEW YARIS</t>
  </si>
  <si>
    <t>SOPORTE PARACHOQUE CHEV LUV 2.8</t>
  </si>
  <si>
    <t>SOPORTE ROD. CARDAN CHEV. S10 2.2 2.4</t>
  </si>
  <si>
    <t>SOPORTE ROD. CARDAN NS TERRANO</t>
  </si>
  <si>
    <t>SOPORTE RODAMOENTO DE CARDAN L200</t>
  </si>
  <si>
    <t>SOPORTE MOTOR CHEV. SAIL 1.4</t>
  </si>
  <si>
    <t>SOPORTE MOTOR CHEV. SAIL 1.4 TRAS. CENTRAL</t>
  </si>
  <si>
    <t>SOPORTE MOTOR HY. ACCENT RB L/CAJA</t>
  </si>
  <si>
    <t>SOPORTE-MOTOR-H</t>
  </si>
  <si>
    <t>SOPORTE MOTOR TOYOTA</t>
  </si>
  <si>
    <t>SOPORTE MOTOR YARIS</t>
  </si>
  <si>
    <t>SOQUETE 1 CONT. PLASTICO</t>
  </si>
  <si>
    <t>SOQUETE 2 CONT. PLASTICO</t>
  </si>
  <si>
    <t>SUZUKI CARRY 25 X 79.5</t>
  </si>
  <si>
    <t>TAMBOR DE FRENO CORSA</t>
  </si>
  <si>
    <t>tammit</t>
  </si>
  <si>
    <t>TAMMIT</t>
  </si>
  <si>
    <t>TAMBOR FRENO MITS.</t>
  </si>
  <si>
    <t>TY50788</t>
  </si>
  <si>
    <t>T5215</t>
  </si>
  <si>
    <t>TAMBOR FRENO NEW YARIS 06/</t>
  </si>
  <si>
    <t>TAMBOR</t>
  </si>
  <si>
    <t>TAMBOR FRENO TRAS V-16</t>
  </si>
  <si>
    <t>TAMBOR FRENO TRAS. TY. YARIS 99-05</t>
  </si>
  <si>
    <t>T5126</t>
  </si>
  <si>
    <t>TAMBOR NS. TIIDA SM3</t>
  </si>
  <si>
    <t>TAPA ACEITE CHEV CORSA</t>
  </si>
  <si>
    <t>TAPA ACEITE HYUNDAI / KIA / MITS</t>
  </si>
  <si>
    <t>TAPA ACEITE HYUNDAI / KIA / MITS.</t>
  </si>
  <si>
    <t>TAPA ACEITE NISSAN</t>
  </si>
  <si>
    <t>TAPA BENC. 30MM</t>
  </si>
  <si>
    <t>GC-5182-16</t>
  </si>
  <si>
    <t>TAPA BENC. 37MM</t>
  </si>
  <si>
    <t>GS-932</t>
  </si>
  <si>
    <t>TAPA BENCINA</t>
  </si>
  <si>
    <t>GW-218</t>
  </si>
  <si>
    <t>TAPA BENCINA 35 MM CON LLAVE</t>
  </si>
  <si>
    <t>GW-622</t>
  </si>
  <si>
    <t>TAPA BENCINA 38 MM C/LLAVE</t>
  </si>
  <si>
    <t>TW-644</t>
  </si>
  <si>
    <t>TAPA BENCINA ATORN . S/LLAVE</t>
  </si>
  <si>
    <t>TAPA BENCINA ATORN C/ LLAVE</t>
  </si>
  <si>
    <t>TAPA BENCINA ATORN S/ LLAVE</t>
  </si>
  <si>
    <t>TW-055</t>
  </si>
  <si>
    <t>TAPA BENCINA ATORN. C/LLAVE</t>
  </si>
  <si>
    <t>TAPA BENCINA ATORN.C/LLAVE</t>
  </si>
  <si>
    <t>TAPA BENCINA DE CAMION</t>
  </si>
  <si>
    <t>TAPA CHEVROLET LUV 2.3 89</t>
  </si>
  <si>
    <t>TAPA DE DISTRIB. CHEV. V-8 .74/82</t>
  </si>
  <si>
    <t>TAPA DEP. AUX. AVEO CORSA OPTRA SPARK DW.</t>
  </si>
  <si>
    <t>TAPA DEP. AUX. RAD. CHEV. CRUZE TRACKER SONIC</t>
  </si>
  <si>
    <t>TAPA DEP. AUX. RAD. CHEV. SPARK GT</t>
  </si>
  <si>
    <t>TAPA DEPOSITO AUX. CHEV CORSA / ASTRA</t>
  </si>
  <si>
    <t>TAPA DEPOSITO AUX. CHEV. CORSA ASTRA COMBO</t>
  </si>
  <si>
    <t>TAPA DEPOSITO AUX. RAD. CHEV. SAIL 1.4</t>
  </si>
  <si>
    <t>TAPA DEPOSITO RADIADOR AVEO OPTRA SPARK</t>
  </si>
  <si>
    <t>TAPA DEPOSITO RADIADOR CHEV. SAIL 1.4</t>
  </si>
  <si>
    <t>FD175</t>
  </si>
  <si>
    <t>TAPA DISTR. 8 CIL. FORD</t>
  </si>
  <si>
    <t>TAPA DISTR. C10</t>
  </si>
  <si>
    <t>TAPA DISTR. CHARADA G20 YD 505</t>
  </si>
  <si>
    <t>TAPA DISTR. CHEV V8 74/82</t>
  </si>
  <si>
    <t>TAPA DISTR. CHEV. LUV 2.3 93/ YD 243</t>
  </si>
  <si>
    <t>TAPA DISTR. CHEV. YD 106</t>
  </si>
  <si>
    <t>TAPA DISTR. CHEV. YD 513 LUV 89-92</t>
  </si>
  <si>
    <t>L113675</t>
  </si>
  <si>
    <t>TAPA DISTR. CHV LUV 89/93 YD 513</t>
  </si>
  <si>
    <t>TAPA DISTR. DAIHATSU 550 DC 372</t>
  </si>
  <si>
    <t>TAPA DISTR. DATSUN YD 208</t>
  </si>
  <si>
    <t>TAPA DISTR. DH. YD-505 CHARADE G-20</t>
  </si>
  <si>
    <t>TAPA DISTR. ELECTR. CHEVETTE</t>
  </si>
  <si>
    <t>TAPA DISTR. MONZA</t>
  </si>
  <si>
    <t>TAPA DISTR. NS YD 208</t>
  </si>
  <si>
    <t>TAPA DISTR. NS YD 234</t>
  </si>
  <si>
    <t>TAPA DISTR. NS YD 250</t>
  </si>
  <si>
    <t>TAPA DISTR. NS. D-21 YD 251 D21 KA24 V16 GA16 96/</t>
  </si>
  <si>
    <t>TAPA DISTR. NS. YD 208</t>
  </si>
  <si>
    <t>TAPA DISTR. NS. YD 251</t>
  </si>
  <si>
    <t>TAPA DISTR. SUZUKI 3 CIL. DC</t>
  </si>
  <si>
    <t>TAPA DISTR. TOYOTA 2RZ</t>
  </si>
  <si>
    <t>TAPA DISTR. TOYOTA 3S C/CABLE YD136</t>
  </si>
  <si>
    <t>TAPA DISTR. VOLKS</t>
  </si>
  <si>
    <t>TAPA DISTR. YD 109 LUV</t>
  </si>
  <si>
    <t>TAPA DISTR. YD 136 TOYOTA</t>
  </si>
  <si>
    <t>YD-229</t>
  </si>
  <si>
    <t>YD229</t>
  </si>
  <si>
    <t>TAPA DISTR. YD-229 ISUZU JEEP</t>
  </si>
  <si>
    <t>TAPA DISTR. YD-304 HYUNDAI-MAZDA</t>
  </si>
  <si>
    <t>YD-321</t>
  </si>
  <si>
    <t>YD321</t>
  </si>
  <si>
    <t>TAPA DISTR. YD-321 SZ MITSUBISHI</t>
  </si>
  <si>
    <t>YD-803</t>
  </si>
  <si>
    <t>YD803</t>
  </si>
  <si>
    <t>TAPA DISTR. YD-803 SZ MARUTI</t>
  </si>
  <si>
    <t>YD-807</t>
  </si>
  <si>
    <t>YD807</t>
  </si>
  <si>
    <t>TAPA DISTR. YD-807 SUZUKI</t>
  </si>
  <si>
    <t>YD-814</t>
  </si>
  <si>
    <t>YD814</t>
  </si>
  <si>
    <t>TAPA DISTR. YD-814 SUZUKI</t>
  </si>
  <si>
    <t>TAPA DISTR.V8 FORD</t>
  </si>
  <si>
    <t>L113680</t>
  </si>
  <si>
    <t>TAPA DISTRIB. CHEV. YD 243 LUV 2.3 93/</t>
  </si>
  <si>
    <t>TAPA DISTRIB. CHEVETTE. 77/84</t>
  </si>
  <si>
    <t>L113685</t>
  </si>
  <si>
    <t>TAPA DISTRIB. CHV LUV 93/ 2.3 CATALITICA</t>
  </si>
  <si>
    <t>TAPA DISTRIB. CHV. LUV 1600 YD 106 TY.</t>
  </si>
  <si>
    <t>TAPA DISTRIB. JUSTY DEL REF. GAS YD 232</t>
  </si>
  <si>
    <t>TAPA DISTRIB. MAZDA .YD 405</t>
  </si>
  <si>
    <t>TAPA DISTRIB. MAZDA YD 314.</t>
  </si>
  <si>
    <t>TAPA DISTRIB. NISSAN YD-245</t>
  </si>
  <si>
    <t>TAPA DISTRIB. NISSAN YD. 236</t>
  </si>
  <si>
    <t>TAPA DISTRIB. TERCEL 5EYD 137</t>
  </si>
  <si>
    <t>TAPA DISTRIB. TOYOTA. YR 156</t>
  </si>
  <si>
    <t>TAPA DISTRIB. TY 93/97 YD 149</t>
  </si>
  <si>
    <t>TAPA DISTRIB. VOLKS</t>
  </si>
  <si>
    <t>TAPA DISTRIB. YD-214 NISSAN</t>
  </si>
  <si>
    <t>TAPA DISTRIB. YD-504</t>
  </si>
  <si>
    <t>TAPA DISTRIBUIDOR CHEV. LUV 89/ YD513 JP.</t>
  </si>
  <si>
    <t>TAPA DISTRIBUIDOR CHEV. LUV 93* YD-243</t>
  </si>
  <si>
    <t>TAPA DISTRIBUIDOR DH. CHARADE G20 DC 412</t>
  </si>
  <si>
    <t>TAPA DISTRIBUIDOR L100 2 CIL.</t>
  </si>
  <si>
    <t>TAPA DISTRIBUIDOR NS. D21 Z24 YD245</t>
  </si>
  <si>
    <t>TAPA DISTRIBUIDOR NS. V16 GA16</t>
  </si>
  <si>
    <t>TAPA DISTRIBUIDORA TOYOTA CATALITICA</t>
  </si>
  <si>
    <t>TAPA ESTANQUE BENC CON LLAVE</t>
  </si>
  <si>
    <t>TAPA NEBLINERO DER NEW YARIS</t>
  </si>
  <si>
    <t>TAPA RADIADOR 1.1</t>
  </si>
  <si>
    <t>TAPA RADIADOR 13 LB. 0.9 ACCENT ELANTRA SONATA KIA</t>
  </si>
  <si>
    <t>TAPA RADIADOR 13 LB. 0.9 K</t>
  </si>
  <si>
    <t>TAPA RADIADOR C/VALV 1.1 YARIS JP.</t>
  </si>
  <si>
    <t>TAPA RADIADOR CHICA</t>
  </si>
  <si>
    <t>TAPA RADIADOR CHICA 0.9</t>
  </si>
  <si>
    <t>TAPA RADIADOR CHICA 1.1</t>
  </si>
  <si>
    <t>TAPA RADIADOR CHICA 1.1 BAR</t>
  </si>
  <si>
    <t>TAPA RADIADOR CHICA 1.1 SANKEI</t>
  </si>
  <si>
    <t>TAPA RADIADOR CHICA 13 LB. O.9KG. JP.</t>
  </si>
  <si>
    <t>TAPA RADIADOR CHICA 16 LB. 1.1 K</t>
  </si>
  <si>
    <t>TAPA RADIADOR CHICA 16 LB. 1.1 KG.</t>
  </si>
  <si>
    <t>TAPA RADIADOR CHICA 16 LB. 1.1KG JAPON</t>
  </si>
  <si>
    <t>TAPA RADIADOR CHICA C/VALV. 0.9</t>
  </si>
  <si>
    <t>TAPA RADIADOR CHICA C/VALV. JAPON</t>
  </si>
  <si>
    <t>TAPA RADIADOR CHICA CON VALV. JP.</t>
  </si>
  <si>
    <t>TAPA RADIADOR CHICA TY COROLLA</t>
  </si>
  <si>
    <t>TAPA RADIADOR GRANDE</t>
  </si>
  <si>
    <t>TAPA RADIADOR GRANDE 0.9 KG. 13LB. SANKEI JP.</t>
  </si>
  <si>
    <t>TAPA RADIADOR GRANDE 13 LB. 0.9 KG</t>
  </si>
  <si>
    <t>TAPA RADIADOR GRANDE 13 LB. 0.9 SANKEI JP.</t>
  </si>
  <si>
    <t>TAPA RADIADOR GRANDE 13LB 0.9K JP.</t>
  </si>
  <si>
    <t>TAPA TERM. CHEV LUV 89/</t>
  </si>
  <si>
    <t>TAPA TERM. CHEV. LUV 89 CURVO</t>
  </si>
  <si>
    <t>TAPA TERM. CHEV. LUV 89-96 CURVO</t>
  </si>
  <si>
    <t>TAPA TERM. CHEV. LUV 96 ADEL. RECTA</t>
  </si>
  <si>
    <t>TAPA TERM. HY H-100</t>
  </si>
  <si>
    <t>TAPA TERM. MAZDA 323</t>
  </si>
  <si>
    <t>TAPA TERM. MAZDA 626 2.0</t>
  </si>
  <si>
    <t>TAPA TERM. NS. V16 GA16</t>
  </si>
  <si>
    <t>MTCH233201</t>
  </si>
  <si>
    <t>TAPA TERM. RECTA CHEV LUV 96/</t>
  </si>
  <si>
    <t>TAPA TERM. SUZUKI</t>
  </si>
  <si>
    <t>TAPA TERM. TY COROLLA</t>
  </si>
  <si>
    <t>TAPA TERM. TY YARIS</t>
  </si>
  <si>
    <t>TAPA TERMOSTATO CHEV. LUV 96/ RECTP</t>
  </si>
  <si>
    <t>TAPA TERMOSTATO FORD AUTO</t>
  </si>
  <si>
    <t>TAPA TERMOSTATO HONDA</t>
  </si>
  <si>
    <t>TAPA TERMOSTATO MAZDA</t>
  </si>
  <si>
    <t>TAPA TERMOSTATO VHEV. AVEO</t>
  </si>
  <si>
    <t>TAPA TERMOSTATO. SZ CARRY</t>
  </si>
  <si>
    <t>TAPA TERMOSTATO. TY TERCEL 93/97</t>
  </si>
  <si>
    <t>TAPA TY. YARIS ORIGINAL</t>
  </si>
  <si>
    <t>tvcorsa</t>
  </si>
  <si>
    <t>TVCORSA</t>
  </si>
  <si>
    <t>TAPA VALV CHEV CORSA</t>
  </si>
  <si>
    <t>TAPA VALVULA CHEV. AVEO</t>
  </si>
  <si>
    <t>TAPABARRO-DMAX</t>
  </si>
  <si>
    <t>TAPABARR. DER DMAX</t>
  </si>
  <si>
    <t>TAPABARRO CHEV. AVEO 07/ DEL. DER.</t>
  </si>
  <si>
    <t>TAPABARRO CHEV. AVEO 07-13 IZQ.</t>
  </si>
  <si>
    <t>TAPABARRO CHEV. AVEO 2007/ DER.</t>
  </si>
  <si>
    <t>TAPABARRO CHEV. AVEO IZQ. 2003/2007</t>
  </si>
  <si>
    <t>TAPABARRO CHEV. LUV 89/ DER.</t>
  </si>
  <si>
    <t>L110470</t>
  </si>
  <si>
    <t>TAPABARRO CHEV. LUV DER. 89/ 97.</t>
  </si>
  <si>
    <t>L110300</t>
  </si>
  <si>
    <t>TAPABARRO CHEV. LUV DER. 98/</t>
  </si>
  <si>
    <t>TAPABARRO CHEV. LUV IZQ. 89/ 97.</t>
  </si>
  <si>
    <t>L110290</t>
  </si>
  <si>
    <t>TAPABARRO CHEV. LUV IZQ. 98/</t>
  </si>
  <si>
    <t>TAPABARRO CHEV. SAIL 1.4 DEL. DER.</t>
  </si>
  <si>
    <t>TAPABARRO CHEV. SAIL 1.5 DER.</t>
  </si>
  <si>
    <t>TAPABARRO CHEV. SAIL 1.5 IZQ.</t>
  </si>
  <si>
    <t>TAPABARRO CHEV. SAIL 10/14 IZQ.</t>
  </si>
  <si>
    <t>CRCH151501</t>
  </si>
  <si>
    <t>TAPABARRO CHEV. SAIL 10/14 DERECHO</t>
  </si>
  <si>
    <t>TAPABARRO CHEV. SPART GT IZQ.</t>
  </si>
  <si>
    <t>TAPABARRO CHV AVEO DER. 2007-2008 SEDAN</t>
  </si>
  <si>
    <t>OP049302AR</t>
  </si>
  <si>
    <t>TAPABARRO CHV CORSA DER. 93/00</t>
  </si>
  <si>
    <t>OP040402AL</t>
  </si>
  <si>
    <t>TAPABARRO CHV CORSA PLUS IZQ.</t>
  </si>
  <si>
    <t>FN0034L</t>
  </si>
  <si>
    <t>TAPABARRO CHV DMAX IZQ. 2010</t>
  </si>
  <si>
    <t>IZ028802A</t>
  </si>
  <si>
    <t>TAPABARRO CHV LUV IZQ. 89/97</t>
  </si>
  <si>
    <t>TAPABARRO CITROEN C-ELYSEE 12/15 IZQ.</t>
  </si>
  <si>
    <t>TAPABARRO DEL DER TIIDA 2010/</t>
  </si>
  <si>
    <t>TAPABARRO DEL. DER. CHEV. AVEO 07-13</t>
  </si>
  <si>
    <t>TAPABARRO DEL. DER. KIA RIO 4/5 12/</t>
  </si>
  <si>
    <t>TAPABARRO DEL. DER. NS. TIIDA 09/15</t>
  </si>
  <si>
    <t>CRTY501501</t>
  </si>
  <si>
    <t>TAPABARRO DEL. DER. TY. YARIS 99/05</t>
  </si>
  <si>
    <t>TAPABARRO DEL. IZQ. CHEV. SAIL 1.4 11/</t>
  </si>
  <si>
    <t>CRCH151502</t>
  </si>
  <si>
    <t>TAPABARRO DEL. IZQ. CHEV. SAIL 10/14</t>
  </si>
  <si>
    <t>TAPABARRO DEL. IZQ. MITS. LANCER 08/1</t>
  </si>
  <si>
    <t>TAPABARRO DEL. IZQ. NS. D21</t>
  </si>
  <si>
    <t>TAPABARRO DEL. IZQ. TY. COROLLA 00/01</t>
  </si>
  <si>
    <t>TAPABARRO DEL.DER. CHEV DMAX 05/09</t>
  </si>
  <si>
    <t>TAPABARRO DEL.DER. TY. YARIS 03-05</t>
  </si>
  <si>
    <t>FD40157</t>
  </si>
  <si>
    <t>TAPABARRO FORD FIESTA DER. 03/06</t>
  </si>
  <si>
    <t>TAPABARRO HY ACCENT RB IZQ. 2011/</t>
  </si>
  <si>
    <t>CRCHY011562</t>
  </si>
  <si>
    <t>CRHY011562</t>
  </si>
  <si>
    <t>TAPABARRO HY. ACCENT RB 12/ DEL. IZQ.</t>
  </si>
  <si>
    <t>CRHY011561</t>
  </si>
  <si>
    <t>TAPABARRO HY. ACCENT RB 12/15 DEL. DER.</t>
  </si>
  <si>
    <t>TAPABARRO HY. I10 08/11 1.1 IZQ.</t>
  </si>
  <si>
    <t>CRCH151522</t>
  </si>
  <si>
    <t>TAPABARRO IZQ. C/HOYO CHV SAIL NEW 16/19</t>
  </si>
  <si>
    <t>TAPAB</t>
  </si>
  <si>
    <t>TAPABARRO</t>
  </si>
  <si>
    <t>TAPABARRO IZQ. HYUNDAI I-10</t>
  </si>
  <si>
    <t>TAPABARRO KIA CERATO 04-08 DEL. DER.</t>
  </si>
  <si>
    <t>KA0100160</t>
  </si>
  <si>
    <t>TAPABARRO KIA MORNING IZQ. 04/07</t>
  </si>
  <si>
    <t>TAPKIA</t>
  </si>
  <si>
    <t>TAPABARRO KIA RIO</t>
  </si>
  <si>
    <t>TAPABARRO KIA SPORTAGE 11/13 2.0 DER.</t>
  </si>
  <si>
    <t>TAPBL200</t>
  </si>
  <si>
    <t>TAPABARRO L200 DAKAR IZQ.</t>
  </si>
  <si>
    <t>TAPABARRO MAZDA 3 DER. 04/09</t>
  </si>
  <si>
    <t>TAPABARRO NISSAN D21 93/08</t>
  </si>
  <si>
    <t>TAPABARRO NS D-21 IZQ.</t>
  </si>
  <si>
    <t>TAPABARRO NS D21 DER</t>
  </si>
  <si>
    <t>0N00220</t>
  </si>
  <si>
    <t>TAPABARRO NS NAVARA IZQ. 4X4 MOLD. ANGOSTA</t>
  </si>
  <si>
    <t>TAPABARRO NS. D21 DER.</t>
  </si>
  <si>
    <t>TAPABARRO NS. D21 IZQ.</t>
  </si>
  <si>
    <t>0N00210</t>
  </si>
  <si>
    <t>TAPABARRO NS. NAVARA 4X4 DER. MOL. ANGOSTA.</t>
  </si>
  <si>
    <t>TAPABARRO NS. SENTRA IZQ. 95/99</t>
  </si>
  <si>
    <t>CRDT451512</t>
  </si>
  <si>
    <t>TAPABARRO NS. TIIDA 06/11 IZQ.</t>
  </si>
  <si>
    <t>TAPABARRO NS. V-16 DER. BICIM.</t>
  </si>
  <si>
    <t>TAPABARRO NS. V-16 IZQ.</t>
  </si>
  <si>
    <t>CRDT231512</t>
  </si>
  <si>
    <t>TAPABARRO NS. V16 DEL. IZQUIERDO</t>
  </si>
  <si>
    <t>CRDT231501</t>
  </si>
  <si>
    <t>CRDT231511</t>
  </si>
  <si>
    <t>TAPABARRO NS. V16 DER.</t>
  </si>
  <si>
    <t>TAPABARRO NS. V16 IZQ.</t>
  </si>
  <si>
    <t>TAPABARRO NS. V16 IZQ. BICIM.</t>
  </si>
  <si>
    <t>CRDT311502</t>
  </si>
  <si>
    <t>TAPABARRO NS. VERSA 1.6 11/19 IZQ.</t>
  </si>
  <si>
    <t>PE41447</t>
  </si>
  <si>
    <t>TAPABARRO PEUGEOT 206 DER</t>
  </si>
  <si>
    <t>TAPABARRO SM3 07/ DEL. IZQ.</t>
  </si>
  <si>
    <t>SZ10006DL</t>
  </si>
  <si>
    <t>TAPABARRO SZ VITARA IZQ. 1989-1998</t>
  </si>
  <si>
    <t>TAPABARRO SZ. GRAN NOMADE 99/03 IZQ.</t>
  </si>
  <si>
    <t>IZ020602BL</t>
  </si>
  <si>
    <t>TAPABARRO TOYOTA 4X2 DER. 89/96</t>
  </si>
  <si>
    <t>TAPABARRO TOYOTA 4X2 IZQ. 89/96</t>
  </si>
  <si>
    <t>TY57711</t>
  </si>
  <si>
    <t>TAPABARRO TY BALENO IZQ. 95/98</t>
  </si>
  <si>
    <t>TY3410160-0L00</t>
  </si>
  <si>
    <t>TAPABARRO TY COROLLA IZQ. 87/92</t>
  </si>
  <si>
    <t>TY00850</t>
  </si>
  <si>
    <t>TAPABARRO TY HILUX IZQ. 89/97</t>
  </si>
  <si>
    <t>TAPABARRO TY NEW YARIS DER.</t>
  </si>
  <si>
    <t>TY3410160</t>
  </si>
  <si>
    <t>TAPABARRO TY YARIS DER.</t>
  </si>
  <si>
    <t>TY201501</t>
  </si>
  <si>
    <t>TAPABARRO TY YARIS IZQ.</t>
  </si>
  <si>
    <t>TAPABARRO TY YARIS IZQ. 2006</t>
  </si>
  <si>
    <t>CRTY501541</t>
  </si>
  <si>
    <t>TAPABARRO TY. YARIS 06/13 DER.</t>
  </si>
  <si>
    <t>CRTY5501542</t>
  </si>
  <si>
    <t>CRTY501542</t>
  </si>
  <si>
    <t>TAPABARRO TY. YARIS 06/13 IZQ.</t>
  </si>
  <si>
    <t>CRTY511521</t>
  </si>
  <si>
    <t>TAPABARRO TY. YARIS 14/16 DER.</t>
  </si>
  <si>
    <t>TAPABARRO TY. YARIS 14/18 DER.</t>
  </si>
  <si>
    <t>TAPABARRO TY. YARIS 14/18 IZQ.</t>
  </si>
  <si>
    <t>TAPABARRO-DER-KIA-MORNING-1.0</t>
  </si>
  <si>
    <t>TAPABARRO DER KIA MORNING 1.0</t>
  </si>
  <si>
    <t>TAPABARRO-IZQ-KIA-MORNING-1.0</t>
  </si>
  <si>
    <t>TAPABARRO IZQ KIA MORNING 1.0</t>
  </si>
  <si>
    <t>TAQUIE 4-6-8 CIL CHEVROLET</t>
  </si>
  <si>
    <t>TAQUIE CHEV LUV 2.2 CORSA DW. JG.</t>
  </si>
  <si>
    <t>TAQUIE CHEV. 250 OPALA TOYOTA</t>
  </si>
  <si>
    <t>TAQUIE CHEV. LUV 2.2 CORSA</t>
  </si>
  <si>
    <t>TAQUIE CHEVROLET V6</t>
  </si>
  <si>
    <t>TAQUIE DAEWOO - CHEV LUV</t>
  </si>
  <si>
    <t>TAQUIE DAEWOO / CHEV CORSA</t>
  </si>
  <si>
    <t>TAQUIE DODGE</t>
  </si>
  <si>
    <t>TAQUIE FORD RANGER / EXPLORER</t>
  </si>
  <si>
    <t>TAQUIE FORD RANGER 4.0 V6</t>
  </si>
  <si>
    <t>TAQUIE HIDRAULICO NS TERRANO 2.5</t>
  </si>
  <si>
    <t>H700010</t>
  </si>
  <si>
    <t>TAQUIE HY ELANTRA / SONATA</t>
  </si>
  <si>
    <t>TAQUIE HY NEW ACCENT</t>
  </si>
  <si>
    <t>TAQUIE HYUNDAI</t>
  </si>
  <si>
    <t>TAQUIE HYUNDAI H100 2.4</t>
  </si>
  <si>
    <t>KR00565</t>
  </si>
  <si>
    <t>TAQUIE KIA RIO CAREN SEPHIA</t>
  </si>
  <si>
    <t>TAQUIE MITS. L200 2.4</t>
  </si>
  <si>
    <t>TAQUIE NS. D21 KA24 ADM. 1R</t>
  </si>
  <si>
    <t>TAQUIE NS. D21 KA24 ESC E-13</t>
  </si>
  <si>
    <t>TAQUIE ORIGINAL HYUNDAI 16V</t>
  </si>
  <si>
    <t>TAQUIE TAPA VALVULA KIA SPORTAGE</t>
  </si>
  <si>
    <t>TAQUIE VALV HIDR MAZDA ARTIS</t>
  </si>
  <si>
    <t>TAQUIE HID. ACTYON</t>
  </si>
  <si>
    <t>AIPS060140</t>
  </si>
  <si>
    <t>TECLA ALZA VIDRIO C/CABLE</t>
  </si>
  <si>
    <t>TELECOMANDO CHEV. AVEO SPARK</t>
  </si>
  <si>
    <t>TELECOMANDO CHEV. CORSA PLUS 1.6</t>
  </si>
  <si>
    <t>TELDMAX</t>
  </si>
  <si>
    <t>TELECOMANDO CHEV. DMAX</t>
  </si>
  <si>
    <t>TELECOMANDO CHEV. SAIL 1.4</t>
  </si>
  <si>
    <t>TELECOMANDO CHEVETTE</t>
  </si>
  <si>
    <t>L110285</t>
  </si>
  <si>
    <t>TELECOMANDO LUCES CHEV. LUV 98/</t>
  </si>
  <si>
    <t>L110280</t>
  </si>
  <si>
    <t>TELECOMANDO LUCES CHEV. LUV 89/</t>
  </si>
  <si>
    <t>L110288</t>
  </si>
  <si>
    <t>TELECOMANDO LUCES CHV LUV 89/</t>
  </si>
  <si>
    <t>TELECOMANDO LUCES NS V16</t>
  </si>
  <si>
    <t>TELECOMANDO LUCES NS.V-16</t>
  </si>
  <si>
    <t>TELECOMANDO-NAVARA</t>
  </si>
  <si>
    <t>TELECOMANDO NISS NAVARA</t>
  </si>
  <si>
    <t>TELECOMANDO NISSAN SENTRA 1.8</t>
  </si>
  <si>
    <t>TELECOMANDO NS. D21 JAPON</t>
  </si>
  <si>
    <t>TELECOMANDO NS. D21 98/ GENUINO</t>
  </si>
  <si>
    <t>TELECOMANDO NS. D21 KA24 /97</t>
  </si>
  <si>
    <t>TELECOMANDO NS. SENTRA 1.8 D21 /94</t>
  </si>
  <si>
    <t>OS-10691</t>
  </si>
  <si>
    <t>TELECOMANDO NS. V16</t>
  </si>
  <si>
    <t>Z000958</t>
  </si>
  <si>
    <t>TELECOMANDO SZ. CARRY</t>
  </si>
  <si>
    <t>TELECOMANDO TY. TERCEL LUCES</t>
  </si>
  <si>
    <t>TENSOR CADENA NISSAN CTAS 2.4 TERRANO</t>
  </si>
  <si>
    <t>TENSOR CADENA MAZDA</t>
  </si>
  <si>
    <t>TENSOR CADENA NISSAN CTAS</t>
  </si>
  <si>
    <t>TENSOR CADENA NISSAN TERRANO YD25</t>
  </si>
  <si>
    <t>TENSOR CADENA NS. D21 KA24</t>
  </si>
  <si>
    <t>TENSOR CADENA NS. D21 KA24 JP.</t>
  </si>
  <si>
    <t>TENSOR CADENA NS. TERRANO 2.5 YD25 ARCO</t>
  </si>
  <si>
    <t>TENSOR CADENA NS. V16 GA16 SUPERIOR</t>
  </si>
  <si>
    <t>TENSOR CADENA SUPERIOR V16 GA16</t>
  </si>
  <si>
    <t>TENSOR CADENA SUZUKI J20</t>
  </si>
  <si>
    <t>TENSOR CADENA TOYOTA NEW YARIS</t>
  </si>
  <si>
    <t>TENSOR CORREA HYUNDAI</t>
  </si>
  <si>
    <t>TENSOR GUIA DER. KIA MORNING 1.2 12/16</t>
  </si>
  <si>
    <t>TENSOR HIDR. MITS. L200 2.5 07/15 DISTRIBUCION</t>
  </si>
  <si>
    <t>TENSOR HY. ELANTRA ECLIPSE HIDRAULICO</t>
  </si>
  <si>
    <t>TENSOR HYUNDAI ACCENT 2007/</t>
  </si>
  <si>
    <t>TENSOR MITS. ROSA FUSO</t>
  </si>
  <si>
    <t>TENSOR SUPERIOR NS. V16 GA16</t>
  </si>
  <si>
    <t>TENSOR SUZUKI</t>
  </si>
  <si>
    <t>TENSOR TENSOR CADENA V-16</t>
  </si>
  <si>
    <t>TER. TOYOTA HILUX W52TA-88</t>
  </si>
  <si>
    <t>AIPS052003</t>
  </si>
  <si>
    <t>TERCERA LUZ DE FRENO MEDIA LUNA</t>
  </si>
  <si>
    <t>TERCERA LUZ DE FRENO TY. KUN PORTALON</t>
  </si>
  <si>
    <t>TERCERA LUZ FRENO</t>
  </si>
  <si>
    <t>AIPS052006</t>
  </si>
  <si>
    <t>ES4053</t>
  </si>
  <si>
    <t>TERCERA LUZ FRENO PEGADA</t>
  </si>
  <si>
    <t>TERM. AXIAL DIREC. NS. SENTRA II 1.6 95/97</t>
  </si>
  <si>
    <t>TERM. AXIAL NS. V16 HIDR.</t>
  </si>
  <si>
    <t>TERM. BARRA EST. CHEV. DMAX 3.0 05/11</t>
  </si>
  <si>
    <t>TERM. CHEV. SPARK EXTERIOR</t>
  </si>
  <si>
    <t>TERM. CHEV. SPARK GT</t>
  </si>
  <si>
    <t>TERM. DIR. CHEV CORSA 14MM</t>
  </si>
  <si>
    <t>L110950</t>
  </si>
  <si>
    <t>TERM. DIR. CHEV. LUV 89/ H/IZQ. BHORKE</t>
  </si>
  <si>
    <t>L110951</t>
  </si>
  <si>
    <t>TERM. DIR. CHEV. LUV 89/ H/DER.</t>
  </si>
  <si>
    <t>TERM. DIR. CHEV. LUV 89/ HILO IZQ.</t>
  </si>
  <si>
    <t>TERM. DIR. CHEV. LUV HILO DER. DMAX</t>
  </si>
  <si>
    <t>TERM. DIR. CHEV. LUV HILO IZQ.</t>
  </si>
  <si>
    <t>TERM. DIR. CHEV. SPARK MATISZ TICO STP</t>
  </si>
  <si>
    <t>TERM. DIR. EXT IZQ. HYUNDAI / KIA</t>
  </si>
  <si>
    <t>TERM. DIR. EXT. CHEV. LUV 2.3</t>
  </si>
  <si>
    <t>TERM. DIR. EXT. DER NISSAN D21</t>
  </si>
  <si>
    <t>TERM. DIR. EXT. DER PEUGEOT 206</t>
  </si>
  <si>
    <t>TERM. DIR. EXT. DER. CHEV LUV 1.6 / 2.0</t>
  </si>
  <si>
    <t>TERM. DIR. EXT. DER. CORTO TY HILUX</t>
  </si>
  <si>
    <t>TERM. DIR. EXT. DER. DAIHATSU</t>
  </si>
  <si>
    <t>TERM. DIR. EXT. DER. HONDA</t>
  </si>
  <si>
    <t>TERM. DIR. EXT. DER. HYUNDAI / KIA</t>
  </si>
  <si>
    <t>TERM. DIR. EXT. DER. TOYOTA YARIS 1.3 / 1.5</t>
  </si>
  <si>
    <t>TERM. DIR. EXT. DER. VOLW. GOLF</t>
  </si>
  <si>
    <t>TERM. DIR. EXT. HY ACCENT</t>
  </si>
  <si>
    <t>TERM. DIR. EXT. HY. ACCENT RIO JB 06/11 DER</t>
  </si>
  <si>
    <t>TERM. DIR. EXT. HYUNDAI / MITSUBISHI</t>
  </si>
  <si>
    <t>TERM. DIR. EXT. HYUNDAI ACCENT</t>
  </si>
  <si>
    <t>TERM. DIR. EXT. INT. MITS. L200 4X2</t>
  </si>
  <si>
    <t>TERM. DIR. EXT. IZQ SUZUKI</t>
  </si>
  <si>
    <t>TERM. DIR. EXT. IZQ. CHEV LUV 1.6 / 2.0</t>
  </si>
  <si>
    <t>TERM. DIR. EXT. IZQ. HYUNDAI / KIA</t>
  </si>
  <si>
    <t>TERM. DIR. EXT. IZQ. PEUGEOT</t>
  </si>
  <si>
    <t>TERM. DIR. EXT. IZQ. VOLK. GOLF 84/97</t>
  </si>
  <si>
    <t>TERM. DIR. EXT. MITS L200 2.4 / 2.5</t>
  </si>
  <si>
    <t>TERM. DIR. EXT. MITS. L200 KATANA 4X4</t>
  </si>
  <si>
    <t>TERM. DIR. EXT. MT. L200 KATANA</t>
  </si>
  <si>
    <t>TERM. DIR. EXT. NS. D-21 ATSUKI</t>
  </si>
  <si>
    <t>TERM. DIR. EXT. NS. D21 HILO DER. CTR</t>
  </si>
  <si>
    <t>TERM. DIR. EXT. SUZUKI ALTO 2006/ ATSUKI</t>
  </si>
  <si>
    <t>TERM. DIR. EXT. SZ. VITARA CTR</t>
  </si>
  <si>
    <t>TERM. DIR. EXT. TY. HILUX 2.7</t>
  </si>
  <si>
    <t>TERM. DIR. EXTR TERRANO D21</t>
  </si>
  <si>
    <t>TERM. DIR. EXTR. DER MAZDA 323</t>
  </si>
  <si>
    <t>TERM. DIR. EXTR. DER NS NAVARA 2.5</t>
  </si>
  <si>
    <t>TERM. DIR. EXTR. DER-IZQ NISSAN D21 4X2</t>
  </si>
  <si>
    <t>TERM. DIR. EXTR. IZQ. NISSAN LAUREL 14MM</t>
  </si>
  <si>
    <t>TY00372</t>
  </si>
  <si>
    <t>TERM. DIR. EXTR. IZQ. TOYOTA YARIS</t>
  </si>
  <si>
    <t>TERM. DIR. EXTR. SUZUKI JEEP</t>
  </si>
  <si>
    <t>TERM. DIR. FORD ECOSPORT 13/18</t>
  </si>
  <si>
    <t>TERM. DIR. INT. CHEV. APACHE S-10</t>
  </si>
  <si>
    <t>TERM. DIR. INT. CHEV. C1500 AND</t>
  </si>
  <si>
    <t>TERM. DIR. INT. DER. NS. 150Y AND</t>
  </si>
  <si>
    <t>TERM. DIR. INT. IZQ. HILO DER. CHEV LUV</t>
  </si>
  <si>
    <t>TERM. DIR. INT. MAZDA BT-50</t>
  </si>
  <si>
    <t>TERM. DIR. INT. MITS. L200 KATANA</t>
  </si>
  <si>
    <t>TERM. DIR. INT. NISSAN D21 4X4</t>
  </si>
  <si>
    <t>TERM. DIR. INT. NS TERRANO</t>
  </si>
  <si>
    <t>TERM. DIR. INT. NS. D-21 ATSUKI</t>
  </si>
  <si>
    <t>TERM. DIR. MAZDA BT-50</t>
  </si>
  <si>
    <t>TERM. dir. mit. lancer</t>
  </si>
  <si>
    <t>TERM. DIR. MITS. L200</t>
  </si>
  <si>
    <t>TERM. DIR. MITS. L200 KT. DK. CTR</t>
  </si>
  <si>
    <t>TERM. DIR. MITSUBISHI L200 4X4</t>
  </si>
  <si>
    <t>TERM. DIR. NISSAN</t>
  </si>
  <si>
    <t>TERM. DIR. NISSAN CTAS</t>
  </si>
  <si>
    <t>TERM. DIR. NS. NAVARA IZQ. DUNLOP</t>
  </si>
  <si>
    <t>TERM. DIR. NS. TIIDA DER. STP</t>
  </si>
  <si>
    <t>TERM. DIR. NS. TIIDA EXT. DER. CTR</t>
  </si>
  <si>
    <t>TERM. DIR. NS. TIIDA IZQ. STP</t>
  </si>
  <si>
    <t>TERM. DIR. TY. HILUX 2.4</t>
  </si>
  <si>
    <t>TERM. DIR. V16 CORTO</t>
  </si>
  <si>
    <t>TERM. DIR.EXT. NS. MARCH 1000 CTR</t>
  </si>
  <si>
    <t>TERM. DIR.INT. TY HILUX 22R</t>
  </si>
  <si>
    <t>TERM. DIREC. INTER. IZQ. CURVA MACHO MITSUBISHI</t>
  </si>
  <si>
    <t>TDTY</t>
  </si>
  <si>
    <t>TERM. DIRECCION TY. HILUX 3.0</t>
  </si>
  <si>
    <t>TERM. EXT. NS. D-21 CTR</t>
  </si>
  <si>
    <t>TERM. EXT. TOYOTA HILUX 2.5</t>
  </si>
  <si>
    <t>TERM. HY. WV54MC-82</t>
  </si>
  <si>
    <t>TERM. INT. DER. IZQ. D21</t>
  </si>
  <si>
    <t>TERM. INT. NS. D21 HILO IZQ. CTR</t>
  </si>
  <si>
    <t>TERM. NISSAN D21</t>
  </si>
  <si>
    <t>TERM. NISSAN V16 GA16 WV48B-76.5 JAPON</t>
  </si>
  <si>
    <t>TERM. NS. D21 INT</t>
  </si>
  <si>
    <t>TERM. NS. TERRANO D22 INTERIOR 4X4</t>
  </si>
  <si>
    <t>TERM. NS. TIIDA EXT. IZQ. CTR</t>
  </si>
  <si>
    <t>TERM. TY. YARIS 06/13 IZQ.</t>
  </si>
  <si>
    <t>TERM. TY. YARIS 99-05 EXT. IZQ.</t>
  </si>
  <si>
    <t>TERM. TY. YARIS EXT. IZQ.</t>
  </si>
  <si>
    <t>TERM. TY. YARIS EXTERIOR DER. 99-05 CTR</t>
  </si>
  <si>
    <t>TERM. W52ER-82 HYUNDAI</t>
  </si>
  <si>
    <t>TERMINAL BARRA TRAS IZQ. HONDA</t>
  </si>
  <si>
    <t>terbor</t>
  </si>
  <si>
    <t>TERMINAL borne bateria</t>
  </si>
  <si>
    <t>TERMINAL CHEV. MONZA 92 0°C</t>
  </si>
  <si>
    <t>TERMINAL DIR. EXT IZQ. VW GOLF ATSUKI</t>
  </si>
  <si>
    <t>TERMINAL DIR. EXTR DER-IZQ NS SENTRAII</t>
  </si>
  <si>
    <t>TERMINAL DIR. NISSAN D21</t>
  </si>
  <si>
    <t>TERMINAL DIR. NS. NAVARA DER. DUNLOP</t>
  </si>
  <si>
    <t>TERMINAL DIRC. EXT. DER. JEEP CHEROKEE</t>
  </si>
  <si>
    <t>TERMINAL DIREC EXTR 4X4 TERRANO</t>
  </si>
  <si>
    <t>TERMINAL DIREC NISSAN V16</t>
  </si>
  <si>
    <t>TERMINAL DIREC. EXTERIOR SZ FRONTE / MARUTI</t>
  </si>
  <si>
    <t>TERMINAL DIRECC INT DER IZQ</t>
  </si>
  <si>
    <t>TERMINAL DIRECCION DER NEW YARIS</t>
  </si>
  <si>
    <t>termelectr</t>
  </si>
  <si>
    <t>TERMELECTR</t>
  </si>
  <si>
    <t>TERMINAL ELECTRICO</t>
  </si>
  <si>
    <t>TERMINAL EXTREMO DIRECCION DERECHO HYUNDAI ACCENT RB</t>
  </si>
  <si>
    <t>TERMINAL INT IZQ CHEV S10 2.2</t>
  </si>
  <si>
    <t>TERMINAL KIA RIO 4</t>
  </si>
  <si>
    <t>TERMINAL-CELERIO</t>
  </si>
  <si>
    <t>TERMINAL SZ. CELERIO</t>
  </si>
  <si>
    <t>TERMINALES</t>
  </si>
  <si>
    <t>TERMINALES HEMBRA ROJO</t>
  </si>
  <si>
    <t>termo</t>
  </si>
  <si>
    <t>TERMO</t>
  </si>
  <si>
    <t>TERMOSTATO</t>
  </si>
  <si>
    <t>TERMOSTATO 80ª SSANGYONG</t>
  </si>
  <si>
    <t>TERMOSTATO 83ª SUZUKI - PEUGEOT</t>
  </si>
  <si>
    <t>TERMOSTATO 87ª VOLKSWAGEN GOL</t>
  </si>
  <si>
    <t>TERMOSTATO 92 ª FORD EXPLORER</t>
  </si>
  <si>
    <t>TERMOSTATO 92ª OPEL CORSA</t>
  </si>
  <si>
    <t>TERMOSTATO ASIA TOPIC 76.5 SHIN HWA</t>
  </si>
  <si>
    <t>TERMOSTATO CHEV DMAX WV54I-85</t>
  </si>
  <si>
    <t>TERMOSTATO CHEV LUV 2.2</t>
  </si>
  <si>
    <t>TERMOSTATO CHEV. AVEO</t>
  </si>
  <si>
    <t>TERMOSTATO CHEV. AVEO 88º</t>
  </si>
  <si>
    <t>TERMOSTATO CHEV. CORSA</t>
  </si>
  <si>
    <t>TERMOSTATO CHEV. CORSA 99/</t>
  </si>
  <si>
    <t>TERMOSTATO CHEV. CORSA FIAT PALIO STRADA</t>
  </si>
  <si>
    <t>TERMOSTATO CHEV. CRUZE</t>
  </si>
  <si>
    <t>TERMOSTATO CHEV. CRUZE SONIC TRACKER CAPTIVA</t>
  </si>
  <si>
    <t>TERMOSTATO CHEV. LUV 2.2</t>
  </si>
  <si>
    <t>TERMOSTATO CHEV. SAIL 1.4</t>
  </si>
  <si>
    <t>TERMOSTATO CHEV. SPARK GT C/CARCAZA</t>
  </si>
  <si>
    <t>TERMOSTATO CHEV. VIVANT OPTRA</t>
  </si>
  <si>
    <t>TERMOSTATO CHEVR. WV64IA-85 DMAX</t>
  </si>
  <si>
    <t>TERMOSTATO COMPLETO CHEV SONIC</t>
  </si>
  <si>
    <t>TERMOSTATO COMPLETO CRUZE SONIC TRACKER</t>
  </si>
  <si>
    <t>TERMOSTATO COMPLETO FORD FIESTA</t>
  </si>
  <si>
    <t>TERMOSTATO CORSA BHORKE</t>
  </si>
  <si>
    <t>TERMOSTATO CORSA 92º MONTANA</t>
  </si>
  <si>
    <t>TERMOSTATO DAEWOO</t>
  </si>
  <si>
    <t>TERMOSTATO DAIHATSU W44SC-88 GIRO</t>
  </si>
  <si>
    <t>TERMOSTATO DG DAKOTA 88.0°</t>
  </si>
  <si>
    <t>TERMOSTATO DODGE 90</t>
  </si>
  <si>
    <t>TERMOSTATO FIAT FIORINO- PALIO- SIENA- STRADA</t>
  </si>
  <si>
    <t>TERMOSTATO FORD ECOSPORT</t>
  </si>
  <si>
    <t>TERMOSTATO FORD ECOSPORT FIESTA</t>
  </si>
  <si>
    <t>TERMOSTATO FORD FIESTA ECOSPORT 1.6 03-12</t>
  </si>
  <si>
    <t>TERMOSTATO FORD RANGER 82 0°C</t>
  </si>
  <si>
    <t>TERMOSTATO FORD RANGER 88</t>
  </si>
  <si>
    <t>TERMOSTATO FORD RANGER ECOSPORT</t>
  </si>
  <si>
    <t>TERMOSTATO HONDA WV52BC-78</t>
  </si>
  <si>
    <t>TERMOSTATO HY. ACCENT RB MORNING</t>
  </si>
  <si>
    <t>H700510</t>
  </si>
  <si>
    <t>TERMOSTATO HY. ACCENT WV54BC-82</t>
  </si>
  <si>
    <t>TERMOSTATO HY. ACCENT WV5BC-82</t>
  </si>
  <si>
    <t>TERMOSTATO HY. H100 H1 W52E-88</t>
  </si>
  <si>
    <t>TERMOSTATO HY. MITS. WV56TC-80</t>
  </si>
  <si>
    <t>TERMOSTATO HYUNDAI</t>
  </si>
  <si>
    <t>TERMOSTATO HYUNDAI WV56MC-82</t>
  </si>
  <si>
    <t>TERMOSTATO HYUNDAI WV54MC-82</t>
  </si>
  <si>
    <t>TERMOSTATO JEEP GRAN CHEROKEE 92</t>
  </si>
  <si>
    <t>TERMOSTATO KIA CARENS</t>
  </si>
  <si>
    <t>TERMOSTATO KIA CARNIVAL</t>
  </si>
  <si>
    <t>TERMOSTATO KIA CLARUS 85 0°C</t>
  </si>
  <si>
    <t>TERMOSTATO KIA SPORTAGE</t>
  </si>
  <si>
    <t>K500490</t>
  </si>
  <si>
    <t>TERMOSTATO KIA W52ER-82</t>
  </si>
  <si>
    <t>TERMOSTATO MAHINDRA</t>
  </si>
  <si>
    <t>TERMOSTATO MAZDA 3/5/6</t>
  </si>
  <si>
    <t>TERMOSTATO MITSUBISHI WV56MC-76.5</t>
  </si>
  <si>
    <t>TERMOSTATO NISSAN PATHFINDER</t>
  </si>
  <si>
    <t>TERMOSTATO NISSAN WV54BN-76.5 OSSCA</t>
  </si>
  <si>
    <t>TERMOSTATO NISSAN WV64MC-82</t>
  </si>
  <si>
    <t>TERMOSTATO NS PATHIFINDER 3.5 02/07</t>
  </si>
  <si>
    <t>TERMOSTATO NS. D21 WV54BN-76.5</t>
  </si>
  <si>
    <t>TERMOSTATO NS. TERRANO WV64MC-82</t>
  </si>
  <si>
    <t>TERMOSTATO NS. TERRANO WV64MC-82 HY. MIT.</t>
  </si>
  <si>
    <t>TERMOSTATO NS. TIIDA</t>
  </si>
  <si>
    <t>TERMOSTATO NS. V16 WV48B-76.5 GA16 ECHLIN</t>
  </si>
  <si>
    <t>TERMOSTATO NS. V16 WV48B-82 GA16 MORNING</t>
  </si>
  <si>
    <t>TERMOSTATO NS. W54-76.5</t>
  </si>
  <si>
    <t>TERMOSTATO OPTRA VIVANT</t>
  </si>
  <si>
    <t>TERMOSTATO SM3</t>
  </si>
  <si>
    <t>TERMOSTATO SPARK MATIZ TICO</t>
  </si>
  <si>
    <t>TERMOSTATO SUBARU W56 FA -78.</t>
  </si>
  <si>
    <t>TERMOSTATO SUZUKI W52SR-82</t>
  </si>
  <si>
    <t>TERMOSTATO SZ. MASTERVAN APV W44DX-82</t>
  </si>
  <si>
    <t>TY01298</t>
  </si>
  <si>
    <t>TERMOSTATO TOYOTA WV56TB-82</t>
  </si>
  <si>
    <t>TERMOSTATO TY. WV60TA-82 KUN</t>
  </si>
  <si>
    <t>TY50900</t>
  </si>
  <si>
    <t>TERMOSTATO TY. YARIS ECHLIN</t>
  </si>
  <si>
    <t>TERMOSTATO TY.YARIS WV56TA-82 .</t>
  </si>
  <si>
    <t>TERMOSTATO W44DC-88 SZ. BALENO</t>
  </si>
  <si>
    <t>TERMOSTATO W44SB-82 DAIHATSU</t>
  </si>
  <si>
    <t>TERMOSTATO W52E-82 SUZUKI</t>
  </si>
  <si>
    <t>TERMOSTATO W52E-88 TOY. HYUNDAI</t>
  </si>
  <si>
    <t>TERMOSTATO W52SE-82 SUZUKI AEREO VITARA</t>
  </si>
  <si>
    <t>TERMOSTATO W52SR-82 SUZUKI</t>
  </si>
  <si>
    <t>TERMOSTATO W54-82 NISSAN V16 T.R.</t>
  </si>
  <si>
    <t>TERMOSTATO W54E-76.5 CHEV. LUV 2.3</t>
  </si>
  <si>
    <t>L111870</t>
  </si>
  <si>
    <t>TERMOSTATO W54E-76.5 LUV</t>
  </si>
  <si>
    <t>TERMOSTATO W54MA-88 KIA</t>
  </si>
  <si>
    <t>TERMOSTATO W54NB-82 TIIDA</t>
  </si>
  <si>
    <t>TERMOSTATO WV48B-76.5 NISSAN V16</t>
  </si>
  <si>
    <t>TERMOSTATO WV48B-76.5 NS. V16 GA16 ECHLIN</t>
  </si>
  <si>
    <t>TERMOSTATO WV48B-76.5 V16 GA16</t>
  </si>
  <si>
    <t>H900710</t>
  </si>
  <si>
    <t>TERMOSTATO WV48B-80 TY. HILUX TERCEL WINGLE</t>
  </si>
  <si>
    <t>TERMOSTATO WV48B-82 KIA</t>
  </si>
  <si>
    <t>TERMOSTATO WV48B-82 TOYOTA</t>
  </si>
  <si>
    <t>TERMOSTATO WV52DC-84 DAIHATSU</t>
  </si>
  <si>
    <t>TERMOSTATO WV52MA-82 RANGER / MAZDA</t>
  </si>
  <si>
    <t>TERMOSTATO WV54BC-82 ACCENT</t>
  </si>
  <si>
    <t>TERMOSTATO WV54BC-82 HY. ACCENT</t>
  </si>
  <si>
    <t>TERMOSTATO WV54BN-76.5 D21 ECHLIN</t>
  </si>
  <si>
    <t>TERMOSTATO WV75M-82A HY. MITS.</t>
  </si>
  <si>
    <t>TERMOSTATO WW54EM-88 MAZDA</t>
  </si>
  <si>
    <t>TERMOSTATO COMPLETO NP300 9951888</t>
  </si>
  <si>
    <t>TERMOTASTO NISSAN W54-82</t>
  </si>
  <si>
    <t>TONGO</t>
  </si>
  <si>
    <t>TONGO BUJIA ANCHO</t>
  </si>
  <si>
    <t>TORNH1</t>
  </si>
  <si>
    <t>TORNILLO REG. BALANCIN</t>
  </si>
  <si>
    <t>TRABA PERNO LIQUI MOLY</t>
  </si>
  <si>
    <t>TRABA PERNO LOCTITE 271 6ml. TRABAJO PESADO</t>
  </si>
  <si>
    <t>0N003397</t>
  </si>
  <si>
    <t>TRAS. DER. NAVARA</t>
  </si>
  <si>
    <t>TURBO CHEVROLET DMAX</t>
  </si>
  <si>
    <t>TURBO FORD RANGER BT50</t>
  </si>
  <si>
    <t>TURBO HY. H-100 2.5 D4BF 98-04 PORTER 8 VAL.</t>
  </si>
  <si>
    <t>TURBO HYUNDAI D4BH</t>
  </si>
  <si>
    <t>KC01075</t>
  </si>
  <si>
    <t>TURBO KIA CARENS / TUCSON</t>
  </si>
  <si>
    <t>TURBO KIA FRONTIER D4CB EURO 5 2831-4A800</t>
  </si>
  <si>
    <t>TURBO MITS. L-200 2.5 4D56 13-16 BHORKE</t>
  </si>
  <si>
    <t>TURBO MITS. L200 2.5 01/07 MR-968080</t>
  </si>
  <si>
    <t>TURBO NISSAN NAVARA 2007/</t>
  </si>
  <si>
    <t>TURBO NS NP300</t>
  </si>
  <si>
    <t>TURBO NS TERRANO 2.5</t>
  </si>
  <si>
    <t>TURBO NS. TERRANO 2000/10 ATSUKI</t>
  </si>
  <si>
    <t>TURBO NS. TERRANO 2.5</t>
  </si>
  <si>
    <t>TURBO NS. TERRANO 2.5 2010/ MEXICO</t>
  </si>
  <si>
    <t>TURBO NS. TERRANO 2.5 YD25</t>
  </si>
  <si>
    <t>TURBO</t>
  </si>
  <si>
    <t>TURBO PEUGEOT</t>
  </si>
  <si>
    <t>TURBOTY</t>
  </si>
  <si>
    <t>TURBO TOYOTA</t>
  </si>
  <si>
    <t>TURBO XX</t>
  </si>
  <si>
    <t>TY. DINA GWT -110</t>
  </si>
  <si>
    <t>VALVULA CONTROL DE GASES KIA SPORTAGE HY. ELANTRA TUCSON</t>
  </si>
  <si>
    <t>VALVULA CONTROL SUCCION NS. NAVARA</t>
  </si>
  <si>
    <t>VALVULA IAC CHEV. AVEO SPARK ECHLIN</t>
  </si>
  <si>
    <t>senprter</t>
  </si>
  <si>
    <t>SENPRTER</t>
  </si>
  <si>
    <t>VALVULA PRESION COMBUSTIBLE TERRANO</t>
  </si>
  <si>
    <t>VALVULA-CONTROL</t>
  </si>
  <si>
    <t>VALVULA SENSOR</t>
  </si>
  <si>
    <t>VALVULA VVT HY. ACCENT RB MORNING 1.2 MOBIS</t>
  </si>
  <si>
    <t>varis</t>
  </si>
  <si>
    <t>VARIS</t>
  </si>
  <si>
    <t>VARILLA ALZA VALVULA ISUZU</t>
  </si>
  <si>
    <t>V-1/32</t>
  </si>
  <si>
    <t>VELLUMOIDE 1/32 0.8MM</t>
  </si>
  <si>
    <t>VOLANTE HY. H1 2.5 12/14</t>
  </si>
  <si>
    <t>HA00570</t>
  </si>
  <si>
    <t>VOLANTE HY. TERRACAN 2.9 01/07 250mm</t>
  </si>
  <si>
    <t>VOLANTE HYUNDAI H1</t>
  </si>
  <si>
    <t>VOLMB</t>
  </si>
  <si>
    <t>VOLANTE INERCIA M. BENZ</t>
  </si>
  <si>
    <t>VOLANTE INERSIA VOLSWAGEN</t>
  </si>
  <si>
    <t>VOLANTE MOTOR CHEV. CRUZE</t>
  </si>
  <si>
    <t>VOLANTE MOTOR HY. SANTA FE 2.4 2010/</t>
  </si>
  <si>
    <t>VOLANTE MOTOR NS. NAVARA 7/13 250mm</t>
  </si>
  <si>
    <t>MD80020</t>
  </si>
  <si>
    <t>VOLANTE MZ BT-50 06/12</t>
  </si>
  <si>
    <t>WD-40 155G</t>
  </si>
  <si>
    <t>A500003</t>
  </si>
  <si>
    <t>WD-40 W80 252</t>
  </si>
  <si>
    <t>KIT-EMBRAGUE-ZOTIE</t>
  </si>
  <si>
    <t>ZOTIE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</si>
</sst>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17" fontId="18" fillId="0" borderId="0" xfId="0" applyNumberFormat="1" applyFont="1" applyAlignment="1">
      <alignment wrapText="1"/>
    </xf>
    <xf numFmtId="3" fontId="18" fillId="0" borderId="0" xfId="0" applyNumberFormat="1" applyFont="1" applyAlignment="1">
      <alignment wrapText="1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04"/>
  <sheetViews>
    <sheetView showGridLines="0" tabSelected="1" topLeftCell="A3324" workbookViewId="0">
      <selection activeCell="D3324" sqref="D1:D1048576"/>
    </sheetView>
  </sheetViews>
  <sheetFormatPr defaultColWidth="11.42578125" defaultRowHeight="14.45"/>
  <cols>
    <col min="1" max="1" width="15.7109375" bestFit="1" customWidth="1"/>
    <col min="2" max="2" width="31" bestFit="1" customWidth="1"/>
    <col min="3" max="3" width="23.7109375" bestFit="1" customWidth="1"/>
    <col min="4" max="4" width="51.28515625" customWidth="1"/>
    <col min="5" max="5" width="16.85546875" bestFit="1" customWidth="1"/>
  </cols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7">
      <c r="A2" s="2" t="s">
        <v>5</v>
      </c>
      <c r="B2" s="2" t="s">
        <v>6</v>
      </c>
      <c r="C2" s="2" t="s">
        <v>6</v>
      </c>
      <c r="D2" s="2" t="s">
        <v>7</v>
      </c>
      <c r="E2" s="2">
        <v>900</v>
      </c>
    </row>
    <row r="3" spans="1:7">
      <c r="A3" s="2" t="s">
        <v>5</v>
      </c>
      <c r="B3" s="2" t="s">
        <v>8</v>
      </c>
      <c r="C3" s="2" t="s">
        <v>9</v>
      </c>
      <c r="D3" s="2" t="s">
        <v>10</v>
      </c>
      <c r="E3" s="2">
        <v>900</v>
      </c>
    </row>
    <row r="4" spans="1:7">
      <c r="A4" s="2" t="s">
        <v>5</v>
      </c>
      <c r="B4" s="2" t="s">
        <v>11</v>
      </c>
      <c r="C4" s="2" t="s">
        <v>12</v>
      </c>
      <c r="D4" s="2" t="s">
        <v>13</v>
      </c>
      <c r="E4" s="2">
        <v>750</v>
      </c>
    </row>
    <row r="5" spans="1:7">
      <c r="A5" s="2" t="s">
        <v>5</v>
      </c>
      <c r="B5" s="2" t="s">
        <v>14</v>
      </c>
      <c r="C5" s="2" t="s">
        <v>14</v>
      </c>
      <c r="D5" s="2" t="s">
        <v>15</v>
      </c>
      <c r="E5" s="2">
        <v>800</v>
      </c>
    </row>
    <row r="6" spans="1:7">
      <c r="A6" s="2" t="s">
        <v>5</v>
      </c>
      <c r="B6" s="2" t="s">
        <v>16</v>
      </c>
      <c r="C6" s="2" t="s">
        <v>16</v>
      </c>
      <c r="D6" s="2" t="s">
        <v>17</v>
      </c>
      <c r="E6" s="2">
        <v>500</v>
      </c>
    </row>
    <row r="7" spans="1:7">
      <c r="A7" s="2" t="s">
        <v>5</v>
      </c>
      <c r="B7" s="3">
        <v>36982</v>
      </c>
      <c r="C7" s="2" t="s">
        <v>18</v>
      </c>
      <c r="D7" s="2" t="s">
        <v>19</v>
      </c>
      <c r="E7" s="2">
        <v>500</v>
      </c>
      <c r="G7" s="5"/>
    </row>
    <row r="8" spans="1:7">
      <c r="A8" s="2" t="s">
        <v>5</v>
      </c>
      <c r="B8" s="2" t="s">
        <v>20</v>
      </c>
      <c r="C8" s="2" t="s">
        <v>20</v>
      </c>
      <c r="D8" s="2" t="s">
        <v>21</v>
      </c>
      <c r="E8" s="2">
        <v>750</v>
      </c>
    </row>
    <row r="9" spans="1:7">
      <c r="A9" s="2" t="s">
        <v>5</v>
      </c>
      <c r="B9" s="2" t="s">
        <v>22</v>
      </c>
      <c r="C9" s="2" t="s">
        <v>23</v>
      </c>
      <c r="D9" s="2" t="s">
        <v>24</v>
      </c>
      <c r="E9" s="2">
        <v>400</v>
      </c>
    </row>
    <row r="10" spans="1:7">
      <c r="A10" s="2" t="s">
        <v>5</v>
      </c>
      <c r="B10" s="2" t="str">
        <f>"12MM"</f>
        <v>12MM</v>
      </c>
      <c r="C10" s="2" t="str">
        <f>"12MM"</f>
        <v>12MM</v>
      </c>
      <c r="D10" s="2" t="s">
        <v>25</v>
      </c>
      <c r="E10" s="2">
        <v>250</v>
      </c>
    </row>
    <row r="11" spans="1:7">
      <c r="A11" s="2" t="s">
        <v>5</v>
      </c>
      <c r="B11" s="2" t="s">
        <v>26</v>
      </c>
      <c r="C11" s="2" t="s">
        <v>26</v>
      </c>
      <c r="D11" s="2" t="s">
        <v>27</v>
      </c>
      <c r="E11" s="2">
        <v>600</v>
      </c>
    </row>
    <row r="12" spans="1:7">
      <c r="A12" s="2" t="s">
        <v>5</v>
      </c>
      <c r="B12" s="2" t="s">
        <v>28</v>
      </c>
      <c r="C12" s="2" t="s">
        <v>28</v>
      </c>
      <c r="D12" s="2" t="s">
        <v>29</v>
      </c>
      <c r="E12" s="2">
        <v>600</v>
      </c>
    </row>
    <row r="13" spans="1:7">
      <c r="A13" s="2" t="s">
        <v>5</v>
      </c>
      <c r="B13" s="2" t="str">
        <f>"16MM"</f>
        <v>16MM</v>
      </c>
      <c r="C13" s="2" t="str">
        <f>"16MM"</f>
        <v>16MM</v>
      </c>
      <c r="D13" s="2" t="s">
        <v>30</v>
      </c>
      <c r="E13" s="2">
        <v>300</v>
      </c>
    </row>
    <row r="14" spans="1:7">
      <c r="A14" s="2" t="s">
        <v>5</v>
      </c>
      <c r="B14" s="2" t="str">
        <f>"1E"</f>
        <v>1E</v>
      </c>
      <c r="C14" s="2" t="str">
        <f>"1E"</f>
        <v>1E</v>
      </c>
      <c r="D14" s="2" t="s">
        <v>31</v>
      </c>
      <c r="E14" s="2">
        <v>700</v>
      </c>
    </row>
    <row r="15" spans="1:7">
      <c r="A15" s="2" t="s">
        <v>5</v>
      </c>
      <c r="B15" s="2" t="s">
        <v>32</v>
      </c>
      <c r="C15" s="2" t="s">
        <v>32</v>
      </c>
      <c r="D15" s="2" t="s">
        <v>33</v>
      </c>
      <c r="E15" s="2">
        <v>900</v>
      </c>
    </row>
    <row r="16" spans="1:7">
      <c r="A16" s="2" t="s">
        <v>5</v>
      </c>
      <c r="B16" s="2" t="s">
        <v>34</v>
      </c>
      <c r="C16" s="2" t="s">
        <v>34</v>
      </c>
      <c r="D16" s="2" t="s">
        <v>35</v>
      </c>
      <c r="E16" s="2">
        <v>700</v>
      </c>
    </row>
    <row r="17" spans="1:5">
      <c r="A17" s="2" t="s">
        <v>5</v>
      </c>
      <c r="B17" s="2" t="str">
        <f>"1643292107718"</f>
        <v>1643292107718</v>
      </c>
      <c r="C17" s="2" t="str">
        <f>"1643292107718"</f>
        <v>1643292107718</v>
      </c>
      <c r="D17" s="2" t="s">
        <v>36</v>
      </c>
      <c r="E17" s="2">
        <v>400</v>
      </c>
    </row>
    <row r="18" spans="1:5">
      <c r="A18" s="2" t="s">
        <v>5</v>
      </c>
      <c r="B18" s="2" t="s">
        <v>37</v>
      </c>
      <c r="C18" s="2" t="s">
        <v>37</v>
      </c>
      <c r="D18" s="2" t="s">
        <v>38</v>
      </c>
      <c r="E18" s="2">
        <v>800</v>
      </c>
    </row>
    <row r="19" spans="1:5">
      <c r="A19" s="2" t="s">
        <v>5</v>
      </c>
      <c r="B19" s="2" t="s">
        <v>39</v>
      </c>
      <c r="C19" s="2" t="s">
        <v>39</v>
      </c>
      <c r="D19" s="2" t="s">
        <v>40</v>
      </c>
      <c r="E19" s="4">
        <v>1000</v>
      </c>
    </row>
    <row r="20" spans="1:5">
      <c r="A20" s="2" t="s">
        <v>5</v>
      </c>
      <c r="B20" s="2" t="s">
        <v>41</v>
      </c>
      <c r="C20" s="2" t="s">
        <v>41</v>
      </c>
      <c r="D20" s="2" t="s">
        <v>42</v>
      </c>
      <c r="E20" s="4">
        <v>1000</v>
      </c>
    </row>
    <row r="21" spans="1:5">
      <c r="A21" s="2" t="s">
        <v>5</v>
      </c>
      <c r="B21" s="2" t="s">
        <v>43</v>
      </c>
      <c r="C21" s="2" t="s">
        <v>43</v>
      </c>
      <c r="D21" s="2" t="s">
        <v>44</v>
      </c>
      <c r="E21" s="4">
        <v>1200</v>
      </c>
    </row>
    <row r="22" spans="1:5">
      <c r="A22" s="2" t="s">
        <v>5</v>
      </c>
      <c r="B22" s="2" t="str">
        <f>"43700"</f>
        <v>43700</v>
      </c>
      <c r="C22" s="2" t="str">
        <f>"43700"</f>
        <v>43700</v>
      </c>
      <c r="D22" s="2" t="s">
        <v>45</v>
      </c>
      <c r="E22" s="4">
        <v>1500</v>
      </c>
    </row>
    <row r="23" spans="1:5">
      <c r="A23" s="2" t="s">
        <v>46</v>
      </c>
      <c r="B23" s="2" t="str">
        <f>"100099-136"</f>
        <v>100099-136</v>
      </c>
      <c r="C23" s="2" t="str">
        <f>"100099"</f>
        <v>100099</v>
      </c>
      <c r="D23" s="2" t="s">
        <v>47</v>
      </c>
      <c r="E23" s="4">
        <v>19600</v>
      </c>
    </row>
    <row r="24" spans="1:5">
      <c r="A24" s="2" t="s">
        <v>46</v>
      </c>
      <c r="B24" s="2" t="str">
        <f>"100075-136"</f>
        <v>100075-136</v>
      </c>
      <c r="C24" s="2" t="str">
        <f>"100075"</f>
        <v>100075</v>
      </c>
      <c r="D24" s="2" t="s">
        <v>48</v>
      </c>
      <c r="E24" s="4">
        <v>16100</v>
      </c>
    </row>
    <row r="25" spans="1:5">
      <c r="A25" s="2" t="s">
        <v>46</v>
      </c>
      <c r="B25" s="2" t="str">
        <f>"20W50"</f>
        <v>20W50</v>
      </c>
      <c r="C25" s="2" t="str">
        <f>"20 W 50"</f>
        <v>20 W 50</v>
      </c>
      <c r="D25" s="2" t="s">
        <v>49</v>
      </c>
      <c r="E25" s="4">
        <v>4300</v>
      </c>
    </row>
    <row r="26" spans="1:5">
      <c r="A26" s="2" t="s">
        <v>46</v>
      </c>
      <c r="B26" s="2" t="str">
        <f>"7501799103307"</f>
        <v>7501799103307</v>
      </c>
      <c r="C26" s="2" t="s">
        <v>50</v>
      </c>
      <c r="D26" s="2" t="s">
        <v>51</v>
      </c>
      <c r="E26" s="4">
        <v>5800</v>
      </c>
    </row>
    <row r="27" spans="1:5">
      <c r="A27" s="2" t="s">
        <v>46</v>
      </c>
      <c r="B27" s="2" t="s">
        <v>52</v>
      </c>
      <c r="C27" s="2" t="s">
        <v>52</v>
      </c>
      <c r="D27" s="2" t="s">
        <v>53</v>
      </c>
      <c r="E27" s="4">
        <v>10500</v>
      </c>
    </row>
    <row r="28" spans="1:5">
      <c r="A28" s="2" t="s">
        <v>46</v>
      </c>
      <c r="B28" s="2" t="s">
        <v>54</v>
      </c>
      <c r="C28" s="2" t="s">
        <v>54</v>
      </c>
      <c r="D28" s="2" t="s">
        <v>55</v>
      </c>
      <c r="E28" s="4">
        <v>3500</v>
      </c>
    </row>
    <row r="29" spans="1:5">
      <c r="A29" s="2" t="s">
        <v>46</v>
      </c>
      <c r="B29" s="2" t="s">
        <v>56</v>
      </c>
      <c r="C29" s="2" t="s">
        <v>56</v>
      </c>
      <c r="D29" s="2" t="s">
        <v>57</v>
      </c>
      <c r="E29" s="4">
        <v>9000</v>
      </c>
    </row>
    <row r="30" spans="1:5">
      <c r="A30" s="2" t="s">
        <v>46</v>
      </c>
      <c r="B30" s="2" t="str">
        <f>"03933C"</f>
        <v>03933C</v>
      </c>
      <c r="C30" s="2" t="s">
        <v>58</v>
      </c>
      <c r="D30" s="2" t="s">
        <v>59</v>
      </c>
      <c r="E30" s="4">
        <v>29500</v>
      </c>
    </row>
    <row r="31" spans="1:5">
      <c r="A31" s="2" t="s">
        <v>46</v>
      </c>
      <c r="B31" s="2" t="str">
        <f>"15C6CD"</f>
        <v>15C6CD</v>
      </c>
      <c r="C31" s="2" t="str">
        <f>"15C6CD"</f>
        <v>15C6CD</v>
      </c>
      <c r="D31" s="2" t="s">
        <v>60</v>
      </c>
      <c r="E31" s="4">
        <v>29000</v>
      </c>
    </row>
    <row r="32" spans="1:5">
      <c r="A32" s="2" t="s">
        <v>46</v>
      </c>
      <c r="B32" s="2" t="str">
        <f>"03751C"</f>
        <v>03751C</v>
      </c>
      <c r="C32" s="2" t="s">
        <v>61</v>
      </c>
      <c r="D32" s="2" t="s">
        <v>62</v>
      </c>
      <c r="E32" s="4">
        <v>14000</v>
      </c>
    </row>
    <row r="33" spans="1:5">
      <c r="A33" s="2" t="s">
        <v>46</v>
      </c>
      <c r="B33" s="2" t="str">
        <f>"10856BC"</f>
        <v>10856BC</v>
      </c>
      <c r="C33" s="2" t="s">
        <v>63</v>
      </c>
      <c r="D33" s="2" t="s">
        <v>64</v>
      </c>
      <c r="E33" s="4">
        <v>25000</v>
      </c>
    </row>
    <row r="34" spans="1:5">
      <c r="A34" s="2" t="s">
        <v>46</v>
      </c>
      <c r="B34" s="2" t="str">
        <f>"04002"</f>
        <v>04002</v>
      </c>
      <c r="C34" s="2" t="s">
        <v>65</v>
      </c>
      <c r="D34" s="2" t="s">
        <v>66</v>
      </c>
      <c r="E34" s="4">
        <v>48500</v>
      </c>
    </row>
    <row r="35" spans="1:5" ht="27.6">
      <c r="A35" s="2" t="s">
        <v>46</v>
      </c>
      <c r="B35" s="2" t="s">
        <v>67</v>
      </c>
      <c r="C35" s="2" t="s">
        <v>67</v>
      </c>
      <c r="D35" s="2" t="s">
        <v>68</v>
      </c>
      <c r="E35" s="4">
        <v>30000</v>
      </c>
    </row>
    <row r="36" spans="1:5">
      <c r="A36" s="2" t="s">
        <v>46</v>
      </c>
      <c r="B36" s="2" t="str">
        <f>"46363"</f>
        <v>46363</v>
      </c>
      <c r="C36" s="2" t="str">
        <f>"46363"</f>
        <v>46363</v>
      </c>
      <c r="D36" s="2" t="s">
        <v>69</v>
      </c>
      <c r="E36" s="4">
        <v>7500</v>
      </c>
    </row>
    <row r="37" spans="1:5">
      <c r="A37" s="2" t="s">
        <v>46</v>
      </c>
      <c r="B37" s="2" t="s">
        <v>70</v>
      </c>
      <c r="C37" s="2" t="s">
        <v>71</v>
      </c>
      <c r="D37" s="2" t="s">
        <v>72</v>
      </c>
      <c r="E37" s="4">
        <v>23000</v>
      </c>
    </row>
    <row r="38" spans="1:5">
      <c r="A38" s="2" t="s">
        <v>46</v>
      </c>
      <c r="B38" s="2" t="s">
        <v>73</v>
      </c>
      <c r="C38" s="2" t="s">
        <v>73</v>
      </c>
      <c r="D38" s="2" t="s">
        <v>74</v>
      </c>
      <c r="E38" s="4">
        <v>5900</v>
      </c>
    </row>
    <row r="39" spans="1:5">
      <c r="A39" s="2" t="s">
        <v>46</v>
      </c>
      <c r="B39" s="2" t="s">
        <v>75</v>
      </c>
      <c r="C39" s="2" t="str">
        <f>"46506"</f>
        <v>46506</v>
      </c>
      <c r="D39" s="2" t="s">
        <v>76</v>
      </c>
      <c r="E39" s="4">
        <v>18000</v>
      </c>
    </row>
    <row r="40" spans="1:5">
      <c r="A40" s="2" t="s">
        <v>46</v>
      </c>
      <c r="B40" s="2" t="s">
        <v>77</v>
      </c>
      <c r="C40" s="2" t="str">
        <f>"46507"</f>
        <v>46507</v>
      </c>
      <c r="D40" s="2" t="s">
        <v>78</v>
      </c>
      <c r="E40" s="4">
        <v>80000</v>
      </c>
    </row>
    <row r="41" spans="1:5" ht="27.6">
      <c r="A41" s="2" t="s">
        <v>46</v>
      </c>
      <c r="B41" s="2" t="str">
        <f>"49464"</f>
        <v>49464</v>
      </c>
      <c r="C41" s="2" t="str">
        <f>"49464"</f>
        <v>49464</v>
      </c>
      <c r="D41" s="2" t="s">
        <v>79</v>
      </c>
      <c r="E41" s="4">
        <v>115000</v>
      </c>
    </row>
    <row r="42" spans="1:5">
      <c r="A42" s="2" t="s">
        <v>46</v>
      </c>
      <c r="B42" s="2" t="str">
        <f>"13826"</f>
        <v>13826</v>
      </c>
      <c r="C42" s="2" t="str">
        <f>"13826"</f>
        <v>13826</v>
      </c>
      <c r="D42" s="2" t="s">
        <v>80</v>
      </c>
      <c r="E42" s="4">
        <v>15000</v>
      </c>
    </row>
    <row r="43" spans="1:5">
      <c r="A43" s="2" t="s">
        <v>46</v>
      </c>
      <c r="B43" s="2" t="s">
        <v>81</v>
      </c>
      <c r="C43" s="2" t="s">
        <v>81</v>
      </c>
      <c r="D43" s="2" t="s">
        <v>82</v>
      </c>
      <c r="E43" s="4">
        <v>4500</v>
      </c>
    </row>
    <row r="44" spans="1:5">
      <c r="A44" s="2" t="s">
        <v>46</v>
      </c>
      <c r="B44" s="2" t="s">
        <v>83</v>
      </c>
      <c r="C44" s="2" t="s">
        <v>84</v>
      </c>
      <c r="D44" s="2" t="s">
        <v>85</v>
      </c>
      <c r="E44" s="4">
        <v>4000</v>
      </c>
    </row>
    <row r="45" spans="1:5">
      <c r="A45" s="2" t="s">
        <v>46</v>
      </c>
      <c r="B45" s="2" t="s">
        <v>86</v>
      </c>
      <c r="C45" s="2" t="s">
        <v>87</v>
      </c>
      <c r="D45" s="2" t="s">
        <v>88</v>
      </c>
      <c r="E45" s="4">
        <v>83000</v>
      </c>
    </row>
    <row r="46" spans="1:5">
      <c r="A46" s="2" t="s">
        <v>46</v>
      </c>
      <c r="B46" s="2" t="s">
        <v>89</v>
      </c>
      <c r="C46" s="2" t="s">
        <v>89</v>
      </c>
      <c r="D46" s="2" t="s">
        <v>90</v>
      </c>
      <c r="E46" s="4">
        <v>18000</v>
      </c>
    </row>
    <row r="47" spans="1:5">
      <c r="A47" s="2" t="s">
        <v>46</v>
      </c>
      <c r="B47" s="2" t="s">
        <v>91</v>
      </c>
      <c r="C47" s="2" t="s">
        <v>92</v>
      </c>
      <c r="D47" s="2" t="s">
        <v>93</v>
      </c>
      <c r="E47" s="4">
        <v>21500</v>
      </c>
    </row>
    <row r="48" spans="1:5">
      <c r="A48" s="2" t="s">
        <v>46</v>
      </c>
      <c r="B48" s="2" t="str">
        <f>"46520"</f>
        <v>46520</v>
      </c>
      <c r="C48" s="2" t="str">
        <f>"46520"</f>
        <v>46520</v>
      </c>
      <c r="D48" s="2" t="s">
        <v>94</v>
      </c>
      <c r="E48" s="4">
        <v>5900</v>
      </c>
    </row>
    <row r="49" spans="1:5">
      <c r="A49" s="2" t="s">
        <v>46</v>
      </c>
      <c r="B49" s="2" t="s">
        <v>95</v>
      </c>
      <c r="C49" s="2" t="s">
        <v>96</v>
      </c>
      <c r="D49" s="2" t="s">
        <v>97</v>
      </c>
      <c r="E49" s="4">
        <v>5900</v>
      </c>
    </row>
    <row r="50" spans="1:5">
      <c r="A50" s="2" t="s">
        <v>46</v>
      </c>
      <c r="B50" s="2" t="s">
        <v>98</v>
      </c>
      <c r="C50" s="2" t="s">
        <v>99</v>
      </c>
      <c r="D50" s="2" t="s">
        <v>100</v>
      </c>
      <c r="E50" s="4">
        <v>83000</v>
      </c>
    </row>
    <row r="51" spans="1:5">
      <c r="A51" s="2" t="s">
        <v>46</v>
      </c>
      <c r="B51" s="2" t="s">
        <v>101</v>
      </c>
      <c r="C51" s="2" t="str">
        <f>"46496"</f>
        <v>46496</v>
      </c>
      <c r="D51" s="2" t="s">
        <v>102</v>
      </c>
      <c r="E51" s="4">
        <v>18000</v>
      </c>
    </row>
    <row r="52" spans="1:5">
      <c r="A52" s="2" t="s">
        <v>46</v>
      </c>
      <c r="B52" s="2" t="s">
        <v>103</v>
      </c>
      <c r="C52" s="2" t="s">
        <v>104</v>
      </c>
      <c r="D52" s="2" t="s">
        <v>105</v>
      </c>
      <c r="E52" s="4">
        <v>25000</v>
      </c>
    </row>
    <row r="53" spans="1:5">
      <c r="A53" s="2" t="s">
        <v>46</v>
      </c>
      <c r="B53" s="2" t="s">
        <v>106</v>
      </c>
      <c r="C53" s="2" t="s">
        <v>106</v>
      </c>
      <c r="D53" s="2" t="s">
        <v>107</v>
      </c>
      <c r="E53" s="4">
        <v>40000</v>
      </c>
    </row>
    <row r="54" spans="1:5">
      <c r="A54" s="2" t="s">
        <v>46</v>
      </c>
      <c r="B54" s="2" t="s">
        <v>108</v>
      </c>
      <c r="C54" s="2" t="s">
        <v>109</v>
      </c>
      <c r="D54" s="2" t="s">
        <v>110</v>
      </c>
      <c r="E54" s="4">
        <v>30000</v>
      </c>
    </row>
    <row r="55" spans="1:5">
      <c r="A55" s="2" t="s">
        <v>46</v>
      </c>
      <c r="B55" s="2" t="s">
        <v>111</v>
      </c>
      <c r="C55" s="2" t="s">
        <v>111</v>
      </c>
      <c r="D55" s="2" t="s">
        <v>112</v>
      </c>
      <c r="E55" s="4">
        <v>21400</v>
      </c>
    </row>
    <row r="56" spans="1:5">
      <c r="A56" s="2" t="s">
        <v>46</v>
      </c>
      <c r="B56" s="2" t="s">
        <v>113</v>
      </c>
      <c r="C56" s="2" t="s">
        <v>113</v>
      </c>
      <c r="D56" s="2" t="s">
        <v>114</v>
      </c>
      <c r="E56" s="4">
        <v>8800</v>
      </c>
    </row>
    <row r="57" spans="1:5" ht="27.6">
      <c r="A57" s="2" t="s">
        <v>46</v>
      </c>
      <c r="B57" s="2" t="s">
        <v>115</v>
      </c>
      <c r="C57" s="2" t="s">
        <v>116</v>
      </c>
      <c r="D57" s="2" t="s">
        <v>117</v>
      </c>
      <c r="E57" s="4">
        <v>8800</v>
      </c>
    </row>
    <row r="58" spans="1:5" ht="27.6">
      <c r="A58" s="2" t="s">
        <v>46</v>
      </c>
      <c r="B58" s="2" t="s">
        <v>118</v>
      </c>
      <c r="C58" s="2" t="s">
        <v>119</v>
      </c>
      <c r="D58" s="2" t="s">
        <v>120</v>
      </c>
      <c r="E58" s="4">
        <v>31000</v>
      </c>
    </row>
    <row r="59" spans="1:5">
      <c r="A59" s="2" t="s">
        <v>46</v>
      </c>
      <c r="B59" s="2" t="s">
        <v>121</v>
      </c>
      <c r="C59" s="2" t="s">
        <v>122</v>
      </c>
      <c r="D59" s="2" t="s">
        <v>123</v>
      </c>
      <c r="E59" s="4">
        <v>7900</v>
      </c>
    </row>
    <row r="60" spans="1:5">
      <c r="A60" s="2" t="s">
        <v>46</v>
      </c>
      <c r="B60" s="2" t="s">
        <v>124</v>
      </c>
      <c r="C60" s="2" t="str">
        <f>"50250"</f>
        <v>50250</v>
      </c>
      <c r="D60" s="2" t="s">
        <v>125</v>
      </c>
      <c r="E60" s="4">
        <v>10500</v>
      </c>
    </row>
    <row r="61" spans="1:5">
      <c r="A61" s="2" t="s">
        <v>46</v>
      </c>
      <c r="B61" s="2" t="s">
        <v>126</v>
      </c>
      <c r="C61" s="2" t="str">
        <f>"47158"</f>
        <v>47158</v>
      </c>
      <c r="D61" s="2" t="s">
        <v>127</v>
      </c>
      <c r="E61" s="4">
        <v>10600</v>
      </c>
    </row>
    <row r="62" spans="1:5">
      <c r="A62" s="2" t="s">
        <v>46</v>
      </c>
      <c r="B62" s="2" t="s">
        <v>128</v>
      </c>
      <c r="C62" s="2" t="s">
        <v>129</v>
      </c>
      <c r="D62" s="2" t="s">
        <v>130</v>
      </c>
      <c r="E62" s="4">
        <v>7500</v>
      </c>
    </row>
    <row r="63" spans="1:5">
      <c r="A63" s="2" t="s">
        <v>46</v>
      </c>
      <c r="B63" s="2" t="s">
        <v>131</v>
      </c>
      <c r="C63" s="2" t="s">
        <v>132</v>
      </c>
      <c r="D63" s="2" t="s">
        <v>133</v>
      </c>
      <c r="E63" s="4">
        <v>5500</v>
      </c>
    </row>
    <row r="64" spans="1:5">
      <c r="A64" s="2" t="s">
        <v>46</v>
      </c>
      <c r="B64" s="2" t="s">
        <v>134</v>
      </c>
      <c r="C64" s="2" t="s">
        <v>135</v>
      </c>
      <c r="D64" s="2" t="s">
        <v>136</v>
      </c>
      <c r="E64" s="4">
        <v>72000</v>
      </c>
    </row>
    <row r="65" spans="1:5">
      <c r="A65" s="2" t="s">
        <v>46</v>
      </c>
      <c r="B65" s="2" t="s">
        <v>137</v>
      </c>
      <c r="C65" s="2" t="str">
        <f>"46404"</f>
        <v>46404</v>
      </c>
      <c r="D65" s="2" t="s">
        <v>138</v>
      </c>
      <c r="E65" s="4">
        <v>6500</v>
      </c>
    </row>
    <row r="66" spans="1:5">
      <c r="A66" s="2" t="s">
        <v>46</v>
      </c>
      <c r="B66" s="2" t="s">
        <v>139</v>
      </c>
      <c r="C66" s="2" t="s">
        <v>140</v>
      </c>
      <c r="D66" s="2" t="s">
        <v>141</v>
      </c>
      <c r="E66" s="4">
        <v>7000</v>
      </c>
    </row>
    <row r="67" spans="1:5">
      <c r="A67" s="2" t="s">
        <v>46</v>
      </c>
      <c r="B67" s="2" t="s">
        <v>142</v>
      </c>
      <c r="C67" s="2" t="s">
        <v>143</v>
      </c>
      <c r="D67" s="2" t="s">
        <v>144</v>
      </c>
      <c r="E67" s="4">
        <v>4900</v>
      </c>
    </row>
    <row r="68" spans="1:5">
      <c r="A68" s="2" t="s">
        <v>46</v>
      </c>
      <c r="B68" s="2" t="str">
        <f>"627533351"</f>
        <v>627533351</v>
      </c>
      <c r="C68" s="2" t="s">
        <v>145</v>
      </c>
      <c r="D68" s="2" t="s">
        <v>146</v>
      </c>
      <c r="E68" s="4">
        <v>6100</v>
      </c>
    </row>
    <row r="69" spans="1:5">
      <c r="A69" s="2" t="s">
        <v>46</v>
      </c>
      <c r="B69" s="2" t="s">
        <v>147</v>
      </c>
      <c r="C69" s="2" t="s">
        <v>147</v>
      </c>
      <c r="D69" s="2" t="s">
        <v>148</v>
      </c>
      <c r="E69" s="4">
        <v>34000</v>
      </c>
    </row>
    <row r="70" spans="1:5">
      <c r="A70" s="2" t="s">
        <v>46</v>
      </c>
      <c r="B70" s="2" t="str">
        <f>"075731049512"</f>
        <v>075731049512</v>
      </c>
      <c r="C70" s="2" t="str">
        <f>"075731049512"</f>
        <v>075731049512</v>
      </c>
      <c r="D70" s="2" t="s">
        <v>149</v>
      </c>
      <c r="E70" s="4">
        <v>6100</v>
      </c>
    </row>
    <row r="71" spans="1:5">
      <c r="A71" s="2" t="s">
        <v>46</v>
      </c>
      <c r="B71" s="2" t="s">
        <v>150</v>
      </c>
      <c r="C71" s="2" t="s">
        <v>150</v>
      </c>
      <c r="D71" s="2" t="s">
        <v>151</v>
      </c>
      <c r="E71" s="4">
        <v>7900</v>
      </c>
    </row>
    <row r="72" spans="1:5">
      <c r="A72" s="2" t="s">
        <v>46</v>
      </c>
      <c r="B72" s="2" t="str">
        <f>"075731048522"</f>
        <v>075731048522</v>
      </c>
      <c r="C72" s="2" t="str">
        <f>"075731048522"</f>
        <v>075731048522</v>
      </c>
      <c r="D72" s="2" t="s">
        <v>152</v>
      </c>
      <c r="E72" s="4">
        <v>6700</v>
      </c>
    </row>
    <row r="73" spans="1:5">
      <c r="A73" s="2" t="s">
        <v>46</v>
      </c>
      <c r="B73" s="2" t="str">
        <f>"4100420097058"</f>
        <v>4100420097058</v>
      </c>
      <c r="C73" s="2" t="str">
        <f>"9705"</f>
        <v>9705</v>
      </c>
      <c r="D73" s="2" t="s">
        <v>153</v>
      </c>
      <c r="E73" s="4">
        <v>60000</v>
      </c>
    </row>
    <row r="74" spans="1:5">
      <c r="A74" s="2" t="s">
        <v>46</v>
      </c>
      <c r="B74" s="2" t="str">
        <f>"21411"</f>
        <v>21411</v>
      </c>
      <c r="C74" s="2" t="str">
        <f>"21411"</f>
        <v>21411</v>
      </c>
      <c r="D74" s="2" t="s">
        <v>154</v>
      </c>
      <c r="E74" s="4">
        <v>81000</v>
      </c>
    </row>
    <row r="75" spans="1:5">
      <c r="A75" s="2" t="s">
        <v>46</v>
      </c>
      <c r="B75" s="2" t="str">
        <f>"21337"</f>
        <v>21337</v>
      </c>
      <c r="C75" s="2" t="str">
        <f>"7613"</f>
        <v>7613</v>
      </c>
      <c r="D75" s="2" t="s">
        <v>155</v>
      </c>
      <c r="E75" s="4">
        <v>59000</v>
      </c>
    </row>
    <row r="76" spans="1:5">
      <c r="A76" s="2" t="s">
        <v>46</v>
      </c>
      <c r="B76" s="2" t="str">
        <f>"1300"</f>
        <v>1300</v>
      </c>
      <c r="C76" s="2" t="str">
        <f>"1300"</f>
        <v>1300</v>
      </c>
      <c r="D76" s="2" t="s">
        <v>156</v>
      </c>
      <c r="E76" s="4">
        <v>10900</v>
      </c>
    </row>
    <row r="77" spans="1:5">
      <c r="A77" s="2" t="s">
        <v>46</v>
      </c>
      <c r="B77" s="2" t="str">
        <f>"3794"</f>
        <v>3794</v>
      </c>
      <c r="C77" s="2" t="str">
        <f>"3794"</f>
        <v>3794</v>
      </c>
      <c r="D77" s="2" t="s">
        <v>157</v>
      </c>
      <c r="E77" s="4">
        <v>163000</v>
      </c>
    </row>
    <row r="78" spans="1:5">
      <c r="A78" s="2" t="s">
        <v>46</v>
      </c>
      <c r="B78" s="2" t="str">
        <f>"4100420089985"</f>
        <v>4100420089985</v>
      </c>
      <c r="C78" s="2" t="str">
        <f>"8998"</f>
        <v>8998</v>
      </c>
      <c r="D78" s="2" t="s">
        <v>158</v>
      </c>
      <c r="E78" s="4">
        <v>33000</v>
      </c>
    </row>
    <row r="79" spans="1:5">
      <c r="A79" s="2" t="s">
        <v>46</v>
      </c>
      <c r="B79" s="2" t="str">
        <f>"4100420069482"</f>
        <v>4100420069482</v>
      </c>
      <c r="C79" s="2" t="str">
        <f>"6948"</f>
        <v>6948</v>
      </c>
      <c r="D79" s="2" t="s">
        <v>159</v>
      </c>
      <c r="E79" s="4">
        <v>43000</v>
      </c>
    </row>
    <row r="80" spans="1:5">
      <c r="A80" s="2" t="s">
        <v>46</v>
      </c>
      <c r="B80" s="2" t="str">
        <f>"2626"</f>
        <v>2626</v>
      </c>
      <c r="C80" s="2" t="str">
        <f>"1091"</f>
        <v>1091</v>
      </c>
      <c r="D80" s="2" t="s">
        <v>160</v>
      </c>
      <c r="E80" s="4">
        <v>12500</v>
      </c>
    </row>
    <row r="81" spans="1:5">
      <c r="A81" s="2" t="s">
        <v>46</v>
      </c>
      <c r="B81" s="2" t="str">
        <f>"1092"</f>
        <v>1092</v>
      </c>
      <c r="C81" s="2" t="str">
        <f>"2184"</f>
        <v>2184</v>
      </c>
      <c r="D81" s="2" t="s">
        <v>161</v>
      </c>
      <c r="E81" s="4">
        <v>52000</v>
      </c>
    </row>
    <row r="82" spans="1:5">
      <c r="A82" s="2" t="s">
        <v>46</v>
      </c>
      <c r="B82" s="2" t="str">
        <f>"4100420095054"</f>
        <v>4100420095054</v>
      </c>
      <c r="C82" s="2" t="str">
        <f>"9505"</f>
        <v>9505</v>
      </c>
      <c r="D82" s="2" t="s">
        <v>162</v>
      </c>
      <c r="E82" s="4">
        <v>48000</v>
      </c>
    </row>
    <row r="83" spans="1:5">
      <c r="A83" s="2" t="s">
        <v>46</v>
      </c>
      <c r="B83" s="2" t="str">
        <f>"4100420095030"</f>
        <v>4100420095030</v>
      </c>
      <c r="C83" s="2" t="str">
        <f>"9503"</f>
        <v>9503</v>
      </c>
      <c r="D83" s="2" t="s">
        <v>163</v>
      </c>
      <c r="E83" s="4">
        <v>12500</v>
      </c>
    </row>
    <row r="84" spans="1:5">
      <c r="A84" s="2" t="s">
        <v>46</v>
      </c>
      <c r="B84" s="2" t="str">
        <f>"4100420095047"</f>
        <v>4100420095047</v>
      </c>
      <c r="C84" s="2" t="str">
        <f>"2196"</f>
        <v>2196</v>
      </c>
      <c r="D84" s="2" t="s">
        <v>164</v>
      </c>
      <c r="E84" s="4">
        <v>43000</v>
      </c>
    </row>
    <row r="85" spans="1:5">
      <c r="A85" s="2" t="s">
        <v>165</v>
      </c>
      <c r="B85" s="2" t="str">
        <f>"8909"</f>
        <v>8909</v>
      </c>
      <c r="C85" s="2" t="str">
        <f>"8909"</f>
        <v>8909</v>
      </c>
      <c r="D85" s="2" t="s">
        <v>166</v>
      </c>
      <c r="E85" s="4">
        <v>110000</v>
      </c>
    </row>
    <row r="86" spans="1:5">
      <c r="A86" s="2" t="s">
        <v>46</v>
      </c>
      <c r="B86" s="2" t="str">
        <f>"1864"</f>
        <v>1864</v>
      </c>
      <c r="C86" s="2" t="str">
        <f>"1073"</f>
        <v>1073</v>
      </c>
      <c r="D86" s="2" t="s">
        <v>167</v>
      </c>
      <c r="E86" s="4">
        <v>52000</v>
      </c>
    </row>
    <row r="87" spans="1:5">
      <c r="A87" s="2" t="s">
        <v>46</v>
      </c>
      <c r="B87" s="2" t="str">
        <f>"1862"</f>
        <v>1862</v>
      </c>
      <c r="C87" s="2" t="str">
        <f>"1862"</f>
        <v>1862</v>
      </c>
      <c r="D87" s="2" t="s">
        <v>168</v>
      </c>
      <c r="E87" s="4">
        <v>49000</v>
      </c>
    </row>
    <row r="88" spans="1:5">
      <c r="A88" s="2" t="s">
        <v>46</v>
      </c>
      <c r="B88" s="2" t="str">
        <f>"1070"</f>
        <v>1070</v>
      </c>
      <c r="C88" s="2" t="str">
        <f>"1070"</f>
        <v>1070</v>
      </c>
      <c r="D88" s="2" t="s">
        <v>169</v>
      </c>
      <c r="E88" s="4">
        <v>14000</v>
      </c>
    </row>
    <row r="89" spans="1:5">
      <c r="A89" s="2" t="s">
        <v>46</v>
      </c>
      <c r="B89" s="2" t="str">
        <f>"2911"</f>
        <v>2911</v>
      </c>
      <c r="C89" s="2" t="str">
        <f>"2911"</f>
        <v>2911</v>
      </c>
      <c r="D89" s="2" t="s">
        <v>170</v>
      </c>
      <c r="E89" s="4">
        <v>41500</v>
      </c>
    </row>
    <row r="90" spans="1:5">
      <c r="A90" s="2" t="s">
        <v>46</v>
      </c>
      <c r="B90" s="2" t="str">
        <f>"1250"</f>
        <v>1250</v>
      </c>
      <c r="C90" s="2" t="str">
        <f>"1250"</f>
        <v>1250</v>
      </c>
      <c r="D90" s="2" t="s">
        <v>171</v>
      </c>
      <c r="E90" s="4">
        <v>8900</v>
      </c>
    </row>
    <row r="91" spans="1:5">
      <c r="A91" s="2" t="s">
        <v>46</v>
      </c>
      <c r="B91" s="2" t="str">
        <f>"2568"</f>
        <v>2568</v>
      </c>
      <c r="C91" s="2" t="str">
        <f>"2568"</f>
        <v>2568</v>
      </c>
      <c r="D91" s="2" t="s">
        <v>172</v>
      </c>
      <c r="E91" s="4">
        <v>43000</v>
      </c>
    </row>
    <row r="92" spans="1:5">
      <c r="A92" s="2" t="s">
        <v>46</v>
      </c>
      <c r="B92" s="2" t="str">
        <f>"20813"</f>
        <v>20813</v>
      </c>
      <c r="C92" s="2" t="str">
        <f>"20813"</f>
        <v>20813</v>
      </c>
      <c r="D92" s="2" t="s">
        <v>173</v>
      </c>
      <c r="E92" s="4">
        <v>48000</v>
      </c>
    </row>
    <row r="93" spans="1:5">
      <c r="A93" s="2" t="s">
        <v>46</v>
      </c>
      <c r="B93" s="2" t="str">
        <f>"2195"</f>
        <v>2195</v>
      </c>
      <c r="C93" s="2" t="str">
        <f>"2195"</f>
        <v>2195</v>
      </c>
      <c r="D93" s="2" t="s">
        <v>174</v>
      </c>
      <c r="E93" s="4">
        <v>67900</v>
      </c>
    </row>
    <row r="94" spans="1:5">
      <c r="A94" s="2" t="s">
        <v>46</v>
      </c>
      <c r="B94" s="2" t="str">
        <f>"7657"</f>
        <v>7657</v>
      </c>
      <c r="C94" s="2" t="str">
        <f>"7657"</f>
        <v>7657</v>
      </c>
      <c r="D94" s="2" t="s">
        <v>175</v>
      </c>
      <c r="E94" s="4">
        <v>16500</v>
      </c>
    </row>
    <row r="95" spans="1:5">
      <c r="A95" s="2" t="s">
        <v>46</v>
      </c>
      <c r="B95" s="2" t="str">
        <f>"4100420076589"</f>
        <v>4100420076589</v>
      </c>
      <c r="C95" s="2" t="str">
        <f>"7658"</f>
        <v>7658</v>
      </c>
      <c r="D95" s="2" t="s">
        <v>176</v>
      </c>
      <c r="E95" s="4">
        <v>63000</v>
      </c>
    </row>
    <row r="96" spans="1:5">
      <c r="A96" s="2" t="s">
        <v>46</v>
      </c>
      <c r="B96" s="2" t="str">
        <f>"1137"</f>
        <v>1137</v>
      </c>
      <c r="C96" s="2" t="str">
        <f>"1137"</f>
        <v>1137</v>
      </c>
      <c r="D96" s="2" t="s">
        <v>177</v>
      </c>
      <c r="E96" s="4">
        <v>44500</v>
      </c>
    </row>
    <row r="97" spans="1:5">
      <c r="A97" s="2" t="s">
        <v>46</v>
      </c>
      <c r="B97" s="2" t="str">
        <f>"3706"</f>
        <v>3706</v>
      </c>
      <c r="C97" s="2" t="str">
        <f>"3706"</f>
        <v>3706</v>
      </c>
      <c r="D97" s="2" t="s">
        <v>178</v>
      </c>
      <c r="E97" s="4">
        <v>16500</v>
      </c>
    </row>
    <row r="98" spans="1:5">
      <c r="A98" s="2" t="s">
        <v>46</v>
      </c>
      <c r="B98" s="2" t="str">
        <f>"2323"</f>
        <v>2323</v>
      </c>
      <c r="C98" s="2" t="str">
        <f>"2323"</f>
        <v>2323</v>
      </c>
      <c r="D98" s="2" t="s">
        <v>179</v>
      </c>
      <c r="E98" s="4">
        <v>19500</v>
      </c>
    </row>
    <row r="99" spans="1:5">
      <c r="A99" s="2" t="s">
        <v>46</v>
      </c>
      <c r="B99" s="2" t="str">
        <f>"21592"</f>
        <v>21592</v>
      </c>
      <c r="C99" s="2" t="str">
        <f>"21592"</f>
        <v>21592</v>
      </c>
      <c r="D99" s="2" t="s">
        <v>180</v>
      </c>
      <c r="E99" s="4">
        <v>46000</v>
      </c>
    </row>
    <row r="100" spans="1:5">
      <c r="A100" s="2" t="s">
        <v>46</v>
      </c>
      <c r="B100" s="2" t="str">
        <f>"9507"</f>
        <v>9507</v>
      </c>
      <c r="C100" s="2" t="str">
        <f>"9507"</f>
        <v>9507</v>
      </c>
      <c r="D100" s="2" t="s">
        <v>181</v>
      </c>
      <c r="E100" s="4">
        <v>76000</v>
      </c>
    </row>
    <row r="101" spans="1:5">
      <c r="A101" s="2" t="s">
        <v>46</v>
      </c>
      <c r="B101" s="2" t="str">
        <f>"9506"</f>
        <v>9506</v>
      </c>
      <c r="C101" s="2" t="str">
        <f>"9506"</f>
        <v>9506</v>
      </c>
      <c r="D101" s="2" t="s">
        <v>182</v>
      </c>
      <c r="E101" s="4">
        <v>18000</v>
      </c>
    </row>
    <row r="102" spans="1:5">
      <c r="A102" s="2" t="s">
        <v>46</v>
      </c>
      <c r="B102" s="2" t="str">
        <f>"4100420011443"</f>
        <v>4100420011443</v>
      </c>
      <c r="C102" s="2" t="str">
        <f>"1144"</f>
        <v>1144</v>
      </c>
      <c r="D102" s="2" t="s">
        <v>183</v>
      </c>
      <c r="E102" s="4">
        <v>59000</v>
      </c>
    </row>
    <row r="103" spans="1:5">
      <c r="A103" s="2" t="s">
        <v>46</v>
      </c>
      <c r="B103" s="2" t="str">
        <f>"9089"</f>
        <v>9089</v>
      </c>
      <c r="C103" s="2" t="str">
        <f>"9089"</f>
        <v>9089</v>
      </c>
      <c r="D103" s="2" t="s">
        <v>184</v>
      </c>
      <c r="E103" s="4">
        <v>60000</v>
      </c>
    </row>
    <row r="104" spans="1:5" ht="27.6">
      <c r="A104" s="2" t="s">
        <v>46</v>
      </c>
      <c r="B104" s="2" t="str">
        <f>"21224"</f>
        <v>21224</v>
      </c>
      <c r="C104" s="2" t="str">
        <f>"21224"</f>
        <v>21224</v>
      </c>
      <c r="D104" s="2" t="s">
        <v>185</v>
      </c>
      <c r="E104" s="4">
        <v>17000</v>
      </c>
    </row>
    <row r="105" spans="1:5" ht="27.6">
      <c r="A105" s="2" t="s">
        <v>46</v>
      </c>
      <c r="B105" s="2" t="str">
        <f>"21225"</f>
        <v>21225</v>
      </c>
      <c r="C105" s="2" t="str">
        <f>"21225"</f>
        <v>21225</v>
      </c>
      <c r="D105" s="2" t="s">
        <v>186</v>
      </c>
      <c r="E105" s="4">
        <v>75000</v>
      </c>
    </row>
    <row r="106" spans="1:5">
      <c r="A106" s="2" t="s">
        <v>46</v>
      </c>
      <c r="B106" s="2" t="str">
        <f>"3853"</f>
        <v>3853</v>
      </c>
      <c r="C106" s="2" t="str">
        <f>"3853"</f>
        <v>3853</v>
      </c>
      <c r="D106" s="2" t="s">
        <v>187</v>
      </c>
      <c r="E106" s="4">
        <v>63500</v>
      </c>
    </row>
    <row r="107" spans="1:5">
      <c r="A107" s="2" t="s">
        <v>46</v>
      </c>
      <c r="B107" s="2" t="str">
        <f>"4100420037153"</f>
        <v>4100420037153</v>
      </c>
      <c r="C107" s="2" t="str">
        <f>"3715"</f>
        <v>3715</v>
      </c>
      <c r="D107" s="2" t="s">
        <v>188</v>
      </c>
      <c r="E107" s="4">
        <v>68000</v>
      </c>
    </row>
    <row r="108" spans="1:5">
      <c r="A108" s="2" t="s">
        <v>46</v>
      </c>
      <c r="B108" s="2" t="str">
        <f>"3707"</f>
        <v>3707</v>
      </c>
      <c r="C108" s="2" t="str">
        <f>"3707"</f>
        <v>3707</v>
      </c>
      <c r="D108" s="2" t="s">
        <v>189</v>
      </c>
      <c r="E108" s="4">
        <v>71500</v>
      </c>
    </row>
    <row r="109" spans="1:5">
      <c r="A109" s="2" t="s">
        <v>46</v>
      </c>
      <c r="B109" s="2" t="str">
        <f>"2324"</f>
        <v>2324</v>
      </c>
      <c r="C109" s="2" t="str">
        <f>"2324"</f>
        <v>2324</v>
      </c>
      <c r="D109" s="2" t="s">
        <v>190</v>
      </c>
      <c r="E109" s="4">
        <v>92000</v>
      </c>
    </row>
    <row r="110" spans="1:5">
      <c r="A110" s="2" t="s">
        <v>46</v>
      </c>
      <c r="B110" s="2" t="str">
        <f>"3700"</f>
        <v>3700</v>
      </c>
      <c r="C110" s="2" t="str">
        <f>"3700"</f>
        <v>3700</v>
      </c>
      <c r="D110" s="2" t="s">
        <v>191</v>
      </c>
      <c r="E110" s="4">
        <v>12500</v>
      </c>
    </row>
    <row r="111" spans="1:5">
      <c r="A111" s="2" t="s">
        <v>46</v>
      </c>
      <c r="B111" s="2" t="str">
        <f>"4100420023279"</f>
        <v>4100420023279</v>
      </c>
      <c r="C111" s="2" t="str">
        <f>"2327"</f>
        <v>2327</v>
      </c>
      <c r="D111" s="2" t="s">
        <v>192</v>
      </c>
      <c r="E111" s="4">
        <v>17900</v>
      </c>
    </row>
    <row r="112" spans="1:5">
      <c r="A112" s="2" t="s">
        <v>46</v>
      </c>
      <c r="B112" s="2" t="str">
        <f>"2595"</f>
        <v>2595</v>
      </c>
      <c r="C112" s="2" t="str">
        <f>"2595"</f>
        <v>2595</v>
      </c>
      <c r="D112" s="2" t="s">
        <v>193</v>
      </c>
      <c r="E112" s="4">
        <v>65000</v>
      </c>
    </row>
    <row r="113" spans="1:5">
      <c r="A113" s="2" t="s">
        <v>46</v>
      </c>
      <c r="B113" s="2" t="str">
        <f>"9510"</f>
        <v>9510</v>
      </c>
      <c r="C113" s="2" t="str">
        <f>"9510"</f>
        <v>9510</v>
      </c>
      <c r="D113" s="2" t="s">
        <v>194</v>
      </c>
      <c r="E113" s="4">
        <v>19500</v>
      </c>
    </row>
    <row r="114" spans="1:5">
      <c r="A114" s="2" t="s">
        <v>46</v>
      </c>
      <c r="B114" s="2" t="s">
        <v>195</v>
      </c>
      <c r="C114" s="2" t="s">
        <v>195</v>
      </c>
      <c r="D114" s="2" t="s">
        <v>196</v>
      </c>
      <c r="E114" s="4">
        <v>54000</v>
      </c>
    </row>
    <row r="115" spans="1:5">
      <c r="A115" s="2" t="s">
        <v>46</v>
      </c>
      <c r="B115" s="2" t="str">
        <f>"3701"</f>
        <v>3701</v>
      </c>
      <c r="C115" s="2" t="str">
        <f>"9511"</f>
        <v>9511</v>
      </c>
      <c r="D115" s="2" t="s">
        <v>197</v>
      </c>
      <c r="E115" s="4">
        <v>76000</v>
      </c>
    </row>
    <row r="116" spans="1:5">
      <c r="A116" s="2" t="s">
        <v>46</v>
      </c>
      <c r="B116" s="2" t="str">
        <f>"2326"</f>
        <v>2326</v>
      </c>
      <c r="C116" s="2" t="str">
        <f>"2326"</f>
        <v>2326</v>
      </c>
      <c r="D116" s="2" t="s">
        <v>198</v>
      </c>
      <c r="E116" s="4">
        <v>68000</v>
      </c>
    </row>
    <row r="117" spans="1:5">
      <c r="A117" s="2" t="s">
        <v>46</v>
      </c>
      <c r="B117" s="2" t="str">
        <f>"17120606"</f>
        <v>17120606</v>
      </c>
      <c r="C117" s="2" t="str">
        <f>"17120606"</f>
        <v>17120606</v>
      </c>
      <c r="D117" s="2" t="s">
        <v>199</v>
      </c>
      <c r="E117" s="4">
        <v>14000</v>
      </c>
    </row>
    <row r="118" spans="1:5">
      <c r="A118" s="2" t="s">
        <v>46</v>
      </c>
      <c r="B118" s="2" t="str">
        <f>"16052609"</f>
        <v>16052609</v>
      </c>
      <c r="C118" s="2" t="str">
        <f>"16052609"</f>
        <v>16052609</v>
      </c>
      <c r="D118" s="2" t="s">
        <v>200</v>
      </c>
      <c r="E118" s="4">
        <v>12000</v>
      </c>
    </row>
    <row r="119" spans="1:5">
      <c r="A119" s="2" t="s">
        <v>46</v>
      </c>
      <c r="B119" s="2" t="str">
        <f>"105531"</f>
        <v>105531</v>
      </c>
      <c r="C119" s="2" t="str">
        <f>"105531"</f>
        <v>105531</v>
      </c>
      <c r="D119" s="2" t="s">
        <v>201</v>
      </c>
      <c r="E119" s="4">
        <v>47000</v>
      </c>
    </row>
    <row r="120" spans="1:5">
      <c r="A120" s="2" t="s">
        <v>46</v>
      </c>
      <c r="B120" s="2" t="str">
        <f>"104401"</f>
        <v>104401</v>
      </c>
      <c r="C120" s="2" t="str">
        <f>"104401"</f>
        <v>104401</v>
      </c>
      <c r="D120" s="2" t="s">
        <v>202</v>
      </c>
      <c r="E120" s="4">
        <v>57900</v>
      </c>
    </row>
    <row r="121" spans="1:5">
      <c r="A121" s="2" t="s">
        <v>46</v>
      </c>
      <c r="B121" s="2" t="str">
        <f>"104903"</f>
        <v>104903</v>
      </c>
      <c r="C121" s="2" t="str">
        <f>"104903"</f>
        <v>104903</v>
      </c>
      <c r="D121" s="2" t="s">
        <v>203</v>
      </c>
      <c r="E121" s="4">
        <v>55000</v>
      </c>
    </row>
    <row r="122" spans="1:5">
      <c r="A122" s="2" t="s">
        <v>46</v>
      </c>
      <c r="B122" s="2" t="str">
        <f>"100196"</f>
        <v>100196</v>
      </c>
      <c r="C122" s="2" t="str">
        <f>"100196"</f>
        <v>100196</v>
      </c>
      <c r="D122" s="2" t="s">
        <v>204</v>
      </c>
      <c r="E122" s="4">
        <v>14200</v>
      </c>
    </row>
    <row r="123" spans="1:5">
      <c r="A123" s="2" t="s">
        <v>46</v>
      </c>
      <c r="B123" s="2" t="str">
        <f>"100197"</f>
        <v>100197</v>
      </c>
      <c r="C123" s="2" t="s">
        <v>205</v>
      </c>
      <c r="D123" s="2" t="s">
        <v>202</v>
      </c>
      <c r="E123" s="4">
        <v>45900</v>
      </c>
    </row>
    <row r="124" spans="1:5">
      <c r="A124" s="2" t="s">
        <v>46</v>
      </c>
      <c r="B124" s="2" t="str">
        <f>"104821"</f>
        <v>104821</v>
      </c>
      <c r="C124" s="2" t="str">
        <f>"104821"</f>
        <v>104821</v>
      </c>
      <c r="D124" s="2" t="s">
        <v>206</v>
      </c>
      <c r="E124" s="4">
        <v>35000</v>
      </c>
    </row>
    <row r="125" spans="1:5" ht="27.6">
      <c r="A125" s="2" t="s">
        <v>46</v>
      </c>
      <c r="B125" s="2" t="str">
        <f>"102190"</f>
        <v>102190</v>
      </c>
      <c r="C125" s="2" t="s">
        <v>207</v>
      </c>
      <c r="D125" s="2" t="s">
        <v>208</v>
      </c>
      <c r="E125" s="4">
        <v>8500</v>
      </c>
    </row>
    <row r="126" spans="1:5">
      <c r="A126" s="2" t="s">
        <v>46</v>
      </c>
      <c r="B126" s="2" t="str">
        <f>"103609"</f>
        <v>103609</v>
      </c>
      <c r="C126" s="2" t="str">
        <f>"103609"</f>
        <v>103609</v>
      </c>
      <c r="D126" s="2" t="s">
        <v>209</v>
      </c>
      <c r="E126" s="4">
        <v>21000</v>
      </c>
    </row>
    <row r="127" spans="1:5">
      <c r="A127" s="2" t="s">
        <v>46</v>
      </c>
      <c r="B127" s="2" t="str">
        <f>"5055107435151"</f>
        <v>5055107435151</v>
      </c>
      <c r="C127" s="2" t="str">
        <f>"102191 105241"</f>
        <v>102191 105241</v>
      </c>
      <c r="D127" s="2" t="s">
        <v>210</v>
      </c>
      <c r="E127" s="4">
        <v>27000</v>
      </c>
    </row>
    <row r="128" spans="1:5">
      <c r="A128" s="2" t="s">
        <v>46</v>
      </c>
      <c r="B128" s="2" t="str">
        <f>"105626"</f>
        <v>105626</v>
      </c>
      <c r="C128" s="2" t="str">
        <f>"105626"</f>
        <v>105626</v>
      </c>
      <c r="D128" s="2" t="s">
        <v>211</v>
      </c>
      <c r="E128" s="4">
        <v>26000</v>
      </c>
    </row>
    <row r="129" spans="1:5">
      <c r="A129" s="2" t="s">
        <v>46</v>
      </c>
      <c r="B129" s="2" t="str">
        <f>"100121"</f>
        <v>100121</v>
      </c>
      <c r="C129" s="2" t="str">
        <f>"100121"</f>
        <v>100121</v>
      </c>
      <c r="D129" s="2" t="s">
        <v>212</v>
      </c>
      <c r="E129" s="4">
        <v>18000</v>
      </c>
    </row>
    <row r="130" spans="1:5">
      <c r="A130" s="2" t="s">
        <v>46</v>
      </c>
      <c r="B130" s="2" t="str">
        <f>"103592"</f>
        <v>103592</v>
      </c>
      <c r="C130" s="2" t="str">
        <f>"103592"</f>
        <v>103592</v>
      </c>
      <c r="D130" s="2" t="s">
        <v>213</v>
      </c>
      <c r="E130" s="4">
        <v>15800</v>
      </c>
    </row>
    <row r="131" spans="1:5">
      <c r="A131" s="2" t="s">
        <v>46</v>
      </c>
      <c r="B131" s="2" t="str">
        <f>"104316"</f>
        <v>104316</v>
      </c>
      <c r="C131" s="2" t="str">
        <f>"104316"</f>
        <v>104316</v>
      </c>
      <c r="D131" s="2" t="s">
        <v>214</v>
      </c>
      <c r="E131" s="4">
        <v>16000</v>
      </c>
    </row>
    <row r="132" spans="1:5">
      <c r="A132" s="2" t="s">
        <v>46</v>
      </c>
      <c r="B132" s="2" t="str">
        <f>"105127"</f>
        <v>105127</v>
      </c>
      <c r="C132" s="2" t="str">
        <f>"105127"</f>
        <v>105127</v>
      </c>
      <c r="D132" s="2" t="s">
        <v>215</v>
      </c>
      <c r="E132" s="4">
        <v>25000</v>
      </c>
    </row>
    <row r="133" spans="1:5">
      <c r="A133" s="2" t="s">
        <v>46</v>
      </c>
      <c r="B133" s="2" t="str">
        <f>"101861"</f>
        <v>101861</v>
      </c>
      <c r="C133" s="2" t="str">
        <f>"101861"</f>
        <v>101861</v>
      </c>
      <c r="D133" s="2" t="s">
        <v>216</v>
      </c>
      <c r="E133" s="4">
        <v>12000</v>
      </c>
    </row>
    <row r="134" spans="1:5">
      <c r="A134" s="2" t="s">
        <v>46</v>
      </c>
      <c r="B134" s="2" t="str">
        <f>"102200"</f>
        <v>102200</v>
      </c>
      <c r="C134" s="2" t="str">
        <f>"102200"</f>
        <v>102200</v>
      </c>
      <c r="D134" s="2" t="s">
        <v>217</v>
      </c>
      <c r="E134" s="4">
        <v>35000</v>
      </c>
    </row>
    <row r="135" spans="1:5">
      <c r="A135" s="2" t="s">
        <v>46</v>
      </c>
      <c r="B135" s="2" t="str">
        <f>"105632"</f>
        <v>105632</v>
      </c>
      <c r="C135" s="2" t="str">
        <f>"102212"</f>
        <v>102212</v>
      </c>
      <c r="D135" s="2" t="s">
        <v>218</v>
      </c>
      <c r="E135" s="4">
        <v>22000</v>
      </c>
    </row>
    <row r="136" spans="1:5">
      <c r="A136" s="2" t="s">
        <v>46</v>
      </c>
      <c r="B136" s="2" t="str">
        <f>"102175"</f>
        <v>102175</v>
      </c>
      <c r="C136" s="2" t="str">
        <f>"102175"</f>
        <v>102175</v>
      </c>
      <c r="D136" s="2" t="s">
        <v>219</v>
      </c>
      <c r="E136" s="4">
        <v>24500</v>
      </c>
    </row>
    <row r="137" spans="1:5">
      <c r="A137" s="2" t="s">
        <v>46</v>
      </c>
      <c r="B137" s="2" t="str">
        <f>"100076"</f>
        <v>100076</v>
      </c>
      <c r="C137" s="2" t="str">
        <f>"100076"</f>
        <v>100076</v>
      </c>
      <c r="D137" s="2" t="s">
        <v>220</v>
      </c>
      <c r="E137" s="4">
        <v>12000</v>
      </c>
    </row>
    <row r="138" spans="1:5">
      <c r="A138" s="2" t="s">
        <v>46</v>
      </c>
      <c r="B138" s="2" t="str">
        <f>"104102"</f>
        <v>104102</v>
      </c>
      <c r="C138" s="2" t="str">
        <f>"104102"</f>
        <v>104102</v>
      </c>
      <c r="D138" s="2" t="s">
        <v>221</v>
      </c>
      <c r="E138" s="4">
        <v>72000</v>
      </c>
    </row>
    <row r="139" spans="1:5">
      <c r="A139" s="2" t="s">
        <v>46</v>
      </c>
      <c r="B139" s="2" t="str">
        <f>"105612"</f>
        <v>105612</v>
      </c>
      <c r="C139" s="2" t="str">
        <f>"105612"</f>
        <v>105612</v>
      </c>
      <c r="D139" s="2" t="s">
        <v>222</v>
      </c>
      <c r="E139" s="4">
        <v>52000</v>
      </c>
    </row>
    <row r="140" spans="1:5">
      <c r="A140" s="2" t="s">
        <v>46</v>
      </c>
      <c r="B140" s="2" t="str">
        <f>"104103"</f>
        <v>104103</v>
      </c>
      <c r="C140" s="2" t="str">
        <f>"104103"</f>
        <v>104103</v>
      </c>
      <c r="D140" s="2" t="s">
        <v>223</v>
      </c>
      <c r="E140" s="4">
        <v>56000</v>
      </c>
    </row>
    <row r="141" spans="1:5">
      <c r="A141" s="2" t="s">
        <v>46</v>
      </c>
      <c r="B141" s="2" t="str">
        <f>"51967"</f>
        <v>51967</v>
      </c>
      <c r="C141" s="2" t="str">
        <f>"105621"</f>
        <v>105621</v>
      </c>
      <c r="D141" s="2" t="s">
        <v>224</v>
      </c>
      <c r="E141" s="4">
        <v>39000</v>
      </c>
    </row>
    <row r="142" spans="1:5">
      <c r="A142" s="2" t="s">
        <v>46</v>
      </c>
      <c r="B142" s="2" t="str">
        <f>"104405"</f>
        <v>104405</v>
      </c>
      <c r="C142" s="2" t="str">
        <f>"104405"</f>
        <v>104405</v>
      </c>
      <c r="D142" s="2" t="s">
        <v>225</v>
      </c>
      <c r="E142" s="4">
        <v>45000</v>
      </c>
    </row>
    <row r="143" spans="1:5">
      <c r="A143" s="2" t="s">
        <v>46</v>
      </c>
      <c r="B143" s="2" t="str">
        <f>"104404"</f>
        <v>104404</v>
      </c>
      <c r="C143" s="2" t="str">
        <f>"105844"</f>
        <v>105844</v>
      </c>
      <c r="D143" s="2" t="s">
        <v>226</v>
      </c>
      <c r="E143" s="4">
        <v>13200</v>
      </c>
    </row>
    <row r="144" spans="1:5">
      <c r="A144" s="2" t="s">
        <v>46</v>
      </c>
      <c r="B144" s="2" t="str">
        <f>"100210"</f>
        <v>100210</v>
      </c>
      <c r="C144" s="2" t="str">
        <f>"100210"</f>
        <v>100210</v>
      </c>
      <c r="D144" s="2" t="s">
        <v>227</v>
      </c>
      <c r="E144" s="4">
        <v>6200</v>
      </c>
    </row>
    <row r="145" spans="1:5">
      <c r="A145" s="2" t="s">
        <v>46</v>
      </c>
      <c r="B145" s="2" t="str">
        <f>"100280"</f>
        <v>100280</v>
      </c>
      <c r="C145" s="2" t="str">
        <f>"100280"</f>
        <v>100280</v>
      </c>
      <c r="D145" s="2" t="s">
        <v>228</v>
      </c>
      <c r="E145" s="4">
        <v>9500</v>
      </c>
    </row>
    <row r="146" spans="1:5">
      <c r="A146" s="2" t="s">
        <v>46</v>
      </c>
      <c r="B146" s="2" t="str">
        <f>"03-00122463"</f>
        <v>03-00122463</v>
      </c>
      <c r="C146" s="2" t="str">
        <f>"03-00122463"</f>
        <v>03-00122463</v>
      </c>
      <c r="D146" s="2" t="s">
        <v>229</v>
      </c>
      <c r="E146" s="4">
        <v>12500</v>
      </c>
    </row>
    <row r="147" spans="1:5">
      <c r="A147" s="2" t="s">
        <v>46</v>
      </c>
      <c r="B147" s="2" t="str">
        <f>"68218057ab"</f>
        <v>68218057ab</v>
      </c>
      <c r="C147" s="2" t="s">
        <v>230</v>
      </c>
      <c r="D147" s="2" t="s">
        <v>231</v>
      </c>
      <c r="E147" s="4">
        <v>16400</v>
      </c>
    </row>
    <row r="148" spans="1:5">
      <c r="A148" s="2" t="s">
        <v>46</v>
      </c>
      <c r="B148" s="2" t="str">
        <f>"82310"</f>
        <v>82310</v>
      </c>
      <c r="C148" s="2" t="str">
        <f>"82310"</f>
        <v>82310</v>
      </c>
      <c r="D148" s="2" t="s">
        <v>232</v>
      </c>
      <c r="E148" s="4">
        <v>19000</v>
      </c>
    </row>
    <row r="149" spans="1:5">
      <c r="A149" s="2" t="s">
        <v>46</v>
      </c>
      <c r="B149" s="2" t="str">
        <f>"041010028"</f>
        <v>041010028</v>
      </c>
      <c r="C149" s="2" t="str">
        <f>"041010028"</f>
        <v>041010028</v>
      </c>
      <c r="D149" s="2" t="s">
        <v>233</v>
      </c>
      <c r="E149" s="4">
        <v>5200</v>
      </c>
    </row>
    <row r="150" spans="1:5">
      <c r="A150" s="2" t="s">
        <v>46</v>
      </c>
      <c r="B150" s="2" t="str">
        <f>"041010036"</f>
        <v>041010036</v>
      </c>
      <c r="C150" s="2" t="str">
        <f>"041010036"</f>
        <v>041010036</v>
      </c>
      <c r="D150" s="2" t="s">
        <v>234</v>
      </c>
      <c r="E150" s="4">
        <v>4300</v>
      </c>
    </row>
    <row r="151" spans="1:5">
      <c r="A151" s="2" t="s">
        <v>46</v>
      </c>
      <c r="B151" s="2" t="str">
        <f>"041010015"</f>
        <v>041010015</v>
      </c>
      <c r="C151" s="2" t="str">
        <f>"041010015"</f>
        <v>041010015</v>
      </c>
      <c r="D151" s="2" t="s">
        <v>235</v>
      </c>
      <c r="E151" s="4">
        <v>3500</v>
      </c>
    </row>
    <row r="152" spans="1:5">
      <c r="A152" s="2" t="s">
        <v>46</v>
      </c>
      <c r="B152" s="2" t="str">
        <f>"041010022"</f>
        <v>041010022</v>
      </c>
      <c r="C152" s="2" t="str">
        <f>"041010022"</f>
        <v>041010022</v>
      </c>
      <c r="D152" s="2" t="s">
        <v>236</v>
      </c>
      <c r="E152" s="4">
        <v>3500</v>
      </c>
    </row>
    <row r="153" spans="1:5">
      <c r="A153" s="2" t="s">
        <v>46</v>
      </c>
      <c r="B153" s="2" t="str">
        <f>"089269000105"</f>
        <v>089269000105</v>
      </c>
      <c r="C153" s="2" t="s">
        <v>237</v>
      </c>
      <c r="D153" s="2" t="s">
        <v>238</v>
      </c>
      <c r="E153" s="4">
        <v>3900</v>
      </c>
    </row>
    <row r="154" spans="1:5">
      <c r="A154" s="2" t="s">
        <v>46</v>
      </c>
      <c r="B154" s="2" t="str">
        <f>"017038277"</f>
        <v>017038277</v>
      </c>
      <c r="C154" s="2" t="s">
        <v>239</v>
      </c>
      <c r="D154" s="2" t="s">
        <v>240</v>
      </c>
      <c r="E154" s="4">
        <v>9800</v>
      </c>
    </row>
    <row r="155" spans="1:5">
      <c r="A155" s="2" t="s">
        <v>46</v>
      </c>
      <c r="B155" s="2" t="str">
        <f>"965089"</f>
        <v>965089</v>
      </c>
      <c r="C155" s="2" t="str">
        <f>"965089"</f>
        <v>965089</v>
      </c>
      <c r="D155" s="2" t="s">
        <v>241</v>
      </c>
      <c r="E155" s="4">
        <v>25000</v>
      </c>
    </row>
    <row r="156" spans="1:5">
      <c r="A156" s="2" t="s">
        <v>46</v>
      </c>
      <c r="B156" s="2" t="str">
        <f>"021400400399"</f>
        <v>021400400399</v>
      </c>
      <c r="C156" s="2" t="str">
        <f>"84206"</f>
        <v>84206</v>
      </c>
      <c r="D156" s="2" t="s">
        <v>242</v>
      </c>
      <c r="E156" s="4">
        <v>32000</v>
      </c>
    </row>
    <row r="157" spans="1:5">
      <c r="A157" s="2" t="s">
        <v>46</v>
      </c>
      <c r="B157" s="2" t="str">
        <f>"5011987247932"</f>
        <v>5011987247932</v>
      </c>
      <c r="C157" s="2" t="str">
        <f>"46578"</f>
        <v>46578</v>
      </c>
      <c r="D157" s="2" t="s">
        <v>243</v>
      </c>
      <c r="E157" s="4">
        <v>28000</v>
      </c>
    </row>
    <row r="158" spans="1:5">
      <c r="A158" s="2" t="s">
        <v>46</v>
      </c>
      <c r="B158" s="2" t="str">
        <f>"84205"</f>
        <v>84205</v>
      </c>
      <c r="C158" s="2" t="str">
        <f>"84205"</f>
        <v>84205</v>
      </c>
      <c r="D158" s="2" t="s">
        <v>244</v>
      </c>
      <c r="E158" s="4">
        <v>11900</v>
      </c>
    </row>
    <row r="159" spans="1:5">
      <c r="A159" s="2" t="s">
        <v>46</v>
      </c>
      <c r="B159" s="2" t="str">
        <f>"93880"</f>
        <v>93880</v>
      </c>
      <c r="C159" s="2" t="str">
        <f>"93880"</f>
        <v>93880</v>
      </c>
      <c r="D159" s="2" t="s">
        <v>245</v>
      </c>
      <c r="E159" s="4">
        <v>13500</v>
      </c>
    </row>
    <row r="160" spans="1:5">
      <c r="A160" s="2" t="s">
        <v>46</v>
      </c>
      <c r="B160" s="2" t="str">
        <f>"84184"</f>
        <v>84184</v>
      </c>
      <c r="C160" s="2" t="str">
        <f>"84184"</f>
        <v>84184</v>
      </c>
      <c r="D160" s="2" t="s">
        <v>246</v>
      </c>
      <c r="E160" s="4">
        <v>27000</v>
      </c>
    </row>
    <row r="161" spans="1:5">
      <c r="A161" s="2" t="s">
        <v>46</v>
      </c>
      <c r="B161" s="2" t="str">
        <f>"93882"</f>
        <v>93882</v>
      </c>
      <c r="C161" s="2" t="str">
        <f>"93882"</f>
        <v>93882</v>
      </c>
      <c r="D161" s="2" t="s">
        <v>247</v>
      </c>
      <c r="E161" s="4">
        <v>39000</v>
      </c>
    </row>
    <row r="162" spans="1:5">
      <c r="A162" s="2" t="s">
        <v>46</v>
      </c>
      <c r="B162" s="2" t="str">
        <f>"021400400443"</f>
        <v>021400400443</v>
      </c>
      <c r="C162" s="2" t="str">
        <f>"84202"</f>
        <v>84202</v>
      </c>
      <c r="D162" s="2" t="s">
        <v>248</v>
      </c>
      <c r="E162" s="4">
        <v>30000</v>
      </c>
    </row>
    <row r="163" spans="1:5">
      <c r="A163" s="2" t="s">
        <v>46</v>
      </c>
      <c r="B163" s="2" t="str">
        <f>"94056"</f>
        <v>94056</v>
      </c>
      <c r="C163" s="2" t="str">
        <f>"94056"</f>
        <v>94056</v>
      </c>
      <c r="D163" s="2" t="s">
        <v>249</v>
      </c>
      <c r="E163" s="4">
        <v>9000</v>
      </c>
    </row>
    <row r="164" spans="1:5">
      <c r="A164" s="2" t="s">
        <v>46</v>
      </c>
      <c r="B164" s="2" t="str">
        <f>"021400053090"</f>
        <v>021400053090</v>
      </c>
      <c r="C164" s="2" t="str">
        <f>"86703"</f>
        <v>86703</v>
      </c>
      <c r="D164" s="2" t="s">
        <v>250</v>
      </c>
      <c r="E164" s="4">
        <v>55000</v>
      </c>
    </row>
    <row r="165" spans="1:5">
      <c r="A165" s="2" t="s">
        <v>46</v>
      </c>
      <c r="B165" s="2" t="str">
        <f>"84225"</f>
        <v>84225</v>
      </c>
      <c r="C165" s="2" t="s">
        <v>251</v>
      </c>
      <c r="D165" s="2" t="s">
        <v>252</v>
      </c>
      <c r="E165" s="4">
        <v>7500</v>
      </c>
    </row>
    <row r="166" spans="1:5">
      <c r="A166" s="2" t="s">
        <v>46</v>
      </c>
      <c r="B166" s="2" t="str">
        <f>"021400039803"</f>
        <v>021400039803</v>
      </c>
      <c r="C166" s="2" t="str">
        <f>"1444327151"</f>
        <v>1444327151</v>
      </c>
      <c r="D166" s="2" t="s">
        <v>253</v>
      </c>
      <c r="E166" s="4">
        <v>19000</v>
      </c>
    </row>
    <row r="167" spans="1:5">
      <c r="A167" s="2" t="s">
        <v>46</v>
      </c>
      <c r="B167" s="2" t="str">
        <f>"01711540DS1"</f>
        <v>01711540DS1</v>
      </c>
      <c r="C167" s="2" t="s">
        <v>254</v>
      </c>
      <c r="D167" s="2" t="s">
        <v>255</v>
      </c>
      <c r="E167" s="4">
        <v>5500</v>
      </c>
    </row>
    <row r="168" spans="1:5">
      <c r="A168" s="2" t="s">
        <v>46</v>
      </c>
      <c r="B168" s="2" t="str">
        <f>"958247"</f>
        <v>958247</v>
      </c>
      <c r="C168" s="2" t="s">
        <v>256</v>
      </c>
      <c r="D168" s="2" t="s">
        <v>257</v>
      </c>
      <c r="E168" s="4">
        <v>24000</v>
      </c>
    </row>
    <row r="169" spans="1:5">
      <c r="A169" s="2" t="s">
        <v>46</v>
      </c>
      <c r="B169" s="2" t="s">
        <v>258</v>
      </c>
      <c r="C169" s="2" t="str">
        <f>"89837"</f>
        <v>89837</v>
      </c>
      <c r="D169" s="2" t="s">
        <v>259</v>
      </c>
      <c r="E169" s="4">
        <v>55000</v>
      </c>
    </row>
    <row r="170" spans="1:5">
      <c r="A170" s="2" t="s">
        <v>46</v>
      </c>
      <c r="B170" s="2" t="str">
        <f>"84220"</f>
        <v>84220</v>
      </c>
      <c r="C170" s="2" t="s">
        <v>260</v>
      </c>
      <c r="D170" s="2" t="s">
        <v>261</v>
      </c>
      <c r="E170" s="4">
        <v>29500</v>
      </c>
    </row>
    <row r="171" spans="1:5">
      <c r="A171" s="2" t="s">
        <v>46</v>
      </c>
      <c r="B171" s="2" t="str">
        <f>"5011987035461"</f>
        <v>5011987035461</v>
      </c>
      <c r="C171" s="2" t="str">
        <f>"5011987035461"</f>
        <v>5011987035461</v>
      </c>
      <c r="D171" s="2" t="s">
        <v>262</v>
      </c>
      <c r="E171" s="4">
        <v>35000</v>
      </c>
    </row>
    <row r="172" spans="1:5">
      <c r="A172" s="2" t="s">
        <v>46</v>
      </c>
      <c r="B172" s="2" t="str">
        <f>"94064"</f>
        <v>94064</v>
      </c>
      <c r="C172" s="2" t="str">
        <f>"94064"</f>
        <v>94064</v>
      </c>
      <c r="D172" s="2" t="s">
        <v>263</v>
      </c>
      <c r="E172" s="4">
        <v>8000</v>
      </c>
    </row>
    <row r="173" spans="1:5">
      <c r="A173" s="2" t="s">
        <v>46</v>
      </c>
      <c r="B173" s="2" t="str">
        <f>"021400400481"</f>
        <v>021400400481</v>
      </c>
      <c r="C173" s="2" t="str">
        <f>"84204"</f>
        <v>84204</v>
      </c>
      <c r="D173" s="2" t="s">
        <v>264</v>
      </c>
      <c r="E173" s="4">
        <v>27000</v>
      </c>
    </row>
    <row r="174" spans="1:5">
      <c r="A174" s="2" t="s">
        <v>46</v>
      </c>
      <c r="B174" s="2" t="str">
        <f>"25W60"</f>
        <v>25W60</v>
      </c>
      <c r="C174" s="2" t="str">
        <f>"25W60"</f>
        <v>25W60</v>
      </c>
      <c r="D174" s="2" t="s">
        <v>265</v>
      </c>
      <c r="E174" s="4">
        <v>18500</v>
      </c>
    </row>
    <row r="175" spans="1:5">
      <c r="A175" s="2" t="s">
        <v>46</v>
      </c>
      <c r="B175" s="2" t="s">
        <v>266</v>
      </c>
      <c r="C175" s="2" t="s">
        <v>266</v>
      </c>
      <c r="D175" s="2" t="s">
        <v>267</v>
      </c>
      <c r="E175" s="4">
        <v>5100</v>
      </c>
    </row>
    <row r="176" spans="1:5">
      <c r="A176" s="2" t="s">
        <v>46</v>
      </c>
      <c r="B176" s="2" t="str">
        <f>"958273"</f>
        <v>958273</v>
      </c>
      <c r="C176" s="2" t="str">
        <f>"958273"</f>
        <v>958273</v>
      </c>
      <c r="D176" s="2" t="s">
        <v>268</v>
      </c>
      <c r="E176" s="4">
        <v>19500</v>
      </c>
    </row>
    <row r="177" spans="1:5">
      <c r="A177" s="2" t="s">
        <v>46</v>
      </c>
      <c r="B177" s="2" t="str">
        <f>"5011987860797"</f>
        <v>5011987860797</v>
      </c>
      <c r="C177" s="2" t="str">
        <f>"46577"</f>
        <v>46577</v>
      </c>
      <c r="D177" s="2" t="s">
        <v>269</v>
      </c>
      <c r="E177" s="4">
        <v>49500</v>
      </c>
    </row>
    <row r="178" spans="1:5">
      <c r="A178" s="2" t="s">
        <v>46</v>
      </c>
      <c r="B178" s="2" t="s">
        <v>270</v>
      </c>
      <c r="C178" s="2" t="str">
        <f>"50155"</f>
        <v>50155</v>
      </c>
      <c r="D178" s="2" t="s">
        <v>271</v>
      </c>
      <c r="E178" s="4">
        <v>9900</v>
      </c>
    </row>
    <row r="179" spans="1:5">
      <c r="A179" s="2" t="s">
        <v>46</v>
      </c>
      <c r="B179" s="2" t="str">
        <f>"021400400566"</f>
        <v>021400400566</v>
      </c>
      <c r="C179" s="2" t="str">
        <f>"84209"</f>
        <v>84209</v>
      </c>
      <c r="D179" s="2" t="s">
        <v>272</v>
      </c>
      <c r="E179" s="4">
        <v>43000</v>
      </c>
    </row>
    <row r="180" spans="1:5" ht="27.6">
      <c r="A180" s="2" t="s">
        <v>46</v>
      </c>
      <c r="B180" s="2" t="str">
        <f>"021400400542"</f>
        <v>021400400542</v>
      </c>
      <c r="C180" s="2" t="str">
        <f>"84213"</f>
        <v>84213</v>
      </c>
      <c r="D180" s="2" t="s">
        <v>273</v>
      </c>
      <c r="E180" s="4">
        <v>65000</v>
      </c>
    </row>
    <row r="181" spans="1:5">
      <c r="A181" s="2" t="s">
        <v>46</v>
      </c>
      <c r="B181" s="2" t="s">
        <v>274</v>
      </c>
      <c r="C181" s="2" t="s">
        <v>274</v>
      </c>
      <c r="D181" s="2" t="s">
        <v>275</v>
      </c>
      <c r="E181" s="4">
        <v>12500</v>
      </c>
    </row>
    <row r="182" spans="1:5">
      <c r="A182" s="2" t="s">
        <v>46</v>
      </c>
      <c r="B182" s="2" t="str">
        <f>"017035404"</f>
        <v>017035404</v>
      </c>
      <c r="C182" s="2" t="str">
        <f>"017035404"</f>
        <v>017035404</v>
      </c>
      <c r="D182" s="2" t="s">
        <v>276</v>
      </c>
      <c r="E182" s="4">
        <v>54500</v>
      </c>
    </row>
    <row r="183" spans="1:5">
      <c r="A183" s="2" t="s">
        <v>46</v>
      </c>
      <c r="B183" s="2" t="str">
        <f>"01718091S"</f>
        <v>01718091S</v>
      </c>
      <c r="C183" s="2" t="s">
        <v>277</v>
      </c>
      <c r="D183" s="2" t="s">
        <v>278</v>
      </c>
      <c r="E183" s="4">
        <v>4900</v>
      </c>
    </row>
    <row r="184" spans="1:5">
      <c r="A184" s="2" t="s">
        <v>46</v>
      </c>
      <c r="B184" s="2" t="str">
        <f>"84228"</f>
        <v>84228</v>
      </c>
      <c r="C184" s="2" t="s">
        <v>279</v>
      </c>
      <c r="D184" s="2" t="s">
        <v>280</v>
      </c>
      <c r="E184" s="4">
        <v>17500</v>
      </c>
    </row>
    <row r="185" spans="1:5">
      <c r="A185" s="2" t="s">
        <v>46</v>
      </c>
      <c r="B185" s="2" t="str">
        <f>"021400032569"</f>
        <v>021400032569</v>
      </c>
      <c r="C185" s="2" t="str">
        <f>"84227"</f>
        <v>84227</v>
      </c>
      <c r="D185" s="2" t="s">
        <v>281</v>
      </c>
      <c r="E185" s="4">
        <v>20000</v>
      </c>
    </row>
    <row r="186" spans="1:5">
      <c r="A186" s="2" t="s">
        <v>46</v>
      </c>
      <c r="B186" s="2" t="s">
        <v>282</v>
      </c>
      <c r="C186" s="2" t="s">
        <v>282</v>
      </c>
      <c r="D186" s="2" t="s">
        <v>283</v>
      </c>
      <c r="E186" s="4">
        <v>5200</v>
      </c>
    </row>
    <row r="187" spans="1:5">
      <c r="A187" s="2" t="s">
        <v>46</v>
      </c>
      <c r="B187" s="2" t="str">
        <f>"017ATFS4"</f>
        <v>017ATFS4</v>
      </c>
      <c r="C187" s="2" t="s">
        <v>284</v>
      </c>
      <c r="D187" s="2" t="s">
        <v>285</v>
      </c>
      <c r="E187" s="4">
        <v>17500</v>
      </c>
    </row>
    <row r="188" spans="1:5">
      <c r="A188" s="2" t="s">
        <v>46</v>
      </c>
      <c r="B188" s="2" t="s">
        <v>286</v>
      </c>
      <c r="C188" s="2" t="s">
        <v>286</v>
      </c>
      <c r="D188" s="2" t="s">
        <v>287</v>
      </c>
      <c r="E188" s="4">
        <v>3500</v>
      </c>
    </row>
    <row r="189" spans="1:5">
      <c r="A189" s="2" t="s">
        <v>46</v>
      </c>
      <c r="B189" s="2" t="str">
        <f>"3425900000399"</f>
        <v>3425900000399</v>
      </c>
      <c r="C189" s="2" t="str">
        <f>"47921"</f>
        <v>47921</v>
      </c>
      <c r="D189" s="2" t="s">
        <v>288</v>
      </c>
      <c r="E189" s="4">
        <v>25000</v>
      </c>
    </row>
    <row r="190" spans="1:5">
      <c r="A190" s="2" t="s">
        <v>46</v>
      </c>
      <c r="B190" s="2" t="str">
        <f>"51513"</f>
        <v>51513</v>
      </c>
      <c r="C190" s="2" t="str">
        <f>"51513"</f>
        <v>51513</v>
      </c>
      <c r="D190" s="2" t="s">
        <v>289</v>
      </c>
      <c r="E190" s="4">
        <v>10500</v>
      </c>
    </row>
    <row r="191" spans="1:5">
      <c r="A191" s="2" t="s">
        <v>46</v>
      </c>
      <c r="B191" s="2" t="str">
        <f>"47922"</f>
        <v>47922</v>
      </c>
      <c r="C191" s="2" t="str">
        <f>"47922"</f>
        <v>47922</v>
      </c>
      <c r="D191" s="2" t="s">
        <v>290</v>
      </c>
      <c r="E191" s="4">
        <v>51000</v>
      </c>
    </row>
    <row r="192" spans="1:5">
      <c r="A192" s="2" t="s">
        <v>165</v>
      </c>
      <c r="B192" s="2" t="str">
        <f>"040210060"</f>
        <v>040210060</v>
      </c>
      <c r="C192" s="2" t="s">
        <v>291</v>
      </c>
      <c r="D192" s="2" t="s">
        <v>292</v>
      </c>
      <c r="E192" s="4">
        <v>4300</v>
      </c>
    </row>
    <row r="193" spans="1:5">
      <c r="A193" s="2" t="s">
        <v>165</v>
      </c>
      <c r="B193" s="2" t="str">
        <f>"089269009443"</f>
        <v>089269009443</v>
      </c>
      <c r="C193" s="2" t="str">
        <f>"040210059"</f>
        <v>040210059</v>
      </c>
      <c r="D193" s="2" t="s">
        <v>293</v>
      </c>
      <c r="E193" s="4">
        <v>2900</v>
      </c>
    </row>
    <row r="194" spans="1:5">
      <c r="A194" s="2" t="s">
        <v>165</v>
      </c>
      <c r="B194" s="2" t="str">
        <f>"079340375314"</f>
        <v>079340375314</v>
      </c>
      <c r="C194" s="2" t="str">
        <f>"37531"</f>
        <v>37531</v>
      </c>
      <c r="D194" s="2" t="s">
        <v>294</v>
      </c>
      <c r="E194" s="4">
        <v>5500</v>
      </c>
    </row>
    <row r="195" spans="1:5">
      <c r="A195" s="2" t="s">
        <v>165</v>
      </c>
      <c r="B195" s="2" t="str">
        <f>"7805315004421"</f>
        <v>7805315004421</v>
      </c>
      <c r="C195" s="2" t="str">
        <f>"44209"</f>
        <v>44209</v>
      </c>
      <c r="D195" s="2" t="s">
        <v>295</v>
      </c>
      <c r="E195" s="4">
        <v>5500</v>
      </c>
    </row>
    <row r="196" spans="1:5">
      <c r="A196" s="2" t="s">
        <v>296</v>
      </c>
      <c r="B196" s="2" t="str">
        <f>"026002C10"</f>
        <v>026002C10</v>
      </c>
      <c r="C196" s="2" t="str">
        <f>"026002C10"</f>
        <v>026002C10</v>
      </c>
      <c r="D196" s="2" t="s">
        <v>297</v>
      </c>
      <c r="E196" s="4">
        <v>1900</v>
      </c>
    </row>
    <row r="197" spans="1:5">
      <c r="A197" s="2" t="s">
        <v>296</v>
      </c>
      <c r="B197" s="2" t="str">
        <f>"026002C6"</f>
        <v>026002C6</v>
      </c>
      <c r="C197" s="2" t="str">
        <f>"026002C6"</f>
        <v>026002C6</v>
      </c>
      <c r="D197" s="2" t="s">
        <v>298</v>
      </c>
      <c r="E197" s="4">
        <v>1900</v>
      </c>
    </row>
    <row r="198" spans="1:5">
      <c r="A198" s="2" t="s">
        <v>296</v>
      </c>
      <c r="B198" s="2" t="str">
        <f>"026002R10"</f>
        <v>026002R10</v>
      </c>
      <c r="C198" s="2" t="str">
        <f>"026002R10"</f>
        <v>026002R10</v>
      </c>
      <c r="D198" s="2" t="s">
        <v>299</v>
      </c>
      <c r="E198" s="4">
        <v>1300</v>
      </c>
    </row>
    <row r="199" spans="1:5">
      <c r="A199" s="2" t="s">
        <v>296</v>
      </c>
      <c r="B199" s="2" t="str">
        <f>"026002R6/8"</f>
        <v>026002R6/8</v>
      </c>
      <c r="C199" s="2" t="str">
        <f>"026002R6/8"</f>
        <v>026002R6/8</v>
      </c>
      <c r="D199" s="2" t="s">
        <v>300</v>
      </c>
      <c r="E199" s="4">
        <v>1200</v>
      </c>
    </row>
    <row r="200" spans="1:5">
      <c r="A200" s="2" t="s">
        <v>165</v>
      </c>
      <c r="B200" s="2" t="str">
        <f>"480130"</f>
        <v>480130</v>
      </c>
      <c r="C200" s="2" t="str">
        <f>"480130"</f>
        <v>480130</v>
      </c>
      <c r="D200" s="2" t="s">
        <v>301</v>
      </c>
      <c r="E200" s="4">
        <v>4500</v>
      </c>
    </row>
    <row r="201" spans="1:5">
      <c r="A201" s="2" t="s">
        <v>165</v>
      </c>
      <c r="B201" s="2" t="str">
        <f>"480131"</f>
        <v>480131</v>
      </c>
      <c r="C201" s="2" t="str">
        <f>"480131"</f>
        <v>480131</v>
      </c>
      <c r="D201" s="2" t="s">
        <v>302</v>
      </c>
      <c r="E201" s="4">
        <v>8500</v>
      </c>
    </row>
    <row r="202" spans="1:5">
      <c r="A202" s="2" t="s">
        <v>165</v>
      </c>
      <c r="B202" s="2" t="str">
        <f>"089269000921"</f>
        <v>089269000921</v>
      </c>
      <c r="C202" s="2" t="s">
        <v>303</v>
      </c>
      <c r="D202" s="2" t="s">
        <v>304</v>
      </c>
      <c r="E202" s="4">
        <v>4300</v>
      </c>
    </row>
    <row r="203" spans="1:5">
      <c r="A203" s="2" t="s">
        <v>165</v>
      </c>
      <c r="B203" s="2" t="s">
        <v>305</v>
      </c>
      <c r="C203" s="2" t="s">
        <v>305</v>
      </c>
      <c r="D203" s="2" t="s">
        <v>306</v>
      </c>
      <c r="E203" s="4">
        <v>11000</v>
      </c>
    </row>
    <row r="204" spans="1:5">
      <c r="A204" s="2" t="s">
        <v>165</v>
      </c>
      <c r="B204" s="2" t="s">
        <v>307</v>
      </c>
      <c r="C204" s="2" t="s">
        <v>307</v>
      </c>
      <c r="D204" s="2" t="s">
        <v>308</v>
      </c>
      <c r="E204" s="4">
        <v>3400</v>
      </c>
    </row>
    <row r="205" spans="1:5">
      <c r="A205" s="2" t="s">
        <v>165</v>
      </c>
      <c r="B205" s="2" t="str">
        <f>"100042"</f>
        <v>100042</v>
      </c>
      <c r="C205" s="2" t="str">
        <f>"100042"</f>
        <v>100042</v>
      </c>
      <c r="D205" s="2" t="s">
        <v>309</v>
      </c>
      <c r="E205" s="4">
        <v>5200</v>
      </c>
    </row>
    <row r="206" spans="1:5">
      <c r="A206" s="2" t="s">
        <v>165</v>
      </c>
      <c r="B206" s="2" t="str">
        <f>"089269021001"</f>
        <v>089269021001</v>
      </c>
      <c r="C206" s="2" t="s">
        <v>310</v>
      </c>
      <c r="D206" s="2" t="s">
        <v>311</v>
      </c>
      <c r="E206" s="4">
        <v>4800</v>
      </c>
    </row>
    <row r="207" spans="1:5">
      <c r="A207" s="2" t="s">
        <v>165</v>
      </c>
      <c r="B207" s="2" t="str">
        <f>"4100420025006"</f>
        <v>4100420025006</v>
      </c>
      <c r="C207" s="2" t="str">
        <f>"2500"</f>
        <v>2500</v>
      </c>
      <c r="D207" s="2" t="s">
        <v>312</v>
      </c>
      <c r="E207" s="4">
        <v>9300</v>
      </c>
    </row>
    <row r="208" spans="1:5">
      <c r="A208" s="2" t="s">
        <v>165</v>
      </c>
      <c r="B208" s="2" t="str">
        <f>"103865"</f>
        <v>103865</v>
      </c>
      <c r="C208" s="2" t="str">
        <f>"103865"</f>
        <v>103865</v>
      </c>
      <c r="D208" s="2" t="s">
        <v>313</v>
      </c>
      <c r="E208" s="4">
        <v>22500</v>
      </c>
    </row>
    <row r="209" spans="1:5">
      <c r="A209" s="2" t="s">
        <v>165</v>
      </c>
      <c r="B209" s="2" t="str">
        <f>"4100420051357"</f>
        <v>4100420051357</v>
      </c>
      <c r="C209" s="2" t="str">
        <f>"5135"</f>
        <v>5135</v>
      </c>
      <c r="D209" s="2" t="s">
        <v>314</v>
      </c>
      <c r="E209" s="4">
        <v>32000</v>
      </c>
    </row>
    <row r="210" spans="1:5" ht="27.6">
      <c r="A210" s="2" t="s">
        <v>165</v>
      </c>
      <c r="B210" s="2" t="str">
        <f>"4100420010408"</f>
        <v>4100420010408</v>
      </c>
      <c r="C210" s="2" t="str">
        <f>"1040"</f>
        <v>1040</v>
      </c>
      <c r="D210" s="2" t="s">
        <v>315</v>
      </c>
      <c r="E210" s="4">
        <v>9700</v>
      </c>
    </row>
    <row r="211" spans="1:5">
      <c r="A211" s="2" t="s">
        <v>165</v>
      </c>
      <c r="B211" s="2" t="str">
        <f>"02213CF"</f>
        <v>02213CF</v>
      </c>
      <c r="C211" s="2" t="str">
        <f>"02213CF"</f>
        <v>02213CF</v>
      </c>
      <c r="D211" s="2" t="s">
        <v>316</v>
      </c>
      <c r="E211" s="4">
        <v>3400</v>
      </c>
    </row>
    <row r="212" spans="1:5">
      <c r="A212" s="2" t="s">
        <v>165</v>
      </c>
      <c r="B212" s="2" t="str">
        <f>"0004241"</f>
        <v>0004241</v>
      </c>
      <c r="C212" s="2" t="str">
        <f>"0004241"</f>
        <v>0004241</v>
      </c>
      <c r="D212" s="2" t="s">
        <v>317</v>
      </c>
      <c r="E212" s="4">
        <v>4300</v>
      </c>
    </row>
    <row r="213" spans="1:5">
      <c r="A213" s="2" t="s">
        <v>165</v>
      </c>
      <c r="B213" s="2" t="str">
        <f>"4100420037214"</f>
        <v>4100420037214</v>
      </c>
      <c r="C213" s="2" t="s">
        <v>318</v>
      </c>
      <c r="D213" s="2" t="s">
        <v>319</v>
      </c>
      <c r="E213" s="4">
        <v>31000</v>
      </c>
    </row>
    <row r="214" spans="1:5">
      <c r="A214" s="2" t="s">
        <v>165</v>
      </c>
      <c r="B214" s="2" t="s">
        <v>320</v>
      </c>
      <c r="C214" s="2" t="str">
        <f>"100022"</f>
        <v>100022</v>
      </c>
      <c r="D214" s="2" t="s">
        <v>321</v>
      </c>
      <c r="E214" s="4">
        <v>5200</v>
      </c>
    </row>
    <row r="215" spans="1:5">
      <c r="A215" s="2" t="s">
        <v>165</v>
      </c>
      <c r="B215" s="2" t="str">
        <f>"040210006"</f>
        <v>040210006</v>
      </c>
      <c r="C215" s="2" t="str">
        <f>"040210006"</f>
        <v>040210006</v>
      </c>
      <c r="D215" s="2" t="s">
        <v>322</v>
      </c>
      <c r="E215" s="4">
        <v>6800</v>
      </c>
    </row>
    <row r="216" spans="1:5">
      <c r="A216" s="2" t="s">
        <v>165</v>
      </c>
      <c r="B216" s="2" t="s">
        <v>323</v>
      </c>
      <c r="C216" s="2" t="s">
        <v>323</v>
      </c>
      <c r="D216" s="2" t="s">
        <v>324</v>
      </c>
      <c r="E216" s="4">
        <v>5500</v>
      </c>
    </row>
    <row r="217" spans="1:5">
      <c r="A217" s="2" t="s">
        <v>165</v>
      </c>
      <c r="B217" s="2" t="str">
        <f>"7702763002682"</f>
        <v>7702763002682</v>
      </c>
      <c r="C217" s="2" t="str">
        <f>"525CM"</f>
        <v>525CM</v>
      </c>
      <c r="D217" s="2" t="s">
        <v>325</v>
      </c>
      <c r="E217" s="4">
        <v>4900</v>
      </c>
    </row>
    <row r="218" spans="1:5">
      <c r="A218" s="2" t="s">
        <v>165</v>
      </c>
      <c r="B218" s="2" t="str">
        <f>"7891799447540"</f>
        <v>7891799447540</v>
      </c>
      <c r="C218" s="2" t="str">
        <f>"089020011"</f>
        <v>089020011</v>
      </c>
      <c r="D218" s="2" t="s">
        <v>326</v>
      </c>
      <c r="E218" s="4">
        <v>4300</v>
      </c>
    </row>
    <row r="219" spans="1:5">
      <c r="A219" s="2" t="s">
        <v>165</v>
      </c>
      <c r="B219" s="2" t="str">
        <f>"014301"</f>
        <v>014301</v>
      </c>
      <c r="C219" s="2" t="str">
        <f>"014301"</f>
        <v>014301</v>
      </c>
      <c r="D219" s="2" t="s">
        <v>327</v>
      </c>
      <c r="E219" s="4">
        <v>5000</v>
      </c>
    </row>
    <row r="220" spans="1:5">
      <c r="A220" s="2" t="s">
        <v>165</v>
      </c>
      <c r="B220" s="2" t="s">
        <v>328</v>
      </c>
      <c r="C220" s="2" t="s">
        <v>328</v>
      </c>
      <c r="D220" s="2" t="s">
        <v>329</v>
      </c>
      <c r="E220" s="4">
        <v>10500</v>
      </c>
    </row>
    <row r="221" spans="1:5">
      <c r="A221" s="2" t="s">
        <v>165</v>
      </c>
      <c r="B221" s="2" t="s">
        <v>330</v>
      </c>
      <c r="C221" s="2" t="s">
        <v>330</v>
      </c>
      <c r="D221" s="2" t="s">
        <v>331</v>
      </c>
      <c r="E221" s="4">
        <v>16000</v>
      </c>
    </row>
    <row r="222" spans="1:5">
      <c r="A222" s="2" t="s">
        <v>165</v>
      </c>
      <c r="B222" s="2" t="str">
        <f>"2082000279059"</f>
        <v>2082000279059</v>
      </c>
      <c r="C222" s="2" t="s">
        <v>332</v>
      </c>
      <c r="D222" s="2" t="s">
        <v>333</v>
      </c>
      <c r="E222" s="4">
        <v>4000</v>
      </c>
    </row>
    <row r="223" spans="1:5">
      <c r="A223" s="2" t="s">
        <v>165</v>
      </c>
      <c r="B223" s="2" t="str">
        <f>"7702763002941"</f>
        <v>7702763002941</v>
      </c>
      <c r="C223" s="2" t="s">
        <v>334</v>
      </c>
      <c r="D223" s="2" t="s">
        <v>335</v>
      </c>
      <c r="E223" s="4">
        <v>4300</v>
      </c>
    </row>
    <row r="224" spans="1:5">
      <c r="A224" s="2" t="s">
        <v>165</v>
      </c>
      <c r="B224" s="2" t="str">
        <f>"4100420083549"</f>
        <v>4100420083549</v>
      </c>
      <c r="C224" s="2" t="str">
        <f>"018354"</f>
        <v>018354</v>
      </c>
      <c r="D224" s="2" t="s">
        <v>336</v>
      </c>
      <c r="E224" s="4">
        <v>13500</v>
      </c>
    </row>
    <row r="225" spans="1:5">
      <c r="A225" s="2" t="s">
        <v>165</v>
      </c>
      <c r="B225" s="2" t="str">
        <f>"4100420010156"</f>
        <v>4100420010156</v>
      </c>
      <c r="C225" s="2" t="str">
        <f>"1015"</f>
        <v>1015</v>
      </c>
      <c r="D225" s="2" t="s">
        <v>337</v>
      </c>
      <c r="E225" s="4">
        <v>61000</v>
      </c>
    </row>
    <row r="226" spans="1:5">
      <c r="A226" s="2" t="s">
        <v>165</v>
      </c>
      <c r="B226" s="2" t="str">
        <f>"2105"</f>
        <v>2105</v>
      </c>
      <c r="C226" s="2" t="str">
        <f>"2105"</f>
        <v>2105</v>
      </c>
      <c r="D226" s="2" t="s">
        <v>338</v>
      </c>
      <c r="E226" s="4">
        <v>16000</v>
      </c>
    </row>
    <row r="227" spans="1:5">
      <c r="A227" s="2" t="s">
        <v>165</v>
      </c>
      <c r="B227" s="2" t="str">
        <f>"089269000907"</f>
        <v>089269000907</v>
      </c>
      <c r="C227" s="2" t="str">
        <f>"040210041"</f>
        <v>040210041</v>
      </c>
      <c r="D227" s="2" t="s">
        <v>339</v>
      </c>
      <c r="E227" s="4">
        <v>6100</v>
      </c>
    </row>
    <row r="228" spans="1:5">
      <c r="A228" s="2" t="s">
        <v>165</v>
      </c>
      <c r="B228" s="2" t="str">
        <f>"4100420051692"</f>
        <v>4100420051692</v>
      </c>
      <c r="C228" s="2" t="str">
        <f>"5169"</f>
        <v>5169</v>
      </c>
      <c r="D228" s="2" t="s">
        <v>340</v>
      </c>
      <c r="E228" s="4">
        <v>49000</v>
      </c>
    </row>
    <row r="229" spans="1:5">
      <c r="A229" s="2" t="s">
        <v>165</v>
      </c>
      <c r="B229" s="2" t="str">
        <f>"4100420051715"</f>
        <v>4100420051715</v>
      </c>
      <c r="C229" s="2" t="str">
        <f>"5171"</f>
        <v>5171</v>
      </c>
      <c r="D229" s="2" t="s">
        <v>341</v>
      </c>
      <c r="E229" s="4">
        <v>61000</v>
      </c>
    </row>
    <row r="230" spans="1:5">
      <c r="A230" s="2" t="s">
        <v>165</v>
      </c>
      <c r="B230" s="2" t="str">
        <f>"4046777311907"</f>
        <v>4046777311907</v>
      </c>
      <c r="C230" s="2" t="s">
        <v>342</v>
      </c>
      <c r="D230" s="2" t="s">
        <v>343</v>
      </c>
      <c r="E230" s="4">
        <v>6000</v>
      </c>
    </row>
    <row r="231" spans="1:5">
      <c r="A231" s="2" t="s">
        <v>165</v>
      </c>
      <c r="B231" s="2" t="str">
        <f>"4056807863436"</f>
        <v>4056807863436</v>
      </c>
      <c r="C231" s="2" t="str">
        <f>"0890200111"</f>
        <v>0890200111</v>
      </c>
      <c r="D231" s="2" t="s">
        <v>344</v>
      </c>
      <c r="E231" s="4">
        <v>6000</v>
      </c>
    </row>
    <row r="232" spans="1:5">
      <c r="A232" s="2" t="s">
        <v>165</v>
      </c>
      <c r="B232" s="2" t="str">
        <f>"4100420010422"</f>
        <v>4100420010422</v>
      </c>
      <c r="C232" s="2" t="str">
        <f>"1042"</f>
        <v>1042</v>
      </c>
      <c r="D232" s="2" t="s">
        <v>345</v>
      </c>
      <c r="E232" s="4">
        <v>9000</v>
      </c>
    </row>
    <row r="233" spans="1:5">
      <c r="A233" s="2" t="s">
        <v>165</v>
      </c>
      <c r="B233" s="2" t="str">
        <f>"4100420025013"</f>
        <v>4100420025013</v>
      </c>
      <c r="C233" s="2" t="str">
        <f>"2501"</f>
        <v>2501</v>
      </c>
      <c r="D233" s="2" t="s">
        <v>346</v>
      </c>
      <c r="E233" s="4">
        <v>13500</v>
      </c>
    </row>
    <row r="234" spans="1:5">
      <c r="A234" s="2" t="s">
        <v>165</v>
      </c>
      <c r="B234" s="2" t="str">
        <f>"4100420025020"</f>
        <v>4100420025020</v>
      </c>
      <c r="C234" s="2" t="str">
        <f>"2502"</f>
        <v>2502</v>
      </c>
      <c r="D234" s="2" t="s">
        <v>347</v>
      </c>
      <c r="E234" s="4">
        <v>10500</v>
      </c>
    </row>
    <row r="235" spans="1:5">
      <c r="A235" s="2" t="s">
        <v>165</v>
      </c>
      <c r="B235" s="2" t="str">
        <f>"8028687204001"</f>
        <v>8028687204001</v>
      </c>
      <c r="C235" s="2" t="s">
        <v>348</v>
      </c>
      <c r="D235" s="2" t="s">
        <v>349</v>
      </c>
      <c r="E235" s="4">
        <v>6000</v>
      </c>
    </row>
    <row r="236" spans="1:5">
      <c r="A236" s="2" t="s">
        <v>165</v>
      </c>
      <c r="B236" s="2" t="str">
        <f>"089269003069"</f>
        <v>089269003069</v>
      </c>
      <c r="C236" s="2" t="str">
        <f>"040210126 C306INTL"</f>
        <v>040210126 C306INTL</v>
      </c>
      <c r="D236" s="2" t="s">
        <v>350</v>
      </c>
      <c r="E236" s="4">
        <v>6000</v>
      </c>
    </row>
    <row r="237" spans="1:5">
      <c r="A237" s="2" t="s">
        <v>165</v>
      </c>
      <c r="B237" s="2" t="str">
        <f>"090970142"</f>
        <v>090970142</v>
      </c>
      <c r="C237" s="2" t="str">
        <f>"090970142"</f>
        <v>090970142</v>
      </c>
      <c r="D237" s="2" t="s">
        <v>351</v>
      </c>
      <c r="E237" s="4">
        <v>6000</v>
      </c>
    </row>
    <row r="238" spans="1:5">
      <c r="A238" s="2" t="s">
        <v>165</v>
      </c>
      <c r="B238" s="2" t="str">
        <f>"022027DE5"</f>
        <v>022027DE5</v>
      </c>
      <c r="C238" s="2" t="str">
        <f>"022027DE5"</f>
        <v>022027DE5</v>
      </c>
      <c r="D238" s="2" t="s">
        <v>352</v>
      </c>
      <c r="E238" s="4">
        <v>2500</v>
      </c>
    </row>
    <row r="239" spans="1:5">
      <c r="A239" s="2" t="s">
        <v>165</v>
      </c>
      <c r="B239" s="2" t="str">
        <f>"022027V"</f>
        <v>022027V</v>
      </c>
      <c r="C239" s="2" t="str">
        <f>"022027V"</f>
        <v>022027V</v>
      </c>
      <c r="D239" s="2" t="s">
        <v>353</v>
      </c>
      <c r="E239" s="4">
        <v>2500</v>
      </c>
    </row>
    <row r="240" spans="1:5">
      <c r="A240" s="2" t="s">
        <v>5</v>
      </c>
      <c r="B240" s="2" t="s">
        <v>354</v>
      </c>
      <c r="C240" s="2" t="s">
        <v>354</v>
      </c>
      <c r="D240" s="2" t="s">
        <v>355</v>
      </c>
      <c r="E240" s="4">
        <v>3800</v>
      </c>
    </row>
    <row r="241" spans="1:5">
      <c r="A241" s="2" t="s">
        <v>296</v>
      </c>
      <c r="B241" s="2" t="str">
        <f>"053036"</f>
        <v>053036</v>
      </c>
      <c r="C241" s="2" t="str">
        <f>"053047"</f>
        <v>053047</v>
      </c>
      <c r="D241" s="2" t="s">
        <v>356</v>
      </c>
      <c r="E241" s="4">
        <v>11500</v>
      </c>
    </row>
    <row r="242" spans="1:5">
      <c r="A242" s="2" t="s">
        <v>296</v>
      </c>
      <c r="B242" s="2" t="s">
        <v>357</v>
      </c>
      <c r="C242" s="2" t="s">
        <v>357</v>
      </c>
      <c r="D242" s="2" t="s">
        <v>358</v>
      </c>
      <c r="E242" s="4">
        <v>25000</v>
      </c>
    </row>
    <row r="243" spans="1:5">
      <c r="A243" s="2" t="s">
        <v>359</v>
      </c>
      <c r="B243" s="2" t="str">
        <f>"8010610"</f>
        <v>8010610</v>
      </c>
      <c r="C243" s="2" t="str">
        <f>"96457322"</f>
        <v>96457322</v>
      </c>
      <c r="D243" s="2" t="s">
        <v>360</v>
      </c>
      <c r="E243" s="4">
        <v>68200</v>
      </c>
    </row>
    <row r="244" spans="1:5">
      <c r="A244" s="2" t="s">
        <v>359</v>
      </c>
      <c r="B244" s="2" t="str">
        <f>"058-017"</f>
        <v>058-017</v>
      </c>
      <c r="C244" s="2" t="str">
        <f>"058-017"</f>
        <v>058-017</v>
      </c>
      <c r="D244" s="2" t="s">
        <v>361</v>
      </c>
      <c r="E244" s="4">
        <v>72500</v>
      </c>
    </row>
    <row r="245" spans="1:5">
      <c r="A245" s="2" t="s">
        <v>359</v>
      </c>
      <c r="B245" s="2" t="s">
        <v>362</v>
      </c>
      <c r="C245" s="2" t="s">
        <v>362</v>
      </c>
      <c r="D245" s="2" t="s">
        <v>363</v>
      </c>
      <c r="E245" s="4">
        <v>58000</v>
      </c>
    </row>
    <row r="246" spans="1:5">
      <c r="A246" s="2" t="s">
        <v>359</v>
      </c>
      <c r="B246" s="2" t="str">
        <f>"0006617"</f>
        <v>0006617</v>
      </c>
      <c r="C246" s="2" t="str">
        <f>"0006617"</f>
        <v>0006617</v>
      </c>
      <c r="D246" s="2" t="s">
        <v>364</v>
      </c>
      <c r="E246" s="4">
        <v>58300</v>
      </c>
    </row>
    <row r="247" spans="1:5">
      <c r="A247" s="2" t="s">
        <v>365</v>
      </c>
      <c r="B247" s="2" t="s">
        <v>366</v>
      </c>
      <c r="C247" s="2" t="str">
        <f>"1718631331074"</f>
        <v>1718631331074</v>
      </c>
      <c r="D247" s="2" t="s">
        <v>367</v>
      </c>
      <c r="E247" s="4">
        <v>130000</v>
      </c>
    </row>
    <row r="248" spans="1:5">
      <c r="A248" s="2" t="s">
        <v>359</v>
      </c>
      <c r="B248" s="2" t="str">
        <f>"0011412138-2"</f>
        <v>0011412138-2</v>
      </c>
      <c r="C248" s="2" t="str">
        <f>"0011412138-2"</f>
        <v>0011412138-2</v>
      </c>
      <c r="D248" s="2" t="s">
        <v>368</v>
      </c>
      <c r="E248" s="4">
        <v>97000</v>
      </c>
    </row>
    <row r="249" spans="1:5">
      <c r="A249" s="2" t="s">
        <v>359</v>
      </c>
      <c r="B249" s="2" t="str">
        <f>"001412138-2"</f>
        <v>001412138-2</v>
      </c>
      <c r="C249" s="2" t="str">
        <f>"001412138-2"</f>
        <v>001412138-2</v>
      </c>
      <c r="D249" s="2" t="s">
        <v>368</v>
      </c>
      <c r="E249" s="4">
        <v>97000</v>
      </c>
    </row>
    <row r="250" spans="1:5">
      <c r="A250" s="2" t="s">
        <v>359</v>
      </c>
      <c r="B250" s="2" t="str">
        <f>"060020023"</f>
        <v>060020023</v>
      </c>
      <c r="C250" s="2" t="str">
        <f>"060020023"</f>
        <v>060020023</v>
      </c>
      <c r="D250" s="2" t="s">
        <v>369</v>
      </c>
      <c r="E250" s="4">
        <v>61000</v>
      </c>
    </row>
    <row r="251" spans="1:5">
      <c r="A251" s="2" t="s">
        <v>359</v>
      </c>
      <c r="B251" s="2" t="str">
        <f>"0012482"</f>
        <v>0012482</v>
      </c>
      <c r="C251" s="2" t="str">
        <f>"1112126-8"</f>
        <v>1112126-8</v>
      </c>
      <c r="D251" s="2" t="s">
        <v>370</v>
      </c>
      <c r="E251" s="4">
        <v>115000</v>
      </c>
    </row>
    <row r="252" spans="1:5">
      <c r="A252" s="2" t="s">
        <v>359</v>
      </c>
      <c r="B252" s="2" t="str">
        <f>"0015005"</f>
        <v>0015005</v>
      </c>
      <c r="C252" s="2" t="str">
        <f>"0015005"</f>
        <v>0015005</v>
      </c>
      <c r="D252" s="2" t="s">
        <v>371</v>
      </c>
      <c r="E252" s="4">
        <v>88000</v>
      </c>
    </row>
    <row r="253" spans="1:5">
      <c r="A253" s="2" t="s">
        <v>359</v>
      </c>
      <c r="B253" s="2" t="str">
        <f>"0006618"</f>
        <v>0006618</v>
      </c>
      <c r="C253" s="2" t="str">
        <f>"0006618"</f>
        <v>0006618</v>
      </c>
      <c r="D253" s="2" t="s">
        <v>372</v>
      </c>
      <c r="E253" s="4">
        <v>115000</v>
      </c>
    </row>
    <row r="254" spans="1:5">
      <c r="A254" s="2" t="s">
        <v>359</v>
      </c>
      <c r="B254" s="2" t="str">
        <f>"1112105-5"</f>
        <v>1112105-5</v>
      </c>
      <c r="C254" s="2" t="str">
        <f>"1112105-5"</f>
        <v>1112105-5</v>
      </c>
      <c r="D254" s="2" t="s">
        <v>373</v>
      </c>
      <c r="E254" s="4">
        <v>56000</v>
      </c>
    </row>
    <row r="255" spans="1:5">
      <c r="A255" s="2" t="s">
        <v>359</v>
      </c>
      <c r="B255" s="2" t="s">
        <v>374</v>
      </c>
      <c r="C255" s="2" t="s">
        <v>375</v>
      </c>
      <c r="D255" s="2" t="s">
        <v>376</v>
      </c>
      <c r="E255" s="4">
        <v>225000</v>
      </c>
    </row>
    <row r="256" spans="1:5">
      <c r="A256" s="2" t="s">
        <v>359</v>
      </c>
      <c r="B256" s="2" t="str">
        <f>"0015300604"</f>
        <v>0015300604</v>
      </c>
      <c r="C256" s="2" t="str">
        <f>"001530060-4"</f>
        <v>001530060-4</v>
      </c>
      <c r="D256" s="2" t="s">
        <v>377</v>
      </c>
      <c r="E256" s="4">
        <v>145000</v>
      </c>
    </row>
    <row r="257" spans="1:5">
      <c r="A257" s="2" t="s">
        <v>359</v>
      </c>
      <c r="B257" s="2" t="str">
        <f>"091020208"</f>
        <v>091020208</v>
      </c>
      <c r="C257" s="2" t="str">
        <f>"091020208"</f>
        <v>091020208</v>
      </c>
      <c r="D257" s="2" t="s">
        <v>378</v>
      </c>
      <c r="E257" s="4">
        <v>97000</v>
      </c>
    </row>
    <row r="258" spans="1:5">
      <c r="A258" s="2" t="s">
        <v>359</v>
      </c>
      <c r="B258" s="2" t="s">
        <v>379</v>
      </c>
      <c r="C258" s="2" t="s">
        <v>379</v>
      </c>
      <c r="D258" s="2" t="s">
        <v>380</v>
      </c>
      <c r="E258" s="4">
        <v>610000</v>
      </c>
    </row>
    <row r="259" spans="1:5">
      <c r="A259" s="2" t="s">
        <v>359</v>
      </c>
      <c r="B259" s="2" t="str">
        <f>"060020189"</f>
        <v>060020189</v>
      </c>
      <c r="C259" s="2" t="str">
        <f>"060020189"</f>
        <v>060020189</v>
      </c>
      <c r="D259" s="2" t="s">
        <v>381</v>
      </c>
      <c r="E259" s="4">
        <v>52000</v>
      </c>
    </row>
    <row r="260" spans="1:5">
      <c r="A260" s="2" t="s">
        <v>359</v>
      </c>
      <c r="B260" s="2" t="str">
        <f>"091020229"</f>
        <v>091020229</v>
      </c>
      <c r="C260" s="2" t="str">
        <f>"091020229"</f>
        <v>091020229</v>
      </c>
      <c r="D260" s="2" t="s">
        <v>382</v>
      </c>
      <c r="E260" s="4">
        <v>52000</v>
      </c>
    </row>
    <row r="261" spans="1:5">
      <c r="A261" s="2" t="s">
        <v>359</v>
      </c>
      <c r="B261" s="2" t="str">
        <f>"0020568"</f>
        <v>0020568</v>
      </c>
      <c r="C261" s="2" t="str">
        <f>"0020568"</f>
        <v>0020568</v>
      </c>
      <c r="D261" s="2" t="s">
        <v>383</v>
      </c>
      <c r="E261" s="4">
        <v>110000</v>
      </c>
    </row>
    <row r="262" spans="1:5">
      <c r="A262" s="2" t="s">
        <v>359</v>
      </c>
      <c r="B262" s="2" t="str">
        <f>"0003417"</f>
        <v>0003417</v>
      </c>
      <c r="C262" s="2" t="str">
        <f>"0003417"</f>
        <v>0003417</v>
      </c>
      <c r="D262" s="2" t="s">
        <v>384</v>
      </c>
      <c r="E262" s="4">
        <v>99000</v>
      </c>
    </row>
    <row r="263" spans="1:5">
      <c r="A263" s="2" t="s">
        <v>359</v>
      </c>
      <c r="B263" s="2" t="str">
        <f>"0012555"</f>
        <v>0012555</v>
      </c>
      <c r="C263" s="2" t="str">
        <f>"0012555"</f>
        <v>0012555</v>
      </c>
      <c r="D263" s="2" t="s">
        <v>385</v>
      </c>
      <c r="E263" s="4">
        <v>115000</v>
      </c>
    </row>
    <row r="264" spans="1:5">
      <c r="A264" s="2" t="s">
        <v>359</v>
      </c>
      <c r="B264" s="2" t="str">
        <f>"011726"</f>
        <v>011726</v>
      </c>
      <c r="C264" s="2" t="str">
        <f>"011726"</f>
        <v>011726</v>
      </c>
      <c r="D264" s="2" t="s">
        <v>386</v>
      </c>
      <c r="E264" s="4">
        <v>142000</v>
      </c>
    </row>
    <row r="265" spans="1:5">
      <c r="A265" s="2" t="s">
        <v>359</v>
      </c>
      <c r="B265" s="2" t="str">
        <f>"0012492"</f>
        <v>0012492</v>
      </c>
      <c r="C265" s="2" t="str">
        <f>"0012492"</f>
        <v>0012492</v>
      </c>
      <c r="D265" s="2" t="s">
        <v>387</v>
      </c>
      <c r="E265" s="4">
        <v>135000</v>
      </c>
    </row>
    <row r="266" spans="1:5">
      <c r="A266" s="2" t="s">
        <v>359</v>
      </c>
      <c r="B266" s="2" t="s">
        <v>388</v>
      </c>
      <c r="C266" s="2" t="s">
        <v>389</v>
      </c>
      <c r="D266" s="2" t="s">
        <v>390</v>
      </c>
      <c r="E266" s="4">
        <v>130000</v>
      </c>
    </row>
    <row r="267" spans="1:5" ht="27.6">
      <c r="A267" s="2" t="s">
        <v>359</v>
      </c>
      <c r="B267" s="2" t="str">
        <f>"5000000025640"</f>
        <v>5000000025640</v>
      </c>
      <c r="C267" s="2" t="str">
        <f>"283449"</f>
        <v>283449</v>
      </c>
      <c r="D267" s="2" t="s">
        <v>391</v>
      </c>
      <c r="E267" s="4">
        <v>52000</v>
      </c>
    </row>
    <row r="268" spans="1:5">
      <c r="A268" s="2" t="s">
        <v>359</v>
      </c>
      <c r="B268" s="2" t="str">
        <f>"0006635"</f>
        <v>0006635</v>
      </c>
      <c r="C268" s="2" t="str">
        <f>"0006635"</f>
        <v>0006635</v>
      </c>
      <c r="D268" s="2" t="s">
        <v>392</v>
      </c>
      <c r="E268" s="4">
        <v>58000</v>
      </c>
    </row>
    <row r="269" spans="1:5">
      <c r="A269" s="2" t="s">
        <v>359</v>
      </c>
      <c r="B269" s="2" t="str">
        <f>"0005996"</f>
        <v>0005996</v>
      </c>
      <c r="C269" s="2" t="str">
        <f>"0005996"</f>
        <v>0005996</v>
      </c>
      <c r="D269" s="2" t="s">
        <v>393</v>
      </c>
      <c r="E269" s="4">
        <v>178000</v>
      </c>
    </row>
    <row r="270" spans="1:5">
      <c r="A270" s="2" t="s">
        <v>359</v>
      </c>
      <c r="B270" s="2" t="str">
        <f>"0004307127"</f>
        <v>0004307127</v>
      </c>
      <c r="C270" s="2" t="str">
        <f>"000430712-7"</f>
        <v>000430712-7</v>
      </c>
      <c r="D270" s="2" t="s">
        <v>394</v>
      </c>
      <c r="E270" s="4">
        <v>115000</v>
      </c>
    </row>
    <row r="271" spans="1:5">
      <c r="A271" s="2" t="s">
        <v>359</v>
      </c>
      <c r="B271" s="2" t="str">
        <f>"060020248"</f>
        <v>060020248</v>
      </c>
      <c r="C271" s="2" t="str">
        <f>"060020248"</f>
        <v>060020248</v>
      </c>
      <c r="D271" s="2" t="s">
        <v>395</v>
      </c>
      <c r="E271" s="4">
        <v>68200</v>
      </c>
    </row>
    <row r="272" spans="1:5">
      <c r="A272" s="2" t="s">
        <v>359</v>
      </c>
      <c r="B272" s="2" t="str">
        <f>"060020002"</f>
        <v>060020002</v>
      </c>
      <c r="C272" s="2" t="str">
        <f>"060020002"</f>
        <v>060020002</v>
      </c>
      <c r="D272" s="2" t="s">
        <v>396</v>
      </c>
      <c r="E272" s="4">
        <v>68200</v>
      </c>
    </row>
    <row r="273" spans="1:5">
      <c r="A273" s="2" t="s">
        <v>359</v>
      </c>
      <c r="B273" s="2" t="str">
        <f>"0020570"</f>
        <v>0020570</v>
      </c>
      <c r="C273" s="2" t="str">
        <f>"091020217"</f>
        <v>091020217</v>
      </c>
      <c r="D273" s="2" t="s">
        <v>397</v>
      </c>
      <c r="E273" s="4">
        <v>105000</v>
      </c>
    </row>
    <row r="274" spans="1:5">
      <c r="A274" s="2" t="s">
        <v>359</v>
      </c>
      <c r="B274" s="2" t="str">
        <f>"000430711-9"</f>
        <v>000430711-9</v>
      </c>
      <c r="C274" s="2" t="str">
        <f>"430711-9"</f>
        <v>430711-9</v>
      </c>
      <c r="D274" s="2" t="s">
        <v>398</v>
      </c>
      <c r="E274" s="4">
        <v>89000</v>
      </c>
    </row>
    <row r="275" spans="1:5">
      <c r="A275" s="2" t="s">
        <v>359</v>
      </c>
      <c r="B275" s="2" t="str">
        <f>"0006646"</f>
        <v>0006646</v>
      </c>
      <c r="C275" s="2" t="str">
        <f>"0006646"</f>
        <v>0006646</v>
      </c>
      <c r="D275" s="2" t="s">
        <v>399</v>
      </c>
      <c r="E275" s="4">
        <v>160000</v>
      </c>
    </row>
    <row r="276" spans="1:5">
      <c r="A276" s="2" t="s">
        <v>359</v>
      </c>
      <c r="B276" s="2" t="str">
        <f>"091020216"</f>
        <v>091020216</v>
      </c>
      <c r="C276" s="2" t="str">
        <f>"091020216"</f>
        <v>091020216</v>
      </c>
      <c r="D276" s="2" t="s">
        <v>400</v>
      </c>
      <c r="E276" s="4">
        <v>110000</v>
      </c>
    </row>
    <row r="277" spans="1:5">
      <c r="A277" s="2" t="s">
        <v>359</v>
      </c>
      <c r="B277" s="2" t="str">
        <f>"0006649"</f>
        <v>0006649</v>
      </c>
      <c r="C277" s="2" t="str">
        <f>"0006649"</f>
        <v>0006649</v>
      </c>
      <c r="D277" s="2" t="s">
        <v>401</v>
      </c>
      <c r="E277" s="4">
        <v>97000</v>
      </c>
    </row>
    <row r="278" spans="1:5">
      <c r="A278" s="2" t="s">
        <v>359</v>
      </c>
      <c r="B278" s="2" t="str">
        <f>"0006650"</f>
        <v>0006650</v>
      </c>
      <c r="C278" s="2" t="str">
        <f>"0006650"</f>
        <v>0006650</v>
      </c>
      <c r="D278" s="2" t="s">
        <v>402</v>
      </c>
      <c r="E278" s="4">
        <v>85000</v>
      </c>
    </row>
    <row r="279" spans="1:5">
      <c r="A279" s="2" t="s">
        <v>359</v>
      </c>
      <c r="B279" s="2" t="str">
        <f>"0006648"</f>
        <v>0006648</v>
      </c>
      <c r="C279" s="2" t="str">
        <f>"0006648"</f>
        <v>0006648</v>
      </c>
      <c r="D279" s="2" t="s">
        <v>403</v>
      </c>
      <c r="E279" s="4">
        <v>105000</v>
      </c>
    </row>
    <row r="280" spans="1:5">
      <c r="A280" s="2" t="s">
        <v>359</v>
      </c>
      <c r="B280" s="2" t="str">
        <f>"011689"</f>
        <v>011689</v>
      </c>
      <c r="C280" s="2" t="str">
        <f>"011689"</f>
        <v>011689</v>
      </c>
      <c r="D280" s="2" t="s">
        <v>404</v>
      </c>
      <c r="E280" s="4">
        <v>68200</v>
      </c>
    </row>
    <row r="281" spans="1:5">
      <c r="A281" s="2" t="s">
        <v>359</v>
      </c>
      <c r="B281" s="2" t="str">
        <f>"203660-6"</f>
        <v>203660-6</v>
      </c>
      <c r="C281" s="2" t="str">
        <f>"203660-6"</f>
        <v>203660-6</v>
      </c>
      <c r="D281" s="2" t="s">
        <v>405</v>
      </c>
      <c r="E281" s="4">
        <v>98000</v>
      </c>
    </row>
    <row r="282" spans="1:5">
      <c r="A282" s="2" t="s">
        <v>359</v>
      </c>
      <c r="B282" s="2" t="str">
        <f>"000203660-6"</f>
        <v>000203660-6</v>
      </c>
      <c r="C282" s="2" t="str">
        <f>"000203660-6"</f>
        <v>000203660-6</v>
      </c>
      <c r="D282" s="2" t="s">
        <v>406</v>
      </c>
      <c r="E282" s="4">
        <v>112300</v>
      </c>
    </row>
    <row r="283" spans="1:5">
      <c r="A283" s="2" t="s">
        <v>359</v>
      </c>
      <c r="B283" s="2" t="s">
        <v>407</v>
      </c>
      <c r="C283" s="2" t="s">
        <v>407</v>
      </c>
      <c r="D283" s="2" t="s">
        <v>408</v>
      </c>
      <c r="E283" s="4">
        <v>43000</v>
      </c>
    </row>
    <row r="284" spans="1:5" ht="27.6">
      <c r="A284" s="2" t="s">
        <v>359</v>
      </c>
      <c r="B284" s="2" t="str">
        <f>"5000000023967"</f>
        <v>5000000023967</v>
      </c>
      <c r="C284" s="2" t="str">
        <f>"283441"</f>
        <v>283441</v>
      </c>
      <c r="D284" s="2" t="s">
        <v>409</v>
      </c>
      <c r="E284" s="4">
        <v>68200</v>
      </c>
    </row>
    <row r="285" spans="1:5">
      <c r="A285" s="2" t="s">
        <v>359</v>
      </c>
      <c r="B285" s="2" t="str">
        <f>"5 000000 385928"</f>
        <v>5 000000 385928</v>
      </c>
      <c r="C285" s="2" t="str">
        <f>"011747"</f>
        <v>011747</v>
      </c>
      <c r="D285" s="2" t="s">
        <v>410</v>
      </c>
      <c r="E285" s="4">
        <v>88000</v>
      </c>
    </row>
    <row r="286" spans="1:5">
      <c r="A286" s="2" t="s">
        <v>359</v>
      </c>
      <c r="B286" s="2" t="str">
        <f>"0012512"</f>
        <v>0012512</v>
      </c>
      <c r="C286" s="2" t="str">
        <f>"0012512"</f>
        <v>0012512</v>
      </c>
      <c r="D286" s="2" t="s">
        <v>411</v>
      </c>
      <c r="E286" s="4">
        <v>77500</v>
      </c>
    </row>
    <row r="287" spans="1:5">
      <c r="A287" s="2" t="s">
        <v>359</v>
      </c>
      <c r="B287" s="2" t="str">
        <f>"0020574"</f>
        <v>0020574</v>
      </c>
      <c r="C287" s="2" t="str">
        <f>"0020574"</f>
        <v>0020574</v>
      </c>
      <c r="D287" s="2" t="s">
        <v>412</v>
      </c>
      <c r="E287" s="4">
        <v>98000</v>
      </c>
    </row>
    <row r="288" spans="1:5">
      <c r="A288" s="2" t="s">
        <v>359</v>
      </c>
      <c r="B288" s="2" t="str">
        <f>"930429-0"</f>
        <v>930429-0</v>
      </c>
      <c r="C288" s="2" t="str">
        <f>"930429-0"</f>
        <v>930429-0</v>
      </c>
      <c r="D288" s="2" t="s">
        <v>413</v>
      </c>
      <c r="E288" s="4">
        <v>68000</v>
      </c>
    </row>
    <row r="289" spans="1:5">
      <c r="A289" s="2" t="s">
        <v>359</v>
      </c>
      <c r="B289" s="2" t="str">
        <f>"141357"</f>
        <v>141357</v>
      </c>
      <c r="C289" s="2" t="str">
        <f>"141357"</f>
        <v>141357</v>
      </c>
      <c r="D289" s="2" t="s">
        <v>414</v>
      </c>
      <c r="E289" s="4">
        <v>71800</v>
      </c>
    </row>
    <row r="290" spans="1:5">
      <c r="A290" s="2" t="s">
        <v>359</v>
      </c>
      <c r="B290" s="2" t="str">
        <f>"0018911"</f>
        <v>0018911</v>
      </c>
      <c r="C290" s="2" t="str">
        <f>"0018911"</f>
        <v>0018911</v>
      </c>
      <c r="D290" s="2" t="s">
        <v>415</v>
      </c>
      <c r="E290" s="4">
        <v>115000</v>
      </c>
    </row>
    <row r="291" spans="1:5">
      <c r="A291" s="2" t="s">
        <v>359</v>
      </c>
      <c r="B291" s="2" t="str">
        <f>"0006666"</f>
        <v>0006666</v>
      </c>
      <c r="C291" s="2" t="str">
        <f>"0006666"</f>
        <v>0006666</v>
      </c>
      <c r="D291" s="2" t="s">
        <v>416</v>
      </c>
      <c r="E291" s="4">
        <v>105000</v>
      </c>
    </row>
    <row r="292" spans="1:5">
      <c r="A292" s="2" t="s">
        <v>359</v>
      </c>
      <c r="B292" s="2" t="str">
        <f>"091020201"</f>
        <v>091020201</v>
      </c>
      <c r="C292" s="2" t="str">
        <f>"091020201"</f>
        <v>091020201</v>
      </c>
      <c r="D292" s="2" t="s">
        <v>417</v>
      </c>
      <c r="E292" s="4">
        <v>68000</v>
      </c>
    </row>
    <row r="293" spans="1:5">
      <c r="A293" s="2" t="s">
        <v>5</v>
      </c>
      <c r="B293" s="2" t="s">
        <v>418</v>
      </c>
      <c r="C293" s="2" t="s">
        <v>418</v>
      </c>
      <c r="D293" s="2" t="s">
        <v>419</v>
      </c>
      <c r="E293" s="4">
        <v>1350</v>
      </c>
    </row>
    <row r="294" spans="1:5">
      <c r="A294" s="2" t="s">
        <v>5</v>
      </c>
      <c r="B294" s="2" t="str">
        <f>"090980466"</f>
        <v>090980466</v>
      </c>
      <c r="C294" s="2" t="str">
        <f>"090980466"</f>
        <v>090980466</v>
      </c>
      <c r="D294" s="2" t="s">
        <v>420</v>
      </c>
      <c r="E294" s="4">
        <v>7000</v>
      </c>
    </row>
    <row r="295" spans="1:5">
      <c r="A295" s="2" t="s">
        <v>421</v>
      </c>
      <c r="B295" s="2" t="s">
        <v>422</v>
      </c>
      <c r="C295" s="2" t="s">
        <v>422</v>
      </c>
      <c r="D295" s="2" t="s">
        <v>423</v>
      </c>
      <c r="E295" s="4">
        <v>40000</v>
      </c>
    </row>
    <row r="296" spans="1:5">
      <c r="A296" s="2" t="s">
        <v>421</v>
      </c>
      <c r="B296" s="2" t="s">
        <v>424</v>
      </c>
      <c r="C296" s="2" t="s">
        <v>424</v>
      </c>
      <c r="D296" s="2" t="s">
        <v>425</v>
      </c>
      <c r="E296" s="4">
        <v>47000</v>
      </c>
    </row>
    <row r="297" spans="1:5" ht="27.6">
      <c r="A297" s="2" t="s">
        <v>426</v>
      </c>
      <c r="B297" s="2" t="s">
        <v>427</v>
      </c>
      <c r="C297" s="2" t="s">
        <v>427</v>
      </c>
      <c r="D297" s="2" t="s">
        <v>428</v>
      </c>
      <c r="E297" s="4">
        <v>75000</v>
      </c>
    </row>
    <row r="298" spans="1:5" ht="27.6">
      <c r="A298" s="2" t="s">
        <v>426</v>
      </c>
      <c r="B298" s="2" t="str">
        <f>"0018242"</f>
        <v>0018242</v>
      </c>
      <c r="C298" s="2" t="str">
        <f>"0018242"</f>
        <v>0018242</v>
      </c>
      <c r="D298" s="2" t="s">
        <v>429</v>
      </c>
      <c r="E298" s="4">
        <v>25000</v>
      </c>
    </row>
    <row r="299" spans="1:5" ht="27.6">
      <c r="A299" s="2" t="s">
        <v>426</v>
      </c>
      <c r="B299" s="2" t="str">
        <f>"0018241"</f>
        <v>0018241</v>
      </c>
      <c r="C299" s="2" t="str">
        <f>"0018241"</f>
        <v>0018241</v>
      </c>
      <c r="D299" s="2" t="s">
        <v>430</v>
      </c>
      <c r="E299" s="4">
        <v>25000</v>
      </c>
    </row>
    <row r="300" spans="1:5" ht="27.6">
      <c r="A300" s="2" t="s">
        <v>426</v>
      </c>
      <c r="B300" s="2" t="str">
        <f>"090040319"</f>
        <v>090040319</v>
      </c>
      <c r="C300" s="2" t="str">
        <f>"090040319"</f>
        <v>090040319</v>
      </c>
      <c r="D300" s="2" t="s">
        <v>431</v>
      </c>
      <c r="E300" s="4">
        <v>34000</v>
      </c>
    </row>
    <row r="301" spans="1:5" ht="27.6">
      <c r="A301" s="2" t="s">
        <v>426</v>
      </c>
      <c r="B301" s="2" t="str">
        <f>"090040320"</f>
        <v>090040320</v>
      </c>
      <c r="C301" s="2" t="str">
        <f>"090040320"</f>
        <v>090040320</v>
      </c>
      <c r="D301" s="2" t="s">
        <v>432</v>
      </c>
      <c r="E301" s="4">
        <v>34000</v>
      </c>
    </row>
    <row r="302" spans="1:5" ht="27.6">
      <c r="A302" s="2" t="s">
        <v>426</v>
      </c>
      <c r="B302" s="2" t="str">
        <f>"9952083"</f>
        <v>9952083</v>
      </c>
      <c r="C302" s="2" t="str">
        <f>"9952083"</f>
        <v>9952083</v>
      </c>
      <c r="D302" s="2" t="s">
        <v>433</v>
      </c>
      <c r="E302" s="4">
        <v>38500</v>
      </c>
    </row>
    <row r="303" spans="1:5" ht="27.6">
      <c r="A303" s="2" t="s">
        <v>426</v>
      </c>
      <c r="B303" s="2" t="str">
        <f>".9952084"</f>
        <v>.9952084</v>
      </c>
      <c r="C303" s="2" t="str">
        <f>"9952084"</f>
        <v>9952084</v>
      </c>
      <c r="D303" s="2" t="s">
        <v>434</v>
      </c>
      <c r="E303" s="4">
        <v>38500</v>
      </c>
    </row>
    <row r="304" spans="1:5" ht="27.6">
      <c r="A304" s="2" t="s">
        <v>426</v>
      </c>
      <c r="B304" s="2" t="s">
        <v>435</v>
      </c>
      <c r="C304" s="2" t="s">
        <v>435</v>
      </c>
      <c r="D304" s="2" t="s">
        <v>436</v>
      </c>
      <c r="E304" s="4">
        <v>22800</v>
      </c>
    </row>
    <row r="305" spans="1:5" ht="27.6">
      <c r="A305" s="2" t="s">
        <v>426</v>
      </c>
      <c r="B305" s="2" t="str">
        <f>"01701120"</f>
        <v>01701120</v>
      </c>
      <c r="C305" s="2" t="str">
        <f>"01701120"</f>
        <v>01701120</v>
      </c>
      <c r="D305" s="2" t="s">
        <v>437</v>
      </c>
      <c r="E305" s="4">
        <v>9800</v>
      </c>
    </row>
    <row r="306" spans="1:5" ht="27.6">
      <c r="A306" s="2" t="s">
        <v>426</v>
      </c>
      <c r="B306" s="2" t="str">
        <f>"000207257-2"</f>
        <v>000207257-2</v>
      </c>
      <c r="C306" s="2" t="str">
        <f>"000207257-2"</f>
        <v>000207257-2</v>
      </c>
      <c r="D306" s="2" t="s">
        <v>438</v>
      </c>
      <c r="E306" s="4">
        <v>28000</v>
      </c>
    </row>
    <row r="307" spans="1:5" ht="27.6">
      <c r="A307" s="2" t="s">
        <v>426</v>
      </c>
      <c r="B307" s="2" t="str">
        <f>"00181498"</f>
        <v>00181498</v>
      </c>
      <c r="C307" s="2" t="str">
        <f>"00181498"</f>
        <v>00181498</v>
      </c>
      <c r="D307" s="2" t="s">
        <v>439</v>
      </c>
      <c r="E307" s="4">
        <v>16100</v>
      </c>
    </row>
    <row r="308" spans="1:5" ht="27.6">
      <c r="A308" s="2" t="s">
        <v>426</v>
      </c>
      <c r="B308" s="2" t="str">
        <f>"34252G"</f>
        <v>34252G</v>
      </c>
      <c r="C308" s="2" t="str">
        <f>"34252G"</f>
        <v>34252G</v>
      </c>
      <c r="D308" s="2" t="s">
        <v>440</v>
      </c>
      <c r="E308" s="4">
        <v>29000</v>
      </c>
    </row>
    <row r="309" spans="1:5" ht="27.6">
      <c r="A309" s="2" t="s">
        <v>426</v>
      </c>
      <c r="B309" s="2" t="str">
        <f>"34253G"</f>
        <v>34253G</v>
      </c>
      <c r="C309" s="2" t="str">
        <f>"34253G"</f>
        <v>34253G</v>
      </c>
      <c r="D309" s="2" t="s">
        <v>441</v>
      </c>
      <c r="E309" s="4">
        <v>29000</v>
      </c>
    </row>
    <row r="310" spans="1:5" ht="27.6">
      <c r="A310" s="2" t="s">
        <v>426</v>
      </c>
      <c r="B310" s="2" t="str">
        <f>"424736"</f>
        <v>424736</v>
      </c>
      <c r="C310" s="2" t="str">
        <f>"424736"</f>
        <v>424736</v>
      </c>
      <c r="D310" s="2" t="s">
        <v>442</v>
      </c>
      <c r="E310" s="4">
        <v>18700</v>
      </c>
    </row>
    <row r="311" spans="1:5" ht="27.6">
      <c r="A311" s="2" t="s">
        <v>426</v>
      </c>
      <c r="B311" s="2" t="str">
        <f>"001171113-8"</f>
        <v>001171113-8</v>
      </c>
      <c r="C311" s="2" t="str">
        <f>"001171113-8"</f>
        <v>001171113-8</v>
      </c>
      <c r="D311" s="2" t="s">
        <v>443</v>
      </c>
      <c r="E311" s="4">
        <v>68000</v>
      </c>
    </row>
    <row r="312" spans="1:5" ht="27.6">
      <c r="A312" s="2" t="s">
        <v>426</v>
      </c>
      <c r="B312" s="2" t="str">
        <f>"22010"</f>
        <v>22010</v>
      </c>
      <c r="C312" s="2" t="str">
        <f>"22010"</f>
        <v>22010</v>
      </c>
      <c r="D312" s="2" t="s">
        <v>444</v>
      </c>
      <c r="E312" s="4">
        <v>25000</v>
      </c>
    </row>
    <row r="313" spans="1:5" ht="27.6">
      <c r="A313" s="2" t="s">
        <v>426</v>
      </c>
      <c r="B313" s="2" t="str">
        <f>"0010364"</f>
        <v>0010364</v>
      </c>
      <c r="C313" s="2" t="str">
        <f>"0010364"</f>
        <v>0010364</v>
      </c>
      <c r="D313" s="2" t="s">
        <v>445</v>
      </c>
      <c r="E313" s="4">
        <v>29500</v>
      </c>
    </row>
    <row r="314" spans="1:5" ht="27.6">
      <c r="A314" s="2" t="s">
        <v>426</v>
      </c>
      <c r="B314" s="2" t="str">
        <f>"1115011"</f>
        <v>1115011</v>
      </c>
      <c r="C314" s="2" t="str">
        <f>"115011"</f>
        <v>115011</v>
      </c>
      <c r="D314" s="2" t="s">
        <v>446</v>
      </c>
      <c r="E314" s="4">
        <v>34000</v>
      </c>
    </row>
    <row r="315" spans="1:5" ht="27.6">
      <c r="A315" s="2" t="s">
        <v>426</v>
      </c>
      <c r="B315" s="2" t="str">
        <f>"1115010"</f>
        <v>1115010</v>
      </c>
      <c r="C315" s="2" t="str">
        <f>"1115010"</f>
        <v>1115010</v>
      </c>
      <c r="D315" s="2" t="s">
        <v>447</v>
      </c>
      <c r="E315" s="4">
        <v>34000</v>
      </c>
    </row>
    <row r="316" spans="1:5" ht="27.6">
      <c r="A316" s="2" t="s">
        <v>426</v>
      </c>
      <c r="B316" s="2" t="str">
        <f>"1115000"</f>
        <v>1115000</v>
      </c>
      <c r="C316" s="2" t="str">
        <f>"1115000"</f>
        <v>1115000</v>
      </c>
      <c r="D316" s="2" t="s">
        <v>446</v>
      </c>
      <c r="E316" s="4">
        <v>34000</v>
      </c>
    </row>
    <row r="317" spans="1:5" ht="27.6">
      <c r="A317" s="2" t="s">
        <v>426</v>
      </c>
      <c r="B317" s="2" t="str">
        <f>"001471179-1"</f>
        <v>001471179-1</v>
      </c>
      <c r="C317" s="2" t="str">
        <f>"001471179-1"</f>
        <v>001471179-1</v>
      </c>
      <c r="D317" s="2" t="s">
        <v>448</v>
      </c>
      <c r="E317" s="4">
        <v>38500</v>
      </c>
    </row>
    <row r="318" spans="1:5" ht="27.6">
      <c r="A318" s="2" t="s">
        <v>426</v>
      </c>
      <c r="B318" s="2" t="str">
        <f>"001471178-3"</f>
        <v>001471178-3</v>
      </c>
      <c r="C318" s="2" t="str">
        <f>"001471178-3"</f>
        <v>001471178-3</v>
      </c>
      <c r="D318" s="2" t="s">
        <v>449</v>
      </c>
      <c r="E318" s="4">
        <v>38500</v>
      </c>
    </row>
    <row r="319" spans="1:5" ht="27.6">
      <c r="A319" s="2" t="s">
        <v>426</v>
      </c>
      <c r="B319" s="2" t="str">
        <f>"0010365"</f>
        <v>0010365</v>
      </c>
      <c r="C319" s="2" t="str">
        <f>"0010365"</f>
        <v>0010365</v>
      </c>
      <c r="D319" s="2" t="s">
        <v>450</v>
      </c>
      <c r="E319" s="4">
        <v>29500</v>
      </c>
    </row>
    <row r="320" spans="1:5" ht="27.6">
      <c r="A320" s="2" t="s">
        <v>426</v>
      </c>
      <c r="B320" s="2" t="str">
        <f>"9942987"</f>
        <v>9942987</v>
      </c>
      <c r="C320" s="2" t="str">
        <f>"1115020"</f>
        <v>1115020</v>
      </c>
      <c r="D320" s="2" t="s">
        <v>451</v>
      </c>
      <c r="E320" s="4">
        <v>18700</v>
      </c>
    </row>
    <row r="321" spans="1:5" ht="27.6">
      <c r="A321" s="2" t="s">
        <v>426</v>
      </c>
      <c r="B321" s="2" t="str">
        <f>"090040102"</f>
        <v>090040102</v>
      </c>
      <c r="C321" s="2" t="str">
        <f>"090040102"</f>
        <v>090040102</v>
      </c>
      <c r="D321" s="2" t="s">
        <v>452</v>
      </c>
      <c r="E321" s="4">
        <v>12400</v>
      </c>
    </row>
    <row r="322" spans="1:5" ht="27.6">
      <c r="A322" s="2" t="s">
        <v>426</v>
      </c>
      <c r="B322" s="2" t="s">
        <v>453</v>
      </c>
      <c r="C322" s="2" t="s">
        <v>453</v>
      </c>
      <c r="D322" s="2" t="s">
        <v>454</v>
      </c>
      <c r="E322" s="4">
        <v>20500</v>
      </c>
    </row>
    <row r="323" spans="1:5" ht="27.6">
      <c r="A323" s="2" t="s">
        <v>426</v>
      </c>
      <c r="B323" s="2" t="str">
        <f>"0004485"</f>
        <v>0004485</v>
      </c>
      <c r="C323" s="2" t="str">
        <f>"0004485"</f>
        <v>0004485</v>
      </c>
      <c r="D323" s="2" t="s">
        <v>455</v>
      </c>
      <c r="E323" s="4">
        <v>12500</v>
      </c>
    </row>
    <row r="324" spans="1:5" ht="27.6">
      <c r="A324" s="2" t="s">
        <v>426</v>
      </c>
      <c r="B324" s="2" t="str">
        <f>"0010372"</f>
        <v>0010372</v>
      </c>
      <c r="C324" s="2" t="str">
        <f>"0010372"</f>
        <v>0010372</v>
      </c>
      <c r="D324" s="2" t="s">
        <v>456</v>
      </c>
      <c r="E324" s="4">
        <v>28600</v>
      </c>
    </row>
    <row r="325" spans="1:5" ht="27.6">
      <c r="A325" s="2" t="s">
        <v>426</v>
      </c>
      <c r="B325" s="2" t="str">
        <f>"1114070"</f>
        <v>1114070</v>
      </c>
      <c r="C325" s="2" t="str">
        <f>"1114070"</f>
        <v>1114070</v>
      </c>
      <c r="D325" s="2" t="s">
        <v>457</v>
      </c>
      <c r="E325" s="4">
        <v>28000</v>
      </c>
    </row>
    <row r="326" spans="1:5" ht="27.6">
      <c r="A326" s="2" t="s">
        <v>426</v>
      </c>
      <c r="B326" s="2" t="str">
        <f>"1700908"</f>
        <v>1700908</v>
      </c>
      <c r="C326" s="2" t="str">
        <f>"1700908"</f>
        <v>1700908</v>
      </c>
      <c r="D326" s="2" t="s">
        <v>458</v>
      </c>
      <c r="E326" s="4">
        <v>22000</v>
      </c>
    </row>
    <row r="327" spans="1:5" ht="27.6">
      <c r="A327" s="2" t="s">
        <v>426</v>
      </c>
      <c r="B327" s="2" t="str">
        <f>"0010369"</f>
        <v>0010369</v>
      </c>
      <c r="C327" s="2" t="str">
        <f>"0010369"</f>
        <v>0010369</v>
      </c>
      <c r="D327" s="2" t="s">
        <v>459</v>
      </c>
      <c r="E327" s="4">
        <v>19600</v>
      </c>
    </row>
    <row r="328" spans="1:5" ht="27.6">
      <c r="A328" s="2" t="s">
        <v>426</v>
      </c>
      <c r="B328" s="2" t="str">
        <f>"1451670"</f>
        <v>1451670</v>
      </c>
      <c r="C328" s="2" t="str">
        <f>"1451670"</f>
        <v>1451670</v>
      </c>
      <c r="D328" s="2" t="s">
        <v>460</v>
      </c>
      <c r="E328" s="4">
        <v>18700</v>
      </c>
    </row>
    <row r="329" spans="1:5" ht="27.6">
      <c r="A329" s="2" t="s">
        <v>426</v>
      </c>
      <c r="B329" s="2" t="str">
        <f>"1113678"</f>
        <v>1113678</v>
      </c>
      <c r="C329" s="2" t="str">
        <f>"1113678"</f>
        <v>1113678</v>
      </c>
      <c r="D329" s="2" t="s">
        <v>461</v>
      </c>
      <c r="E329" s="4">
        <v>14200</v>
      </c>
    </row>
    <row r="330" spans="1:5" ht="27.6">
      <c r="A330" s="2" t="s">
        <v>426</v>
      </c>
      <c r="B330" s="2" t="str">
        <f>"1113078"</f>
        <v>1113078</v>
      </c>
      <c r="C330" s="2" t="str">
        <f>"1113078"</f>
        <v>1113078</v>
      </c>
      <c r="D330" s="2" t="s">
        <v>462</v>
      </c>
      <c r="E330" s="4">
        <v>22000</v>
      </c>
    </row>
    <row r="331" spans="1:5" ht="27.6">
      <c r="A331" s="2" t="s">
        <v>426</v>
      </c>
      <c r="B331" s="2" t="str">
        <f>"1601430"</f>
        <v>1601430</v>
      </c>
      <c r="C331" s="2" t="str">
        <f>"1601430"</f>
        <v>1601430</v>
      </c>
      <c r="D331" s="2" t="s">
        <v>463</v>
      </c>
      <c r="E331" s="4">
        <v>19000</v>
      </c>
    </row>
    <row r="332" spans="1:5" ht="27.6">
      <c r="A332" s="2" t="s">
        <v>426</v>
      </c>
      <c r="B332" s="2" t="str">
        <f>"0010377"</f>
        <v>0010377</v>
      </c>
      <c r="C332" s="2" t="str">
        <f>"0010377"</f>
        <v>0010377</v>
      </c>
      <c r="D332" s="2" t="s">
        <v>464</v>
      </c>
      <c r="E332" s="4">
        <v>17800</v>
      </c>
    </row>
    <row r="333" spans="1:5" ht="27.6">
      <c r="A333" s="2" t="s">
        <v>426</v>
      </c>
      <c r="B333" s="2" t="s">
        <v>465</v>
      </c>
      <c r="C333" s="2" t="s">
        <v>465</v>
      </c>
      <c r="D333" s="2" t="s">
        <v>466</v>
      </c>
      <c r="E333" s="4">
        <v>65000</v>
      </c>
    </row>
    <row r="334" spans="1:5" ht="27.6">
      <c r="A334" s="2" t="s">
        <v>426</v>
      </c>
      <c r="B334" s="2" t="str">
        <f>"0010373"</f>
        <v>0010373</v>
      </c>
      <c r="C334" s="2" t="str">
        <f>"0010373"</f>
        <v>0010373</v>
      </c>
      <c r="D334" s="2" t="s">
        <v>467</v>
      </c>
      <c r="E334" s="4">
        <v>29500</v>
      </c>
    </row>
    <row r="335" spans="1:5" ht="27.6">
      <c r="A335" s="2" t="s">
        <v>426</v>
      </c>
      <c r="B335" s="2" t="str">
        <f>"0010374"</f>
        <v>0010374</v>
      </c>
      <c r="C335" s="2" t="str">
        <f>"0010374"</f>
        <v>0010374</v>
      </c>
      <c r="D335" s="2" t="s">
        <v>468</v>
      </c>
      <c r="E335" s="4">
        <v>19000</v>
      </c>
    </row>
    <row r="336" spans="1:5" ht="27.6">
      <c r="A336" s="2" t="s">
        <v>426</v>
      </c>
      <c r="B336" s="2" t="s">
        <v>469</v>
      </c>
      <c r="C336" s="2" t="s">
        <v>470</v>
      </c>
      <c r="D336" s="2" t="s">
        <v>471</v>
      </c>
      <c r="E336" s="4">
        <v>19600</v>
      </c>
    </row>
    <row r="337" spans="1:5" ht="27.6">
      <c r="A337" s="2" t="s">
        <v>426</v>
      </c>
      <c r="B337" s="2" t="s">
        <v>472</v>
      </c>
      <c r="C337" s="2" t="s">
        <v>472</v>
      </c>
      <c r="D337" s="2" t="s">
        <v>473</v>
      </c>
      <c r="E337" s="4">
        <v>31000</v>
      </c>
    </row>
    <row r="338" spans="1:5" ht="27.6">
      <c r="A338" s="2" t="s">
        <v>426</v>
      </c>
      <c r="B338" s="2" t="str">
        <f>"311620"</f>
        <v>311620</v>
      </c>
      <c r="C338" s="2" t="str">
        <f>"311620"</f>
        <v>311620</v>
      </c>
      <c r="D338" s="2" t="s">
        <v>474</v>
      </c>
      <c r="E338" s="4">
        <v>29500</v>
      </c>
    </row>
    <row r="339" spans="1:5" ht="27.6">
      <c r="A339" s="2" t="s">
        <v>426</v>
      </c>
      <c r="B339" s="2" t="s">
        <v>475</v>
      </c>
      <c r="C339" s="2" t="s">
        <v>475</v>
      </c>
      <c r="D339" s="2" t="s">
        <v>476</v>
      </c>
      <c r="E339" s="4">
        <v>18000</v>
      </c>
    </row>
    <row r="340" spans="1:5" ht="27.6">
      <c r="A340" s="2" t="s">
        <v>426</v>
      </c>
      <c r="B340" s="2" t="str">
        <f>"4909500442241"</f>
        <v>4909500442241</v>
      </c>
      <c r="C340" s="2" t="str">
        <f>"443342"</f>
        <v>443342</v>
      </c>
      <c r="D340" s="2" t="s">
        <v>477</v>
      </c>
      <c r="E340" s="4">
        <v>11500</v>
      </c>
    </row>
    <row r="341" spans="1:5" ht="27.6">
      <c r="A341" s="2" t="s">
        <v>426</v>
      </c>
      <c r="B341" s="2" t="s">
        <v>478</v>
      </c>
      <c r="C341" s="2" t="s">
        <v>478</v>
      </c>
      <c r="D341" s="2" t="s">
        <v>479</v>
      </c>
      <c r="E341" s="4">
        <v>17800</v>
      </c>
    </row>
    <row r="342" spans="1:5" ht="27.6">
      <c r="A342" s="2" t="s">
        <v>426</v>
      </c>
      <c r="B342" s="2" t="str">
        <f>"1601750"</f>
        <v>1601750</v>
      </c>
      <c r="C342" s="2" t="str">
        <f>"1601750"</f>
        <v>1601750</v>
      </c>
      <c r="D342" s="2" t="s">
        <v>480</v>
      </c>
      <c r="E342" s="4">
        <v>18700</v>
      </c>
    </row>
    <row r="343" spans="1:5" ht="27.6">
      <c r="A343" s="2" t="s">
        <v>426</v>
      </c>
      <c r="B343" s="2" t="str">
        <f>"9949284"</f>
        <v>9949284</v>
      </c>
      <c r="C343" s="2" t="str">
        <f>"9949284"</f>
        <v>9949284</v>
      </c>
      <c r="D343" s="2" t="s">
        <v>481</v>
      </c>
      <c r="E343" s="4">
        <v>19600</v>
      </c>
    </row>
    <row r="344" spans="1:5" ht="27.6">
      <c r="A344" s="2" t="s">
        <v>426</v>
      </c>
      <c r="B344" s="2" t="s">
        <v>482</v>
      </c>
      <c r="C344" s="2" t="s">
        <v>482</v>
      </c>
      <c r="D344" s="2" t="s">
        <v>483</v>
      </c>
      <c r="E344" s="4">
        <v>9800</v>
      </c>
    </row>
    <row r="345" spans="1:5" ht="27.6">
      <c r="A345" s="2" t="s">
        <v>426</v>
      </c>
      <c r="B345" s="2" t="s">
        <v>484</v>
      </c>
      <c r="C345" s="2" t="s">
        <v>485</v>
      </c>
      <c r="D345" s="2" t="s">
        <v>483</v>
      </c>
      <c r="E345" s="4">
        <v>19600</v>
      </c>
    </row>
    <row r="346" spans="1:5" ht="27.6">
      <c r="A346" s="2" t="s">
        <v>426</v>
      </c>
      <c r="B346" s="2" t="s">
        <v>486</v>
      </c>
      <c r="C346" s="2" t="s">
        <v>486</v>
      </c>
      <c r="D346" s="2" t="s">
        <v>483</v>
      </c>
      <c r="E346" s="4">
        <v>9900</v>
      </c>
    </row>
    <row r="347" spans="1:5" ht="27.6">
      <c r="A347" s="2" t="s">
        <v>426</v>
      </c>
      <c r="B347" s="2" t="str">
        <f>"010040329"</f>
        <v>010040329</v>
      </c>
      <c r="C347" s="2" t="str">
        <f>"010040329"</f>
        <v>010040329</v>
      </c>
      <c r="D347" s="2" t="s">
        <v>477</v>
      </c>
      <c r="E347" s="4">
        <v>21400</v>
      </c>
    </row>
    <row r="348" spans="1:5" ht="27.6">
      <c r="A348" s="2" t="s">
        <v>426</v>
      </c>
      <c r="B348" s="2" t="str">
        <f>"090040016"</f>
        <v>090040016</v>
      </c>
      <c r="C348" s="2" t="str">
        <f>"090040016"</f>
        <v>090040016</v>
      </c>
      <c r="D348" s="2" t="s">
        <v>487</v>
      </c>
      <c r="E348" s="4">
        <v>9800</v>
      </c>
    </row>
    <row r="349" spans="1:5" ht="27.6">
      <c r="A349" s="2" t="s">
        <v>426</v>
      </c>
      <c r="B349" s="2" t="s">
        <v>488</v>
      </c>
      <c r="C349" s="2" t="s">
        <v>488</v>
      </c>
      <c r="D349" s="2" t="s">
        <v>489</v>
      </c>
      <c r="E349" s="4">
        <v>26000</v>
      </c>
    </row>
    <row r="350" spans="1:5" ht="27.6">
      <c r="A350" s="2" t="s">
        <v>426</v>
      </c>
      <c r="B350" s="2" t="s">
        <v>490</v>
      </c>
      <c r="C350" s="2" t="s">
        <v>490</v>
      </c>
      <c r="D350" s="2" t="s">
        <v>491</v>
      </c>
      <c r="E350" s="4">
        <v>19900</v>
      </c>
    </row>
    <row r="351" spans="1:5" ht="27.6">
      <c r="A351" s="2" t="s">
        <v>426</v>
      </c>
      <c r="B351" s="2" t="s">
        <v>492</v>
      </c>
      <c r="C351" s="2" t="s">
        <v>492</v>
      </c>
      <c r="D351" s="2" t="s">
        <v>493</v>
      </c>
      <c r="E351" s="4">
        <v>34000</v>
      </c>
    </row>
    <row r="352" spans="1:5" ht="27.6">
      <c r="A352" s="2" t="s">
        <v>426</v>
      </c>
      <c r="B352" s="2" t="s">
        <v>494</v>
      </c>
      <c r="C352" s="2" t="s">
        <v>494</v>
      </c>
      <c r="D352" s="2" t="s">
        <v>495</v>
      </c>
      <c r="E352" s="4">
        <v>22300</v>
      </c>
    </row>
    <row r="353" spans="1:5" ht="27.6">
      <c r="A353" s="2" t="s">
        <v>426</v>
      </c>
      <c r="B353" s="2" t="s">
        <v>496</v>
      </c>
      <c r="C353" s="2" t="s">
        <v>496</v>
      </c>
      <c r="D353" s="2" t="s">
        <v>497</v>
      </c>
      <c r="E353" s="4">
        <v>38500</v>
      </c>
    </row>
    <row r="354" spans="1:5" ht="27.6">
      <c r="A354" s="2" t="s">
        <v>426</v>
      </c>
      <c r="B354" s="2" t="str">
        <f>"0010375"</f>
        <v>0010375</v>
      </c>
      <c r="C354" s="2" t="str">
        <f>"0010375"</f>
        <v>0010375</v>
      </c>
      <c r="D354" s="2" t="s">
        <v>498</v>
      </c>
      <c r="E354" s="4">
        <v>19600</v>
      </c>
    </row>
    <row r="355" spans="1:5" ht="27.6">
      <c r="A355" s="2" t="s">
        <v>426</v>
      </c>
      <c r="B355" s="2" t="s">
        <v>499</v>
      </c>
      <c r="C355" s="2" t="s">
        <v>499</v>
      </c>
      <c r="D355" s="2" t="s">
        <v>500</v>
      </c>
      <c r="E355" s="4">
        <v>12500</v>
      </c>
    </row>
    <row r="356" spans="1:5" ht="27.6">
      <c r="A356" s="2" t="s">
        <v>426</v>
      </c>
      <c r="B356" s="2" t="s">
        <v>501</v>
      </c>
      <c r="C356" s="2" t="s">
        <v>501</v>
      </c>
      <c r="D356" s="2" t="s">
        <v>502</v>
      </c>
      <c r="E356" s="4">
        <v>12400</v>
      </c>
    </row>
    <row r="357" spans="1:5" ht="27.6">
      <c r="A357" s="2" t="s">
        <v>426</v>
      </c>
      <c r="B357" s="2" t="str">
        <f>"9949283"</f>
        <v>9949283</v>
      </c>
      <c r="C357" s="2" t="str">
        <f>"2835"</f>
        <v>2835</v>
      </c>
      <c r="D357" s="2" t="s">
        <v>502</v>
      </c>
      <c r="E357" s="4">
        <v>28600</v>
      </c>
    </row>
    <row r="358" spans="1:5" ht="27.6">
      <c r="A358" s="2" t="s">
        <v>426</v>
      </c>
      <c r="B358" s="2" t="str">
        <f>"182065"</f>
        <v>182065</v>
      </c>
      <c r="C358" s="2" t="str">
        <f>"182065"</f>
        <v>182065</v>
      </c>
      <c r="D358" s="2" t="s">
        <v>502</v>
      </c>
      <c r="E358" s="4">
        <v>9700</v>
      </c>
    </row>
    <row r="359" spans="1:5" ht="27.6">
      <c r="A359" s="2" t="s">
        <v>426</v>
      </c>
      <c r="B359" s="2" t="str">
        <f>"010040535"</f>
        <v>010040535</v>
      </c>
      <c r="C359" s="2" t="str">
        <f>"010040535"</f>
        <v>010040535</v>
      </c>
      <c r="D359" s="2" t="s">
        <v>503</v>
      </c>
      <c r="E359" s="4">
        <v>21400</v>
      </c>
    </row>
    <row r="360" spans="1:5" ht="27.6">
      <c r="A360" s="2" t="s">
        <v>426</v>
      </c>
      <c r="B360" s="2" t="s">
        <v>504</v>
      </c>
      <c r="C360" s="2" t="s">
        <v>504</v>
      </c>
      <c r="D360" s="2" t="s">
        <v>505</v>
      </c>
      <c r="E360" s="4">
        <v>26000</v>
      </c>
    </row>
    <row r="361" spans="1:5" ht="27.6">
      <c r="A361" s="2" t="s">
        <v>426</v>
      </c>
      <c r="B361" s="2" t="str">
        <f>"090040019"</f>
        <v>090040019</v>
      </c>
      <c r="C361" s="2" t="str">
        <f>"090040018"</f>
        <v>090040018</v>
      </c>
      <c r="D361" s="2" t="s">
        <v>506</v>
      </c>
      <c r="E361" s="4">
        <v>9700</v>
      </c>
    </row>
    <row r="362" spans="1:5" ht="27.6">
      <c r="A362" s="2" t="s">
        <v>426</v>
      </c>
      <c r="B362" s="2" t="str">
        <f>"1598940"</f>
        <v>1598940</v>
      </c>
      <c r="C362" s="2" t="str">
        <f>"1598940"</f>
        <v>1598940</v>
      </c>
      <c r="D362" s="2" t="s">
        <v>507</v>
      </c>
      <c r="E362" s="4">
        <v>16000</v>
      </c>
    </row>
    <row r="363" spans="1:5" ht="27.6">
      <c r="A363" s="2" t="s">
        <v>426</v>
      </c>
      <c r="B363" s="2" t="str">
        <f>"9942983"</f>
        <v>9942983</v>
      </c>
      <c r="C363" s="2" t="str">
        <f>"9942983"</f>
        <v>9942983</v>
      </c>
      <c r="D363" s="2" t="s">
        <v>508</v>
      </c>
      <c r="E363" s="4">
        <v>38500</v>
      </c>
    </row>
    <row r="364" spans="1:5" ht="27.6">
      <c r="A364" s="2" t="s">
        <v>426</v>
      </c>
      <c r="B364" s="2" t="str">
        <f>"010040070"</f>
        <v>010040070</v>
      </c>
      <c r="C364" s="2" t="str">
        <f>"010040070"</f>
        <v>010040070</v>
      </c>
      <c r="D364" s="2" t="s">
        <v>509</v>
      </c>
      <c r="E364" s="4">
        <v>9900</v>
      </c>
    </row>
    <row r="365" spans="1:5" ht="27.6">
      <c r="A365" s="2" t="s">
        <v>426</v>
      </c>
      <c r="B365" s="2" t="str">
        <f>"0010594"</f>
        <v>0010594</v>
      </c>
      <c r="C365" s="2" t="str">
        <f>"0010594 1115120"</f>
        <v>0010594 1115120</v>
      </c>
      <c r="D365" s="2" t="s">
        <v>510</v>
      </c>
      <c r="E365" s="4">
        <v>28600</v>
      </c>
    </row>
    <row r="366" spans="1:5" ht="27.6">
      <c r="A366" s="2" t="s">
        <v>426</v>
      </c>
      <c r="B366" s="2" t="str">
        <f>"0010593"</f>
        <v>0010593</v>
      </c>
      <c r="C366" s="2" t="str">
        <f>"0010593 1115100"</f>
        <v>0010593 1115100</v>
      </c>
      <c r="D366" s="2" t="s">
        <v>511</v>
      </c>
      <c r="E366" s="4">
        <v>39500</v>
      </c>
    </row>
    <row r="367" spans="1:5" ht="27.6">
      <c r="A367" s="2" t="s">
        <v>426</v>
      </c>
      <c r="B367" s="2" t="str">
        <f>"1117086"</f>
        <v>1117086</v>
      </c>
      <c r="C367" s="2" t="str">
        <f>"1117086"</f>
        <v>1117086</v>
      </c>
      <c r="D367" s="2" t="s">
        <v>512</v>
      </c>
      <c r="E367" s="4">
        <v>24100</v>
      </c>
    </row>
    <row r="368" spans="1:5" ht="27.6">
      <c r="A368" s="2" t="s">
        <v>426</v>
      </c>
      <c r="B368" s="2" t="str">
        <f>"0010596"</f>
        <v>0010596</v>
      </c>
      <c r="C368" s="2" t="str">
        <f>"0010596"</f>
        <v>0010596</v>
      </c>
      <c r="D368" s="2" t="s">
        <v>512</v>
      </c>
      <c r="E368" s="4">
        <v>38000</v>
      </c>
    </row>
    <row r="369" spans="1:5" ht="27.6">
      <c r="A369" s="2" t="s">
        <v>426</v>
      </c>
      <c r="B369" s="2" t="str">
        <f>"0010595"</f>
        <v>0010595</v>
      </c>
      <c r="C369" s="2" t="str">
        <f>"0010595"</f>
        <v>0010595</v>
      </c>
      <c r="D369" s="2" t="s">
        <v>513</v>
      </c>
      <c r="E369" s="4">
        <v>38000</v>
      </c>
    </row>
    <row r="370" spans="1:5" ht="27.6">
      <c r="A370" s="2" t="s">
        <v>426</v>
      </c>
      <c r="B370" s="2" t="str">
        <f>"0010382"</f>
        <v>0010382</v>
      </c>
      <c r="C370" s="2" t="str">
        <f>"0010382"</f>
        <v>0010382</v>
      </c>
      <c r="D370" s="2" t="s">
        <v>514</v>
      </c>
      <c r="E370" s="4">
        <v>38000</v>
      </c>
    </row>
    <row r="371" spans="1:5" ht="27.6">
      <c r="A371" s="2" t="s">
        <v>426</v>
      </c>
      <c r="B371" s="2" t="str">
        <f>"0010380"</f>
        <v>0010380</v>
      </c>
      <c r="C371" s="2" t="str">
        <f>"0010380"</f>
        <v>0010380</v>
      </c>
      <c r="D371" s="2" t="s">
        <v>515</v>
      </c>
      <c r="E371" s="4">
        <v>38500</v>
      </c>
    </row>
    <row r="372" spans="1:5" ht="27.6">
      <c r="A372" s="2" t="s">
        <v>426</v>
      </c>
      <c r="B372" s="2" t="str">
        <f>"0010379"</f>
        <v>0010379</v>
      </c>
      <c r="C372" s="2" t="str">
        <f>"0010379"</f>
        <v>0010379</v>
      </c>
      <c r="D372" s="2" t="s">
        <v>516</v>
      </c>
      <c r="E372" s="4">
        <v>38500</v>
      </c>
    </row>
    <row r="373" spans="1:5" ht="27.6">
      <c r="A373" s="2" t="s">
        <v>426</v>
      </c>
      <c r="B373" s="2" t="str">
        <f>"1800190"</f>
        <v>1800190</v>
      </c>
      <c r="C373" s="2" t="str">
        <f>"1800190"</f>
        <v>1800190</v>
      </c>
      <c r="D373" s="2" t="s">
        <v>517</v>
      </c>
      <c r="E373" s="4">
        <v>17900</v>
      </c>
    </row>
    <row r="374" spans="1:5" ht="27.6">
      <c r="A374" s="2" t="s">
        <v>426</v>
      </c>
      <c r="B374" s="2" t="str">
        <f>"0010384"</f>
        <v>0010384</v>
      </c>
      <c r="C374" s="2" t="str">
        <f>"0010384"</f>
        <v>0010384</v>
      </c>
      <c r="D374" s="2" t="s">
        <v>518</v>
      </c>
      <c r="E374" s="4">
        <v>24100</v>
      </c>
    </row>
    <row r="375" spans="1:5" ht="27.6">
      <c r="A375" s="2" t="s">
        <v>426</v>
      </c>
      <c r="B375" s="2" t="str">
        <f>"1800200"</f>
        <v>1800200</v>
      </c>
      <c r="C375" s="2" t="str">
        <f>"1800200"</f>
        <v>1800200</v>
      </c>
      <c r="D375" s="2" t="s">
        <v>519</v>
      </c>
      <c r="E375" s="4">
        <v>17800</v>
      </c>
    </row>
    <row r="376" spans="1:5" ht="27.6">
      <c r="A376" s="2" t="s">
        <v>426</v>
      </c>
      <c r="B376" s="2" t="s">
        <v>520</v>
      </c>
      <c r="C376" s="2" t="s">
        <v>520</v>
      </c>
      <c r="D376" s="2" t="s">
        <v>521</v>
      </c>
      <c r="E376" s="4">
        <v>21400</v>
      </c>
    </row>
    <row r="377" spans="1:5" ht="27.6">
      <c r="A377" s="2" t="s">
        <v>426</v>
      </c>
      <c r="B377" s="2" t="s">
        <v>522</v>
      </c>
      <c r="C377" s="2" t="s">
        <v>522</v>
      </c>
      <c r="D377" s="2" t="s">
        <v>523</v>
      </c>
      <c r="E377" s="4">
        <v>26800</v>
      </c>
    </row>
    <row r="378" spans="1:5" ht="27.6">
      <c r="A378" s="2" t="s">
        <v>426</v>
      </c>
      <c r="B378" s="2" t="str">
        <f>"090040518"</f>
        <v>090040518</v>
      </c>
      <c r="C378" s="2" t="str">
        <f>"090040518"</f>
        <v>090040518</v>
      </c>
      <c r="D378" s="2" t="s">
        <v>524</v>
      </c>
      <c r="E378" s="4">
        <v>14500</v>
      </c>
    </row>
    <row r="379" spans="1:5" ht="27.6">
      <c r="A379" s="2" t="s">
        <v>426</v>
      </c>
      <c r="B379" s="2" t="s">
        <v>525</v>
      </c>
      <c r="C379" s="2" t="s">
        <v>525</v>
      </c>
      <c r="D379" s="2" t="s">
        <v>526</v>
      </c>
      <c r="E379" s="4">
        <v>29500</v>
      </c>
    </row>
    <row r="380" spans="1:5" ht="27.6">
      <c r="A380" s="2" t="s">
        <v>426</v>
      </c>
      <c r="B380" s="2" t="s">
        <v>527</v>
      </c>
      <c r="C380" s="2" t="s">
        <v>528</v>
      </c>
      <c r="D380" s="2" t="s">
        <v>529</v>
      </c>
      <c r="E380" s="4">
        <v>29500</v>
      </c>
    </row>
    <row r="381" spans="1:5" ht="27.6">
      <c r="A381" s="2" t="s">
        <v>426</v>
      </c>
      <c r="B381" s="2" t="str">
        <f>"001471185-6"</f>
        <v>001471185-6</v>
      </c>
      <c r="C381" s="2" t="str">
        <f>"001471185-6"</f>
        <v>001471185-6</v>
      </c>
      <c r="D381" s="2" t="s">
        <v>530</v>
      </c>
      <c r="E381" s="4">
        <v>38500</v>
      </c>
    </row>
    <row r="382" spans="1:5" ht="27.6">
      <c r="A382" s="2" t="s">
        <v>426</v>
      </c>
      <c r="B382" s="2" t="str">
        <f>"001471184-8"</f>
        <v>001471184-8</v>
      </c>
      <c r="C382" s="2" t="str">
        <f>"001471184-8"</f>
        <v>001471184-8</v>
      </c>
      <c r="D382" s="2" t="s">
        <v>531</v>
      </c>
      <c r="E382" s="4">
        <v>38500</v>
      </c>
    </row>
    <row r="383" spans="1:5" ht="27.6">
      <c r="A383" s="2" t="s">
        <v>426</v>
      </c>
      <c r="B383" s="2" t="str">
        <f>"1500185"</f>
        <v>1500185</v>
      </c>
      <c r="C383" s="2" t="str">
        <f>"1500185"</f>
        <v>1500185</v>
      </c>
      <c r="D383" s="2" t="s">
        <v>532</v>
      </c>
      <c r="E383" s="4">
        <v>34034</v>
      </c>
    </row>
    <row r="384" spans="1:5" ht="27.6">
      <c r="A384" s="2" t="s">
        <v>426</v>
      </c>
      <c r="B384" s="2" t="str">
        <f>"1S00130"</f>
        <v>1S00130</v>
      </c>
      <c r="C384" s="2" t="str">
        <f>"1S00130"</f>
        <v>1S00130</v>
      </c>
      <c r="D384" s="2" t="s">
        <v>533</v>
      </c>
      <c r="E384" s="4">
        <v>25000</v>
      </c>
    </row>
    <row r="385" spans="1:5" ht="27.6">
      <c r="A385" s="2" t="s">
        <v>426</v>
      </c>
      <c r="B385" s="2" t="str">
        <f>"1S00125"</f>
        <v>1S00125</v>
      </c>
      <c r="C385" s="2" t="str">
        <f>"1S00125"</f>
        <v>1S00125</v>
      </c>
      <c r="D385" s="2" t="s">
        <v>534</v>
      </c>
      <c r="E385" s="4">
        <v>28600</v>
      </c>
    </row>
    <row r="386" spans="1:5" ht="27.6">
      <c r="A386" s="2" t="s">
        <v>426</v>
      </c>
      <c r="B386" s="2" t="str">
        <f>"34170G"</f>
        <v>34170G</v>
      </c>
      <c r="C386" s="2" t="str">
        <f>"34170G"</f>
        <v>34170G</v>
      </c>
      <c r="D386" s="2" t="s">
        <v>535</v>
      </c>
      <c r="E386" s="4">
        <v>35800</v>
      </c>
    </row>
    <row r="387" spans="1:5" ht="27.6">
      <c r="A387" s="2" t="s">
        <v>426</v>
      </c>
      <c r="B387" s="2" t="str">
        <f>"1S00120"</f>
        <v>1S00120</v>
      </c>
      <c r="C387" s="2" t="str">
        <f>"1S00120"</f>
        <v>1S00120</v>
      </c>
      <c r="D387" s="2" t="s">
        <v>536</v>
      </c>
      <c r="E387" s="4">
        <v>25000</v>
      </c>
    </row>
    <row r="388" spans="1:5" ht="27.6">
      <c r="A388" s="2" t="s">
        <v>426</v>
      </c>
      <c r="B388" s="2" t="str">
        <f>"34171G"</f>
        <v>34171G</v>
      </c>
      <c r="C388" s="2" t="str">
        <f>"34171G"</f>
        <v>34171G</v>
      </c>
      <c r="D388" s="2" t="s">
        <v>537</v>
      </c>
      <c r="E388" s="4">
        <v>35800</v>
      </c>
    </row>
    <row r="389" spans="1:5" ht="27.6">
      <c r="A389" s="2" t="s">
        <v>426</v>
      </c>
      <c r="B389" s="2" t="str">
        <f>"1S00160"</f>
        <v>1S00160</v>
      </c>
      <c r="C389" s="2" t="str">
        <f>"1S00160"</f>
        <v>1S00160</v>
      </c>
      <c r="D389" s="2" t="s">
        <v>538</v>
      </c>
      <c r="E389" s="4">
        <v>14200</v>
      </c>
    </row>
    <row r="390" spans="1:5" ht="27.6">
      <c r="A390" s="2" t="s">
        <v>426</v>
      </c>
      <c r="B390" s="2" t="str">
        <f>"1500135"</f>
        <v>1500135</v>
      </c>
      <c r="C390" s="2" t="str">
        <f>"1500135"</f>
        <v>1500135</v>
      </c>
      <c r="D390" s="2" t="s">
        <v>539</v>
      </c>
      <c r="E390" s="4">
        <v>42100</v>
      </c>
    </row>
    <row r="391" spans="1:5" ht="27.6">
      <c r="A391" s="2" t="s">
        <v>426</v>
      </c>
      <c r="B391" s="2" t="str">
        <f>"0020612"</f>
        <v>0020612</v>
      </c>
      <c r="C391" s="2" t="str">
        <f>"0020612"</f>
        <v>0020612</v>
      </c>
      <c r="D391" s="2" t="s">
        <v>540</v>
      </c>
      <c r="E391" s="4">
        <v>34000</v>
      </c>
    </row>
    <row r="392" spans="1:5" ht="27.6">
      <c r="A392" s="2" t="s">
        <v>426</v>
      </c>
      <c r="B392" s="2" t="str">
        <f>"0020614"</f>
        <v>0020614</v>
      </c>
      <c r="C392" s="2" t="str">
        <f>"0020614"</f>
        <v>0020614</v>
      </c>
      <c r="D392" s="2" t="s">
        <v>541</v>
      </c>
      <c r="E392" s="4">
        <v>19600</v>
      </c>
    </row>
    <row r="393" spans="1:5" ht="27.6">
      <c r="A393" s="2" t="s">
        <v>426</v>
      </c>
      <c r="B393" s="2" t="str">
        <f>"0020613"</f>
        <v>0020613</v>
      </c>
      <c r="C393" s="2" t="str">
        <f>"0020613"</f>
        <v>0020613</v>
      </c>
      <c r="D393" s="2" t="s">
        <v>542</v>
      </c>
      <c r="E393" s="4">
        <v>34000</v>
      </c>
    </row>
    <row r="394" spans="1:5" ht="27.6">
      <c r="A394" s="2" t="s">
        <v>426</v>
      </c>
      <c r="B394" s="2" t="str">
        <f>"1S00135"</f>
        <v>1S00135</v>
      </c>
      <c r="C394" s="2" t="str">
        <f>"1S00135"</f>
        <v>1S00135</v>
      </c>
      <c r="D394" s="2" t="s">
        <v>543</v>
      </c>
      <c r="E394" s="4">
        <v>28600</v>
      </c>
    </row>
    <row r="395" spans="1:5" ht="27.6">
      <c r="A395" s="2" t="s">
        <v>426</v>
      </c>
      <c r="B395" s="2" t="str">
        <f>"0003277"</f>
        <v>0003277</v>
      </c>
      <c r="C395" s="2" t="str">
        <f>"0003277"</f>
        <v>0003277</v>
      </c>
      <c r="D395" s="2" t="s">
        <v>544</v>
      </c>
      <c r="E395" s="4">
        <v>38000</v>
      </c>
    </row>
    <row r="396" spans="1:5" ht="27.6">
      <c r="A396" s="2" t="s">
        <v>426</v>
      </c>
      <c r="B396" s="2" t="str">
        <f>"9942994"</f>
        <v>9942994</v>
      </c>
      <c r="C396" s="2" t="str">
        <f>"9942994"</f>
        <v>9942994</v>
      </c>
      <c r="D396" s="2" t="s">
        <v>545</v>
      </c>
      <c r="E396" s="4">
        <v>19600</v>
      </c>
    </row>
    <row r="397" spans="1:5" ht="27.6">
      <c r="A397" s="2" t="s">
        <v>426</v>
      </c>
      <c r="B397" s="2" t="str">
        <f>"0020615"</f>
        <v>0020615</v>
      </c>
      <c r="C397" s="2" t="str">
        <f>"0020615"</f>
        <v>0020615</v>
      </c>
      <c r="D397" s="2" t="s">
        <v>546</v>
      </c>
      <c r="E397" s="4">
        <v>38500</v>
      </c>
    </row>
    <row r="398" spans="1:5" ht="27.6">
      <c r="A398" s="2" t="s">
        <v>426</v>
      </c>
      <c r="B398" s="2" t="str">
        <f>"0020616"</f>
        <v>0020616</v>
      </c>
      <c r="C398" s="2" t="str">
        <f>"0020616"</f>
        <v>0020616</v>
      </c>
      <c r="D398" s="2" t="s">
        <v>547</v>
      </c>
      <c r="E398" s="4">
        <v>38500</v>
      </c>
    </row>
    <row r="399" spans="1:5" ht="27.6">
      <c r="A399" s="2" t="s">
        <v>426</v>
      </c>
      <c r="B399" s="2" t="str">
        <f>"9942111"</f>
        <v>9942111</v>
      </c>
      <c r="C399" s="2" t="str">
        <f>"9942111"</f>
        <v>9942111</v>
      </c>
      <c r="D399" s="2" t="s">
        <v>548</v>
      </c>
      <c r="E399" s="4">
        <v>40500</v>
      </c>
    </row>
    <row r="400" spans="1:5" ht="27.6">
      <c r="A400" s="2" t="s">
        <v>426</v>
      </c>
      <c r="B400" s="2" t="str">
        <f>"0003278"</f>
        <v>0003278</v>
      </c>
      <c r="C400" s="2" t="str">
        <f>"0003278"</f>
        <v>0003278</v>
      </c>
      <c r="D400" s="2" t="s">
        <v>548</v>
      </c>
      <c r="E400" s="4">
        <v>38000</v>
      </c>
    </row>
    <row r="401" spans="1:5" ht="27.6">
      <c r="A401" s="2" t="s">
        <v>426</v>
      </c>
      <c r="B401" s="2" t="str">
        <f>"9942112"</f>
        <v>9942112</v>
      </c>
      <c r="C401" s="2" t="str">
        <f>"9942112"</f>
        <v>9942112</v>
      </c>
      <c r="D401" s="2" t="s">
        <v>549</v>
      </c>
      <c r="E401" s="4">
        <v>40500</v>
      </c>
    </row>
    <row r="402" spans="1:5" ht="27.6">
      <c r="A402" s="2" t="s">
        <v>426</v>
      </c>
      <c r="B402" s="2" t="str">
        <f>"312803"</f>
        <v>312803</v>
      </c>
      <c r="C402" s="2" t="str">
        <f>"312803"</f>
        <v>312803</v>
      </c>
      <c r="D402" s="2" t="s">
        <v>550</v>
      </c>
      <c r="E402" s="4">
        <v>19600</v>
      </c>
    </row>
    <row r="403" spans="1:5" ht="27.6">
      <c r="A403" s="2" t="s">
        <v>426</v>
      </c>
      <c r="B403" s="2" t="str">
        <f>"1500160"</f>
        <v>1500160</v>
      </c>
      <c r="C403" s="2" t="str">
        <f>"1500160"</f>
        <v>1500160</v>
      </c>
      <c r="D403" s="2" t="s">
        <v>551</v>
      </c>
      <c r="E403" s="4">
        <v>14500</v>
      </c>
    </row>
    <row r="404" spans="1:5" ht="27.6">
      <c r="A404" s="2" t="s">
        <v>426</v>
      </c>
      <c r="B404" s="2" t="str">
        <f>"1T00036"</f>
        <v>1T00036</v>
      </c>
      <c r="C404" s="2" t="str">
        <f>"1T00036"</f>
        <v>1T00036</v>
      </c>
      <c r="D404" s="2" t="s">
        <v>552</v>
      </c>
      <c r="E404" s="4">
        <v>34000</v>
      </c>
    </row>
    <row r="405" spans="1:5" ht="27.6">
      <c r="A405" s="2" t="s">
        <v>426</v>
      </c>
      <c r="B405" s="2" t="str">
        <f>"1T10008"</f>
        <v>1T10008</v>
      </c>
      <c r="C405" s="2" t="str">
        <f>"1T10008"</f>
        <v>1T10008</v>
      </c>
      <c r="D405" s="2" t="s">
        <v>553</v>
      </c>
      <c r="E405" s="4">
        <v>16000</v>
      </c>
    </row>
    <row r="406" spans="1:5" ht="27.6">
      <c r="A406" s="2" t="s">
        <v>426</v>
      </c>
      <c r="B406" s="2" t="str">
        <f>"1T00020"</f>
        <v>1T00020</v>
      </c>
      <c r="C406" s="2" t="str">
        <f>"1T00020"</f>
        <v>1T00020</v>
      </c>
      <c r="D406" s="2" t="s">
        <v>554</v>
      </c>
      <c r="E406" s="4">
        <v>38000</v>
      </c>
    </row>
    <row r="407" spans="1:5" ht="27.6">
      <c r="A407" s="2" t="s">
        <v>426</v>
      </c>
      <c r="B407" s="2" t="s">
        <v>555</v>
      </c>
      <c r="C407" s="2" t="s">
        <v>556</v>
      </c>
      <c r="D407" s="2" t="s">
        <v>557</v>
      </c>
      <c r="E407" s="4">
        <v>79000</v>
      </c>
    </row>
    <row r="408" spans="1:5" ht="27.6">
      <c r="A408" s="2" t="s">
        <v>426</v>
      </c>
      <c r="B408" s="2" t="str">
        <f>"1115090"</f>
        <v>1115090</v>
      </c>
      <c r="C408" s="2" t="str">
        <f>"1115090"</f>
        <v>1115090</v>
      </c>
      <c r="D408" s="2" t="s">
        <v>558</v>
      </c>
      <c r="E408" s="4">
        <v>24000</v>
      </c>
    </row>
    <row r="409" spans="1:5" ht="27.6">
      <c r="A409" s="2" t="s">
        <v>426</v>
      </c>
      <c r="B409" s="2" t="str">
        <f>"0020621"</f>
        <v>0020621</v>
      </c>
      <c r="C409" s="2" t="str">
        <f>"0020621"</f>
        <v>0020621</v>
      </c>
      <c r="D409" s="2" t="s">
        <v>559</v>
      </c>
      <c r="E409" s="4">
        <v>25000</v>
      </c>
    </row>
    <row r="410" spans="1:5" ht="27.6">
      <c r="A410" s="2" t="s">
        <v>426</v>
      </c>
      <c r="B410" s="2" t="str">
        <f>"1471119-8"</f>
        <v>1471119-8</v>
      </c>
      <c r="C410" s="2" t="str">
        <f>"1471119-8"</f>
        <v>1471119-8</v>
      </c>
      <c r="D410" s="2" t="s">
        <v>560</v>
      </c>
      <c r="E410" s="4">
        <v>20000</v>
      </c>
    </row>
    <row r="411" spans="1:5" ht="27.6">
      <c r="A411" s="2" t="s">
        <v>426</v>
      </c>
      <c r="B411" s="2" t="str">
        <f>"8055810"</f>
        <v>8055810</v>
      </c>
      <c r="C411" s="2" t="str">
        <f>"8055810"</f>
        <v>8055810</v>
      </c>
      <c r="D411" s="2" t="s">
        <v>561</v>
      </c>
      <c r="E411" s="4">
        <v>14500</v>
      </c>
    </row>
    <row r="412" spans="1:5" ht="27.6">
      <c r="A412" s="2" t="s">
        <v>426</v>
      </c>
      <c r="B412" s="2" t="str">
        <f>"8106510"</f>
        <v>8106510</v>
      </c>
      <c r="C412" s="2" t="str">
        <f>"8106510"</f>
        <v>8106510</v>
      </c>
      <c r="D412" s="2" t="s">
        <v>562</v>
      </c>
      <c r="E412" s="4">
        <v>11500</v>
      </c>
    </row>
    <row r="413" spans="1:5" ht="27.6">
      <c r="A413" s="2" t="s">
        <v>426</v>
      </c>
      <c r="B413" s="2" t="str">
        <f>"0000258"</f>
        <v>0000258</v>
      </c>
      <c r="C413" s="2" t="str">
        <f>"0000258"</f>
        <v>0000258</v>
      </c>
      <c r="D413" s="2" t="s">
        <v>563</v>
      </c>
      <c r="E413" s="4">
        <v>13900</v>
      </c>
    </row>
    <row r="414" spans="1:5" ht="27.6">
      <c r="A414" s="2" t="s">
        <v>426</v>
      </c>
      <c r="B414" s="2" t="str">
        <f>"8023110"</f>
        <v>8023110</v>
      </c>
      <c r="C414" s="2" t="str">
        <f>"8023110"</f>
        <v>8023110</v>
      </c>
      <c r="D414" s="2" t="s">
        <v>564</v>
      </c>
      <c r="E414" s="4">
        <v>11500</v>
      </c>
    </row>
    <row r="415" spans="1:5" ht="27.6">
      <c r="A415" s="2" t="s">
        <v>426</v>
      </c>
      <c r="B415" s="2" t="s">
        <v>565</v>
      </c>
      <c r="C415" s="2" t="s">
        <v>565</v>
      </c>
      <c r="D415" s="2" t="s">
        <v>566</v>
      </c>
      <c r="E415" s="4">
        <v>39600</v>
      </c>
    </row>
    <row r="416" spans="1:5" ht="27.6">
      <c r="A416" s="2" t="s">
        <v>426</v>
      </c>
      <c r="B416" s="2" t="s">
        <v>567</v>
      </c>
      <c r="C416" s="2" t="s">
        <v>567</v>
      </c>
      <c r="D416" s="2" t="s">
        <v>568</v>
      </c>
      <c r="E416" s="4">
        <v>35800</v>
      </c>
    </row>
    <row r="417" spans="1:5" ht="27.6">
      <c r="A417" s="2" t="s">
        <v>426</v>
      </c>
      <c r="B417" s="2" t="s">
        <v>569</v>
      </c>
      <c r="C417" s="2" t="s">
        <v>569</v>
      </c>
      <c r="D417" s="2" t="s">
        <v>570</v>
      </c>
      <c r="E417" s="4">
        <v>39600</v>
      </c>
    </row>
    <row r="418" spans="1:5" ht="27.6">
      <c r="A418" s="2" t="s">
        <v>426</v>
      </c>
      <c r="B418" s="2" t="str">
        <f>"011020"</f>
        <v>011020</v>
      </c>
      <c r="C418" s="2" t="str">
        <f>"011020"</f>
        <v>011020</v>
      </c>
      <c r="D418" s="2" t="s">
        <v>571</v>
      </c>
      <c r="E418" s="4">
        <v>52000</v>
      </c>
    </row>
    <row r="419" spans="1:5" ht="27.6">
      <c r="A419" s="2" t="s">
        <v>426</v>
      </c>
      <c r="B419" s="2" t="str">
        <f>"0014490"</f>
        <v>0014490</v>
      </c>
      <c r="C419" s="2" t="str">
        <f>"0014490"</f>
        <v>0014490</v>
      </c>
      <c r="D419" s="2" t="s">
        <v>572</v>
      </c>
      <c r="E419" s="4">
        <v>38500</v>
      </c>
    </row>
    <row r="420" spans="1:5" ht="27.6">
      <c r="A420" s="2" t="s">
        <v>426</v>
      </c>
      <c r="B420" s="2" t="s">
        <v>573</v>
      </c>
      <c r="C420" s="2" t="s">
        <v>574</v>
      </c>
      <c r="D420" s="2" t="s">
        <v>575</v>
      </c>
      <c r="E420" s="4">
        <v>43000</v>
      </c>
    </row>
    <row r="421" spans="1:5" ht="27.6">
      <c r="A421" s="2" t="s">
        <v>426</v>
      </c>
      <c r="B421" s="2" t="str">
        <f>"0003271"</f>
        <v>0003271</v>
      </c>
      <c r="C421" s="2" t="str">
        <f>"0003271"</f>
        <v>0003271</v>
      </c>
      <c r="D421" s="2" t="s">
        <v>576</v>
      </c>
      <c r="E421" s="4">
        <v>29000</v>
      </c>
    </row>
    <row r="422" spans="1:5" ht="27.6">
      <c r="A422" s="2" t="s">
        <v>426</v>
      </c>
      <c r="B422" s="2" t="s">
        <v>577</v>
      </c>
      <c r="C422" s="2" t="s">
        <v>577</v>
      </c>
      <c r="D422" s="2" t="s">
        <v>578</v>
      </c>
      <c r="E422" s="4">
        <v>71000</v>
      </c>
    </row>
    <row r="423" spans="1:5" ht="27.6">
      <c r="A423" s="2" t="s">
        <v>426</v>
      </c>
      <c r="B423" s="2" t="s">
        <v>579</v>
      </c>
      <c r="C423" s="2" t="s">
        <v>579</v>
      </c>
      <c r="D423" s="2" t="s">
        <v>580</v>
      </c>
      <c r="E423" s="4">
        <v>26000</v>
      </c>
    </row>
    <row r="424" spans="1:5" ht="27.6">
      <c r="A424" s="2" t="s">
        <v>426</v>
      </c>
      <c r="B424" s="2" t="str">
        <f>"0020586"</f>
        <v>0020586</v>
      </c>
      <c r="C424" s="2" t="str">
        <f>"0020586"</f>
        <v>0020586</v>
      </c>
      <c r="D424" s="2" t="s">
        <v>581</v>
      </c>
      <c r="E424" s="4">
        <v>34000</v>
      </c>
    </row>
    <row r="425" spans="1:5" ht="27.6">
      <c r="A425" s="2" t="s">
        <v>426</v>
      </c>
      <c r="B425" s="2" t="str">
        <f>"0020585"</f>
        <v>0020585</v>
      </c>
      <c r="C425" s="2" t="str">
        <f>"0020585"</f>
        <v>0020585</v>
      </c>
      <c r="D425" s="2" t="s">
        <v>582</v>
      </c>
      <c r="E425" s="4">
        <v>28600</v>
      </c>
    </row>
    <row r="426" spans="1:5" ht="27.6">
      <c r="A426" s="2" t="s">
        <v>426</v>
      </c>
      <c r="B426" s="2" t="s">
        <v>583</v>
      </c>
      <c r="C426" s="2" t="s">
        <v>583</v>
      </c>
      <c r="D426" s="2" t="s">
        <v>584</v>
      </c>
      <c r="E426" s="4">
        <v>39600</v>
      </c>
    </row>
    <row r="427" spans="1:5" ht="27.6">
      <c r="A427" s="2" t="s">
        <v>426</v>
      </c>
      <c r="B427" s="2" t="s">
        <v>585</v>
      </c>
      <c r="C427" s="2" t="s">
        <v>585</v>
      </c>
      <c r="D427" s="2" t="s">
        <v>586</v>
      </c>
      <c r="E427" s="4">
        <v>39600</v>
      </c>
    </row>
    <row r="428" spans="1:5" ht="27.6">
      <c r="A428" s="2" t="s">
        <v>426</v>
      </c>
      <c r="B428" s="2" t="str">
        <f>"0010552"</f>
        <v>0010552</v>
      </c>
      <c r="C428" s="2" t="str">
        <f>"0010552"</f>
        <v>0010552</v>
      </c>
      <c r="D428" s="2" t="s">
        <v>587</v>
      </c>
      <c r="E428" s="4">
        <v>32500</v>
      </c>
    </row>
    <row r="429" spans="1:5" ht="27.6">
      <c r="A429" s="2" t="s">
        <v>426</v>
      </c>
      <c r="B429" s="2" t="str">
        <f>"0010553"</f>
        <v>0010553</v>
      </c>
      <c r="C429" s="2" t="str">
        <f>"0010553"</f>
        <v>0010553</v>
      </c>
      <c r="D429" s="2" t="s">
        <v>588</v>
      </c>
      <c r="E429" s="4">
        <v>32500</v>
      </c>
    </row>
    <row r="430" spans="1:5" ht="27.6">
      <c r="A430" s="2" t="s">
        <v>426</v>
      </c>
      <c r="B430" s="2" t="str">
        <f>"0010554"</f>
        <v>0010554</v>
      </c>
      <c r="C430" s="2" t="str">
        <f>"0010554"</f>
        <v>0010554</v>
      </c>
      <c r="D430" s="2" t="s">
        <v>589</v>
      </c>
      <c r="E430" s="4">
        <v>31300</v>
      </c>
    </row>
    <row r="431" spans="1:5" ht="27.6">
      <c r="A431" s="2" t="s">
        <v>426</v>
      </c>
      <c r="B431" s="2" t="s">
        <v>590</v>
      </c>
      <c r="C431" s="2" t="s">
        <v>590</v>
      </c>
      <c r="D431" s="2" t="s">
        <v>591</v>
      </c>
      <c r="E431" s="4">
        <v>48500</v>
      </c>
    </row>
    <row r="432" spans="1:5" ht="27.6">
      <c r="A432" s="2" t="s">
        <v>426</v>
      </c>
      <c r="B432" s="2" t="str">
        <f>"0010555"</f>
        <v>0010555</v>
      </c>
      <c r="C432" s="2" t="str">
        <f>"0010555"</f>
        <v>0010555</v>
      </c>
      <c r="D432" s="2" t="s">
        <v>592</v>
      </c>
      <c r="E432" s="4">
        <v>19000</v>
      </c>
    </row>
    <row r="433" spans="1:5" ht="27.6">
      <c r="A433" s="2" t="s">
        <v>426</v>
      </c>
      <c r="B433" s="2" t="s">
        <v>593</v>
      </c>
      <c r="C433" s="2" t="s">
        <v>593</v>
      </c>
      <c r="D433" s="2" t="s">
        <v>594</v>
      </c>
      <c r="E433" s="4">
        <v>43000</v>
      </c>
    </row>
    <row r="434" spans="1:5" ht="27.6">
      <c r="A434" s="2" t="s">
        <v>426</v>
      </c>
      <c r="B434" s="2" t="str">
        <f>"0009336"</f>
        <v>0009336</v>
      </c>
      <c r="C434" s="2" t="str">
        <f>"0009336"</f>
        <v>0009336</v>
      </c>
      <c r="D434" s="2" t="s">
        <v>595</v>
      </c>
      <c r="E434" s="4">
        <v>42000</v>
      </c>
    </row>
    <row r="435" spans="1:5" ht="27.6">
      <c r="A435" s="2" t="s">
        <v>426</v>
      </c>
      <c r="B435" s="2" t="str">
        <f>"0009337"</f>
        <v>0009337</v>
      </c>
      <c r="C435" s="2" t="str">
        <f>"0009337"</f>
        <v>0009337</v>
      </c>
      <c r="D435" s="2" t="s">
        <v>596</v>
      </c>
      <c r="E435" s="4">
        <v>42000</v>
      </c>
    </row>
    <row r="436" spans="1:5" ht="27.6">
      <c r="A436" s="2" t="s">
        <v>426</v>
      </c>
      <c r="B436" s="2" t="str">
        <f>"301193"</f>
        <v>301193</v>
      </c>
      <c r="C436" s="2" t="str">
        <f>"301193"</f>
        <v>301193</v>
      </c>
      <c r="D436" s="2" t="s">
        <v>597</v>
      </c>
      <c r="E436" s="4">
        <v>39400</v>
      </c>
    </row>
    <row r="437" spans="1:5" ht="27.6">
      <c r="A437" s="2" t="s">
        <v>426</v>
      </c>
      <c r="B437" s="2" t="str">
        <f>"301093"</f>
        <v>301093</v>
      </c>
      <c r="C437" s="2" t="str">
        <f>"301093"</f>
        <v>301093</v>
      </c>
      <c r="D437" s="2" t="s">
        <v>598</v>
      </c>
      <c r="E437" s="4">
        <v>39400</v>
      </c>
    </row>
    <row r="438" spans="1:5" ht="27.6">
      <c r="A438" s="2" t="s">
        <v>426</v>
      </c>
      <c r="B438" s="2" t="str">
        <f>"0010559"</f>
        <v>0010559</v>
      </c>
      <c r="C438" s="2" t="str">
        <f>"0010559"</f>
        <v>0010559</v>
      </c>
      <c r="D438" s="2" t="s">
        <v>599</v>
      </c>
      <c r="E438" s="4">
        <v>38500</v>
      </c>
    </row>
    <row r="439" spans="1:5" ht="27.6">
      <c r="A439" s="2" t="s">
        <v>426</v>
      </c>
      <c r="B439" s="2" t="s">
        <v>600</v>
      </c>
      <c r="C439" s="2" t="s">
        <v>600</v>
      </c>
      <c r="D439" s="2" t="s">
        <v>601</v>
      </c>
      <c r="E439" s="4">
        <v>97000</v>
      </c>
    </row>
    <row r="440" spans="1:5" ht="27.6">
      <c r="A440" s="2" t="s">
        <v>426</v>
      </c>
      <c r="B440" s="2" t="s">
        <v>602</v>
      </c>
      <c r="C440" s="2" t="s">
        <v>602</v>
      </c>
      <c r="D440" s="2" t="s">
        <v>603</v>
      </c>
      <c r="E440" s="4">
        <v>97000</v>
      </c>
    </row>
    <row r="441" spans="1:5" ht="27.6">
      <c r="A441" s="2" t="s">
        <v>426</v>
      </c>
      <c r="B441" s="2" t="str">
        <f>"301196"</f>
        <v>301196</v>
      </c>
      <c r="C441" s="2" t="str">
        <f>"301196"</f>
        <v>301196</v>
      </c>
      <c r="D441" s="2" t="s">
        <v>604</v>
      </c>
      <c r="E441" s="4">
        <v>49000</v>
      </c>
    </row>
    <row r="442" spans="1:5" ht="27.6">
      <c r="A442" s="2" t="s">
        <v>426</v>
      </c>
      <c r="B442" s="2" t="str">
        <f>"301195"</f>
        <v>301195</v>
      </c>
      <c r="C442" s="2" t="str">
        <f>"301195"</f>
        <v>301195</v>
      </c>
      <c r="D442" s="2" t="s">
        <v>605</v>
      </c>
      <c r="E442" s="4">
        <v>47000</v>
      </c>
    </row>
    <row r="443" spans="1:5" ht="27.6">
      <c r="A443" s="2" t="s">
        <v>426</v>
      </c>
      <c r="B443" s="2" t="str">
        <f>"00304DN"</f>
        <v>00304DN</v>
      </c>
      <c r="C443" s="2" t="str">
        <f>"00304DN"</f>
        <v>00304DN</v>
      </c>
      <c r="D443" s="2" t="s">
        <v>606</v>
      </c>
      <c r="E443" s="4">
        <v>24400</v>
      </c>
    </row>
    <row r="444" spans="1:5" ht="27.6">
      <c r="A444" s="2" t="s">
        <v>426</v>
      </c>
      <c r="B444" s="2" t="s">
        <v>607</v>
      </c>
      <c r="C444" s="2" t="s">
        <v>607</v>
      </c>
      <c r="D444" s="2" t="s">
        <v>608</v>
      </c>
      <c r="E444" s="4">
        <v>29500</v>
      </c>
    </row>
    <row r="445" spans="1:5" ht="27.6">
      <c r="A445" s="2" t="s">
        <v>426</v>
      </c>
      <c r="B445" s="2" t="str">
        <f>"0018192"</f>
        <v>0018192</v>
      </c>
      <c r="C445" s="2" t="str">
        <f>"0018192"</f>
        <v>0018192</v>
      </c>
      <c r="D445" s="2" t="s">
        <v>609</v>
      </c>
      <c r="E445" s="4">
        <v>16000</v>
      </c>
    </row>
    <row r="446" spans="1:5" ht="27.6">
      <c r="A446" s="2" t="s">
        <v>426</v>
      </c>
      <c r="B446" s="2" t="str">
        <f>"8025360"</f>
        <v>8025360</v>
      </c>
      <c r="C446" s="2" t="str">
        <f>"8025360"</f>
        <v>8025360</v>
      </c>
      <c r="D446" s="2" t="s">
        <v>610</v>
      </c>
      <c r="E446" s="4">
        <v>22300</v>
      </c>
    </row>
    <row r="447" spans="1:5" ht="27.6">
      <c r="A447" s="2" t="s">
        <v>426</v>
      </c>
      <c r="B447" s="2" t="str">
        <f>"8025330"</f>
        <v>8025330</v>
      </c>
      <c r="C447" s="2" t="str">
        <f>"8025330"</f>
        <v>8025330</v>
      </c>
      <c r="D447" s="2" t="s">
        <v>611</v>
      </c>
      <c r="E447" s="4">
        <v>25347</v>
      </c>
    </row>
    <row r="448" spans="1:5" ht="27.6">
      <c r="A448" s="2" t="s">
        <v>426</v>
      </c>
      <c r="B448" s="2" t="str">
        <f>"00304DWNB"</f>
        <v>00304DWNB</v>
      </c>
      <c r="C448" s="2" t="str">
        <f>"00304DWNB"</f>
        <v>00304DWNB</v>
      </c>
      <c r="D448" s="2" t="s">
        <v>612</v>
      </c>
      <c r="E448" s="4">
        <v>18000</v>
      </c>
    </row>
    <row r="449" spans="1:5" ht="27.6">
      <c r="A449" s="2" t="s">
        <v>426</v>
      </c>
      <c r="B449" s="2" t="str">
        <f>"00305DWNB"</f>
        <v>00305DWNB</v>
      </c>
      <c r="C449" s="2" t="str">
        <f>"00305DWNB"</f>
        <v>00305DWNB</v>
      </c>
      <c r="D449" s="2" t="s">
        <v>613</v>
      </c>
      <c r="E449" s="4">
        <v>18000</v>
      </c>
    </row>
    <row r="450" spans="1:5" ht="27.6">
      <c r="A450" s="2" t="s">
        <v>426</v>
      </c>
      <c r="B450" s="2" t="str">
        <f>"00305DN"</f>
        <v>00305DN</v>
      </c>
      <c r="C450" s="2" t="str">
        <f>"00305DN"</f>
        <v>00305DN</v>
      </c>
      <c r="D450" s="2" t="s">
        <v>614</v>
      </c>
      <c r="E450" s="4">
        <v>48400</v>
      </c>
    </row>
    <row r="451" spans="1:5" ht="27.6">
      <c r="A451" s="2" t="s">
        <v>426</v>
      </c>
      <c r="B451" s="2" t="s">
        <v>615</v>
      </c>
      <c r="C451" s="2" t="s">
        <v>615</v>
      </c>
      <c r="D451" s="2" t="s">
        <v>616</v>
      </c>
      <c r="E451" s="4">
        <v>48400</v>
      </c>
    </row>
    <row r="452" spans="1:5" ht="27.6">
      <c r="A452" s="2" t="s">
        <v>426</v>
      </c>
      <c r="B452" s="2" t="str">
        <f>"8025340"</f>
        <v>8025340</v>
      </c>
      <c r="C452" s="2" t="str">
        <f>"8025340"</f>
        <v>8025340</v>
      </c>
      <c r="D452" s="2" t="s">
        <v>617</v>
      </c>
      <c r="E452" s="4">
        <v>22300</v>
      </c>
    </row>
    <row r="453" spans="1:5" ht="27.6">
      <c r="A453" s="2" t="s">
        <v>426</v>
      </c>
      <c r="B453" s="2" t="s">
        <v>618</v>
      </c>
      <c r="C453" s="2" t="s">
        <v>618</v>
      </c>
      <c r="D453" s="2" t="s">
        <v>619</v>
      </c>
      <c r="E453" s="4">
        <v>43000</v>
      </c>
    </row>
    <row r="454" spans="1:5" ht="27.6">
      <c r="A454" s="2" t="s">
        <v>426</v>
      </c>
      <c r="B454" s="2" t="s">
        <v>620</v>
      </c>
      <c r="C454" s="2" t="s">
        <v>620</v>
      </c>
      <c r="D454" s="2" t="s">
        <v>621</v>
      </c>
      <c r="E454" s="4">
        <v>21400</v>
      </c>
    </row>
    <row r="455" spans="1:5" ht="27.6">
      <c r="A455" s="2" t="s">
        <v>426</v>
      </c>
      <c r="B455" s="2" t="s">
        <v>622</v>
      </c>
      <c r="C455" s="2" t="s">
        <v>622</v>
      </c>
      <c r="D455" s="2" t="s">
        <v>623</v>
      </c>
      <c r="E455" s="4">
        <v>18902</v>
      </c>
    </row>
    <row r="456" spans="1:5" ht="27.6">
      <c r="A456" s="2" t="s">
        <v>426</v>
      </c>
      <c r="B456" s="2" t="s">
        <v>624</v>
      </c>
      <c r="C456" s="2" t="s">
        <v>624</v>
      </c>
      <c r="D456" s="2" t="s">
        <v>625</v>
      </c>
      <c r="E456" s="4">
        <v>34000</v>
      </c>
    </row>
    <row r="457" spans="1:5" ht="27.6">
      <c r="A457" s="2" t="s">
        <v>426</v>
      </c>
      <c r="B457" s="2" t="s">
        <v>626</v>
      </c>
      <c r="C457" s="2" t="s">
        <v>626</v>
      </c>
      <c r="D457" s="2" t="s">
        <v>627</v>
      </c>
      <c r="E457" s="4">
        <v>21400</v>
      </c>
    </row>
    <row r="458" spans="1:5" ht="27.6">
      <c r="A458" s="2" t="s">
        <v>426</v>
      </c>
      <c r="B458" s="2" t="s">
        <v>628</v>
      </c>
      <c r="C458" s="2" t="s">
        <v>628</v>
      </c>
      <c r="D458" s="2" t="s">
        <v>629</v>
      </c>
      <c r="E458" s="4">
        <v>34000</v>
      </c>
    </row>
    <row r="459" spans="1:5" ht="27.6">
      <c r="A459" s="2" t="s">
        <v>426</v>
      </c>
      <c r="B459" s="2" t="s">
        <v>630</v>
      </c>
      <c r="C459" s="2" t="s">
        <v>630</v>
      </c>
      <c r="D459" s="2" t="s">
        <v>631</v>
      </c>
      <c r="E459" s="4">
        <v>21000</v>
      </c>
    </row>
    <row r="460" spans="1:5" ht="27.6">
      <c r="A460" s="2" t="s">
        <v>426</v>
      </c>
      <c r="B460" s="2" t="str">
        <f>"0010387"</f>
        <v>0010387</v>
      </c>
      <c r="C460" s="2" t="str">
        <f>"0010387"</f>
        <v>0010387</v>
      </c>
      <c r="D460" s="2" t="s">
        <v>632</v>
      </c>
      <c r="E460" s="4">
        <v>29500</v>
      </c>
    </row>
    <row r="461" spans="1:5" ht="27.6">
      <c r="A461" s="2" t="s">
        <v>426</v>
      </c>
      <c r="B461" s="2" t="str">
        <f>"0010420"</f>
        <v>0010420</v>
      </c>
      <c r="C461" s="2" t="str">
        <f>"0010420"</f>
        <v>0010420</v>
      </c>
      <c r="D461" s="2" t="s">
        <v>633</v>
      </c>
      <c r="E461" s="4">
        <v>31000</v>
      </c>
    </row>
    <row r="462" spans="1:5" ht="27.6">
      <c r="A462" s="2" t="s">
        <v>426</v>
      </c>
      <c r="B462" s="2" t="s">
        <v>634</v>
      </c>
      <c r="C462" s="2" t="s">
        <v>634</v>
      </c>
      <c r="D462" s="2" t="s">
        <v>635</v>
      </c>
      <c r="E462" s="4">
        <v>71000</v>
      </c>
    </row>
    <row r="463" spans="1:5" ht="27.6">
      <c r="A463" s="2" t="s">
        <v>426</v>
      </c>
      <c r="B463" s="2" t="s">
        <v>636</v>
      </c>
      <c r="C463" s="2" t="s">
        <v>636</v>
      </c>
      <c r="D463" s="2" t="s">
        <v>637</v>
      </c>
      <c r="E463" s="4">
        <v>68000</v>
      </c>
    </row>
    <row r="464" spans="1:5" ht="27.6">
      <c r="A464" s="2" t="s">
        <v>426</v>
      </c>
      <c r="B464" s="2" t="str">
        <f>"0014980"</f>
        <v>0014980</v>
      </c>
      <c r="C464" s="2" t="str">
        <f>"0014980"</f>
        <v>0014980</v>
      </c>
      <c r="D464" s="2" t="s">
        <v>638</v>
      </c>
      <c r="E464" s="4">
        <v>35900</v>
      </c>
    </row>
    <row r="465" spans="1:5" ht="27.6">
      <c r="A465" s="2" t="s">
        <v>426</v>
      </c>
      <c r="B465" s="2" t="s">
        <v>639</v>
      </c>
      <c r="C465" s="2" t="s">
        <v>639</v>
      </c>
      <c r="D465" s="2" t="s">
        <v>640</v>
      </c>
      <c r="E465" s="4">
        <v>16000</v>
      </c>
    </row>
    <row r="466" spans="1:5" ht="27.6">
      <c r="A466" s="2" t="s">
        <v>426</v>
      </c>
      <c r="B466" s="2" t="s">
        <v>641</v>
      </c>
      <c r="C466" s="2" t="s">
        <v>641</v>
      </c>
      <c r="D466" s="2" t="s">
        <v>642</v>
      </c>
      <c r="E466" s="4">
        <v>16000</v>
      </c>
    </row>
    <row r="467" spans="1:5" ht="27.6">
      <c r="A467" s="2" t="s">
        <v>426</v>
      </c>
      <c r="B467" s="2" t="str">
        <f>"0014508"</f>
        <v>0014508</v>
      </c>
      <c r="C467" s="2" t="str">
        <f>"0014508"</f>
        <v>0014508</v>
      </c>
      <c r="D467" s="2" t="s">
        <v>643</v>
      </c>
      <c r="E467" s="4">
        <v>21400</v>
      </c>
    </row>
    <row r="468" spans="1:5" ht="27.6">
      <c r="A468" s="2" t="s">
        <v>426</v>
      </c>
      <c r="B468" s="2" t="s">
        <v>644</v>
      </c>
      <c r="C468" s="2" t="s">
        <v>644</v>
      </c>
      <c r="D468" s="2" t="s">
        <v>645</v>
      </c>
      <c r="E468" s="4">
        <v>22300</v>
      </c>
    </row>
    <row r="469" spans="1:5" ht="27.6">
      <c r="A469" s="2" t="s">
        <v>426</v>
      </c>
      <c r="B469" s="2" t="s">
        <v>646</v>
      </c>
      <c r="C469" s="2" t="s">
        <v>646</v>
      </c>
      <c r="D469" s="2" t="s">
        <v>647</v>
      </c>
      <c r="E469" s="4">
        <v>23000</v>
      </c>
    </row>
    <row r="470" spans="1:5" ht="27.6">
      <c r="A470" s="2" t="s">
        <v>426</v>
      </c>
      <c r="B470" s="2" t="s">
        <v>648</v>
      </c>
      <c r="C470" s="2" t="s">
        <v>648</v>
      </c>
      <c r="D470" s="2" t="s">
        <v>649</v>
      </c>
      <c r="E470" s="4">
        <v>15200</v>
      </c>
    </row>
    <row r="471" spans="1:5" ht="27.6">
      <c r="A471" s="2" t="s">
        <v>426</v>
      </c>
      <c r="B471" s="2" t="s">
        <v>650</v>
      </c>
      <c r="C471" s="2" t="s">
        <v>650</v>
      </c>
      <c r="D471" s="2" t="s">
        <v>651</v>
      </c>
      <c r="E471" s="4">
        <v>19600</v>
      </c>
    </row>
    <row r="472" spans="1:5" ht="27.6">
      <c r="A472" s="2" t="s">
        <v>426</v>
      </c>
      <c r="B472" s="2" t="s">
        <v>652</v>
      </c>
      <c r="C472" s="2" t="s">
        <v>652</v>
      </c>
      <c r="D472" s="2" t="s">
        <v>653</v>
      </c>
      <c r="E472" s="4">
        <v>17500</v>
      </c>
    </row>
    <row r="473" spans="1:5" ht="27.6">
      <c r="A473" s="2" t="s">
        <v>426</v>
      </c>
      <c r="B473" s="2" t="s">
        <v>654</v>
      </c>
      <c r="C473" s="2" t="s">
        <v>654</v>
      </c>
      <c r="D473" s="2" t="s">
        <v>655</v>
      </c>
      <c r="E473" s="4">
        <v>18700</v>
      </c>
    </row>
    <row r="474" spans="1:5" ht="27.6">
      <c r="A474" s="2" t="s">
        <v>426</v>
      </c>
      <c r="B474" s="2" t="s">
        <v>656</v>
      </c>
      <c r="C474" s="2" t="s">
        <v>656</v>
      </c>
      <c r="D474" s="2" t="s">
        <v>657</v>
      </c>
      <c r="E474" s="4">
        <v>20500</v>
      </c>
    </row>
    <row r="475" spans="1:5" ht="27.6">
      <c r="A475" s="2" t="s">
        <v>426</v>
      </c>
      <c r="B475" s="2" t="s">
        <v>658</v>
      </c>
      <c r="C475" s="2" t="s">
        <v>658</v>
      </c>
      <c r="D475" s="2" t="s">
        <v>659</v>
      </c>
      <c r="E475" s="4">
        <v>43000</v>
      </c>
    </row>
    <row r="476" spans="1:5" ht="27.6">
      <c r="A476" s="2" t="s">
        <v>426</v>
      </c>
      <c r="B476" s="2" t="str">
        <f>"013782"</f>
        <v>013782</v>
      </c>
      <c r="C476" s="2" t="str">
        <f>"013782"</f>
        <v>013782</v>
      </c>
      <c r="D476" s="2" t="s">
        <v>660</v>
      </c>
      <c r="E476" s="4">
        <v>65300</v>
      </c>
    </row>
    <row r="477" spans="1:5" ht="27.6">
      <c r="A477" s="2" t="s">
        <v>426</v>
      </c>
      <c r="B477" s="2" t="s">
        <v>661</v>
      </c>
      <c r="C477" s="2" t="s">
        <v>661</v>
      </c>
      <c r="D477" s="2" t="s">
        <v>662</v>
      </c>
      <c r="E477" s="4">
        <v>12800</v>
      </c>
    </row>
    <row r="478" spans="1:5" ht="27.6">
      <c r="A478" s="2" t="s">
        <v>426</v>
      </c>
      <c r="B478" s="2" t="s">
        <v>663</v>
      </c>
      <c r="C478" s="2" t="s">
        <v>663</v>
      </c>
      <c r="D478" s="2" t="s">
        <v>664</v>
      </c>
      <c r="E478" s="4">
        <v>12800</v>
      </c>
    </row>
    <row r="479" spans="1:5" ht="27.6">
      <c r="A479" s="2" t="s">
        <v>426</v>
      </c>
      <c r="B479" s="2" t="str">
        <f>"002470194-8"</f>
        <v>002470194-8</v>
      </c>
      <c r="C479" s="2" t="str">
        <f>"002470194-8"</f>
        <v>002470194-8</v>
      </c>
      <c r="D479" s="2" t="s">
        <v>665</v>
      </c>
      <c r="E479" s="4">
        <v>60000</v>
      </c>
    </row>
    <row r="480" spans="1:5" ht="27.6">
      <c r="A480" s="2" t="s">
        <v>426</v>
      </c>
      <c r="B480" s="2" t="str">
        <f>"002470198-0"</f>
        <v>002470198-0</v>
      </c>
      <c r="C480" s="2" t="str">
        <f>"002470198-0"</f>
        <v>002470198-0</v>
      </c>
      <c r="D480" s="2" t="s">
        <v>666</v>
      </c>
      <c r="E480" s="4">
        <v>54000</v>
      </c>
    </row>
    <row r="481" spans="1:5" ht="27.6">
      <c r="A481" s="2" t="s">
        <v>426</v>
      </c>
      <c r="B481" s="2" t="s">
        <v>667</v>
      </c>
      <c r="C481" s="2" t="s">
        <v>667</v>
      </c>
      <c r="D481" s="2" t="s">
        <v>668</v>
      </c>
      <c r="E481" s="4">
        <v>22900</v>
      </c>
    </row>
    <row r="482" spans="1:5" ht="27.6">
      <c r="A482" s="2" t="s">
        <v>426</v>
      </c>
      <c r="B482" s="2" t="str">
        <f>"9955248"</f>
        <v>9955248</v>
      </c>
      <c r="C482" s="2" t="str">
        <f>"9955248"</f>
        <v>9955248</v>
      </c>
      <c r="D482" s="2" t="s">
        <v>669</v>
      </c>
      <c r="E482" s="4">
        <v>38500</v>
      </c>
    </row>
    <row r="483" spans="1:5" ht="27.6">
      <c r="A483" s="2" t="s">
        <v>426</v>
      </c>
      <c r="B483" s="2" t="str">
        <f>"9955250"</f>
        <v>9955250</v>
      </c>
      <c r="C483" s="2" t="str">
        <f>"9955250"</f>
        <v>9955250</v>
      </c>
      <c r="D483" s="2" t="s">
        <v>670</v>
      </c>
      <c r="E483" s="4">
        <v>25000</v>
      </c>
    </row>
    <row r="484" spans="1:5" ht="27.6">
      <c r="A484" s="2" t="s">
        <v>426</v>
      </c>
      <c r="B484" s="2" t="str">
        <f>"0013584"</f>
        <v>0013584</v>
      </c>
      <c r="C484" s="2" t="str">
        <f>"0013584"</f>
        <v>0013584</v>
      </c>
      <c r="D484" s="2" t="s">
        <v>671</v>
      </c>
      <c r="E484" s="4">
        <v>34000</v>
      </c>
    </row>
    <row r="485" spans="1:5" ht="27.6">
      <c r="A485" s="2" t="s">
        <v>426</v>
      </c>
      <c r="B485" s="2" t="str">
        <f>"0000365"</f>
        <v>0000365</v>
      </c>
      <c r="C485" s="2" t="str">
        <f>"0000365"</f>
        <v>0000365</v>
      </c>
      <c r="D485" s="2" t="s">
        <v>672</v>
      </c>
      <c r="E485" s="4">
        <v>29500</v>
      </c>
    </row>
    <row r="486" spans="1:5" ht="27.6">
      <c r="A486" s="2" t="s">
        <v>426</v>
      </c>
      <c r="B486" s="2" t="s">
        <v>673</v>
      </c>
      <c r="C486" s="2" t="s">
        <v>673</v>
      </c>
      <c r="D486" s="2" t="s">
        <v>674</v>
      </c>
      <c r="E486" s="4">
        <v>18900</v>
      </c>
    </row>
    <row r="487" spans="1:5" ht="27.6">
      <c r="A487" s="2" t="s">
        <v>426</v>
      </c>
      <c r="B487" s="2" t="str">
        <f>"0013595"</f>
        <v>0013595</v>
      </c>
      <c r="C487" s="2" t="str">
        <f>"0013595"</f>
        <v>0013595</v>
      </c>
      <c r="D487" s="2" t="s">
        <v>675</v>
      </c>
      <c r="E487" s="4">
        <v>52000</v>
      </c>
    </row>
    <row r="488" spans="1:5" ht="27.6">
      <c r="A488" s="2" t="s">
        <v>426</v>
      </c>
      <c r="B488" s="2" t="str">
        <f>"0003281"</f>
        <v>0003281</v>
      </c>
      <c r="C488" s="2" t="str">
        <f>"0003281"</f>
        <v>0003281</v>
      </c>
      <c r="D488" s="2" t="s">
        <v>676</v>
      </c>
      <c r="E488" s="4">
        <v>28500</v>
      </c>
    </row>
    <row r="489" spans="1:5" ht="27.6">
      <c r="A489" s="2" t="s">
        <v>426</v>
      </c>
      <c r="B489" s="2" t="str">
        <f>"0003280"</f>
        <v>0003280</v>
      </c>
      <c r="C489" s="2" t="str">
        <f>"0003280"</f>
        <v>0003280</v>
      </c>
      <c r="D489" s="2" t="s">
        <v>677</v>
      </c>
      <c r="E489" s="4">
        <v>28500</v>
      </c>
    </row>
    <row r="490" spans="1:5" ht="27.6">
      <c r="A490" s="2" t="s">
        <v>426</v>
      </c>
      <c r="B490" s="2" t="str">
        <f>"0003273"</f>
        <v>0003273</v>
      </c>
      <c r="C490" s="2" t="str">
        <f>"0003273"</f>
        <v>0003273</v>
      </c>
      <c r="D490" s="2" t="s">
        <v>678</v>
      </c>
      <c r="E490" s="4">
        <v>13300</v>
      </c>
    </row>
    <row r="491" spans="1:5" ht="27.6">
      <c r="A491" s="2" t="s">
        <v>426</v>
      </c>
      <c r="B491" s="2" t="s">
        <v>679</v>
      </c>
      <c r="C491" s="2" t="s">
        <v>679</v>
      </c>
      <c r="D491" s="2" t="s">
        <v>680</v>
      </c>
      <c r="E491" s="4">
        <v>32500</v>
      </c>
    </row>
    <row r="492" spans="1:5" ht="27.6">
      <c r="A492" s="2" t="s">
        <v>426</v>
      </c>
      <c r="B492" s="2" t="s">
        <v>681</v>
      </c>
      <c r="C492" s="2" t="s">
        <v>681</v>
      </c>
      <c r="D492" s="2" t="s">
        <v>682</v>
      </c>
      <c r="E492" s="4">
        <v>24500</v>
      </c>
    </row>
    <row r="493" spans="1:5" ht="27.6">
      <c r="A493" s="2" t="s">
        <v>426</v>
      </c>
      <c r="B493" s="2" t="str">
        <f>"0017928"</f>
        <v>0017928</v>
      </c>
      <c r="C493" s="2" t="str">
        <f>"0017928"</f>
        <v>0017928</v>
      </c>
      <c r="D493" s="2" t="s">
        <v>683</v>
      </c>
      <c r="E493" s="4">
        <v>28600</v>
      </c>
    </row>
    <row r="494" spans="1:5" ht="27.6">
      <c r="A494" s="2" t="s">
        <v>426</v>
      </c>
      <c r="B494" s="2" t="str">
        <f>"0013596"</f>
        <v>0013596</v>
      </c>
      <c r="C494" s="2" t="str">
        <f>"0013596"</f>
        <v>0013596</v>
      </c>
      <c r="D494" s="2" t="s">
        <v>684</v>
      </c>
      <c r="E494" s="4">
        <v>52000</v>
      </c>
    </row>
    <row r="495" spans="1:5" ht="27.6">
      <c r="A495" s="2" t="s">
        <v>426</v>
      </c>
      <c r="B495" s="2" t="str">
        <f>"0006695"</f>
        <v>0006695</v>
      </c>
      <c r="C495" s="2" t="str">
        <f>"0006695"</f>
        <v>0006695</v>
      </c>
      <c r="D495" s="2" t="s">
        <v>685</v>
      </c>
      <c r="E495" s="4">
        <v>18700</v>
      </c>
    </row>
    <row r="496" spans="1:5" ht="27.6">
      <c r="A496" s="2" t="s">
        <v>426</v>
      </c>
      <c r="B496" s="2" t="s">
        <v>686</v>
      </c>
      <c r="C496" s="2" t="s">
        <v>686</v>
      </c>
      <c r="D496" s="2" t="s">
        <v>687</v>
      </c>
      <c r="E496" s="4">
        <v>22800</v>
      </c>
    </row>
    <row r="497" spans="1:5" ht="27.6">
      <c r="A497" s="2" t="s">
        <v>426</v>
      </c>
      <c r="B497" s="2" t="s">
        <v>688</v>
      </c>
      <c r="C497" s="2" t="s">
        <v>688</v>
      </c>
      <c r="D497" s="2" t="s">
        <v>689</v>
      </c>
      <c r="E497" s="4">
        <v>29500</v>
      </c>
    </row>
    <row r="498" spans="1:5" ht="27.6">
      <c r="A498" s="2" t="s">
        <v>426</v>
      </c>
      <c r="B498" s="2" t="s">
        <v>690</v>
      </c>
      <c r="C498" s="2" t="s">
        <v>690</v>
      </c>
      <c r="D498" s="2" t="s">
        <v>691</v>
      </c>
      <c r="E498" s="4">
        <v>24500</v>
      </c>
    </row>
    <row r="499" spans="1:5" ht="27.6">
      <c r="A499" s="2" t="s">
        <v>426</v>
      </c>
      <c r="B499" s="2" t="s">
        <v>692</v>
      </c>
      <c r="C499" s="2" t="s">
        <v>692</v>
      </c>
      <c r="D499" s="2" t="s">
        <v>693</v>
      </c>
      <c r="E499" s="4">
        <v>29500</v>
      </c>
    </row>
    <row r="500" spans="1:5" ht="27.6">
      <c r="A500" s="2" t="s">
        <v>426</v>
      </c>
      <c r="B500" s="2" t="s">
        <v>694</v>
      </c>
      <c r="C500" s="2" t="s">
        <v>694</v>
      </c>
      <c r="D500" s="2" t="s">
        <v>695</v>
      </c>
      <c r="E500" s="4">
        <v>24100</v>
      </c>
    </row>
    <row r="501" spans="1:5" ht="27.6">
      <c r="A501" s="2" t="s">
        <v>426</v>
      </c>
      <c r="B501" s="2" t="s">
        <v>696</v>
      </c>
      <c r="C501" s="2" t="s">
        <v>696</v>
      </c>
      <c r="D501" s="2" t="s">
        <v>697</v>
      </c>
      <c r="E501" s="4">
        <v>12948</v>
      </c>
    </row>
    <row r="502" spans="1:5" ht="27.6">
      <c r="A502" s="2" t="s">
        <v>426</v>
      </c>
      <c r="B502" s="2" t="s">
        <v>698</v>
      </c>
      <c r="C502" s="2" t="s">
        <v>698</v>
      </c>
      <c r="D502" s="2" t="s">
        <v>699</v>
      </c>
      <c r="E502" s="4">
        <v>21000</v>
      </c>
    </row>
    <row r="503" spans="1:5" ht="27.6">
      <c r="A503" s="2" t="s">
        <v>426</v>
      </c>
      <c r="B503" s="2" t="str">
        <f>"0019468"</f>
        <v>0019468</v>
      </c>
      <c r="C503" s="2" t="str">
        <f>"0019468"</f>
        <v>0019468</v>
      </c>
      <c r="D503" s="2" t="s">
        <v>700</v>
      </c>
      <c r="E503" s="4">
        <v>28000</v>
      </c>
    </row>
    <row r="504" spans="1:5" ht="27.6">
      <c r="A504" s="2" t="s">
        <v>426</v>
      </c>
      <c r="B504" s="2" t="s">
        <v>701</v>
      </c>
      <c r="C504" s="2" t="s">
        <v>701</v>
      </c>
      <c r="D504" s="2" t="s">
        <v>702</v>
      </c>
      <c r="E504" s="4">
        <v>25142</v>
      </c>
    </row>
    <row r="505" spans="1:5" ht="27.6">
      <c r="A505" s="2" t="s">
        <v>426</v>
      </c>
      <c r="B505" s="2" t="s">
        <v>703</v>
      </c>
      <c r="C505" s="2" t="s">
        <v>703</v>
      </c>
      <c r="D505" s="2" t="s">
        <v>704</v>
      </c>
      <c r="E505" s="4">
        <v>32500</v>
      </c>
    </row>
    <row r="506" spans="1:5" ht="27.6">
      <c r="A506" s="2" t="s">
        <v>426</v>
      </c>
      <c r="B506" s="2" t="str">
        <f>"0003880"</f>
        <v>0003880</v>
      </c>
      <c r="C506" s="2" t="str">
        <f>"0003880"</f>
        <v>0003880</v>
      </c>
      <c r="D506" s="2" t="s">
        <v>705</v>
      </c>
      <c r="E506" s="4">
        <v>24000</v>
      </c>
    </row>
    <row r="507" spans="1:5" ht="27.6">
      <c r="A507" s="2" t="s">
        <v>426</v>
      </c>
      <c r="B507" s="2" t="str">
        <f>"1270668-5"</f>
        <v>1270668-5</v>
      </c>
      <c r="C507" s="2" t="str">
        <f>"1270668-5"</f>
        <v>1270668-5</v>
      </c>
      <c r="D507" s="2" t="s">
        <v>706</v>
      </c>
      <c r="E507" s="4">
        <v>38500</v>
      </c>
    </row>
    <row r="508" spans="1:5" ht="27.6">
      <c r="A508" s="2" t="s">
        <v>426</v>
      </c>
      <c r="B508" s="2" t="str">
        <f>"1270562-K"</f>
        <v>1270562-K</v>
      </c>
      <c r="C508" s="2" t="str">
        <f>"1270562-K"</f>
        <v>1270562-K</v>
      </c>
      <c r="D508" s="2" t="s">
        <v>707</v>
      </c>
      <c r="E508" s="4">
        <v>38500</v>
      </c>
    </row>
    <row r="509" spans="1:5" ht="27.6">
      <c r="A509" s="2" t="s">
        <v>426</v>
      </c>
      <c r="B509" s="2" t="str">
        <f>"0001616"</f>
        <v>0001616</v>
      </c>
      <c r="C509" s="2" t="str">
        <f>"0001616"</f>
        <v>0001616</v>
      </c>
      <c r="D509" s="2" t="s">
        <v>708</v>
      </c>
      <c r="E509" s="4">
        <v>18700</v>
      </c>
    </row>
    <row r="510" spans="1:5" ht="27.6">
      <c r="A510" s="2" t="s">
        <v>426</v>
      </c>
      <c r="B510" s="2" t="str">
        <f>"0013587"</f>
        <v>0013587</v>
      </c>
      <c r="C510" s="2" t="str">
        <f>"0013587"</f>
        <v>0013587</v>
      </c>
      <c r="D510" s="2" t="s">
        <v>709</v>
      </c>
      <c r="E510" s="4">
        <v>25000</v>
      </c>
    </row>
    <row r="511" spans="1:5" ht="27.6">
      <c r="A511" s="2" t="s">
        <v>426</v>
      </c>
      <c r="B511" s="2" t="str">
        <f>"0013591"</f>
        <v>0013591</v>
      </c>
      <c r="C511" s="2" t="str">
        <f>"0013591"</f>
        <v>0013591</v>
      </c>
      <c r="D511" s="2" t="s">
        <v>710</v>
      </c>
      <c r="E511" s="4">
        <v>43000</v>
      </c>
    </row>
    <row r="512" spans="1:5" ht="27.6">
      <c r="A512" s="2" t="s">
        <v>426</v>
      </c>
      <c r="B512" s="2" t="str">
        <f>"001270729-3"</f>
        <v>001270729-3</v>
      </c>
      <c r="C512" s="2" t="str">
        <f>"001270729-0"</f>
        <v>001270729-0</v>
      </c>
      <c r="D512" s="2" t="s">
        <v>711</v>
      </c>
      <c r="E512" s="4">
        <v>43000</v>
      </c>
    </row>
    <row r="513" spans="1:5" ht="27.6">
      <c r="A513" s="2" t="s">
        <v>426</v>
      </c>
      <c r="B513" s="2" t="str">
        <f>"001270719-3"</f>
        <v>001270719-3</v>
      </c>
      <c r="C513" s="2" t="str">
        <f>"001270719-3"</f>
        <v>001270719-3</v>
      </c>
      <c r="D513" s="2" t="s">
        <v>712</v>
      </c>
      <c r="E513" s="4">
        <v>43000</v>
      </c>
    </row>
    <row r="514" spans="1:5" ht="27.6">
      <c r="A514" s="2" t="s">
        <v>426</v>
      </c>
      <c r="B514" s="2" t="str">
        <f>"0017930"</f>
        <v>0017930</v>
      </c>
      <c r="C514" s="2" t="str">
        <f>"0017930"</f>
        <v>0017930</v>
      </c>
      <c r="D514" s="2" t="s">
        <v>713</v>
      </c>
      <c r="E514" s="4">
        <v>48000</v>
      </c>
    </row>
    <row r="515" spans="1:5" ht="27.6">
      <c r="A515" s="2" t="s">
        <v>426</v>
      </c>
      <c r="B515" s="2" t="str">
        <f>"0017929"</f>
        <v>0017929</v>
      </c>
      <c r="C515" s="2" t="str">
        <f>"0017929"</f>
        <v>0017929</v>
      </c>
      <c r="D515" s="2" t="s">
        <v>714</v>
      </c>
      <c r="E515" s="4">
        <v>48000</v>
      </c>
    </row>
    <row r="516" spans="1:5" ht="27.6">
      <c r="A516" s="2" t="s">
        <v>426</v>
      </c>
      <c r="B516" s="2" t="str">
        <f>"0019527"</f>
        <v>0019527</v>
      </c>
      <c r="C516" s="2" t="str">
        <f>"0019527"</f>
        <v>0019527</v>
      </c>
      <c r="D516" s="2" t="s">
        <v>715</v>
      </c>
      <c r="E516" s="4">
        <v>36000</v>
      </c>
    </row>
    <row r="517" spans="1:5" ht="27.6">
      <c r="A517" s="2" t="s">
        <v>426</v>
      </c>
      <c r="B517" s="2" t="str">
        <f>"0019526"</f>
        <v>0019526</v>
      </c>
      <c r="C517" s="2" t="str">
        <f>"0019526"</f>
        <v>0019526</v>
      </c>
      <c r="D517" s="2" t="s">
        <v>716</v>
      </c>
      <c r="E517" s="4">
        <v>36000</v>
      </c>
    </row>
    <row r="518" spans="1:5" ht="27.6">
      <c r="A518" s="2" t="s">
        <v>426</v>
      </c>
      <c r="B518" s="2" t="s">
        <v>717</v>
      </c>
      <c r="C518" s="2" t="s">
        <v>717</v>
      </c>
      <c r="D518" s="2" t="s">
        <v>718</v>
      </c>
      <c r="E518" s="4">
        <v>18700</v>
      </c>
    </row>
    <row r="519" spans="1:5" ht="27.6">
      <c r="A519" s="2" t="s">
        <v>426</v>
      </c>
      <c r="B519" s="2" t="str">
        <f>"0020217"</f>
        <v>0020217</v>
      </c>
      <c r="C519" s="2" t="str">
        <f>"0020217"</f>
        <v>0020217</v>
      </c>
      <c r="D519" s="2" t="s">
        <v>719</v>
      </c>
      <c r="E519" s="4">
        <v>34000</v>
      </c>
    </row>
    <row r="520" spans="1:5" ht="27.6">
      <c r="A520" s="2" t="s">
        <v>426</v>
      </c>
      <c r="B520" s="2" t="str">
        <f>"0020216"</f>
        <v>0020216</v>
      </c>
      <c r="C520" s="2" t="str">
        <f>"0020216"</f>
        <v>0020216</v>
      </c>
      <c r="D520" s="2" t="s">
        <v>720</v>
      </c>
      <c r="E520" s="4">
        <v>38000</v>
      </c>
    </row>
    <row r="521" spans="1:5" ht="27.6">
      <c r="A521" s="2" t="s">
        <v>426</v>
      </c>
      <c r="B521" s="2" t="str">
        <f>"090040165"</f>
        <v>090040165</v>
      </c>
      <c r="C521" s="2" t="str">
        <f>"090040165"</f>
        <v>090040165</v>
      </c>
      <c r="D521" s="2" t="s">
        <v>721</v>
      </c>
      <c r="E521" s="4">
        <v>34000</v>
      </c>
    </row>
    <row r="522" spans="1:5" ht="27.6">
      <c r="A522" s="2" t="s">
        <v>426</v>
      </c>
      <c r="B522" s="2" t="str">
        <f>"001270544-1"</f>
        <v>001270544-1</v>
      </c>
      <c r="C522" s="2" t="str">
        <f>"001270544-1"</f>
        <v>001270544-1</v>
      </c>
      <c r="D522" s="2" t="s">
        <v>722</v>
      </c>
      <c r="E522" s="4">
        <v>59000</v>
      </c>
    </row>
    <row r="523" spans="1:5" ht="27.6">
      <c r="A523" s="2" t="s">
        <v>426</v>
      </c>
      <c r="B523" s="2" t="s">
        <v>723</v>
      </c>
      <c r="C523" s="2" t="s">
        <v>724</v>
      </c>
      <c r="D523" s="2" t="s">
        <v>725</v>
      </c>
      <c r="E523" s="4">
        <v>28500</v>
      </c>
    </row>
    <row r="524" spans="1:5" ht="27.6">
      <c r="A524" s="2" t="s">
        <v>426</v>
      </c>
      <c r="B524" s="2" t="str">
        <f>"2D100"</f>
        <v>2D100</v>
      </c>
      <c r="C524" s="2" t="str">
        <f>"2D100"</f>
        <v>2D100</v>
      </c>
      <c r="D524" s="2" t="s">
        <v>726</v>
      </c>
      <c r="E524" s="2">
        <v>0</v>
      </c>
    </row>
    <row r="525" spans="1:5" ht="27.6">
      <c r="A525" s="2" t="s">
        <v>426</v>
      </c>
      <c r="B525" s="2" t="s">
        <v>727</v>
      </c>
      <c r="C525" s="2" t="s">
        <v>727</v>
      </c>
      <c r="D525" s="2" t="s">
        <v>728</v>
      </c>
      <c r="E525" s="4">
        <v>38500</v>
      </c>
    </row>
    <row r="526" spans="1:5" ht="27.6">
      <c r="A526" s="2" t="s">
        <v>426</v>
      </c>
      <c r="B526" s="2" t="str">
        <f>"9955249"</f>
        <v>9955249</v>
      </c>
      <c r="C526" s="2" t="str">
        <f>"9955249"</f>
        <v>9955249</v>
      </c>
      <c r="D526" s="2" t="s">
        <v>729</v>
      </c>
      <c r="E526" s="4">
        <v>38500</v>
      </c>
    </row>
    <row r="527" spans="1:5" ht="27.6">
      <c r="A527" s="2" t="s">
        <v>426</v>
      </c>
      <c r="B527" s="2" t="str">
        <f>"0018196"</f>
        <v>0018196</v>
      </c>
      <c r="C527" s="2" t="str">
        <f>"0018196"</f>
        <v>0018196</v>
      </c>
      <c r="D527" s="2" t="s">
        <v>730</v>
      </c>
      <c r="E527" s="4">
        <v>14000</v>
      </c>
    </row>
    <row r="528" spans="1:5" ht="27.6">
      <c r="A528" s="2" t="s">
        <v>426</v>
      </c>
      <c r="B528" s="2" t="s">
        <v>731</v>
      </c>
      <c r="C528" s="2" t="s">
        <v>731</v>
      </c>
      <c r="D528" s="2" t="s">
        <v>732</v>
      </c>
      <c r="E528" s="4">
        <v>15100</v>
      </c>
    </row>
    <row r="529" spans="1:5" ht="27.6">
      <c r="A529" s="2" t="s">
        <v>426</v>
      </c>
      <c r="B529" s="2" t="s">
        <v>733</v>
      </c>
      <c r="C529" s="2" t="s">
        <v>733</v>
      </c>
      <c r="D529" s="2" t="s">
        <v>734</v>
      </c>
      <c r="E529" s="4">
        <v>29500</v>
      </c>
    </row>
    <row r="530" spans="1:5" ht="27.6">
      <c r="A530" s="2" t="s">
        <v>426</v>
      </c>
      <c r="B530" s="2" t="s">
        <v>735</v>
      </c>
      <c r="C530" s="2" t="s">
        <v>735</v>
      </c>
      <c r="D530" s="2" t="s">
        <v>736</v>
      </c>
      <c r="E530" s="4">
        <v>29500</v>
      </c>
    </row>
    <row r="531" spans="1:5" ht="27.6">
      <c r="A531" s="2" t="s">
        <v>426</v>
      </c>
      <c r="B531" s="2" t="str">
        <f>"0016511"</f>
        <v>0016511</v>
      </c>
      <c r="C531" s="2" t="str">
        <f>"0016511"</f>
        <v>0016511</v>
      </c>
      <c r="D531" s="2" t="s">
        <v>737</v>
      </c>
      <c r="E531" s="4">
        <v>52000</v>
      </c>
    </row>
    <row r="532" spans="1:5" ht="27.6">
      <c r="A532" s="2" t="s">
        <v>426</v>
      </c>
      <c r="B532" s="2" t="str">
        <f>"0016512"</f>
        <v>0016512</v>
      </c>
      <c r="C532" s="2" t="str">
        <f>"0016512"</f>
        <v>0016512</v>
      </c>
      <c r="D532" s="2" t="s">
        <v>738</v>
      </c>
      <c r="E532" s="4">
        <v>52000</v>
      </c>
    </row>
    <row r="533" spans="1:5" ht="27.6">
      <c r="A533" s="2" t="s">
        <v>426</v>
      </c>
      <c r="B533" s="2" t="str">
        <f>"0019473"</f>
        <v>0019473</v>
      </c>
      <c r="C533" s="2" t="str">
        <f>"0019473"</f>
        <v>0019473</v>
      </c>
      <c r="D533" s="2" t="s">
        <v>739</v>
      </c>
      <c r="E533" s="4">
        <v>24100</v>
      </c>
    </row>
    <row r="534" spans="1:5" ht="27.6">
      <c r="A534" s="2" t="s">
        <v>426</v>
      </c>
      <c r="B534" s="2" t="str">
        <f>"35249g"</f>
        <v>35249g</v>
      </c>
      <c r="C534" s="2" t="str">
        <f>"35249G"</f>
        <v>35249G</v>
      </c>
      <c r="D534" s="2" t="s">
        <v>740</v>
      </c>
      <c r="E534" s="4">
        <v>43900</v>
      </c>
    </row>
    <row r="535" spans="1:5" ht="27.6">
      <c r="A535" s="2" t="s">
        <v>426</v>
      </c>
      <c r="B535" s="2" t="s">
        <v>741</v>
      </c>
      <c r="C535" s="2" t="s">
        <v>741</v>
      </c>
      <c r="D535" s="2" t="s">
        <v>742</v>
      </c>
      <c r="E535" s="4">
        <v>18000</v>
      </c>
    </row>
    <row r="536" spans="1:5" ht="27.6">
      <c r="A536" s="2" t="s">
        <v>426</v>
      </c>
      <c r="B536" s="2" t="s">
        <v>743</v>
      </c>
      <c r="C536" s="2" t="s">
        <v>743</v>
      </c>
      <c r="D536" s="2" t="s">
        <v>744</v>
      </c>
      <c r="E536" s="4">
        <v>16000</v>
      </c>
    </row>
    <row r="537" spans="1:5" ht="27.6">
      <c r="A537" s="2" t="s">
        <v>426</v>
      </c>
      <c r="B537" s="2" t="s">
        <v>745</v>
      </c>
      <c r="C537" s="2" t="s">
        <v>745</v>
      </c>
      <c r="D537" s="2" t="s">
        <v>746</v>
      </c>
      <c r="E537" s="4">
        <v>24100</v>
      </c>
    </row>
    <row r="538" spans="1:5" ht="27.6">
      <c r="A538" s="2" t="s">
        <v>426</v>
      </c>
      <c r="B538" s="2" t="s">
        <v>747</v>
      </c>
      <c r="C538" s="2" t="s">
        <v>747</v>
      </c>
      <c r="D538" s="2" t="s">
        <v>748</v>
      </c>
      <c r="E538" s="4">
        <v>16500</v>
      </c>
    </row>
    <row r="539" spans="1:5" ht="27.6">
      <c r="A539" s="2" t="s">
        <v>426</v>
      </c>
      <c r="B539" s="2" t="s">
        <v>749</v>
      </c>
      <c r="C539" s="2" t="s">
        <v>749</v>
      </c>
      <c r="D539" s="2" t="s">
        <v>750</v>
      </c>
      <c r="E539" s="4">
        <v>184450</v>
      </c>
    </row>
    <row r="540" spans="1:5" ht="27.6">
      <c r="A540" s="2" t="s">
        <v>426</v>
      </c>
      <c r="B540" s="2" t="s">
        <v>751</v>
      </c>
      <c r="C540" s="2" t="s">
        <v>751</v>
      </c>
      <c r="D540" s="2" t="s">
        <v>752</v>
      </c>
      <c r="E540" s="4">
        <v>18700</v>
      </c>
    </row>
    <row r="541" spans="1:5" ht="27.6">
      <c r="A541" s="2" t="s">
        <v>426</v>
      </c>
      <c r="B541" s="2" t="s">
        <v>753</v>
      </c>
      <c r="C541" s="2" t="s">
        <v>754</v>
      </c>
      <c r="D541" s="2" t="s">
        <v>755</v>
      </c>
      <c r="E541" s="4">
        <v>48500</v>
      </c>
    </row>
    <row r="542" spans="1:5" ht="27.6">
      <c r="A542" s="2" t="s">
        <v>426</v>
      </c>
      <c r="B542" s="2" t="s">
        <v>756</v>
      </c>
      <c r="C542" s="2" t="s">
        <v>756</v>
      </c>
      <c r="D542" s="2" t="s">
        <v>757</v>
      </c>
      <c r="E542" s="4">
        <v>16000</v>
      </c>
    </row>
    <row r="543" spans="1:5" ht="27.6">
      <c r="A543" s="2" t="s">
        <v>426</v>
      </c>
      <c r="B543" s="2" t="s">
        <v>758</v>
      </c>
      <c r="C543" s="2" t="s">
        <v>758</v>
      </c>
      <c r="D543" s="2" t="s">
        <v>759</v>
      </c>
      <c r="E543" s="4">
        <v>23400</v>
      </c>
    </row>
    <row r="544" spans="1:5" ht="27.6">
      <c r="A544" s="2" t="s">
        <v>426</v>
      </c>
      <c r="B544" s="2" t="str">
        <f>"0014764"</f>
        <v>0014764</v>
      </c>
      <c r="C544" s="2" t="str">
        <f>"0014764"</f>
        <v>0014764</v>
      </c>
      <c r="D544" s="2" t="s">
        <v>760</v>
      </c>
      <c r="E544" s="4">
        <v>38500</v>
      </c>
    </row>
    <row r="545" spans="1:5" ht="27.6">
      <c r="A545" s="2" t="s">
        <v>426</v>
      </c>
      <c r="B545" s="2" t="str">
        <f>"0014763"</f>
        <v>0014763</v>
      </c>
      <c r="C545" s="2" t="str">
        <f>"0014763"</f>
        <v>0014763</v>
      </c>
      <c r="D545" s="2" t="s">
        <v>761</v>
      </c>
      <c r="E545" s="4">
        <v>38500</v>
      </c>
    </row>
    <row r="546" spans="1:5" ht="27.6">
      <c r="A546" s="2" t="s">
        <v>426</v>
      </c>
      <c r="B546" s="2" t="s">
        <v>762</v>
      </c>
      <c r="C546" s="2" t="s">
        <v>762</v>
      </c>
      <c r="D546" s="2" t="s">
        <v>763</v>
      </c>
      <c r="E546" s="4">
        <v>57477</v>
      </c>
    </row>
    <row r="547" spans="1:5" ht="27.6">
      <c r="A547" s="2" t="s">
        <v>426</v>
      </c>
      <c r="B547" s="2" t="s">
        <v>764</v>
      </c>
      <c r="C547" s="2" t="s">
        <v>764</v>
      </c>
      <c r="D547" s="2" t="s">
        <v>765</v>
      </c>
      <c r="E547" s="4">
        <v>57477</v>
      </c>
    </row>
    <row r="548" spans="1:5" ht="27.6">
      <c r="A548" s="2" t="s">
        <v>426</v>
      </c>
      <c r="B548" s="2" t="str">
        <f>"0013585"</f>
        <v>0013585</v>
      </c>
      <c r="C548" s="2" t="str">
        <f>"0013585"</f>
        <v>0013585</v>
      </c>
      <c r="D548" s="2" t="s">
        <v>766</v>
      </c>
      <c r="E548" s="4">
        <v>34000</v>
      </c>
    </row>
    <row r="549" spans="1:5" ht="27.6">
      <c r="A549" s="2" t="s">
        <v>426</v>
      </c>
      <c r="B549" s="2" t="s">
        <v>767</v>
      </c>
      <c r="C549" s="2" t="s">
        <v>767</v>
      </c>
      <c r="D549" s="2" t="s">
        <v>768</v>
      </c>
      <c r="E549" s="4">
        <v>32000</v>
      </c>
    </row>
    <row r="550" spans="1:5" ht="27.6">
      <c r="A550" s="2" t="s">
        <v>426</v>
      </c>
      <c r="B550" s="2" t="str">
        <f>"0000366"</f>
        <v>0000366</v>
      </c>
      <c r="C550" s="2" t="str">
        <f>"0000366"</f>
        <v>0000366</v>
      </c>
      <c r="D550" s="2" t="s">
        <v>769</v>
      </c>
      <c r="E550" s="4">
        <v>29500</v>
      </c>
    </row>
    <row r="551" spans="1:5" ht="27.6">
      <c r="A551" s="2" t="s">
        <v>426</v>
      </c>
      <c r="B551" s="2" t="s">
        <v>770</v>
      </c>
      <c r="C551" s="2" t="s">
        <v>770</v>
      </c>
      <c r="D551" s="2" t="s">
        <v>771</v>
      </c>
      <c r="E551" s="4">
        <v>18000</v>
      </c>
    </row>
    <row r="552" spans="1:5" ht="27.6">
      <c r="A552" s="2" t="s">
        <v>426</v>
      </c>
      <c r="B552" s="2" t="str">
        <f>"0004489"</f>
        <v>0004489</v>
      </c>
      <c r="C552" s="2" t="str">
        <f>"0004489"</f>
        <v>0004489</v>
      </c>
      <c r="D552" s="2" t="s">
        <v>772</v>
      </c>
      <c r="E552" s="4">
        <v>29500</v>
      </c>
    </row>
    <row r="553" spans="1:5" ht="27.6">
      <c r="A553" s="2" t="s">
        <v>426</v>
      </c>
      <c r="B553" s="2" t="str">
        <f>"0004488"</f>
        <v>0004488</v>
      </c>
      <c r="C553" s="2" t="str">
        <f>"0004488"</f>
        <v>0004488</v>
      </c>
      <c r="D553" s="2" t="s">
        <v>773</v>
      </c>
      <c r="E553" s="4">
        <v>36000</v>
      </c>
    </row>
    <row r="554" spans="1:5" ht="27.6">
      <c r="A554" s="2" t="s">
        <v>426</v>
      </c>
      <c r="B554" s="2" t="s">
        <v>774</v>
      </c>
      <c r="C554" s="2" t="s">
        <v>774</v>
      </c>
      <c r="D554" s="2" t="s">
        <v>775</v>
      </c>
      <c r="E554" s="4">
        <v>27500</v>
      </c>
    </row>
    <row r="555" spans="1:5" ht="27.6">
      <c r="A555" s="2" t="s">
        <v>426</v>
      </c>
      <c r="B555" s="2" t="s">
        <v>776</v>
      </c>
      <c r="C555" s="2" t="s">
        <v>776</v>
      </c>
      <c r="D555" s="2" t="s">
        <v>777</v>
      </c>
      <c r="E555" s="4">
        <v>27500</v>
      </c>
    </row>
    <row r="556" spans="1:5" ht="27.6">
      <c r="A556" s="2" t="s">
        <v>426</v>
      </c>
      <c r="B556" s="2" t="str">
        <f>"0019537"</f>
        <v>0019537</v>
      </c>
      <c r="C556" s="2" t="str">
        <f>"0019537"</f>
        <v>0019537</v>
      </c>
      <c r="D556" s="2" t="s">
        <v>778</v>
      </c>
      <c r="E556" s="4">
        <v>29500</v>
      </c>
    </row>
    <row r="557" spans="1:5" ht="27.6">
      <c r="A557" s="2" t="s">
        <v>426</v>
      </c>
      <c r="B557" s="2" t="s">
        <v>779</v>
      </c>
      <c r="C557" s="2" t="s">
        <v>779</v>
      </c>
      <c r="D557" s="2" t="s">
        <v>780</v>
      </c>
      <c r="E557" s="4">
        <v>27500</v>
      </c>
    </row>
    <row r="558" spans="1:5" ht="27.6">
      <c r="A558" s="2" t="s">
        <v>426</v>
      </c>
      <c r="B558" s="2" t="s">
        <v>781</v>
      </c>
      <c r="C558" s="2" t="s">
        <v>781</v>
      </c>
      <c r="D558" s="2" t="s">
        <v>782</v>
      </c>
      <c r="E558" s="4">
        <v>24100</v>
      </c>
    </row>
    <row r="559" spans="1:5" ht="27.6">
      <c r="A559" s="2" t="s">
        <v>426</v>
      </c>
      <c r="B559" s="2" t="s">
        <v>783</v>
      </c>
      <c r="C559" s="2" t="s">
        <v>783</v>
      </c>
      <c r="D559" s="2" t="s">
        <v>784</v>
      </c>
      <c r="E559" s="4">
        <v>11250</v>
      </c>
    </row>
    <row r="560" spans="1:5" ht="27.6">
      <c r="A560" s="2" t="s">
        <v>426</v>
      </c>
      <c r="B560" s="2" t="str">
        <f>"9952081"</f>
        <v>9952081</v>
      </c>
      <c r="C560" s="2" t="str">
        <f>"9952081"</f>
        <v>9952081</v>
      </c>
      <c r="D560" s="2" t="s">
        <v>785</v>
      </c>
      <c r="E560" s="4">
        <v>38500</v>
      </c>
    </row>
    <row r="561" spans="1:5" ht="27.6">
      <c r="A561" s="2" t="s">
        <v>426</v>
      </c>
      <c r="B561" s="2" t="str">
        <f>"9952080"</f>
        <v>9952080</v>
      </c>
      <c r="C561" s="2" t="str">
        <f>"9952080"</f>
        <v>9952080</v>
      </c>
      <c r="D561" s="2" t="s">
        <v>786</v>
      </c>
      <c r="E561" s="4">
        <v>38500</v>
      </c>
    </row>
    <row r="562" spans="1:5" ht="27.6">
      <c r="A562" s="2" t="s">
        <v>426</v>
      </c>
      <c r="B562" s="2" t="str">
        <f>"0019542"</f>
        <v>0019542</v>
      </c>
      <c r="C562" s="2" t="str">
        <f>"0019542"</f>
        <v>0019542</v>
      </c>
      <c r="D562" s="2" t="s">
        <v>787</v>
      </c>
      <c r="E562" s="4">
        <v>35000</v>
      </c>
    </row>
    <row r="563" spans="1:5" ht="27.6">
      <c r="A563" s="2" t="s">
        <v>426</v>
      </c>
      <c r="B563" s="2" t="str">
        <f>"0019541"</f>
        <v>0019541</v>
      </c>
      <c r="C563" s="2" t="str">
        <f>"0019541"</f>
        <v>0019541</v>
      </c>
      <c r="D563" s="2" t="s">
        <v>788</v>
      </c>
      <c r="E563" s="4">
        <v>35000</v>
      </c>
    </row>
    <row r="564" spans="1:5" ht="27.6">
      <c r="A564" s="2" t="s">
        <v>426</v>
      </c>
      <c r="B564" s="2" t="s">
        <v>789</v>
      </c>
      <c r="C564" s="2" t="s">
        <v>789</v>
      </c>
      <c r="D564" s="2" t="s">
        <v>790</v>
      </c>
      <c r="E564" s="4">
        <v>21400</v>
      </c>
    </row>
    <row r="565" spans="1:5" ht="27.6">
      <c r="A565" s="2" t="s">
        <v>426</v>
      </c>
      <c r="B565" s="2" t="s">
        <v>791</v>
      </c>
      <c r="C565" s="2" t="s">
        <v>791</v>
      </c>
      <c r="D565" s="2" t="s">
        <v>792</v>
      </c>
      <c r="E565" s="4">
        <v>21400</v>
      </c>
    </row>
    <row r="566" spans="1:5" ht="27.6">
      <c r="A566" s="2" t="s">
        <v>426</v>
      </c>
      <c r="B566" s="2" t="s">
        <v>793</v>
      </c>
      <c r="C566" s="2" t="s">
        <v>793</v>
      </c>
      <c r="D566" s="2" t="s">
        <v>794</v>
      </c>
      <c r="E566" s="4">
        <v>16000</v>
      </c>
    </row>
    <row r="567" spans="1:5" ht="27.6">
      <c r="A567" s="2" t="s">
        <v>426</v>
      </c>
      <c r="B567" s="2" t="str">
        <f>"9957187"</f>
        <v>9957187</v>
      </c>
      <c r="C567" s="2" t="str">
        <f>"9957187"</f>
        <v>9957187</v>
      </c>
      <c r="D567" s="2" t="s">
        <v>795</v>
      </c>
      <c r="E567" s="4">
        <v>38500</v>
      </c>
    </row>
    <row r="568" spans="1:5" ht="27.6">
      <c r="A568" s="2" t="s">
        <v>426</v>
      </c>
      <c r="B568" s="2" t="str">
        <f>"9957188"</f>
        <v>9957188</v>
      </c>
      <c r="C568" s="2" t="str">
        <f>"9957188"</f>
        <v>9957188</v>
      </c>
      <c r="D568" s="2" t="s">
        <v>796</v>
      </c>
      <c r="E568" s="4">
        <v>38500</v>
      </c>
    </row>
    <row r="569" spans="1:5" ht="27.6">
      <c r="A569" s="2" t="s">
        <v>426</v>
      </c>
      <c r="B569" s="2" t="s">
        <v>797</v>
      </c>
      <c r="C569" s="2" t="s">
        <v>797</v>
      </c>
      <c r="D569" s="2" t="s">
        <v>798</v>
      </c>
      <c r="E569" s="4">
        <v>18700</v>
      </c>
    </row>
    <row r="570" spans="1:5" ht="27.6">
      <c r="A570" s="2" t="s">
        <v>426</v>
      </c>
      <c r="B570" s="2" t="s">
        <v>799</v>
      </c>
      <c r="C570" s="2" t="s">
        <v>799</v>
      </c>
      <c r="D570" s="2" t="s">
        <v>800</v>
      </c>
      <c r="E570" s="4">
        <v>18700</v>
      </c>
    </row>
    <row r="571" spans="1:5" ht="27.6">
      <c r="A571" s="2" t="s">
        <v>426</v>
      </c>
      <c r="B571" s="2" t="s">
        <v>801</v>
      </c>
      <c r="C571" s="2" t="s">
        <v>801</v>
      </c>
      <c r="D571" s="2" t="s">
        <v>802</v>
      </c>
      <c r="E571" s="4">
        <v>34000</v>
      </c>
    </row>
    <row r="572" spans="1:5" ht="27.6">
      <c r="A572" s="2" t="s">
        <v>426</v>
      </c>
      <c r="B572" s="2" t="s">
        <v>803</v>
      </c>
      <c r="C572" s="2" t="s">
        <v>803</v>
      </c>
      <c r="D572" s="2" t="s">
        <v>804</v>
      </c>
      <c r="E572" s="4">
        <v>62500</v>
      </c>
    </row>
    <row r="573" spans="1:5" ht="27.6">
      <c r="A573" s="2" t="s">
        <v>426</v>
      </c>
      <c r="B573" s="2" t="str">
        <f>"0013614"</f>
        <v>0013614</v>
      </c>
      <c r="C573" s="2" t="str">
        <f>"0013614"</f>
        <v>0013614</v>
      </c>
      <c r="D573" s="2" t="s">
        <v>805</v>
      </c>
      <c r="E573" s="4">
        <v>33000</v>
      </c>
    </row>
    <row r="574" spans="1:5" ht="27.6">
      <c r="A574" s="2" t="s">
        <v>426</v>
      </c>
      <c r="B574" s="2" t="str">
        <f>"0013615"</f>
        <v>0013615</v>
      </c>
      <c r="C574" s="2" t="str">
        <f>"0015615"</f>
        <v>0015615</v>
      </c>
      <c r="D574" s="2" t="s">
        <v>806</v>
      </c>
      <c r="E574" s="4">
        <v>65000</v>
      </c>
    </row>
    <row r="575" spans="1:5" ht="27.6">
      <c r="A575" s="2" t="s">
        <v>426</v>
      </c>
      <c r="B575" s="2" t="str">
        <f>"093040096"</f>
        <v>093040096</v>
      </c>
      <c r="C575" s="2" t="str">
        <f>"093040096"</f>
        <v>093040096</v>
      </c>
      <c r="D575" s="2" t="s">
        <v>807</v>
      </c>
      <c r="E575" s="4">
        <v>34000</v>
      </c>
    </row>
    <row r="576" spans="1:5" ht="27.6">
      <c r="A576" s="2" t="s">
        <v>426</v>
      </c>
      <c r="B576" s="2" t="str">
        <f>"36473g"</f>
        <v>36473g</v>
      </c>
      <c r="C576" s="2" t="str">
        <f>"3647G"</f>
        <v>3647G</v>
      </c>
      <c r="D576" s="2" t="s">
        <v>808</v>
      </c>
      <c r="E576" s="4">
        <v>79900</v>
      </c>
    </row>
    <row r="577" spans="1:5" ht="27.6">
      <c r="A577" s="2" t="s">
        <v>426</v>
      </c>
      <c r="B577" s="2" t="s">
        <v>809</v>
      </c>
      <c r="C577" s="2" t="s">
        <v>809</v>
      </c>
      <c r="D577" s="2" t="s">
        <v>810</v>
      </c>
      <c r="E577" s="4">
        <v>78100</v>
      </c>
    </row>
    <row r="578" spans="1:5" ht="27.6">
      <c r="A578" s="2" t="s">
        <v>426</v>
      </c>
      <c r="B578" s="2" t="s">
        <v>811</v>
      </c>
      <c r="C578" s="2" t="s">
        <v>811</v>
      </c>
      <c r="D578" s="2" t="s">
        <v>812</v>
      </c>
      <c r="E578" s="4">
        <v>15500</v>
      </c>
    </row>
    <row r="579" spans="1:5" ht="27.6">
      <c r="A579" s="2" t="s">
        <v>426</v>
      </c>
      <c r="B579" s="2" t="str">
        <f>"62475G"</f>
        <v>62475G</v>
      </c>
      <c r="C579" s="2" t="str">
        <f>"62475G"</f>
        <v>62475G</v>
      </c>
      <c r="D579" s="2" t="s">
        <v>813</v>
      </c>
      <c r="E579" s="4">
        <v>49900</v>
      </c>
    </row>
    <row r="580" spans="1:5" ht="27.6">
      <c r="A580" s="2" t="s">
        <v>426</v>
      </c>
      <c r="B580" s="2" t="s">
        <v>814</v>
      </c>
      <c r="C580" s="2" t="s">
        <v>814</v>
      </c>
      <c r="D580" s="2" t="s">
        <v>815</v>
      </c>
      <c r="E580" s="4">
        <v>29500</v>
      </c>
    </row>
    <row r="581" spans="1:5" ht="27.6">
      <c r="A581" s="2" t="s">
        <v>426</v>
      </c>
      <c r="B581" s="2" t="str">
        <f>"0006726"</f>
        <v>0006726</v>
      </c>
      <c r="C581" s="2" t="str">
        <f>"0006726"</f>
        <v>0006726</v>
      </c>
      <c r="D581" s="2" t="s">
        <v>816</v>
      </c>
      <c r="E581" s="4">
        <v>43000</v>
      </c>
    </row>
    <row r="582" spans="1:5" ht="27.6">
      <c r="A582" s="2" t="s">
        <v>426</v>
      </c>
      <c r="B582" s="2" t="s">
        <v>817</v>
      </c>
      <c r="C582" s="2" t="s">
        <v>817</v>
      </c>
      <c r="D582" s="2" t="s">
        <v>818</v>
      </c>
      <c r="E582" s="4">
        <v>27500</v>
      </c>
    </row>
    <row r="583" spans="1:5" ht="27.6">
      <c r="A583" s="2" t="s">
        <v>426</v>
      </c>
      <c r="B583" s="2" t="str">
        <f>"0004475"</f>
        <v>0004475</v>
      </c>
      <c r="C583" s="2" t="str">
        <f>"0004475"</f>
        <v>0004475</v>
      </c>
      <c r="D583" s="2" t="s">
        <v>819</v>
      </c>
      <c r="E583" s="4">
        <v>18500</v>
      </c>
    </row>
    <row r="584" spans="1:5" ht="27.6">
      <c r="A584" s="2" t="s">
        <v>426</v>
      </c>
      <c r="B584" s="2" t="str">
        <f>"002970143-1"</f>
        <v>002970143-1</v>
      </c>
      <c r="C584" s="2" t="str">
        <f>"2970143-1"</f>
        <v>2970143-1</v>
      </c>
      <c r="D584" s="2" t="s">
        <v>820</v>
      </c>
      <c r="E584" s="4">
        <v>32500</v>
      </c>
    </row>
    <row r="585" spans="1:5" ht="27.6">
      <c r="A585" s="2" t="s">
        <v>426</v>
      </c>
      <c r="B585" s="2" t="str">
        <f>"310934"</f>
        <v>310934</v>
      </c>
      <c r="C585" s="2" t="str">
        <f>"310934"</f>
        <v>310934</v>
      </c>
      <c r="D585" s="2" t="s">
        <v>821</v>
      </c>
      <c r="E585" s="4">
        <v>75500</v>
      </c>
    </row>
    <row r="586" spans="1:5" ht="27.6">
      <c r="A586" s="2" t="s">
        <v>426</v>
      </c>
      <c r="B586" s="2" t="str">
        <f>"310843"</f>
        <v>310843</v>
      </c>
      <c r="C586" s="2" t="str">
        <f>"310843"</f>
        <v>310843</v>
      </c>
      <c r="D586" s="2" t="s">
        <v>822</v>
      </c>
      <c r="E586" s="4">
        <v>22600</v>
      </c>
    </row>
    <row r="587" spans="1:5" ht="27.6">
      <c r="A587" s="2" t="s">
        <v>426</v>
      </c>
      <c r="B587" s="2" t="s">
        <v>823</v>
      </c>
      <c r="C587" s="2" t="s">
        <v>823</v>
      </c>
      <c r="D587" s="2" t="s">
        <v>824</v>
      </c>
      <c r="E587" s="4">
        <v>22300</v>
      </c>
    </row>
    <row r="588" spans="1:5" ht="27.6">
      <c r="A588" s="2" t="s">
        <v>426</v>
      </c>
      <c r="B588" s="2" t="str">
        <f>"0018204"</f>
        <v>0018204</v>
      </c>
      <c r="C588" s="2" t="str">
        <f>"0018204"</f>
        <v>0018204</v>
      </c>
      <c r="D588" s="2" t="s">
        <v>825</v>
      </c>
      <c r="E588" s="4">
        <v>28600</v>
      </c>
    </row>
    <row r="589" spans="1:5" ht="27.6">
      <c r="A589" s="2" t="s">
        <v>426</v>
      </c>
      <c r="B589" s="2" t="str">
        <f>"9951993"</f>
        <v>9951993</v>
      </c>
      <c r="C589" s="2" t="str">
        <f>"9951993"</f>
        <v>9951993</v>
      </c>
      <c r="D589" s="2" t="s">
        <v>826</v>
      </c>
      <c r="E589" s="4">
        <v>38000</v>
      </c>
    </row>
    <row r="590" spans="1:5" ht="27.6">
      <c r="A590" s="2" t="s">
        <v>426</v>
      </c>
      <c r="B590" s="2" t="str">
        <f>"64113G"</f>
        <v>64113G</v>
      </c>
      <c r="C590" s="2" t="str">
        <f>"64113G"</f>
        <v>64113G</v>
      </c>
      <c r="D590" s="2" t="s">
        <v>827</v>
      </c>
      <c r="E590" s="4">
        <v>38000</v>
      </c>
    </row>
    <row r="591" spans="1:5" ht="27.6">
      <c r="A591" s="2" t="s">
        <v>426</v>
      </c>
      <c r="B591" s="2" t="str">
        <f>"0004476"</f>
        <v>0004476</v>
      </c>
      <c r="C591" s="2" t="str">
        <f>"0004476"</f>
        <v>0004476</v>
      </c>
      <c r="D591" s="2" t="s">
        <v>828</v>
      </c>
      <c r="E591" s="4">
        <v>18500</v>
      </c>
    </row>
    <row r="592" spans="1:5" ht="27.6">
      <c r="A592" s="2" t="s">
        <v>426</v>
      </c>
      <c r="B592" s="2" t="s">
        <v>829</v>
      </c>
      <c r="C592" s="2" t="s">
        <v>829</v>
      </c>
      <c r="D592" s="2" t="s">
        <v>830</v>
      </c>
      <c r="E592" s="4">
        <v>19600</v>
      </c>
    </row>
    <row r="593" spans="1:5" ht="27.6">
      <c r="A593" s="2" t="s">
        <v>426</v>
      </c>
      <c r="B593" s="2" t="s">
        <v>831</v>
      </c>
      <c r="C593" s="2" t="s">
        <v>831</v>
      </c>
      <c r="D593" s="2" t="s">
        <v>830</v>
      </c>
      <c r="E593" s="4">
        <v>19600</v>
      </c>
    </row>
    <row r="594" spans="1:5" ht="27.6">
      <c r="A594" s="2" t="s">
        <v>426</v>
      </c>
      <c r="B594" s="2" t="s">
        <v>832</v>
      </c>
      <c r="C594" s="2" t="s">
        <v>832</v>
      </c>
      <c r="D594" s="2" t="s">
        <v>833</v>
      </c>
      <c r="E594" s="4">
        <v>16000</v>
      </c>
    </row>
    <row r="595" spans="1:5" ht="27.6">
      <c r="A595" s="2" t="s">
        <v>426</v>
      </c>
      <c r="B595" s="2" t="str">
        <f>"290790"</f>
        <v>290790</v>
      </c>
      <c r="C595" s="2" t="str">
        <f>"290790"</f>
        <v>290790</v>
      </c>
      <c r="D595" s="2" t="s">
        <v>834</v>
      </c>
      <c r="E595" s="4">
        <v>68200</v>
      </c>
    </row>
    <row r="596" spans="1:5" ht="27.6">
      <c r="A596" s="2" t="s">
        <v>426</v>
      </c>
      <c r="B596" s="2" t="str">
        <f>"71618"</f>
        <v>71618</v>
      </c>
      <c r="C596" s="2" t="str">
        <f>"71618"</f>
        <v>71618</v>
      </c>
      <c r="D596" s="2" t="s">
        <v>835</v>
      </c>
      <c r="E596" s="4">
        <v>38800</v>
      </c>
    </row>
    <row r="597" spans="1:5" ht="27.6">
      <c r="A597" s="2" t="s">
        <v>426</v>
      </c>
      <c r="B597" s="2" t="s">
        <v>836</v>
      </c>
      <c r="C597" s="2" t="s">
        <v>836</v>
      </c>
      <c r="D597" s="2" t="s">
        <v>837</v>
      </c>
      <c r="E597" s="4">
        <v>19600</v>
      </c>
    </row>
    <row r="598" spans="1:5" ht="27.6">
      <c r="A598" s="2" t="s">
        <v>426</v>
      </c>
      <c r="B598" s="2" t="str">
        <f>"0011061"</f>
        <v>0011061</v>
      </c>
      <c r="C598" s="2" t="str">
        <f>"0011061"</f>
        <v>0011061</v>
      </c>
      <c r="D598" s="2" t="s">
        <v>838</v>
      </c>
      <c r="E598" s="4">
        <v>28000</v>
      </c>
    </row>
    <row r="599" spans="1:5" ht="27.6">
      <c r="A599" s="2" t="s">
        <v>426</v>
      </c>
      <c r="B599" s="2" t="s">
        <v>839</v>
      </c>
      <c r="C599" s="2" t="s">
        <v>839</v>
      </c>
      <c r="D599" s="2" t="s">
        <v>840</v>
      </c>
      <c r="E599" s="4">
        <v>24100</v>
      </c>
    </row>
    <row r="600" spans="1:5" ht="27.6">
      <c r="A600" s="2" t="s">
        <v>426</v>
      </c>
      <c r="B600" s="2" t="str">
        <f>"0011060"</f>
        <v>0011060</v>
      </c>
      <c r="C600" s="2" t="str">
        <f>"0011060"</f>
        <v>0011060</v>
      </c>
      <c r="D600" s="2" t="s">
        <v>841</v>
      </c>
      <c r="E600" s="4">
        <v>31000</v>
      </c>
    </row>
    <row r="601" spans="1:5" ht="27.6">
      <c r="A601" s="2" t="s">
        <v>426</v>
      </c>
      <c r="B601" s="2" t="s">
        <v>842</v>
      </c>
      <c r="C601" s="2" t="s">
        <v>842</v>
      </c>
      <c r="D601" s="2" t="s">
        <v>843</v>
      </c>
      <c r="E601" s="4">
        <v>28000</v>
      </c>
    </row>
    <row r="602" spans="1:5" ht="27.6">
      <c r="A602" s="2" t="s">
        <v>426</v>
      </c>
      <c r="B602" s="2" t="str">
        <f>"2170089-4"</f>
        <v>2170089-4</v>
      </c>
      <c r="C602" s="2" t="str">
        <f>"2170089-4"</f>
        <v>2170089-4</v>
      </c>
      <c r="D602" s="2" t="s">
        <v>844</v>
      </c>
      <c r="E602" s="4">
        <v>22300</v>
      </c>
    </row>
    <row r="603" spans="1:5" ht="27.6">
      <c r="A603" s="2" t="s">
        <v>426</v>
      </c>
      <c r="B603" s="2" t="str">
        <f>"270089"</f>
        <v>270089</v>
      </c>
      <c r="C603" s="2" t="str">
        <f>"270089"</f>
        <v>270089</v>
      </c>
      <c r="D603" s="2" t="s">
        <v>844</v>
      </c>
      <c r="E603" s="4">
        <v>22300</v>
      </c>
    </row>
    <row r="604" spans="1:5" ht="27.6">
      <c r="A604" s="2" t="s">
        <v>426</v>
      </c>
      <c r="B604" s="2" t="str">
        <f>"46028"</f>
        <v>46028</v>
      </c>
      <c r="C604" s="2" t="str">
        <f>"46028"</f>
        <v>46028</v>
      </c>
      <c r="D604" s="2" t="s">
        <v>845</v>
      </c>
      <c r="E604" s="4">
        <v>26800</v>
      </c>
    </row>
    <row r="605" spans="1:5" ht="27.6">
      <c r="A605" s="2" t="s">
        <v>426</v>
      </c>
      <c r="B605" s="2" t="str">
        <f>"090040219"</f>
        <v>090040219</v>
      </c>
      <c r="C605" s="2" t="str">
        <f>"090040219"</f>
        <v>090040219</v>
      </c>
      <c r="D605" s="2" t="s">
        <v>846</v>
      </c>
      <c r="E605" s="4">
        <v>43000</v>
      </c>
    </row>
    <row r="606" spans="1:5" ht="27.6">
      <c r="A606" s="2" t="s">
        <v>426</v>
      </c>
      <c r="B606" s="2" t="s">
        <v>847</v>
      </c>
      <c r="C606" s="2" t="s">
        <v>847</v>
      </c>
      <c r="D606" s="2" t="s">
        <v>848</v>
      </c>
      <c r="E606" s="4">
        <v>28000</v>
      </c>
    </row>
    <row r="607" spans="1:5" ht="27.6">
      <c r="A607" s="2" t="s">
        <v>426</v>
      </c>
      <c r="B607" s="2" t="s">
        <v>849</v>
      </c>
      <c r="C607" s="2" t="s">
        <v>849</v>
      </c>
      <c r="D607" s="2" t="s">
        <v>850</v>
      </c>
      <c r="E607" s="4">
        <v>21400</v>
      </c>
    </row>
    <row r="608" spans="1:5" ht="27.6">
      <c r="A608" s="2" t="s">
        <v>426</v>
      </c>
      <c r="B608" s="2" t="str">
        <f>"0019483"</f>
        <v>0019483</v>
      </c>
      <c r="C608" s="2" t="str">
        <f>"0019483"</f>
        <v>0019483</v>
      </c>
      <c r="D608" s="2" t="s">
        <v>851</v>
      </c>
      <c r="E608" s="4">
        <v>9900</v>
      </c>
    </row>
    <row r="609" spans="1:5" ht="27.6">
      <c r="A609" s="2" t="s">
        <v>426</v>
      </c>
      <c r="B609" s="2" t="s">
        <v>852</v>
      </c>
      <c r="C609" s="2" t="s">
        <v>852</v>
      </c>
      <c r="D609" s="2" t="s">
        <v>853</v>
      </c>
      <c r="E609" s="4">
        <v>26500</v>
      </c>
    </row>
    <row r="610" spans="1:5" ht="27.6">
      <c r="A610" s="2" t="s">
        <v>426</v>
      </c>
      <c r="B610" s="2" t="s">
        <v>854</v>
      </c>
      <c r="C610" s="2" t="s">
        <v>854</v>
      </c>
      <c r="D610" s="2" t="s">
        <v>855</v>
      </c>
      <c r="E610" s="4">
        <v>29500</v>
      </c>
    </row>
    <row r="611" spans="1:5" ht="27.6">
      <c r="A611" s="2" t="s">
        <v>426</v>
      </c>
      <c r="B611" s="2" t="str">
        <f>"0119780"</f>
        <v>0119780</v>
      </c>
      <c r="C611" s="2" t="str">
        <f>"0021363"</f>
        <v>0021363</v>
      </c>
      <c r="D611" s="2" t="s">
        <v>856</v>
      </c>
      <c r="E611" s="4">
        <v>12400</v>
      </c>
    </row>
    <row r="612" spans="1:5" ht="27.6">
      <c r="A612" s="2" t="s">
        <v>426</v>
      </c>
      <c r="B612" s="2" t="str">
        <f>"010040496"</f>
        <v>010040496</v>
      </c>
      <c r="C612" s="2" t="str">
        <f>"010040496"</f>
        <v>010040496</v>
      </c>
      <c r="D612" s="2" t="s">
        <v>857</v>
      </c>
      <c r="E612" s="4">
        <v>19600</v>
      </c>
    </row>
    <row r="613" spans="1:5" ht="27.6">
      <c r="A613" s="2" t="s">
        <v>426</v>
      </c>
      <c r="B613" s="2" t="str">
        <f>"0500310"</f>
        <v>0500310</v>
      </c>
      <c r="C613" s="2" t="str">
        <f>"0018208 090040222"</f>
        <v>0018208 090040222</v>
      </c>
      <c r="D613" s="2" t="s">
        <v>858</v>
      </c>
      <c r="E613" s="4">
        <v>34000</v>
      </c>
    </row>
    <row r="614" spans="1:5" ht="27.6">
      <c r="A614" s="2" t="s">
        <v>426</v>
      </c>
      <c r="B614" s="2" t="str">
        <f>"0500300"</f>
        <v>0500300</v>
      </c>
      <c r="C614" s="2" t="str">
        <f>"0018209 071040110"</f>
        <v>0018209 071040110</v>
      </c>
      <c r="D614" s="2" t="s">
        <v>859</v>
      </c>
      <c r="E614" s="4">
        <v>34000</v>
      </c>
    </row>
    <row r="615" spans="1:5" ht="27.6">
      <c r="A615" s="2" t="s">
        <v>426</v>
      </c>
      <c r="B615" s="2" t="str">
        <f>"0500138"</f>
        <v>0500138</v>
      </c>
      <c r="C615" s="2" t="str">
        <f>"0500138"</f>
        <v>0500138</v>
      </c>
      <c r="D615" s="2" t="s">
        <v>860</v>
      </c>
      <c r="E615" s="4">
        <v>21500</v>
      </c>
    </row>
    <row r="616" spans="1:5" ht="27.6">
      <c r="A616" s="2" t="s">
        <v>426</v>
      </c>
      <c r="B616" s="2" t="str">
        <f>"0010529"</f>
        <v>0010529</v>
      </c>
      <c r="C616" s="2" t="str">
        <f>"0010529"</f>
        <v>0010529</v>
      </c>
      <c r="D616" s="2" t="s">
        <v>861</v>
      </c>
      <c r="E616" s="4">
        <v>38500</v>
      </c>
    </row>
    <row r="617" spans="1:5" ht="27.6">
      <c r="A617" s="2" t="s">
        <v>426</v>
      </c>
      <c r="B617" s="2" t="str">
        <f>"0010532"</f>
        <v>0010532</v>
      </c>
      <c r="C617" s="2" t="str">
        <f>"0010532"</f>
        <v>0010532</v>
      </c>
      <c r="D617" s="2" t="s">
        <v>862</v>
      </c>
      <c r="E617" s="4">
        <v>29500</v>
      </c>
    </row>
    <row r="618" spans="1:5" ht="27.6">
      <c r="A618" s="2" t="s">
        <v>426</v>
      </c>
      <c r="B618" s="2" t="s">
        <v>863</v>
      </c>
      <c r="C618" s="2" t="s">
        <v>863</v>
      </c>
      <c r="D618" s="2" t="s">
        <v>864</v>
      </c>
      <c r="E618" s="4">
        <v>16400</v>
      </c>
    </row>
    <row r="619" spans="1:5" ht="27.6">
      <c r="A619" s="2" t="s">
        <v>426</v>
      </c>
      <c r="B619" s="2" t="s">
        <v>865</v>
      </c>
      <c r="C619" s="2" t="s">
        <v>865</v>
      </c>
      <c r="D619" s="2" t="s">
        <v>866</v>
      </c>
      <c r="E619" s="4">
        <v>28000</v>
      </c>
    </row>
    <row r="620" spans="1:5" ht="27.6">
      <c r="A620" s="2" t="s">
        <v>426</v>
      </c>
      <c r="B620" s="2" t="str">
        <f>"090040095"</f>
        <v>090040095</v>
      </c>
      <c r="C620" s="2" t="str">
        <f>"090040095"</f>
        <v>090040095</v>
      </c>
      <c r="D620" s="2" t="s">
        <v>867</v>
      </c>
      <c r="E620" s="4">
        <v>9700</v>
      </c>
    </row>
    <row r="621" spans="1:5" ht="27.6">
      <c r="A621" s="2" t="s">
        <v>426</v>
      </c>
      <c r="B621" s="2" t="str">
        <f>"553228"</f>
        <v>553228</v>
      </c>
      <c r="C621" s="2" t="str">
        <f>"553228"</f>
        <v>553228</v>
      </c>
      <c r="D621" s="2" t="s">
        <v>868</v>
      </c>
      <c r="E621" s="4">
        <v>26800</v>
      </c>
    </row>
    <row r="622" spans="1:5" ht="27.6">
      <c r="A622" s="2" t="s">
        <v>426</v>
      </c>
      <c r="B622" s="2" t="str">
        <f>"0119770"</f>
        <v>0119770</v>
      </c>
      <c r="C622" s="2" t="str">
        <f>"0119770"</f>
        <v>0119770</v>
      </c>
      <c r="D622" s="2" t="s">
        <v>869</v>
      </c>
      <c r="E622" s="4">
        <v>11900</v>
      </c>
    </row>
    <row r="623" spans="1:5" ht="27.6">
      <c r="A623" s="2" t="s">
        <v>426</v>
      </c>
      <c r="B623" s="2" t="str">
        <f>"0010531"</f>
        <v>0010531</v>
      </c>
      <c r="C623" s="2" t="str">
        <f>"0010531"</f>
        <v>0010531</v>
      </c>
      <c r="D623" s="2" t="s">
        <v>870</v>
      </c>
      <c r="E623" s="4">
        <v>16000</v>
      </c>
    </row>
    <row r="624" spans="1:5" ht="27.6">
      <c r="A624" s="2" t="s">
        <v>426</v>
      </c>
      <c r="B624" s="2" t="s">
        <v>871</v>
      </c>
      <c r="C624" s="2" t="s">
        <v>871</v>
      </c>
      <c r="D624" s="2" t="s">
        <v>872</v>
      </c>
      <c r="E624" s="4">
        <v>26000</v>
      </c>
    </row>
    <row r="625" spans="1:5" ht="27.6">
      <c r="A625" s="2" t="s">
        <v>426</v>
      </c>
      <c r="B625" s="2" t="str">
        <f>"9949048"</f>
        <v>9949048</v>
      </c>
      <c r="C625" s="2" t="str">
        <f>"9949048"</f>
        <v>9949048</v>
      </c>
      <c r="D625" s="2" t="s">
        <v>873</v>
      </c>
      <c r="E625" s="4">
        <v>29500</v>
      </c>
    </row>
    <row r="626" spans="1:5" ht="27.6">
      <c r="A626" s="2" t="s">
        <v>426</v>
      </c>
      <c r="B626" s="2" t="str">
        <f>"9949049"</f>
        <v>9949049</v>
      </c>
      <c r="C626" s="2" t="str">
        <f>"9949049"</f>
        <v>9949049</v>
      </c>
      <c r="D626" s="2" t="s">
        <v>874</v>
      </c>
      <c r="E626" s="4">
        <v>21400</v>
      </c>
    </row>
    <row r="627" spans="1:5" ht="27.6">
      <c r="A627" s="2" t="s">
        <v>426</v>
      </c>
      <c r="B627" s="2" t="str">
        <f>"0171120"</f>
        <v>0171120</v>
      </c>
      <c r="C627" s="2" t="str">
        <f>"0171120"</f>
        <v>0171120</v>
      </c>
      <c r="D627" s="2" t="s">
        <v>875</v>
      </c>
      <c r="E627" s="4">
        <v>11500</v>
      </c>
    </row>
    <row r="628" spans="1:5" ht="27.6">
      <c r="A628" s="2" t="s">
        <v>426</v>
      </c>
      <c r="B628" s="2" t="str">
        <f>"090040014"</f>
        <v>090040014</v>
      </c>
      <c r="C628" s="2" t="str">
        <f>"090040014"</f>
        <v>090040014</v>
      </c>
      <c r="D628" s="2" t="s">
        <v>876</v>
      </c>
      <c r="E628" s="4">
        <v>9900</v>
      </c>
    </row>
    <row r="629" spans="1:5" ht="27.6">
      <c r="A629" s="2" t="s">
        <v>426</v>
      </c>
      <c r="B629" s="2" t="str">
        <f>"290218"</f>
        <v>290218</v>
      </c>
      <c r="C629" s="2" t="str">
        <f>"290218"</f>
        <v>290218</v>
      </c>
      <c r="D629" s="2" t="s">
        <v>877</v>
      </c>
      <c r="E629" s="4">
        <v>67500</v>
      </c>
    </row>
    <row r="630" spans="1:5" ht="27.6">
      <c r="A630" s="2" t="s">
        <v>426</v>
      </c>
      <c r="B630" s="2" t="str">
        <f>"0010561"</f>
        <v>0010561</v>
      </c>
      <c r="C630" s="2" t="str">
        <f>"0010561"</f>
        <v>0010561</v>
      </c>
      <c r="D630" s="2" t="s">
        <v>878</v>
      </c>
      <c r="E630" s="4">
        <v>58000</v>
      </c>
    </row>
    <row r="631" spans="1:5" ht="27.6">
      <c r="A631" s="2" t="s">
        <v>426</v>
      </c>
      <c r="B631" s="2" t="str">
        <f>"0010562"</f>
        <v>0010562</v>
      </c>
      <c r="C631" s="2" t="str">
        <f>"0010562"</f>
        <v>0010562</v>
      </c>
      <c r="D631" s="2" t="s">
        <v>879</v>
      </c>
      <c r="E631" s="4">
        <v>58000</v>
      </c>
    </row>
    <row r="632" spans="1:5" ht="27.6">
      <c r="A632" s="2" t="s">
        <v>426</v>
      </c>
      <c r="B632" s="2" t="str">
        <f>"0010425"</f>
        <v>0010425</v>
      </c>
      <c r="C632" s="2" t="str">
        <f>"0010424"</f>
        <v>0010424</v>
      </c>
      <c r="D632" s="2" t="s">
        <v>880</v>
      </c>
      <c r="E632" s="4">
        <v>28600</v>
      </c>
    </row>
    <row r="633" spans="1:5" ht="27.6">
      <c r="A633" s="2" t="s">
        <v>426</v>
      </c>
      <c r="B633" s="2" t="str">
        <f>"0018246"</f>
        <v>0018246</v>
      </c>
      <c r="C633" s="2" t="str">
        <f>"0018246"</f>
        <v>0018246</v>
      </c>
      <c r="D633" s="2" t="s">
        <v>881</v>
      </c>
      <c r="E633" s="4">
        <v>18000</v>
      </c>
    </row>
    <row r="634" spans="1:5" ht="27.6">
      <c r="A634" s="2" t="s">
        <v>426</v>
      </c>
      <c r="B634" s="2" t="s">
        <v>882</v>
      </c>
      <c r="C634" s="2" t="s">
        <v>882</v>
      </c>
      <c r="D634" s="2" t="s">
        <v>883</v>
      </c>
      <c r="E634" s="4">
        <v>25000</v>
      </c>
    </row>
    <row r="635" spans="1:5" ht="27.6">
      <c r="A635" s="2" t="s">
        <v>426</v>
      </c>
      <c r="B635" s="2" t="str">
        <f>"0010564"</f>
        <v>0010564</v>
      </c>
      <c r="C635" s="2" t="str">
        <f>"0010564"</f>
        <v>0010564</v>
      </c>
      <c r="D635" s="2" t="s">
        <v>884</v>
      </c>
      <c r="E635" s="4">
        <v>25000</v>
      </c>
    </row>
    <row r="636" spans="1:5" ht="27.6">
      <c r="A636" s="2" t="s">
        <v>426</v>
      </c>
      <c r="B636" s="2" t="s">
        <v>885</v>
      </c>
      <c r="C636" s="2" t="s">
        <v>885</v>
      </c>
      <c r="D636" s="2" t="s">
        <v>886</v>
      </c>
      <c r="E636" s="4">
        <v>28600</v>
      </c>
    </row>
    <row r="637" spans="1:5" ht="27.6">
      <c r="A637" s="2" t="s">
        <v>426</v>
      </c>
      <c r="B637" s="2" t="str">
        <f>"0009335"</f>
        <v>0009335</v>
      </c>
      <c r="C637" s="2" t="str">
        <f>"0009335"</f>
        <v>0009335</v>
      </c>
      <c r="D637" s="2" t="s">
        <v>887</v>
      </c>
      <c r="E637" s="4">
        <v>18700</v>
      </c>
    </row>
    <row r="638" spans="1:5" ht="27.6">
      <c r="A638" s="2" t="s">
        <v>426</v>
      </c>
      <c r="B638" s="2" t="s">
        <v>888</v>
      </c>
      <c r="C638" s="2" t="s">
        <v>888</v>
      </c>
      <c r="D638" s="2" t="s">
        <v>889</v>
      </c>
      <c r="E638" s="4">
        <v>23200</v>
      </c>
    </row>
    <row r="639" spans="1:5" ht="27.6">
      <c r="A639" s="2" t="s">
        <v>426</v>
      </c>
      <c r="B639" s="2" t="s">
        <v>890</v>
      </c>
      <c r="C639" s="2" t="s">
        <v>890</v>
      </c>
      <c r="D639" s="2" t="s">
        <v>891</v>
      </c>
      <c r="E639" s="4">
        <v>52000</v>
      </c>
    </row>
    <row r="640" spans="1:5" ht="27.6">
      <c r="A640" s="2" t="s">
        <v>426</v>
      </c>
      <c r="B640" s="2" t="s">
        <v>892</v>
      </c>
      <c r="C640" s="2" t="s">
        <v>892</v>
      </c>
      <c r="D640" s="2" t="s">
        <v>893</v>
      </c>
      <c r="E640" s="4">
        <v>32200</v>
      </c>
    </row>
    <row r="641" spans="1:5" ht="27.6">
      <c r="A641" s="2" t="s">
        <v>426</v>
      </c>
      <c r="B641" s="2" t="s">
        <v>894</v>
      </c>
      <c r="C641" s="2" t="s">
        <v>894</v>
      </c>
      <c r="D641" s="2" t="s">
        <v>895</v>
      </c>
      <c r="E641" s="4">
        <v>22000</v>
      </c>
    </row>
    <row r="642" spans="1:5" ht="27.6">
      <c r="A642" s="2" t="s">
        <v>426</v>
      </c>
      <c r="B642" s="2" t="s">
        <v>896</v>
      </c>
      <c r="C642" s="2" t="s">
        <v>896</v>
      </c>
      <c r="D642" s="2" t="s">
        <v>897</v>
      </c>
      <c r="E642" s="4">
        <v>28600</v>
      </c>
    </row>
    <row r="643" spans="1:5" ht="27.6">
      <c r="A643" s="2" t="s">
        <v>426</v>
      </c>
      <c r="B643" s="2" t="str">
        <f>"0010426"</f>
        <v>0010426</v>
      </c>
      <c r="C643" s="2" t="str">
        <f>"0010426"</f>
        <v>0010426</v>
      </c>
      <c r="D643" s="2" t="s">
        <v>898</v>
      </c>
      <c r="E643" s="4">
        <v>25000</v>
      </c>
    </row>
    <row r="644" spans="1:5" ht="27.6">
      <c r="A644" s="2" t="s">
        <v>426</v>
      </c>
      <c r="B644" s="2" t="str">
        <f>"0900280"</f>
        <v>0900280</v>
      </c>
      <c r="C644" s="2" t="str">
        <f>"0900280"</f>
        <v>0900280</v>
      </c>
      <c r="D644" s="2" t="s">
        <v>899</v>
      </c>
      <c r="E644" s="4">
        <v>41900</v>
      </c>
    </row>
    <row r="645" spans="1:5" ht="27.6">
      <c r="A645" s="2" t="s">
        <v>426</v>
      </c>
      <c r="B645" s="2" t="str">
        <f>"0010465"</f>
        <v>0010465</v>
      </c>
      <c r="C645" s="2" t="str">
        <f>"0010465"</f>
        <v>0010465</v>
      </c>
      <c r="D645" s="2" t="s">
        <v>900</v>
      </c>
      <c r="E645" s="4">
        <v>26800</v>
      </c>
    </row>
    <row r="646" spans="1:5" ht="27.6">
      <c r="A646" s="2" t="s">
        <v>426</v>
      </c>
      <c r="B646" s="2" t="s">
        <v>901</v>
      </c>
      <c r="C646" s="2" t="s">
        <v>901</v>
      </c>
      <c r="D646" s="2" t="s">
        <v>902</v>
      </c>
      <c r="E646" s="4">
        <v>18700</v>
      </c>
    </row>
    <row r="647" spans="1:5" ht="27.6">
      <c r="A647" s="2" t="s">
        <v>426</v>
      </c>
      <c r="B647" s="2" t="str">
        <f>"300744"</f>
        <v>300744</v>
      </c>
      <c r="C647" s="2" t="str">
        <f>"300744"</f>
        <v>300744</v>
      </c>
      <c r="D647" s="2" t="s">
        <v>903</v>
      </c>
      <c r="E647" s="4">
        <v>52000</v>
      </c>
    </row>
    <row r="648" spans="1:5" ht="27.6">
      <c r="A648" s="2" t="s">
        <v>426</v>
      </c>
      <c r="B648" s="2" t="str">
        <f>"090040543"</f>
        <v>090040543</v>
      </c>
      <c r="C648" s="2" t="str">
        <f>"090040543"</f>
        <v>090040543</v>
      </c>
      <c r="D648" s="2" t="s">
        <v>904</v>
      </c>
      <c r="E648" s="4">
        <v>25000</v>
      </c>
    </row>
    <row r="649" spans="1:5" ht="27.6">
      <c r="A649" s="2" t="s">
        <v>426</v>
      </c>
      <c r="B649" s="2" t="str">
        <f>"0100668"</f>
        <v>0100668</v>
      </c>
      <c r="C649" s="2" t="str">
        <f>"0100668"</f>
        <v>0100668</v>
      </c>
      <c r="D649" s="2" t="s">
        <v>905</v>
      </c>
      <c r="E649" s="4">
        <v>18500</v>
      </c>
    </row>
    <row r="650" spans="1:5" ht="27.6">
      <c r="A650" s="2" t="s">
        <v>426</v>
      </c>
      <c r="B650" s="2" t="str">
        <f>"0100468"</f>
        <v>0100468</v>
      </c>
      <c r="C650" s="2" t="str">
        <f>"0100468"</f>
        <v>0100468</v>
      </c>
      <c r="D650" s="2" t="s">
        <v>906</v>
      </c>
      <c r="E650" s="4">
        <v>21500</v>
      </c>
    </row>
    <row r="651" spans="1:5" ht="27.6">
      <c r="A651" s="2" t="s">
        <v>426</v>
      </c>
      <c r="B651" s="2" t="str">
        <f>"0100868"</f>
        <v>0100868</v>
      </c>
      <c r="C651" s="2" t="str">
        <f>"0100868"</f>
        <v>0100868</v>
      </c>
      <c r="D651" s="2" t="s">
        <v>907</v>
      </c>
      <c r="E651" s="4">
        <v>18500</v>
      </c>
    </row>
    <row r="652" spans="1:5" ht="27.6">
      <c r="A652" s="2" t="s">
        <v>426</v>
      </c>
      <c r="B652" s="2" t="str">
        <f>"0100768"</f>
        <v>0100768</v>
      </c>
      <c r="C652" s="2" t="str">
        <f>"0100768"</f>
        <v>0100768</v>
      </c>
      <c r="D652" s="2" t="s">
        <v>908</v>
      </c>
      <c r="E652" s="4">
        <v>18500</v>
      </c>
    </row>
    <row r="653" spans="1:5" ht="27.6">
      <c r="A653" s="2" t="s">
        <v>426</v>
      </c>
      <c r="B653" s="2" t="str">
        <f>"0500318"</f>
        <v>0500318</v>
      </c>
      <c r="C653" s="2" t="str">
        <f>"0500318"</f>
        <v>0500318</v>
      </c>
      <c r="D653" s="2" t="s">
        <v>909</v>
      </c>
      <c r="E653" s="4">
        <v>21500</v>
      </c>
    </row>
    <row r="654" spans="1:5" ht="27.6">
      <c r="A654" s="2" t="s">
        <v>426</v>
      </c>
      <c r="B654" s="2" t="str">
        <f>"0100568"</f>
        <v>0100568</v>
      </c>
      <c r="C654" s="2" t="str">
        <f>"0100568"</f>
        <v>0100568</v>
      </c>
      <c r="D654" s="2" t="s">
        <v>910</v>
      </c>
      <c r="E654" s="4">
        <v>38500</v>
      </c>
    </row>
    <row r="655" spans="1:5" ht="27.6">
      <c r="A655" s="2" t="s">
        <v>426</v>
      </c>
      <c r="B655" s="2" t="str">
        <f>"0018212"</f>
        <v>0018212</v>
      </c>
      <c r="C655" s="2" t="str">
        <f>"0018212"</f>
        <v>0018212</v>
      </c>
      <c r="D655" s="2" t="s">
        <v>911</v>
      </c>
      <c r="E655" s="4">
        <v>28600</v>
      </c>
    </row>
    <row r="656" spans="1:5" ht="27.6">
      <c r="A656" s="2" t="s">
        <v>426</v>
      </c>
      <c r="B656" s="2" t="str">
        <f>"0100777"</f>
        <v>0100777</v>
      </c>
      <c r="C656" s="2" t="str">
        <f>"0100777"</f>
        <v>0100777</v>
      </c>
      <c r="D656" s="2" t="s">
        <v>912</v>
      </c>
      <c r="E656" s="4">
        <v>17800</v>
      </c>
    </row>
    <row r="657" spans="1:5" ht="27.6">
      <c r="A657" s="2" t="s">
        <v>426</v>
      </c>
      <c r="B657" s="2" t="str">
        <f>"0500488"</f>
        <v>0500488</v>
      </c>
      <c r="C657" s="2" t="str">
        <f>"0500488"</f>
        <v>0500488</v>
      </c>
      <c r="D657" s="2" t="s">
        <v>913</v>
      </c>
      <c r="E657" s="4">
        <v>24200</v>
      </c>
    </row>
    <row r="658" spans="1:5" ht="27.6">
      <c r="A658" s="2" t="s">
        <v>426</v>
      </c>
      <c r="B658" s="2" t="str">
        <f>"0500478"</f>
        <v>0500478</v>
      </c>
      <c r="C658" s="2" t="str">
        <f>"0500478"</f>
        <v>0500478</v>
      </c>
      <c r="D658" s="2" t="s">
        <v>914</v>
      </c>
      <c r="E658" s="4">
        <v>21400</v>
      </c>
    </row>
    <row r="659" spans="1:5" ht="27.6">
      <c r="A659" s="2" t="s">
        <v>426</v>
      </c>
      <c r="B659" s="2" t="str">
        <f>"0600558"</f>
        <v>0600558</v>
      </c>
      <c r="C659" s="2" t="str">
        <f>"0600558"</f>
        <v>0600558</v>
      </c>
      <c r="D659" s="2" t="s">
        <v>915</v>
      </c>
      <c r="E659" s="4">
        <v>13300</v>
      </c>
    </row>
    <row r="660" spans="1:5" ht="27.6">
      <c r="A660" s="2" t="s">
        <v>426</v>
      </c>
      <c r="B660" s="2" t="str">
        <f>"00302S150"</f>
        <v>00302S150</v>
      </c>
      <c r="C660" s="2" t="str">
        <f>"0021369"</f>
        <v>0021369</v>
      </c>
      <c r="D660" s="2" t="s">
        <v>915</v>
      </c>
      <c r="E660" s="4">
        <v>14300</v>
      </c>
    </row>
    <row r="661" spans="1:5" ht="27.6">
      <c r="A661" s="2" t="s">
        <v>426</v>
      </c>
      <c r="B661" s="2" t="str">
        <f>"0100417"</f>
        <v>0100417</v>
      </c>
      <c r="C661" s="2" t="str">
        <f>"0100417"</f>
        <v>0100417</v>
      </c>
      <c r="D661" s="2" t="s">
        <v>916</v>
      </c>
      <c r="E661" s="4">
        <v>24100</v>
      </c>
    </row>
    <row r="662" spans="1:5" ht="27.6">
      <c r="A662" s="2" t="s">
        <v>426</v>
      </c>
      <c r="B662" s="2" t="str">
        <f>"0100317"</f>
        <v>0100317</v>
      </c>
      <c r="C662" s="2" t="str">
        <f>"0100317"</f>
        <v>0100317</v>
      </c>
      <c r="D662" s="2" t="s">
        <v>917</v>
      </c>
      <c r="E662" s="4">
        <v>24100</v>
      </c>
    </row>
    <row r="663" spans="1:5" ht="27.6">
      <c r="A663" s="2" t="s">
        <v>426</v>
      </c>
      <c r="B663" s="2" t="s">
        <v>918</v>
      </c>
      <c r="C663" s="2" t="s">
        <v>918</v>
      </c>
      <c r="D663" s="2" t="s">
        <v>919</v>
      </c>
      <c r="E663" s="4">
        <v>43000</v>
      </c>
    </row>
    <row r="664" spans="1:5" ht="27.6">
      <c r="A664" s="2" t="s">
        <v>426</v>
      </c>
      <c r="B664" s="2" t="str">
        <f>"010040512"</f>
        <v>010040512</v>
      </c>
      <c r="C664" s="2" t="str">
        <f>"010040512"</f>
        <v>010040512</v>
      </c>
      <c r="D664" s="2" t="s">
        <v>920</v>
      </c>
      <c r="E664" s="4">
        <v>19600</v>
      </c>
    </row>
    <row r="665" spans="1:5" ht="27.6">
      <c r="A665" s="2" t="s">
        <v>426</v>
      </c>
      <c r="B665" s="2" t="s">
        <v>921</v>
      </c>
      <c r="C665" s="2" t="s">
        <v>921</v>
      </c>
      <c r="D665" s="2" t="s">
        <v>922</v>
      </c>
      <c r="E665" s="4">
        <v>28000</v>
      </c>
    </row>
    <row r="666" spans="1:5" ht="27.6">
      <c r="A666" s="2" t="s">
        <v>426</v>
      </c>
      <c r="B666" s="2" t="str">
        <f>"0010443"</f>
        <v>0010443</v>
      </c>
      <c r="C666" s="2" t="str">
        <f>"0010443"</f>
        <v>0010443</v>
      </c>
      <c r="D666" s="2" t="s">
        <v>923</v>
      </c>
      <c r="E666" s="4">
        <v>34000</v>
      </c>
    </row>
    <row r="667" spans="1:5" ht="27.6">
      <c r="A667" s="2" t="s">
        <v>426</v>
      </c>
      <c r="B667" s="2" t="str">
        <f>"090040663"</f>
        <v>090040663</v>
      </c>
      <c r="C667" s="2" t="str">
        <f>"090040664"</f>
        <v>090040664</v>
      </c>
      <c r="D667" s="2" t="s">
        <v>924</v>
      </c>
      <c r="E667" s="4">
        <v>24000</v>
      </c>
    </row>
    <row r="668" spans="1:5" ht="27.6">
      <c r="A668" s="2" t="s">
        <v>426</v>
      </c>
      <c r="B668" s="2" t="str">
        <f>"0010442"</f>
        <v>0010442</v>
      </c>
      <c r="C668" s="2" t="str">
        <f>"0010442"</f>
        <v>0010442</v>
      </c>
      <c r="D668" s="2" t="s">
        <v>925</v>
      </c>
      <c r="E668" s="4">
        <v>34000</v>
      </c>
    </row>
    <row r="669" spans="1:5" ht="27.6">
      <c r="A669" s="2" t="s">
        <v>426</v>
      </c>
      <c r="B669" s="2" t="str">
        <f>"0001610"</f>
        <v>0001610</v>
      </c>
      <c r="C669" s="2" t="str">
        <f>"0018249"</f>
        <v>0018249</v>
      </c>
      <c r="D669" s="2" t="s">
        <v>926</v>
      </c>
      <c r="E669" s="4">
        <v>28600</v>
      </c>
    </row>
    <row r="670" spans="1:5" ht="27.6">
      <c r="A670" s="2" t="s">
        <v>426</v>
      </c>
      <c r="B670" s="2" t="str">
        <f>"42689G"</f>
        <v>42689G</v>
      </c>
      <c r="C670" s="2" t="str">
        <f>"42689G"</f>
        <v>42689G</v>
      </c>
      <c r="D670" s="2" t="s">
        <v>927</v>
      </c>
      <c r="E670" s="4">
        <v>18700</v>
      </c>
    </row>
    <row r="671" spans="1:5" ht="27.6">
      <c r="A671" s="2" t="s">
        <v>426</v>
      </c>
      <c r="B671" s="2" t="str">
        <f>"0010444"</f>
        <v>0010444</v>
      </c>
      <c r="C671" s="2" t="str">
        <f>"0010444"</f>
        <v>0010444</v>
      </c>
      <c r="D671" s="2" t="s">
        <v>928</v>
      </c>
      <c r="E671" s="4">
        <v>24100</v>
      </c>
    </row>
    <row r="672" spans="1:5" ht="27.6">
      <c r="A672" s="2" t="s">
        <v>426</v>
      </c>
      <c r="B672" s="2" t="str">
        <f>"090040455"</f>
        <v>090040455</v>
      </c>
      <c r="C672" s="2" t="str">
        <f>"090040455"</f>
        <v>090040455</v>
      </c>
      <c r="D672" s="2" t="s">
        <v>929</v>
      </c>
      <c r="E672" s="4">
        <v>14000</v>
      </c>
    </row>
    <row r="673" spans="1:5" ht="27.6">
      <c r="A673" s="2" t="s">
        <v>426</v>
      </c>
      <c r="B673" s="2" t="str">
        <f>"0001608"</f>
        <v>0001608</v>
      </c>
      <c r="C673" s="2" t="str">
        <f>"0001608"</f>
        <v>0001608</v>
      </c>
      <c r="D673" s="2" t="s">
        <v>930</v>
      </c>
      <c r="E673" s="4">
        <v>23500</v>
      </c>
    </row>
    <row r="674" spans="1:5" ht="27.6">
      <c r="A674" s="2" t="s">
        <v>426</v>
      </c>
      <c r="B674" s="2" t="str">
        <f>"0001609"</f>
        <v>0001609</v>
      </c>
      <c r="C674" s="2" t="str">
        <f>"0001609"</f>
        <v>0001609</v>
      </c>
      <c r="D674" s="2" t="s">
        <v>931</v>
      </c>
      <c r="E674" s="4">
        <v>23500</v>
      </c>
    </row>
    <row r="675" spans="1:5" ht="27.6">
      <c r="A675" s="2" t="s">
        <v>426</v>
      </c>
      <c r="B675" s="2" t="str">
        <f>"0301750"</f>
        <v>0301750</v>
      </c>
      <c r="C675" s="2" t="str">
        <f>"0301750"</f>
        <v>0301750</v>
      </c>
      <c r="D675" s="2" t="s">
        <v>932</v>
      </c>
      <c r="E675" s="4">
        <v>14200</v>
      </c>
    </row>
    <row r="676" spans="1:5" ht="27.6">
      <c r="A676" s="2" t="s">
        <v>426</v>
      </c>
      <c r="B676" s="2" t="s">
        <v>933</v>
      </c>
      <c r="C676" s="2" t="s">
        <v>933</v>
      </c>
      <c r="D676" s="2" t="s">
        <v>934</v>
      </c>
      <c r="E676" s="4">
        <v>16000</v>
      </c>
    </row>
    <row r="677" spans="1:5" ht="27.6">
      <c r="A677" s="2" t="s">
        <v>426</v>
      </c>
      <c r="B677" s="2" t="str">
        <f>"0127047"</f>
        <v>0127047</v>
      </c>
      <c r="C677" s="2" t="str">
        <f>"0127047"</f>
        <v>0127047</v>
      </c>
      <c r="D677" s="2" t="s">
        <v>935</v>
      </c>
      <c r="E677" s="4">
        <v>15100</v>
      </c>
    </row>
    <row r="678" spans="1:5" ht="27.6">
      <c r="A678" s="2" t="s">
        <v>426</v>
      </c>
      <c r="B678" s="2" t="str">
        <f>"01069"</f>
        <v>01069</v>
      </c>
      <c r="C678" s="2" t="str">
        <f>"01069"</f>
        <v>01069</v>
      </c>
      <c r="D678" s="2" t="s">
        <v>936</v>
      </c>
      <c r="E678" s="4">
        <v>1963</v>
      </c>
    </row>
    <row r="679" spans="1:5" ht="27.6">
      <c r="A679" s="2" t="s">
        <v>426</v>
      </c>
      <c r="B679" s="2" t="str">
        <f>"0127147"</f>
        <v>0127147</v>
      </c>
      <c r="C679" s="2" t="str">
        <f>"0127147"</f>
        <v>0127147</v>
      </c>
      <c r="D679" s="2" t="s">
        <v>937</v>
      </c>
      <c r="E679" s="4">
        <v>14900</v>
      </c>
    </row>
    <row r="680" spans="1:5" ht="27.6">
      <c r="A680" s="2" t="s">
        <v>426</v>
      </c>
      <c r="B680" s="2" t="str">
        <f>"0129447"</f>
        <v>0129447</v>
      </c>
      <c r="C680" s="2" t="str">
        <f>"0129447"</f>
        <v>0129447</v>
      </c>
      <c r="D680" s="2" t="s">
        <v>938</v>
      </c>
      <c r="E680" s="4">
        <v>15900</v>
      </c>
    </row>
    <row r="681" spans="1:5" ht="27.6">
      <c r="A681" s="2" t="s">
        <v>426</v>
      </c>
      <c r="B681" s="2" t="str">
        <f>"3310006L"</f>
        <v>3310006L</v>
      </c>
      <c r="C681" s="2" t="str">
        <f>"3310006L"</f>
        <v>3310006L</v>
      </c>
      <c r="D681" s="2" t="s">
        <v>939</v>
      </c>
      <c r="E681" s="4">
        <v>26800</v>
      </c>
    </row>
    <row r="682" spans="1:5" ht="27.6">
      <c r="A682" s="2" t="s">
        <v>426</v>
      </c>
      <c r="B682" s="2" t="str">
        <f>"090040607"</f>
        <v>090040607</v>
      </c>
      <c r="C682" s="2" t="str">
        <f>"090040607"</f>
        <v>090040607</v>
      </c>
      <c r="D682" s="2" t="s">
        <v>855</v>
      </c>
      <c r="E682" s="4">
        <v>19600</v>
      </c>
    </row>
    <row r="683" spans="1:5" ht="27.6">
      <c r="A683" s="2" t="s">
        <v>426</v>
      </c>
      <c r="B683" s="2" t="str">
        <f>"0018216"</f>
        <v>0018216</v>
      </c>
      <c r="C683" s="2" t="str">
        <f>"0018216"</f>
        <v>0018216</v>
      </c>
      <c r="D683" s="2" t="s">
        <v>940</v>
      </c>
      <c r="E683" s="4">
        <v>35000</v>
      </c>
    </row>
    <row r="684" spans="1:5" ht="27.6">
      <c r="A684" s="2" t="s">
        <v>426</v>
      </c>
      <c r="B684" s="2" t="str">
        <f>"0010446"</f>
        <v>0010446</v>
      </c>
      <c r="C684" s="2" t="str">
        <f>"1448290106"</f>
        <v>1448290106</v>
      </c>
      <c r="D684" s="2" t="s">
        <v>941</v>
      </c>
      <c r="E684" s="4">
        <v>29500</v>
      </c>
    </row>
    <row r="685" spans="1:5" ht="27.6">
      <c r="A685" s="2" t="s">
        <v>426</v>
      </c>
      <c r="B685" s="2" t="s">
        <v>942</v>
      </c>
      <c r="C685" s="2" t="s">
        <v>942</v>
      </c>
      <c r="D685" s="2" t="s">
        <v>943</v>
      </c>
      <c r="E685" s="4">
        <v>29500</v>
      </c>
    </row>
    <row r="686" spans="1:5" ht="27.6">
      <c r="A686" s="2" t="s">
        <v>426</v>
      </c>
      <c r="B686" s="2" t="str">
        <f>"090040608"</f>
        <v>090040608</v>
      </c>
      <c r="C686" s="2" t="str">
        <f>"090040608"</f>
        <v>090040608</v>
      </c>
      <c r="D686" s="2" t="s">
        <v>943</v>
      </c>
      <c r="E686" s="4">
        <v>19600</v>
      </c>
    </row>
    <row r="687" spans="1:5" ht="27.6">
      <c r="A687" s="2" t="s">
        <v>426</v>
      </c>
      <c r="B687" s="2" t="str">
        <f>"0018215"</f>
        <v>0018215</v>
      </c>
      <c r="C687" s="2" t="str">
        <f>"0018215"</f>
        <v>0018215</v>
      </c>
      <c r="D687" s="2" t="s">
        <v>944</v>
      </c>
      <c r="E687" s="4">
        <v>35000</v>
      </c>
    </row>
    <row r="688" spans="1:5" ht="27.6">
      <c r="A688" s="2" t="s">
        <v>426</v>
      </c>
      <c r="B688" s="2" t="str">
        <f>"0010445"</f>
        <v>0010445</v>
      </c>
      <c r="C688" s="2" t="str">
        <f>"0010445"</f>
        <v>0010445</v>
      </c>
      <c r="D688" s="2" t="s">
        <v>945</v>
      </c>
      <c r="E688" s="4">
        <v>29500</v>
      </c>
    </row>
    <row r="689" spans="1:5" ht="27.6">
      <c r="A689" s="2" t="s">
        <v>426</v>
      </c>
      <c r="B689" s="2" t="s">
        <v>946</v>
      </c>
      <c r="C689" s="2" t="s">
        <v>946</v>
      </c>
      <c r="D689" s="2" t="s">
        <v>947</v>
      </c>
      <c r="E689" s="4">
        <v>29500</v>
      </c>
    </row>
    <row r="690" spans="1:5" ht="27.6">
      <c r="A690" s="2" t="s">
        <v>426</v>
      </c>
      <c r="B690" s="2" t="str">
        <f>"090040007"</f>
        <v>090040007</v>
      </c>
      <c r="C690" s="2" t="str">
        <f>"090040007"</f>
        <v>090040007</v>
      </c>
      <c r="D690" s="2" t="s">
        <v>947</v>
      </c>
      <c r="E690" s="4">
        <v>18000</v>
      </c>
    </row>
    <row r="691" spans="1:5" ht="27.6">
      <c r="A691" s="2" t="s">
        <v>426</v>
      </c>
      <c r="B691" s="2" t="str">
        <f>"0010448"</f>
        <v>0010448</v>
      </c>
      <c r="C691" s="2" t="str">
        <f>"001448"</f>
        <v>001448</v>
      </c>
      <c r="D691" s="2" t="s">
        <v>948</v>
      </c>
      <c r="E691" s="4">
        <v>29500</v>
      </c>
    </row>
    <row r="692" spans="1:5" ht="27.6">
      <c r="A692" s="2" t="s">
        <v>426</v>
      </c>
      <c r="B692" s="2" t="str">
        <f>"0129347"</f>
        <v>0129347</v>
      </c>
      <c r="C692" s="2" t="str">
        <f>"0129347"</f>
        <v>0129347</v>
      </c>
      <c r="D692" s="2" t="s">
        <v>949</v>
      </c>
      <c r="E692" s="4">
        <v>17800</v>
      </c>
    </row>
    <row r="693" spans="1:5" ht="27.6">
      <c r="A693" s="2" t="s">
        <v>426</v>
      </c>
      <c r="B693" s="2" t="str">
        <f>"0018218"</f>
        <v>0018218</v>
      </c>
      <c r="C693" s="2" t="str">
        <f>"0018218"</f>
        <v>0018218</v>
      </c>
      <c r="D693" s="2" t="s">
        <v>950</v>
      </c>
      <c r="E693" s="4">
        <v>28600</v>
      </c>
    </row>
    <row r="694" spans="1:5" ht="27.6">
      <c r="A694" s="2" t="s">
        <v>426</v>
      </c>
      <c r="B694" s="2" t="s">
        <v>951</v>
      </c>
      <c r="C694" s="2" t="s">
        <v>951</v>
      </c>
      <c r="D694" s="2" t="s">
        <v>952</v>
      </c>
      <c r="E694" s="4">
        <v>24600</v>
      </c>
    </row>
    <row r="695" spans="1:5" ht="27.6">
      <c r="A695" s="2" t="s">
        <v>426</v>
      </c>
      <c r="B695" s="2" t="s">
        <v>953</v>
      </c>
      <c r="C695" s="2" t="s">
        <v>953</v>
      </c>
      <c r="D695" s="2" t="s">
        <v>954</v>
      </c>
      <c r="E695" s="4">
        <v>29500</v>
      </c>
    </row>
    <row r="696" spans="1:5" ht="27.6">
      <c r="A696" s="2" t="s">
        <v>426</v>
      </c>
      <c r="B696" s="2" t="str">
        <f>"090040008"</f>
        <v>090040008</v>
      </c>
      <c r="C696" s="2" t="str">
        <f>"090040008"</f>
        <v>090040008</v>
      </c>
      <c r="D696" s="2" t="s">
        <v>954</v>
      </c>
      <c r="E696" s="4">
        <v>18000</v>
      </c>
    </row>
    <row r="697" spans="1:5" ht="27.6">
      <c r="A697" s="2" t="s">
        <v>426</v>
      </c>
      <c r="B697" s="2" t="str">
        <f>"0010447"</f>
        <v>0010447</v>
      </c>
      <c r="C697" s="2" t="str">
        <f>"0010447"</f>
        <v>0010447</v>
      </c>
      <c r="D697" s="2" t="s">
        <v>955</v>
      </c>
      <c r="E697" s="4">
        <v>34000</v>
      </c>
    </row>
    <row r="698" spans="1:5" ht="27.6">
      <c r="A698" s="2" t="s">
        <v>426</v>
      </c>
      <c r="B698" s="2" t="str">
        <f>"0018217"</f>
        <v>0018217</v>
      </c>
      <c r="C698" s="2" t="str">
        <f>"0018217"</f>
        <v>0018217</v>
      </c>
      <c r="D698" s="2" t="s">
        <v>956</v>
      </c>
      <c r="E698" s="4">
        <v>28600</v>
      </c>
    </row>
    <row r="699" spans="1:5" ht="27.6">
      <c r="A699" s="2" t="s">
        <v>426</v>
      </c>
      <c r="B699" s="2" t="s">
        <v>957</v>
      </c>
      <c r="C699" s="2" t="s">
        <v>957</v>
      </c>
      <c r="D699" s="2" t="s">
        <v>958</v>
      </c>
      <c r="E699" s="4">
        <v>24600</v>
      </c>
    </row>
    <row r="700" spans="1:5" ht="27.6">
      <c r="A700" s="2" t="s">
        <v>426</v>
      </c>
      <c r="B700" s="2" t="str">
        <f>"0019489"</f>
        <v>0019489</v>
      </c>
      <c r="C700" s="2" t="str">
        <f>"0019489"</f>
        <v>0019489</v>
      </c>
      <c r="D700" s="2" t="s">
        <v>959</v>
      </c>
      <c r="E700" s="4">
        <v>22300</v>
      </c>
    </row>
    <row r="701" spans="1:5" ht="27.6">
      <c r="A701" s="2" t="s">
        <v>426</v>
      </c>
      <c r="B701" s="2" t="str">
        <f>"9952085"</f>
        <v>9952085</v>
      </c>
      <c r="C701" s="2" t="str">
        <f>"9952085"</f>
        <v>9952085</v>
      </c>
      <c r="D701" s="2" t="s">
        <v>960</v>
      </c>
      <c r="E701" s="4">
        <v>21400</v>
      </c>
    </row>
    <row r="702" spans="1:5" ht="27.6">
      <c r="A702" s="2" t="s">
        <v>426</v>
      </c>
      <c r="B702" s="2" t="str">
        <f>"0001605"</f>
        <v>0001605</v>
      </c>
      <c r="C702" s="2" t="str">
        <f>"0001605"</f>
        <v>0001605</v>
      </c>
      <c r="D702" s="2" t="s">
        <v>961</v>
      </c>
      <c r="E702" s="4">
        <v>15100</v>
      </c>
    </row>
    <row r="703" spans="1:5" ht="27.6">
      <c r="A703" s="2" t="s">
        <v>426</v>
      </c>
      <c r="B703" s="2" t="str">
        <f>"471020-7"</f>
        <v>471020-7</v>
      </c>
      <c r="C703" s="2" t="str">
        <f>"471020-7"</f>
        <v>471020-7</v>
      </c>
      <c r="D703" s="2" t="s">
        <v>962</v>
      </c>
      <c r="E703" s="4">
        <v>89000</v>
      </c>
    </row>
    <row r="704" spans="1:5" ht="27.6">
      <c r="A704" s="2" t="s">
        <v>426</v>
      </c>
      <c r="B704" s="2" t="str">
        <f>"471021-5"</f>
        <v>471021-5</v>
      </c>
      <c r="C704" s="2" t="str">
        <f>"471021-5"</f>
        <v>471021-5</v>
      </c>
      <c r="D704" s="2" t="s">
        <v>963</v>
      </c>
      <c r="E704" s="4">
        <v>89000</v>
      </c>
    </row>
    <row r="705" spans="1:5" ht="27.6">
      <c r="A705" s="2" t="s">
        <v>426</v>
      </c>
      <c r="B705" s="2" t="str">
        <f>"0001612"</f>
        <v>0001612</v>
      </c>
      <c r="C705" s="2" t="str">
        <f>"0001612"</f>
        <v>0001612</v>
      </c>
      <c r="D705" s="2" t="s">
        <v>964</v>
      </c>
      <c r="E705" s="4">
        <v>28000</v>
      </c>
    </row>
    <row r="706" spans="1:5" ht="27.6">
      <c r="A706" s="2" t="s">
        <v>426</v>
      </c>
      <c r="B706" s="2" t="str">
        <f>"0001604"</f>
        <v>0001604</v>
      </c>
      <c r="C706" s="2" t="str">
        <f>"0001604"</f>
        <v>0001604</v>
      </c>
      <c r="D706" s="2" t="s">
        <v>965</v>
      </c>
      <c r="E706" s="4">
        <v>59200</v>
      </c>
    </row>
    <row r="707" spans="1:5" ht="27.6">
      <c r="A707" s="2" t="s">
        <v>426</v>
      </c>
      <c r="B707" s="2" t="s">
        <v>966</v>
      </c>
      <c r="C707" s="2" t="s">
        <v>966</v>
      </c>
      <c r="D707" s="2" t="s">
        <v>967</v>
      </c>
      <c r="E707" s="4">
        <v>24000</v>
      </c>
    </row>
    <row r="708" spans="1:5" ht="27.6">
      <c r="A708" s="2" t="s">
        <v>426</v>
      </c>
      <c r="B708" s="2" t="str">
        <f>"207246-7"</f>
        <v>207246-7</v>
      </c>
      <c r="C708" s="2" t="str">
        <f>"207246-7"</f>
        <v>207246-7</v>
      </c>
      <c r="D708" s="2" t="s">
        <v>968</v>
      </c>
      <c r="E708" s="4">
        <v>76000</v>
      </c>
    </row>
    <row r="709" spans="1:5" ht="27.6">
      <c r="A709" s="2" t="s">
        <v>426</v>
      </c>
      <c r="B709" s="2" t="str">
        <f>"207245-9"</f>
        <v>207245-9</v>
      </c>
      <c r="C709" s="2" t="str">
        <f>"207245-9"</f>
        <v>207245-9</v>
      </c>
      <c r="D709" s="2" t="s">
        <v>969</v>
      </c>
      <c r="E709" s="4">
        <v>76000</v>
      </c>
    </row>
    <row r="710" spans="1:5" ht="27.6">
      <c r="A710" s="2" t="s">
        <v>426</v>
      </c>
      <c r="B710" s="2" t="s">
        <v>970</v>
      </c>
      <c r="C710" s="2" t="s">
        <v>970</v>
      </c>
      <c r="D710" s="2" t="s">
        <v>971</v>
      </c>
      <c r="E710" s="4">
        <v>24000</v>
      </c>
    </row>
    <row r="711" spans="1:5" ht="27.6">
      <c r="A711" s="2" t="s">
        <v>426</v>
      </c>
      <c r="B711" s="2" t="s">
        <v>972</v>
      </c>
      <c r="C711" s="2" t="s">
        <v>972</v>
      </c>
      <c r="D711" s="2" t="s">
        <v>973</v>
      </c>
      <c r="E711" s="4">
        <v>19400</v>
      </c>
    </row>
    <row r="712" spans="1:5" ht="27.6">
      <c r="A712" s="2" t="s">
        <v>426</v>
      </c>
      <c r="B712" s="2" t="s">
        <v>974</v>
      </c>
      <c r="C712" s="2" t="str">
        <f>"1696428893300"</f>
        <v>1696428893300</v>
      </c>
      <c r="D712" s="2" t="s">
        <v>975</v>
      </c>
      <c r="E712" s="4">
        <v>24000</v>
      </c>
    </row>
    <row r="713" spans="1:5" ht="27.6">
      <c r="A713" s="2" t="s">
        <v>426</v>
      </c>
      <c r="B713" s="2" t="str">
        <f>"000607174-0"</f>
        <v>000607174-0</v>
      </c>
      <c r="C713" s="2" t="str">
        <f>"607174-0"</f>
        <v>607174-0</v>
      </c>
      <c r="D713" s="2" t="s">
        <v>976</v>
      </c>
      <c r="E713" s="4">
        <v>285600</v>
      </c>
    </row>
    <row r="714" spans="1:5" ht="27.6">
      <c r="A714" s="2" t="s">
        <v>426</v>
      </c>
      <c r="B714" s="2" t="s">
        <v>977</v>
      </c>
      <c r="C714" s="2" t="s">
        <v>977</v>
      </c>
      <c r="D714" s="2" t="s">
        <v>978</v>
      </c>
      <c r="E714" s="4">
        <v>22300</v>
      </c>
    </row>
    <row r="715" spans="1:5" ht="27.6">
      <c r="A715" s="2" t="s">
        <v>426</v>
      </c>
      <c r="B715" s="2" t="str">
        <f>"090040321"</f>
        <v>090040321</v>
      </c>
      <c r="C715" s="2" t="str">
        <f>"090040321"</f>
        <v>090040321</v>
      </c>
      <c r="D715" s="2" t="s">
        <v>979</v>
      </c>
      <c r="E715" s="4">
        <v>23500</v>
      </c>
    </row>
    <row r="716" spans="1:5" ht="27.6">
      <c r="A716" s="2" t="s">
        <v>426</v>
      </c>
      <c r="B716" s="2" t="str">
        <f>"0010530"</f>
        <v>0010530</v>
      </c>
      <c r="C716" s="2" t="str">
        <f>"0010530"</f>
        <v>0010530</v>
      </c>
      <c r="D716" s="2" t="s">
        <v>980</v>
      </c>
      <c r="E716" s="4">
        <v>38500</v>
      </c>
    </row>
    <row r="717" spans="1:5" ht="27.6">
      <c r="A717" s="2" t="s">
        <v>426</v>
      </c>
      <c r="B717" s="2" t="str">
        <f>"090040322"</f>
        <v>090040322</v>
      </c>
      <c r="C717" s="2" t="str">
        <f>"090040322"</f>
        <v>090040322</v>
      </c>
      <c r="D717" s="2" t="s">
        <v>981</v>
      </c>
      <c r="E717" s="4">
        <v>23500</v>
      </c>
    </row>
    <row r="718" spans="1:5" ht="27.6">
      <c r="A718" s="2" t="s">
        <v>426</v>
      </c>
      <c r="B718" s="2" t="s">
        <v>982</v>
      </c>
      <c r="C718" s="2" t="s">
        <v>982</v>
      </c>
      <c r="D718" s="2" t="s">
        <v>983</v>
      </c>
      <c r="E718" s="4">
        <v>25500</v>
      </c>
    </row>
    <row r="719" spans="1:5" ht="27.6">
      <c r="A719" s="2" t="s">
        <v>426</v>
      </c>
      <c r="B719" s="2" t="s">
        <v>984</v>
      </c>
      <c r="C719" s="2" t="s">
        <v>984</v>
      </c>
      <c r="D719" s="2" t="s">
        <v>985</v>
      </c>
      <c r="E719" s="4">
        <v>58800</v>
      </c>
    </row>
    <row r="720" spans="1:5" ht="27.6">
      <c r="A720" s="2" t="s">
        <v>426</v>
      </c>
      <c r="B720" s="2" t="s">
        <v>986</v>
      </c>
      <c r="C720" s="2" t="s">
        <v>986</v>
      </c>
      <c r="D720" s="2" t="s">
        <v>987</v>
      </c>
      <c r="E720" s="4">
        <v>58800</v>
      </c>
    </row>
    <row r="721" spans="1:5" ht="27.6">
      <c r="A721" s="2" t="s">
        <v>426</v>
      </c>
      <c r="B721" s="2" t="str">
        <f>"0019488"</f>
        <v>0019488</v>
      </c>
      <c r="C721" s="2" t="str">
        <f>"0019488"</f>
        <v>0019488</v>
      </c>
      <c r="D721" s="2" t="s">
        <v>988</v>
      </c>
      <c r="E721" s="4">
        <v>29500</v>
      </c>
    </row>
    <row r="722" spans="1:5" ht="27.6">
      <c r="A722" s="2" t="s">
        <v>426</v>
      </c>
      <c r="B722" s="2" t="str">
        <f>"090040901"</f>
        <v>090040901</v>
      </c>
      <c r="C722" s="2" t="str">
        <f>"090040901"</f>
        <v>090040901</v>
      </c>
      <c r="D722" s="2" t="s">
        <v>989</v>
      </c>
      <c r="E722" s="4">
        <v>43000</v>
      </c>
    </row>
    <row r="723" spans="1:5" ht="27.6">
      <c r="A723" s="2" t="s">
        <v>426</v>
      </c>
      <c r="B723" s="2" t="str">
        <f>"0010473"</f>
        <v>0010473</v>
      </c>
      <c r="C723" s="2" t="str">
        <f>"0010473"</f>
        <v>0010473</v>
      </c>
      <c r="D723" s="2" t="s">
        <v>990</v>
      </c>
      <c r="E723" s="4">
        <v>43000</v>
      </c>
    </row>
    <row r="724" spans="1:5" ht="27.6">
      <c r="A724" s="2" t="s">
        <v>426</v>
      </c>
      <c r="B724" s="2" t="str">
        <f>"0006705"</f>
        <v>0006705</v>
      </c>
      <c r="C724" s="2" t="str">
        <f>"0006705"</f>
        <v>0006705</v>
      </c>
      <c r="D724" s="2" t="s">
        <v>991</v>
      </c>
      <c r="E724" s="4">
        <v>34000</v>
      </c>
    </row>
    <row r="725" spans="1:5" ht="27.6">
      <c r="A725" s="2" t="s">
        <v>426</v>
      </c>
      <c r="B725" s="2" t="str">
        <f>"0010471"</f>
        <v>0010471</v>
      </c>
      <c r="C725" s="2" t="str">
        <f>"0010471"</f>
        <v>0010471</v>
      </c>
      <c r="D725" s="2" t="s">
        <v>992</v>
      </c>
      <c r="E725" s="4">
        <v>32200</v>
      </c>
    </row>
    <row r="726" spans="1:5" ht="27.6">
      <c r="A726" s="2" t="s">
        <v>426</v>
      </c>
      <c r="B726" s="2" t="s">
        <v>993</v>
      </c>
      <c r="C726" s="2" t="s">
        <v>993</v>
      </c>
      <c r="D726" s="2" t="s">
        <v>994</v>
      </c>
      <c r="E726" s="4">
        <v>31300</v>
      </c>
    </row>
    <row r="727" spans="1:5" ht="27.6">
      <c r="A727" s="2" t="s">
        <v>426</v>
      </c>
      <c r="B727" s="2" t="s">
        <v>995</v>
      </c>
      <c r="C727" s="2" t="s">
        <v>995</v>
      </c>
      <c r="D727" s="2" t="s">
        <v>996</v>
      </c>
      <c r="E727" s="4">
        <v>27700</v>
      </c>
    </row>
    <row r="728" spans="1:5" ht="27.6">
      <c r="A728" s="2" t="s">
        <v>426</v>
      </c>
      <c r="B728" s="2" t="str">
        <f>"091040058"</f>
        <v>091040058</v>
      </c>
      <c r="C728" s="2" t="str">
        <f>"091040058"</f>
        <v>091040058</v>
      </c>
      <c r="D728" s="2" t="s">
        <v>997</v>
      </c>
      <c r="E728" s="4">
        <v>28000</v>
      </c>
    </row>
    <row r="729" spans="1:5" ht="27.6">
      <c r="A729" s="2" t="s">
        <v>426</v>
      </c>
      <c r="B729" s="2" t="str">
        <f>"091040059"</f>
        <v>091040059</v>
      </c>
      <c r="C729" s="2" t="str">
        <f>"091040059"</f>
        <v>091040059</v>
      </c>
      <c r="D729" s="2" t="s">
        <v>998</v>
      </c>
      <c r="E729" s="4">
        <v>28000</v>
      </c>
    </row>
    <row r="730" spans="1:5" ht="27.6">
      <c r="A730" s="2" t="s">
        <v>426</v>
      </c>
      <c r="B730" s="2" t="str">
        <f>"0010468"</f>
        <v>0010468</v>
      </c>
      <c r="C730" s="2" t="str">
        <f>"0010468"</f>
        <v>0010468</v>
      </c>
      <c r="D730" s="2" t="s">
        <v>999</v>
      </c>
      <c r="E730" s="4">
        <v>34000</v>
      </c>
    </row>
    <row r="731" spans="1:5" ht="27.6">
      <c r="A731" s="2" t="s">
        <v>426</v>
      </c>
      <c r="B731" s="2" t="str">
        <f>"0010472"</f>
        <v>0010472</v>
      </c>
      <c r="C731" s="2" t="str">
        <f>"0010472"</f>
        <v>0010472</v>
      </c>
      <c r="D731" s="2" t="s">
        <v>1000</v>
      </c>
      <c r="E731" s="4">
        <v>43000</v>
      </c>
    </row>
    <row r="732" spans="1:5" ht="27.6">
      <c r="A732" s="2" t="s">
        <v>426</v>
      </c>
      <c r="B732" s="2" t="s">
        <v>1001</v>
      </c>
      <c r="C732" s="2" t="s">
        <v>1001</v>
      </c>
      <c r="D732" s="2" t="s">
        <v>1002</v>
      </c>
      <c r="E732" s="4">
        <v>31300</v>
      </c>
    </row>
    <row r="733" spans="1:5" ht="27.6">
      <c r="A733" s="2" t="s">
        <v>426</v>
      </c>
      <c r="B733" s="2" t="str">
        <f>"290476"</f>
        <v>290476</v>
      </c>
      <c r="C733" s="2" t="str">
        <f>"290476"</f>
        <v>290476</v>
      </c>
      <c r="D733" s="2" t="s">
        <v>1003</v>
      </c>
      <c r="E733" s="4">
        <v>79000</v>
      </c>
    </row>
    <row r="734" spans="1:5" ht="27.6">
      <c r="A734" s="2" t="s">
        <v>426</v>
      </c>
      <c r="B734" s="2" t="s">
        <v>1004</v>
      </c>
      <c r="C734" s="2" t="s">
        <v>1004</v>
      </c>
      <c r="D734" s="2" t="s">
        <v>1005</v>
      </c>
      <c r="E734" s="4">
        <v>94000</v>
      </c>
    </row>
    <row r="735" spans="1:5" ht="27.6">
      <c r="A735" s="2" t="s">
        <v>426</v>
      </c>
      <c r="B735" s="2" t="s">
        <v>1006</v>
      </c>
      <c r="C735" s="2" t="str">
        <f>"70245-5"</f>
        <v>70245-5</v>
      </c>
      <c r="D735" s="2" t="s">
        <v>1007</v>
      </c>
      <c r="E735" s="4">
        <v>35000</v>
      </c>
    </row>
    <row r="736" spans="1:5" ht="27.6">
      <c r="A736" s="2" t="s">
        <v>426</v>
      </c>
      <c r="B736" s="2" t="s">
        <v>1008</v>
      </c>
      <c r="C736" s="2" t="str">
        <f>"70244-7"</f>
        <v>70244-7</v>
      </c>
      <c r="D736" s="2" t="s">
        <v>1009</v>
      </c>
      <c r="E736" s="4">
        <v>35000</v>
      </c>
    </row>
    <row r="737" spans="1:5" ht="27.6">
      <c r="A737" s="2" t="s">
        <v>426</v>
      </c>
      <c r="B737" s="2" t="s">
        <v>1010</v>
      </c>
      <c r="C737" s="2" t="str">
        <f>"71420-8"</f>
        <v>71420-8</v>
      </c>
      <c r="D737" s="2" t="s">
        <v>1011</v>
      </c>
      <c r="E737" s="4">
        <v>38000</v>
      </c>
    </row>
    <row r="738" spans="1:5" ht="27.6">
      <c r="A738" s="2" t="s">
        <v>426</v>
      </c>
      <c r="B738" s="2" t="str">
        <f>"0004493"</f>
        <v>0004493</v>
      </c>
      <c r="C738" s="2" t="str">
        <f>"0004493"</f>
        <v>0004493</v>
      </c>
      <c r="D738" s="2" t="s">
        <v>1012</v>
      </c>
      <c r="E738" s="4">
        <v>21400</v>
      </c>
    </row>
    <row r="739" spans="1:5" ht="27.6">
      <c r="A739" s="2" t="s">
        <v>426</v>
      </c>
      <c r="B739" s="2" t="str">
        <f>"0001601"</f>
        <v>0001601</v>
      </c>
      <c r="C739" s="2" t="str">
        <f>"0001601"</f>
        <v>0001601</v>
      </c>
      <c r="D739" s="2" t="s">
        <v>1013</v>
      </c>
      <c r="E739" s="4">
        <v>29000</v>
      </c>
    </row>
    <row r="740" spans="1:5" ht="27.6">
      <c r="A740" s="2" t="s">
        <v>426</v>
      </c>
      <c r="B740" s="2" t="str">
        <f>"34305G"</f>
        <v>34305G</v>
      </c>
      <c r="C740" s="2" t="str">
        <f>"34305G"</f>
        <v>34305G</v>
      </c>
      <c r="D740" s="2" t="s">
        <v>1014</v>
      </c>
      <c r="E740" s="4">
        <v>34000</v>
      </c>
    </row>
    <row r="741" spans="1:5" ht="27.6">
      <c r="A741" s="2" t="s">
        <v>426</v>
      </c>
      <c r="B741" s="2" t="str">
        <f>"0009329"</f>
        <v>0009329</v>
      </c>
      <c r="C741" s="2" t="str">
        <f>"0009329"</f>
        <v>0009329</v>
      </c>
      <c r="D741" s="2" t="s">
        <v>1015</v>
      </c>
      <c r="E741" s="4">
        <v>24100</v>
      </c>
    </row>
    <row r="742" spans="1:5" ht="27.6">
      <c r="A742" s="2" t="s">
        <v>426</v>
      </c>
      <c r="B742" s="2" t="str">
        <f>"0004492"</f>
        <v>0004492</v>
      </c>
      <c r="C742" s="2" t="str">
        <f>"0004492"</f>
        <v>0004492</v>
      </c>
      <c r="D742" s="2" t="s">
        <v>1016</v>
      </c>
      <c r="E742" s="4">
        <v>21400</v>
      </c>
    </row>
    <row r="743" spans="1:5" ht="27.6">
      <c r="A743" s="2" t="s">
        <v>426</v>
      </c>
      <c r="B743" s="2" t="str">
        <f>"0004991"</f>
        <v>0004991</v>
      </c>
      <c r="C743" s="2" t="str">
        <f>"0004991"</f>
        <v>0004991</v>
      </c>
      <c r="D743" s="2" t="s">
        <v>1017</v>
      </c>
      <c r="E743" s="4">
        <v>18700</v>
      </c>
    </row>
    <row r="744" spans="1:5" ht="27.6">
      <c r="A744" s="2" t="s">
        <v>426</v>
      </c>
      <c r="B744" s="2" t="str">
        <f>"090090328"</f>
        <v>090090328</v>
      </c>
      <c r="C744" s="2" t="str">
        <f>"090090328"</f>
        <v>090090328</v>
      </c>
      <c r="D744" s="2" t="s">
        <v>1018</v>
      </c>
      <c r="E744" s="4">
        <v>40460</v>
      </c>
    </row>
    <row r="745" spans="1:5" ht="27.6">
      <c r="A745" s="2" t="s">
        <v>426</v>
      </c>
      <c r="B745" s="2" t="str">
        <f>"001770016-2"</f>
        <v>001770016-2</v>
      </c>
      <c r="C745" s="2" t="str">
        <f>"001770016-2"</f>
        <v>001770016-2</v>
      </c>
      <c r="D745" s="2" t="s">
        <v>1019</v>
      </c>
      <c r="E745" s="4">
        <v>34000</v>
      </c>
    </row>
    <row r="746" spans="1:5" ht="27.6">
      <c r="A746" s="2" t="s">
        <v>426</v>
      </c>
      <c r="B746" s="2" t="s">
        <v>1020</v>
      </c>
      <c r="C746" s="2" t="s">
        <v>1020</v>
      </c>
      <c r="D746" s="2" t="s">
        <v>1021</v>
      </c>
      <c r="E746" s="4">
        <v>21400</v>
      </c>
    </row>
    <row r="747" spans="1:5" ht="27.6">
      <c r="A747" s="2" t="s">
        <v>426</v>
      </c>
      <c r="B747" s="2" t="s">
        <v>1022</v>
      </c>
      <c r="C747" s="2" t="s">
        <v>1022</v>
      </c>
      <c r="D747" s="2" t="s">
        <v>1023</v>
      </c>
      <c r="E747" s="4">
        <v>21400</v>
      </c>
    </row>
    <row r="748" spans="1:5" ht="27.6">
      <c r="A748" s="2" t="s">
        <v>426</v>
      </c>
      <c r="B748" s="2" t="str">
        <f>"0019572"</f>
        <v>0019572</v>
      </c>
      <c r="C748" s="2" t="str">
        <f>"0019572"</f>
        <v>0019572</v>
      </c>
      <c r="D748" s="2" t="s">
        <v>1023</v>
      </c>
      <c r="E748" s="4">
        <v>38500</v>
      </c>
    </row>
    <row r="749" spans="1:5" ht="27.6">
      <c r="A749" s="2" t="s">
        <v>426</v>
      </c>
      <c r="B749" s="2" t="str">
        <f>"001770110-K"</f>
        <v>001770110-K</v>
      </c>
      <c r="C749" s="2" t="str">
        <f>"001770110-K"</f>
        <v>001770110-K</v>
      </c>
      <c r="D749" s="2" t="s">
        <v>1024</v>
      </c>
      <c r="E749" s="4">
        <v>18700</v>
      </c>
    </row>
    <row r="750" spans="1:5" ht="27.6">
      <c r="A750" s="2" t="s">
        <v>426</v>
      </c>
      <c r="B750" s="2" t="str">
        <f>"0018226"</f>
        <v>0018226</v>
      </c>
      <c r="C750" s="2" t="str">
        <f>"0018226"</f>
        <v>0018226</v>
      </c>
      <c r="D750" s="2" t="s">
        <v>1025</v>
      </c>
      <c r="E750" s="4">
        <v>19600</v>
      </c>
    </row>
    <row r="751" spans="1:5" ht="27.6">
      <c r="A751" s="2" t="s">
        <v>426</v>
      </c>
      <c r="B751" s="2" t="str">
        <f>"0010484"</f>
        <v>0010484</v>
      </c>
      <c r="C751" s="2" t="str">
        <f>"0010484"</f>
        <v>0010484</v>
      </c>
      <c r="D751" s="2" t="s">
        <v>1026</v>
      </c>
      <c r="E751" s="4">
        <v>18700</v>
      </c>
    </row>
    <row r="752" spans="1:5" ht="27.6">
      <c r="A752" s="2" t="s">
        <v>426</v>
      </c>
      <c r="B752" s="2" t="str">
        <f>"0019570"</f>
        <v>0019570</v>
      </c>
      <c r="C752" s="2" t="str">
        <f>"0019570"</f>
        <v>0019570</v>
      </c>
      <c r="D752" s="2" t="s">
        <v>1027</v>
      </c>
      <c r="E752" s="4">
        <v>29500</v>
      </c>
    </row>
    <row r="753" spans="1:5" ht="27.6">
      <c r="A753" s="2" t="s">
        <v>426</v>
      </c>
      <c r="B753" s="2" t="str">
        <f>"0019571"</f>
        <v>0019571</v>
      </c>
      <c r="C753" s="2" t="str">
        <f>"0019571"</f>
        <v>0019571</v>
      </c>
      <c r="D753" s="2" t="s">
        <v>1028</v>
      </c>
      <c r="E753" s="4">
        <v>29500</v>
      </c>
    </row>
    <row r="754" spans="1:5" ht="27.6">
      <c r="A754" s="2" t="s">
        <v>426</v>
      </c>
      <c r="B754" s="2" t="s">
        <v>1029</v>
      </c>
      <c r="C754" s="2" t="s">
        <v>1029</v>
      </c>
      <c r="D754" s="2" t="s">
        <v>1030</v>
      </c>
      <c r="E754" s="4">
        <v>14200</v>
      </c>
    </row>
    <row r="755" spans="1:5" ht="27.6">
      <c r="A755" s="2" t="s">
        <v>426</v>
      </c>
      <c r="B755" s="2" t="str">
        <f>"090040045"</f>
        <v>090040045</v>
      </c>
      <c r="C755" s="2" t="str">
        <f>"090040045"</f>
        <v>090040045</v>
      </c>
      <c r="D755" s="2" t="s">
        <v>1031</v>
      </c>
      <c r="E755" s="4">
        <v>25500</v>
      </c>
    </row>
    <row r="756" spans="1:5" ht="27.6">
      <c r="A756" s="2" t="s">
        <v>426</v>
      </c>
      <c r="B756" s="2" t="str">
        <f>"2000510"</f>
        <v>2000510</v>
      </c>
      <c r="C756" s="2" t="str">
        <f>"2000510"</f>
        <v>2000510</v>
      </c>
      <c r="D756" s="2" t="s">
        <v>1031</v>
      </c>
      <c r="E756" s="4">
        <v>14200</v>
      </c>
    </row>
    <row r="757" spans="1:5" ht="27.6">
      <c r="A757" s="2" t="s">
        <v>426</v>
      </c>
      <c r="B757" s="2" t="s">
        <v>1032</v>
      </c>
      <c r="C757" s="2" t="s">
        <v>1032</v>
      </c>
      <c r="D757" s="2" t="s">
        <v>1033</v>
      </c>
      <c r="E757" s="4">
        <v>18700</v>
      </c>
    </row>
    <row r="758" spans="1:5" ht="27.6">
      <c r="A758" s="2" t="s">
        <v>426</v>
      </c>
      <c r="B758" s="2" t="s">
        <v>1034</v>
      </c>
      <c r="C758" s="2" t="s">
        <v>1034</v>
      </c>
      <c r="D758" s="2" t="s">
        <v>1035</v>
      </c>
      <c r="E758" s="4">
        <v>18700</v>
      </c>
    </row>
    <row r="759" spans="1:5" ht="27.6">
      <c r="A759" s="2" t="s">
        <v>426</v>
      </c>
      <c r="B759" s="2" t="s">
        <v>1036</v>
      </c>
      <c r="C759" s="2" t="s">
        <v>1036</v>
      </c>
      <c r="D759" s="2" t="s">
        <v>1037</v>
      </c>
      <c r="E759" s="4">
        <v>49300</v>
      </c>
    </row>
    <row r="760" spans="1:5" ht="27.6">
      <c r="A760" s="2" t="s">
        <v>426</v>
      </c>
      <c r="B760" s="2" t="s">
        <v>1038</v>
      </c>
      <c r="C760" s="2" t="s">
        <v>1038</v>
      </c>
      <c r="D760" s="2" t="s">
        <v>1039</v>
      </c>
      <c r="E760" s="4">
        <v>29334</v>
      </c>
    </row>
    <row r="761" spans="1:5" ht="27.6">
      <c r="A761" s="2" t="s">
        <v>426</v>
      </c>
      <c r="B761" s="2" t="str">
        <f>"090040057"</f>
        <v>090040057</v>
      </c>
      <c r="C761" s="2" t="str">
        <f>"090040057"</f>
        <v>090040057</v>
      </c>
      <c r="D761" s="2" t="s">
        <v>1040</v>
      </c>
      <c r="E761" s="4">
        <v>18700</v>
      </c>
    </row>
    <row r="762" spans="1:5" ht="27.6">
      <c r="A762" s="2" t="s">
        <v>426</v>
      </c>
      <c r="B762" s="2" t="s">
        <v>1041</v>
      </c>
      <c r="C762" s="2" t="s">
        <v>1041</v>
      </c>
      <c r="D762" s="2" t="s">
        <v>1042</v>
      </c>
      <c r="E762" s="4">
        <v>49300</v>
      </c>
    </row>
    <row r="763" spans="1:5" ht="27.6">
      <c r="A763" s="2" t="s">
        <v>426</v>
      </c>
      <c r="B763" s="2" t="str">
        <f>"290825"</f>
        <v>290825</v>
      </c>
      <c r="C763" s="2" t="str">
        <f>"290825"</f>
        <v>290825</v>
      </c>
      <c r="D763" s="2" t="s">
        <v>1043</v>
      </c>
      <c r="E763" s="4">
        <v>48700</v>
      </c>
    </row>
    <row r="764" spans="1:5" ht="27.6">
      <c r="A764" s="2" t="s">
        <v>426</v>
      </c>
      <c r="B764" s="2" t="s">
        <v>1044</v>
      </c>
      <c r="C764" s="2" t="s">
        <v>1045</v>
      </c>
      <c r="D764" s="2" t="s">
        <v>1046</v>
      </c>
      <c r="E764" s="4">
        <v>9800</v>
      </c>
    </row>
    <row r="765" spans="1:5" ht="27.6">
      <c r="A765" s="2" t="s">
        <v>426</v>
      </c>
      <c r="B765" s="2" t="s">
        <v>1047</v>
      </c>
      <c r="C765" s="2" t="s">
        <v>1047</v>
      </c>
      <c r="D765" s="2" t="s">
        <v>1048</v>
      </c>
      <c r="E765" s="4">
        <v>49300</v>
      </c>
    </row>
    <row r="766" spans="1:5" ht="27.6">
      <c r="A766" s="2" t="s">
        <v>426</v>
      </c>
      <c r="B766" s="2" t="s">
        <v>1049</v>
      </c>
      <c r="C766" s="2" t="s">
        <v>1049</v>
      </c>
      <c r="D766" s="2" t="s">
        <v>1050</v>
      </c>
      <c r="E766" s="4">
        <v>29500</v>
      </c>
    </row>
    <row r="767" spans="1:5" ht="27.6">
      <c r="A767" s="2" t="s">
        <v>426</v>
      </c>
      <c r="B767" s="2" t="str">
        <f>"0010485"</f>
        <v>0010485</v>
      </c>
      <c r="C767" s="2" t="str">
        <f>"0010485"</f>
        <v>0010485</v>
      </c>
      <c r="D767" s="2" t="s">
        <v>1051</v>
      </c>
      <c r="E767" s="4">
        <v>38500</v>
      </c>
    </row>
    <row r="768" spans="1:5" ht="27.6">
      <c r="A768" s="2" t="s">
        <v>426</v>
      </c>
      <c r="B768" s="2" t="str">
        <f>"0010489"</f>
        <v>0010489</v>
      </c>
      <c r="C768" s="2" t="str">
        <f>"0010489"</f>
        <v>0010489</v>
      </c>
      <c r="D768" s="2" t="s">
        <v>1052</v>
      </c>
      <c r="E768" s="4">
        <v>27000</v>
      </c>
    </row>
    <row r="769" spans="1:5" ht="27.6">
      <c r="A769" s="2" t="s">
        <v>426</v>
      </c>
      <c r="B769" s="2" t="s">
        <v>1053</v>
      </c>
      <c r="C769" s="2" t="s">
        <v>1053</v>
      </c>
      <c r="D769" s="2" t="s">
        <v>1054</v>
      </c>
      <c r="E769" s="4">
        <v>49000</v>
      </c>
    </row>
    <row r="770" spans="1:5" ht="27.6">
      <c r="A770" s="2" t="s">
        <v>426</v>
      </c>
      <c r="B770" s="2" t="s">
        <v>1055</v>
      </c>
      <c r="C770" s="2" t="s">
        <v>1055</v>
      </c>
      <c r="D770" s="2" t="s">
        <v>1056</v>
      </c>
      <c r="E770" s="4">
        <v>49000</v>
      </c>
    </row>
    <row r="771" spans="1:5" ht="27.6">
      <c r="A771" s="2" t="s">
        <v>426</v>
      </c>
      <c r="B771" s="2" t="str">
        <f>"001770099-5"</f>
        <v>001770099-5</v>
      </c>
      <c r="C771" s="2" t="str">
        <f>"001770099-5"</f>
        <v>001770099-5</v>
      </c>
      <c r="D771" s="2" t="s">
        <v>1057</v>
      </c>
      <c r="E771" s="4">
        <v>28600</v>
      </c>
    </row>
    <row r="772" spans="1:5" ht="27.6">
      <c r="A772" s="2" t="s">
        <v>426</v>
      </c>
      <c r="B772" s="2" t="s">
        <v>1058</v>
      </c>
      <c r="C772" s="2" t="s">
        <v>1058</v>
      </c>
      <c r="D772" s="2" t="s">
        <v>1059</v>
      </c>
      <c r="E772" s="4">
        <v>25000</v>
      </c>
    </row>
    <row r="773" spans="1:5" ht="27.6">
      <c r="A773" s="2" t="s">
        <v>426</v>
      </c>
      <c r="B773" s="2" t="s">
        <v>1060</v>
      </c>
      <c r="C773" s="2" t="s">
        <v>1060</v>
      </c>
      <c r="D773" s="2" t="s">
        <v>1061</v>
      </c>
      <c r="E773" s="4">
        <v>27700</v>
      </c>
    </row>
    <row r="774" spans="1:5" ht="27.6">
      <c r="A774" s="2" t="s">
        <v>426</v>
      </c>
      <c r="B774" s="2" t="str">
        <f>"0019574"</f>
        <v>0019574</v>
      </c>
      <c r="C774" s="2" t="str">
        <f>"0019574"</f>
        <v>0019574</v>
      </c>
      <c r="D774" s="2" t="s">
        <v>1062</v>
      </c>
      <c r="E774" s="4">
        <v>38500</v>
      </c>
    </row>
    <row r="775" spans="1:5" ht="27.6">
      <c r="A775" s="2" t="s">
        <v>426</v>
      </c>
      <c r="B775" s="2" t="s">
        <v>1063</v>
      </c>
      <c r="C775" s="2" t="s">
        <v>1063</v>
      </c>
      <c r="D775" s="2" t="s">
        <v>1064</v>
      </c>
      <c r="E775" s="4">
        <v>16900</v>
      </c>
    </row>
    <row r="776" spans="1:5" ht="27.6">
      <c r="A776" s="2" t="s">
        <v>426</v>
      </c>
      <c r="B776" s="2" t="str">
        <f>"0019575"</f>
        <v>0019575</v>
      </c>
      <c r="C776" s="2" t="str">
        <f>"0019575"</f>
        <v>0019575</v>
      </c>
      <c r="D776" s="2" t="s">
        <v>1065</v>
      </c>
      <c r="E776" s="4">
        <v>38500</v>
      </c>
    </row>
    <row r="777" spans="1:5" ht="27.6">
      <c r="A777" s="2" t="s">
        <v>426</v>
      </c>
      <c r="B777" s="2" t="s">
        <v>1066</v>
      </c>
      <c r="C777" s="2" t="s">
        <v>1066</v>
      </c>
      <c r="D777" s="2" t="s">
        <v>1067</v>
      </c>
      <c r="E777" s="4">
        <v>29500</v>
      </c>
    </row>
    <row r="778" spans="1:5" ht="27.6">
      <c r="A778" s="2" t="s">
        <v>426</v>
      </c>
      <c r="B778" s="2" t="s">
        <v>1068</v>
      </c>
      <c r="C778" s="2" t="s">
        <v>1068</v>
      </c>
      <c r="D778" s="2" t="s">
        <v>1069</v>
      </c>
      <c r="E778" s="4">
        <v>13000</v>
      </c>
    </row>
    <row r="779" spans="1:5" ht="27.6">
      <c r="A779" s="2" t="s">
        <v>426</v>
      </c>
      <c r="B779" s="2" t="s">
        <v>1070</v>
      </c>
      <c r="C779" s="2" t="s">
        <v>1070</v>
      </c>
      <c r="D779" s="2" t="s">
        <v>1071</v>
      </c>
      <c r="E779" s="4">
        <v>21500</v>
      </c>
    </row>
    <row r="780" spans="1:5" ht="27.6">
      <c r="A780" s="2" t="s">
        <v>426</v>
      </c>
      <c r="B780" s="2" t="s">
        <v>1072</v>
      </c>
      <c r="C780" s="2" t="s">
        <v>1072</v>
      </c>
      <c r="D780" s="2" t="s">
        <v>1073</v>
      </c>
      <c r="E780" s="4">
        <v>22000</v>
      </c>
    </row>
    <row r="781" spans="1:5" ht="27.6">
      <c r="A781" s="2" t="s">
        <v>426</v>
      </c>
      <c r="B781" s="2" t="s">
        <v>1074</v>
      </c>
      <c r="C781" s="2" t="s">
        <v>1074</v>
      </c>
      <c r="D781" s="2" t="s">
        <v>1075</v>
      </c>
      <c r="E781" s="4">
        <v>24060</v>
      </c>
    </row>
    <row r="782" spans="1:5" ht="27.6">
      <c r="A782" s="2" t="s">
        <v>426</v>
      </c>
      <c r="B782" s="2" t="str">
        <f>"091040020"</f>
        <v>091040020</v>
      </c>
      <c r="C782" s="2" t="str">
        <f>"091040020"</f>
        <v>091040020</v>
      </c>
      <c r="D782" s="2" t="s">
        <v>1076</v>
      </c>
      <c r="E782" s="4">
        <v>12400</v>
      </c>
    </row>
    <row r="783" spans="1:5" ht="27.6">
      <c r="A783" s="2" t="s">
        <v>426</v>
      </c>
      <c r="B783" s="2" t="s">
        <v>1077</v>
      </c>
      <c r="C783" s="2" t="s">
        <v>1077</v>
      </c>
      <c r="D783" s="2" t="s">
        <v>1078</v>
      </c>
      <c r="E783" s="4">
        <v>12400</v>
      </c>
    </row>
    <row r="784" spans="1:5" ht="27.6">
      <c r="A784" s="2" t="s">
        <v>426</v>
      </c>
      <c r="B784" s="2" t="str">
        <f>"0020289"</f>
        <v>0020289</v>
      </c>
      <c r="C784" s="2" t="str">
        <f>"0020289"</f>
        <v>0020289</v>
      </c>
      <c r="D784" s="2" t="s">
        <v>1079</v>
      </c>
      <c r="E784" s="4">
        <v>18700</v>
      </c>
    </row>
    <row r="785" spans="1:5" ht="27.6">
      <c r="A785" s="2" t="s">
        <v>426</v>
      </c>
      <c r="B785" s="2" t="s">
        <v>1080</v>
      </c>
      <c r="C785" s="2" t="s">
        <v>1080</v>
      </c>
      <c r="D785" s="2" t="s">
        <v>1081</v>
      </c>
      <c r="E785" s="4">
        <v>19600</v>
      </c>
    </row>
    <row r="786" spans="1:5" ht="27.6">
      <c r="A786" s="2" t="s">
        <v>426</v>
      </c>
      <c r="B786" s="2" t="str">
        <f>"0020290"</f>
        <v>0020290</v>
      </c>
      <c r="C786" s="2" t="str">
        <f>"0020290"</f>
        <v>0020290</v>
      </c>
      <c r="D786" s="2" t="s">
        <v>1082</v>
      </c>
      <c r="E786" s="4">
        <v>18700</v>
      </c>
    </row>
    <row r="787" spans="1:5" ht="27.6">
      <c r="A787" s="2" t="s">
        <v>426</v>
      </c>
      <c r="B787" s="2" t="str">
        <f>"632051"</f>
        <v>632051</v>
      </c>
      <c r="C787" s="2" t="str">
        <f>"632051"</f>
        <v>632051</v>
      </c>
      <c r="D787" s="2" t="s">
        <v>1083</v>
      </c>
      <c r="E787" s="4">
        <v>22500</v>
      </c>
    </row>
    <row r="788" spans="1:5" ht="27.6">
      <c r="A788" s="2" t="s">
        <v>426</v>
      </c>
      <c r="B788" s="2" t="str">
        <f>"632050"</f>
        <v>632050</v>
      </c>
      <c r="C788" s="2" t="str">
        <f>"632050"</f>
        <v>632050</v>
      </c>
      <c r="D788" s="2" t="s">
        <v>1084</v>
      </c>
      <c r="E788" s="4">
        <v>22500</v>
      </c>
    </row>
    <row r="789" spans="1:5" ht="27.6">
      <c r="A789" s="2" t="s">
        <v>426</v>
      </c>
      <c r="B789" s="2" t="s">
        <v>1085</v>
      </c>
      <c r="C789" s="2" t="s">
        <v>1085</v>
      </c>
      <c r="D789" s="2" t="s">
        <v>1086</v>
      </c>
      <c r="E789" s="4">
        <v>10800</v>
      </c>
    </row>
    <row r="790" spans="1:5" ht="27.6">
      <c r="A790" s="2" t="s">
        <v>426</v>
      </c>
      <c r="B790" s="2" t="str">
        <f>"7342025"</f>
        <v>7342025</v>
      </c>
      <c r="C790" s="2" t="str">
        <f>"7342025"</f>
        <v>7342025</v>
      </c>
      <c r="D790" s="2" t="s">
        <v>1087</v>
      </c>
      <c r="E790" s="4">
        <v>11800</v>
      </c>
    </row>
    <row r="791" spans="1:5" ht="27.6">
      <c r="A791" s="2" t="s">
        <v>426</v>
      </c>
      <c r="B791" s="2" t="str">
        <f>"090040069"</f>
        <v>090040069</v>
      </c>
      <c r="C791" s="2" t="str">
        <f>"090040069"</f>
        <v>090040069</v>
      </c>
      <c r="D791" s="2" t="s">
        <v>1088</v>
      </c>
      <c r="E791" s="4">
        <v>11500</v>
      </c>
    </row>
    <row r="792" spans="1:5" ht="27.6">
      <c r="A792" s="2" t="s">
        <v>426</v>
      </c>
      <c r="B792" s="2" t="str">
        <f>"8016630"</f>
        <v>8016630</v>
      </c>
      <c r="C792" s="2" t="str">
        <f>"8016630"</f>
        <v>8016630</v>
      </c>
      <c r="D792" s="2" t="s">
        <v>1089</v>
      </c>
      <c r="E792" s="4">
        <v>11500</v>
      </c>
    </row>
    <row r="793" spans="1:5" ht="27.6">
      <c r="A793" s="2" t="s">
        <v>426</v>
      </c>
      <c r="B793" s="2" t="s">
        <v>1090</v>
      </c>
      <c r="C793" s="2" t="s">
        <v>1090</v>
      </c>
      <c r="D793" s="2" t="s">
        <v>1091</v>
      </c>
      <c r="E793" s="4">
        <v>11500</v>
      </c>
    </row>
    <row r="794" spans="1:5" ht="27.6">
      <c r="A794" s="2" t="s">
        <v>426</v>
      </c>
      <c r="B794" s="2" t="s">
        <v>1092</v>
      </c>
      <c r="C794" s="2" t="s">
        <v>1092</v>
      </c>
      <c r="D794" s="2" t="s">
        <v>1093</v>
      </c>
      <c r="E794" s="4">
        <v>21400</v>
      </c>
    </row>
    <row r="795" spans="1:5" ht="27.6">
      <c r="A795" s="2" t="s">
        <v>426</v>
      </c>
      <c r="B795" s="2" t="str">
        <f>"42150G"</f>
        <v>42150G</v>
      </c>
      <c r="C795" s="2" t="str">
        <f>"42150G"</f>
        <v>42150G</v>
      </c>
      <c r="D795" s="2" t="s">
        <v>1094</v>
      </c>
      <c r="E795" s="4">
        <v>17800</v>
      </c>
    </row>
    <row r="796" spans="1:5" ht="27.6">
      <c r="A796" s="2" t="s">
        <v>426</v>
      </c>
      <c r="B796" s="2" t="str">
        <f>"1815104"</f>
        <v>1815104</v>
      </c>
      <c r="C796" s="2" t="str">
        <f>"1815104"</f>
        <v>1815104</v>
      </c>
      <c r="D796" s="2" t="s">
        <v>1095</v>
      </c>
      <c r="E796" s="4">
        <v>23200</v>
      </c>
    </row>
    <row r="797" spans="1:5" ht="27.6">
      <c r="A797" s="2" t="s">
        <v>426</v>
      </c>
      <c r="B797" s="2" t="str">
        <f>"1325104"</f>
        <v>1325104</v>
      </c>
      <c r="C797" s="2" t="str">
        <f>"1325104"</f>
        <v>1325104</v>
      </c>
      <c r="D797" s="2" t="s">
        <v>1096</v>
      </c>
      <c r="E797" s="4">
        <v>23200</v>
      </c>
    </row>
    <row r="798" spans="1:5" ht="27.6">
      <c r="A798" s="2" t="s">
        <v>426</v>
      </c>
      <c r="B798" s="2" t="s">
        <v>1097</v>
      </c>
      <c r="C798" s="2" t="s">
        <v>1097</v>
      </c>
      <c r="D798" s="2" t="s">
        <v>1098</v>
      </c>
      <c r="E798" s="4">
        <v>16000</v>
      </c>
    </row>
    <row r="799" spans="1:5" ht="27.6">
      <c r="A799" s="2" t="s">
        <v>426</v>
      </c>
      <c r="B799" s="2" t="str">
        <f>"0001600"</f>
        <v>0001600</v>
      </c>
      <c r="C799" s="2" t="str">
        <f>"0001600"</f>
        <v>0001600</v>
      </c>
      <c r="D799" s="2" t="s">
        <v>1099</v>
      </c>
      <c r="E799" s="4">
        <v>28000</v>
      </c>
    </row>
    <row r="800" spans="1:5" ht="27.6">
      <c r="A800" s="2" t="s">
        <v>426</v>
      </c>
      <c r="B800" s="2" t="str">
        <f>"0001602"</f>
        <v>0001602</v>
      </c>
      <c r="C800" s="2" t="str">
        <f>"0001602"</f>
        <v>0001602</v>
      </c>
      <c r="D800" s="2" t="s">
        <v>1100</v>
      </c>
      <c r="E800" s="4">
        <v>17800</v>
      </c>
    </row>
    <row r="801" spans="1:5" ht="27.6">
      <c r="A801" s="2" t="s">
        <v>426</v>
      </c>
      <c r="B801" s="2" t="str">
        <f>"481217"</f>
        <v>481217</v>
      </c>
      <c r="C801" s="2" t="str">
        <f>"481217"</f>
        <v>481217</v>
      </c>
      <c r="D801" s="2" t="s">
        <v>1101</v>
      </c>
      <c r="E801" s="4">
        <v>55500</v>
      </c>
    </row>
    <row r="802" spans="1:5" ht="27.6">
      <c r="A802" s="2" t="s">
        <v>426</v>
      </c>
      <c r="B802" s="2" t="str">
        <f>"312827"</f>
        <v>312827</v>
      </c>
      <c r="C802" s="2" t="str">
        <f>"312827"</f>
        <v>312827</v>
      </c>
      <c r="D802" s="2" t="s">
        <v>1102</v>
      </c>
      <c r="E802" s="4">
        <v>43000</v>
      </c>
    </row>
    <row r="803" spans="1:5" ht="27.6">
      <c r="A803" s="2" t="s">
        <v>426</v>
      </c>
      <c r="B803" s="2" t="s">
        <v>1103</v>
      </c>
      <c r="C803" s="2" t="s">
        <v>1103</v>
      </c>
      <c r="D803" s="2" t="s">
        <v>1104</v>
      </c>
      <c r="E803" s="4">
        <v>17800</v>
      </c>
    </row>
    <row r="804" spans="1:5" ht="27.6">
      <c r="A804" s="2" t="s">
        <v>426</v>
      </c>
      <c r="B804" s="2" t="str">
        <f>"0021375"</f>
        <v>0021375</v>
      </c>
      <c r="C804" s="2" t="str">
        <f>"0021375"</f>
        <v>0021375</v>
      </c>
      <c r="D804" s="2" t="s">
        <v>1105</v>
      </c>
      <c r="E804" s="4">
        <v>18700</v>
      </c>
    </row>
    <row r="805" spans="1:5" ht="27.6">
      <c r="A805" s="2" t="s">
        <v>426</v>
      </c>
      <c r="B805" s="2" t="s">
        <v>1106</v>
      </c>
      <c r="C805" s="2" t="s">
        <v>1106</v>
      </c>
      <c r="D805" s="2" t="s">
        <v>1107</v>
      </c>
      <c r="E805" s="4">
        <v>24100</v>
      </c>
    </row>
    <row r="806" spans="1:5" ht="27.6">
      <c r="A806" s="2" t="s">
        <v>426</v>
      </c>
      <c r="B806" s="2" t="s">
        <v>1108</v>
      </c>
      <c r="C806" s="2" t="s">
        <v>1108</v>
      </c>
      <c r="D806" s="2" t="s">
        <v>1109</v>
      </c>
      <c r="E806" s="4">
        <v>25500</v>
      </c>
    </row>
    <row r="807" spans="1:5" ht="27.6">
      <c r="A807" s="2" t="s">
        <v>426</v>
      </c>
      <c r="B807" s="2" t="str">
        <f>"69507"</f>
        <v>69507</v>
      </c>
      <c r="C807" s="2" t="str">
        <f>"69507"</f>
        <v>69507</v>
      </c>
      <c r="D807" s="2" t="s">
        <v>1110</v>
      </c>
      <c r="E807" s="4">
        <v>22300</v>
      </c>
    </row>
    <row r="808" spans="1:5" ht="27.6">
      <c r="A808" s="2" t="s">
        <v>426</v>
      </c>
      <c r="B808" s="2" t="str">
        <f>"0020587"</f>
        <v>0020587</v>
      </c>
      <c r="C808" s="2" t="str">
        <f>"0020587"</f>
        <v>0020587</v>
      </c>
      <c r="D808" s="2" t="s">
        <v>1111</v>
      </c>
      <c r="E808" s="4">
        <v>19600</v>
      </c>
    </row>
    <row r="809" spans="1:5" ht="27.6">
      <c r="A809" s="2" t="s">
        <v>426</v>
      </c>
      <c r="B809" s="2" t="str">
        <f>"0010488"</f>
        <v>0010488</v>
      </c>
      <c r="C809" s="2" t="str">
        <f>"0010488"</f>
        <v>0010488</v>
      </c>
      <c r="D809" s="2" t="s">
        <v>1112</v>
      </c>
      <c r="E809" s="4">
        <v>27000</v>
      </c>
    </row>
    <row r="810" spans="1:5" ht="27.6">
      <c r="A810" s="2" t="s">
        <v>426</v>
      </c>
      <c r="B810" s="2" t="str">
        <f>"240080"</f>
        <v>240080</v>
      </c>
      <c r="C810" s="2" t="str">
        <f>"240080"</f>
        <v>240080</v>
      </c>
      <c r="D810" s="2" t="s">
        <v>1113</v>
      </c>
      <c r="E810" s="4">
        <v>22000</v>
      </c>
    </row>
    <row r="811" spans="1:5" ht="27.6">
      <c r="A811" s="2" t="s">
        <v>426</v>
      </c>
      <c r="B811" s="2" t="str">
        <f>"0010505"</f>
        <v>0010505</v>
      </c>
      <c r="C811" s="2" t="str">
        <f>"0010505"</f>
        <v>0010505</v>
      </c>
      <c r="D811" s="2" t="s">
        <v>1114</v>
      </c>
      <c r="E811" s="4">
        <v>19600</v>
      </c>
    </row>
    <row r="812" spans="1:5" ht="27.6">
      <c r="A812" s="2" t="s">
        <v>426</v>
      </c>
      <c r="B812" s="2" t="s">
        <v>1115</v>
      </c>
      <c r="C812" s="2" t="s">
        <v>1115</v>
      </c>
      <c r="D812" s="2" t="s">
        <v>1116</v>
      </c>
      <c r="E812" s="4">
        <v>32000</v>
      </c>
    </row>
    <row r="813" spans="1:5" ht="27.6">
      <c r="A813" s="2" t="s">
        <v>426</v>
      </c>
      <c r="B813" s="2" t="str">
        <f>"0010493"</f>
        <v>0010493</v>
      </c>
      <c r="C813" s="2" t="str">
        <f>"0010493"</f>
        <v>0010493</v>
      </c>
      <c r="D813" s="2" t="s">
        <v>1117</v>
      </c>
      <c r="E813" s="4">
        <v>19000</v>
      </c>
    </row>
    <row r="814" spans="1:5" ht="27.6">
      <c r="A814" s="2" t="s">
        <v>426</v>
      </c>
      <c r="B814" s="2" t="str">
        <f>"0010363"</f>
        <v>0010363</v>
      </c>
      <c r="C814" s="2" t="str">
        <f>"0010363"</f>
        <v>0010363</v>
      </c>
      <c r="D814" s="2" t="s">
        <v>1118</v>
      </c>
      <c r="E814" s="4">
        <v>21400</v>
      </c>
    </row>
    <row r="815" spans="1:5" ht="27.6">
      <c r="A815" s="2" t="s">
        <v>426</v>
      </c>
      <c r="B815" s="2" t="s">
        <v>1119</v>
      </c>
      <c r="C815" s="2" t="s">
        <v>1119</v>
      </c>
      <c r="D815" s="2" t="s">
        <v>1120</v>
      </c>
      <c r="E815" s="4">
        <v>45000</v>
      </c>
    </row>
    <row r="816" spans="1:5" ht="27.6">
      <c r="A816" s="2" t="s">
        <v>426</v>
      </c>
      <c r="B816" s="2" t="s">
        <v>1121</v>
      </c>
      <c r="C816" s="2" t="s">
        <v>1121</v>
      </c>
      <c r="D816" s="2" t="s">
        <v>1120</v>
      </c>
      <c r="E816" s="4">
        <v>47000</v>
      </c>
    </row>
    <row r="817" spans="1:5" ht="27.6">
      <c r="A817" s="2" t="s">
        <v>426</v>
      </c>
      <c r="B817" s="2" t="s">
        <v>1122</v>
      </c>
      <c r="C817" s="2" t="s">
        <v>1122</v>
      </c>
      <c r="D817" s="2" t="s">
        <v>1123</v>
      </c>
      <c r="E817" s="4">
        <v>68000</v>
      </c>
    </row>
    <row r="818" spans="1:5" ht="27.6">
      <c r="A818" s="2" t="s">
        <v>426</v>
      </c>
      <c r="B818" s="2" t="str">
        <f>"0013583"</f>
        <v>0013583</v>
      </c>
      <c r="C818" s="2" t="str">
        <f>"0013583"</f>
        <v>0013583</v>
      </c>
      <c r="D818" s="2" t="s">
        <v>1124</v>
      </c>
      <c r="E818" s="4">
        <v>19600</v>
      </c>
    </row>
    <row r="819" spans="1:5" ht="27.6">
      <c r="A819" s="2" t="s">
        <v>426</v>
      </c>
      <c r="B819" s="2" t="s">
        <v>1125</v>
      </c>
      <c r="C819" s="2" t="s">
        <v>1126</v>
      </c>
      <c r="D819" s="2" t="s">
        <v>1127</v>
      </c>
      <c r="E819" s="4">
        <v>45000</v>
      </c>
    </row>
    <row r="820" spans="1:5" ht="27.6">
      <c r="A820" s="2" t="s">
        <v>426</v>
      </c>
      <c r="B820" s="2" t="s">
        <v>1128</v>
      </c>
      <c r="C820" s="2" t="s">
        <v>1128</v>
      </c>
      <c r="D820" s="2" t="s">
        <v>1129</v>
      </c>
      <c r="E820" s="4">
        <v>43000</v>
      </c>
    </row>
    <row r="821" spans="1:5" ht="27.6">
      <c r="A821" s="2" t="s">
        <v>426</v>
      </c>
      <c r="B821" s="2" t="s">
        <v>1130</v>
      </c>
      <c r="C821" s="2" t="s">
        <v>1130</v>
      </c>
      <c r="D821" s="2" t="s">
        <v>1131</v>
      </c>
      <c r="E821" s="4">
        <v>24000</v>
      </c>
    </row>
    <row r="822" spans="1:5" ht="27.6">
      <c r="A822" s="2" t="s">
        <v>426</v>
      </c>
      <c r="B822" s="2" t="str">
        <f>"090040230"</f>
        <v>090040230</v>
      </c>
      <c r="C822" s="2" t="str">
        <f>"090040230"</f>
        <v>090040230</v>
      </c>
      <c r="D822" s="2" t="s">
        <v>1132</v>
      </c>
      <c r="E822" s="4">
        <v>18000</v>
      </c>
    </row>
    <row r="823" spans="1:5" ht="27.6">
      <c r="A823" s="2" t="s">
        <v>426</v>
      </c>
      <c r="B823" s="2" t="str">
        <f>"0021618"</f>
        <v>0021618</v>
      </c>
      <c r="C823" s="2" t="str">
        <f>"0021618"</f>
        <v>0021618</v>
      </c>
      <c r="D823" s="2" t="s">
        <v>1133</v>
      </c>
      <c r="E823" s="4">
        <v>34000</v>
      </c>
    </row>
    <row r="824" spans="1:5" ht="27.6">
      <c r="A824" s="2" t="s">
        <v>426</v>
      </c>
      <c r="B824" s="2" t="str">
        <f>"0010496"</f>
        <v>0010496</v>
      </c>
      <c r="C824" s="2" t="str">
        <f>"0010496"</f>
        <v>0010496</v>
      </c>
      <c r="D824" s="2" t="s">
        <v>1134</v>
      </c>
      <c r="E824" s="4">
        <v>35000</v>
      </c>
    </row>
    <row r="825" spans="1:5" ht="27.6">
      <c r="A825" s="2" t="s">
        <v>426</v>
      </c>
      <c r="B825" s="2" t="str">
        <f>"0010502"</f>
        <v>0010502</v>
      </c>
      <c r="C825" s="2" t="str">
        <f>"0010502"</f>
        <v>0010502</v>
      </c>
      <c r="D825" s="2" t="s">
        <v>1135</v>
      </c>
      <c r="E825" s="4">
        <v>28000</v>
      </c>
    </row>
    <row r="826" spans="1:5" ht="27.6">
      <c r="A826" s="2" t="s">
        <v>426</v>
      </c>
      <c r="B826" s="2" t="s">
        <v>1136</v>
      </c>
      <c r="C826" s="2" t="s">
        <v>1137</v>
      </c>
      <c r="D826" s="2" t="s">
        <v>1138</v>
      </c>
      <c r="E826" s="4">
        <v>18900</v>
      </c>
    </row>
    <row r="827" spans="1:5" ht="27.6">
      <c r="A827" s="2" t="s">
        <v>426</v>
      </c>
      <c r="B827" s="2" t="str">
        <f>"0019509"</f>
        <v>0019509</v>
      </c>
      <c r="C827" s="2" t="str">
        <f>"0019509"</f>
        <v>0019509</v>
      </c>
      <c r="D827" s="2" t="s">
        <v>1139</v>
      </c>
      <c r="E827" s="4">
        <v>19600</v>
      </c>
    </row>
    <row r="828" spans="1:5" ht="27.6">
      <c r="A828" s="2" t="s">
        <v>426</v>
      </c>
      <c r="B828" s="2" t="str">
        <f>"0010494"</f>
        <v>0010494</v>
      </c>
      <c r="C828" s="2" t="str">
        <f>"00109494"</f>
        <v>00109494</v>
      </c>
      <c r="D828" s="2" t="s">
        <v>1140</v>
      </c>
      <c r="E828" s="4">
        <v>49000</v>
      </c>
    </row>
    <row r="829" spans="1:5" ht="27.6">
      <c r="A829" s="2" t="s">
        <v>426</v>
      </c>
      <c r="B829" s="2" t="str">
        <f>"0010497"</f>
        <v>0010497</v>
      </c>
      <c r="C829" s="2" t="str">
        <f>"0010497"</f>
        <v>0010497</v>
      </c>
      <c r="D829" s="2" t="s">
        <v>1141</v>
      </c>
      <c r="E829" s="4">
        <v>35000</v>
      </c>
    </row>
    <row r="830" spans="1:5" ht="27.6">
      <c r="A830" s="2" t="s">
        <v>426</v>
      </c>
      <c r="B830" s="2" t="str">
        <f>"0010499"</f>
        <v>0010499</v>
      </c>
      <c r="C830" s="2" t="str">
        <f>"0010499"</f>
        <v>0010499</v>
      </c>
      <c r="D830" s="2" t="s">
        <v>1142</v>
      </c>
      <c r="E830" s="4">
        <v>27500</v>
      </c>
    </row>
    <row r="831" spans="1:5" ht="27.6">
      <c r="A831" s="2" t="s">
        <v>426</v>
      </c>
      <c r="B831" s="2" t="s">
        <v>1143</v>
      </c>
      <c r="C831" s="2" t="s">
        <v>1143</v>
      </c>
      <c r="D831" s="2" t="s">
        <v>1144</v>
      </c>
      <c r="E831" s="4">
        <v>29500</v>
      </c>
    </row>
    <row r="832" spans="1:5" ht="27.6">
      <c r="A832" s="2" t="s">
        <v>426</v>
      </c>
      <c r="B832" s="2" t="s">
        <v>1145</v>
      </c>
      <c r="C832" s="2" t="s">
        <v>1145</v>
      </c>
      <c r="D832" s="2" t="s">
        <v>1146</v>
      </c>
      <c r="E832" s="4">
        <v>34900</v>
      </c>
    </row>
    <row r="833" spans="1:5" ht="27.6">
      <c r="A833" s="2" t="s">
        <v>426</v>
      </c>
      <c r="B833" s="2" t="str">
        <f>"0010495"</f>
        <v>0010495</v>
      </c>
      <c r="C833" s="2" t="str">
        <f>"0010495"</f>
        <v>0010495</v>
      </c>
      <c r="D833" s="2" t="s">
        <v>1147</v>
      </c>
      <c r="E833" s="4">
        <v>49000</v>
      </c>
    </row>
    <row r="834" spans="1:5" ht="27.6">
      <c r="A834" s="2" t="s">
        <v>426</v>
      </c>
      <c r="B834" s="2" t="str">
        <f>"0010498"</f>
        <v>0010498</v>
      </c>
      <c r="C834" s="2" t="str">
        <f>"0010498"</f>
        <v>0010498</v>
      </c>
      <c r="D834" s="2" t="s">
        <v>1148</v>
      </c>
      <c r="E834" s="4">
        <v>27700</v>
      </c>
    </row>
    <row r="835" spans="1:5" ht="27.6">
      <c r="A835" s="2" t="s">
        <v>426</v>
      </c>
      <c r="B835" s="2" t="s">
        <v>1149</v>
      </c>
      <c r="C835" s="2" t="s">
        <v>1149</v>
      </c>
      <c r="D835" s="2" t="s">
        <v>1150</v>
      </c>
      <c r="E835" s="4">
        <v>55000</v>
      </c>
    </row>
    <row r="836" spans="1:5" ht="27.6">
      <c r="A836" s="2" t="s">
        <v>426</v>
      </c>
      <c r="B836" s="2" t="s">
        <v>1151</v>
      </c>
      <c r="C836" s="2" t="str">
        <f>"401303"</f>
        <v>401303</v>
      </c>
      <c r="D836" s="2" t="s">
        <v>1152</v>
      </c>
      <c r="E836" s="4">
        <v>19600</v>
      </c>
    </row>
    <row r="837" spans="1:5" ht="27.6">
      <c r="A837" s="2" t="s">
        <v>426</v>
      </c>
      <c r="B837" s="2" t="str">
        <f>"42119G"</f>
        <v>42119G</v>
      </c>
      <c r="C837" s="2" t="str">
        <f>"42119G"</f>
        <v>42119G</v>
      </c>
      <c r="D837" s="2" t="s">
        <v>1153</v>
      </c>
      <c r="E837" s="4">
        <v>28000</v>
      </c>
    </row>
    <row r="838" spans="1:5" ht="27.6">
      <c r="A838" s="2" t="s">
        <v>426</v>
      </c>
      <c r="B838" s="2" t="s">
        <v>1154</v>
      </c>
      <c r="C838" s="2" t="s">
        <v>1154</v>
      </c>
      <c r="D838" s="2" t="s">
        <v>1155</v>
      </c>
      <c r="E838" s="4">
        <v>18500</v>
      </c>
    </row>
    <row r="839" spans="1:5" ht="27.6">
      <c r="A839" s="2" t="s">
        <v>426</v>
      </c>
      <c r="B839" s="2" t="s">
        <v>1156</v>
      </c>
      <c r="C839" s="2" t="s">
        <v>1156</v>
      </c>
      <c r="D839" s="2" t="s">
        <v>1157</v>
      </c>
      <c r="E839" s="4">
        <v>14000</v>
      </c>
    </row>
    <row r="840" spans="1:5" ht="27.6">
      <c r="A840" s="2" t="s">
        <v>426</v>
      </c>
      <c r="B840" s="2" t="str">
        <f>"0010503"</f>
        <v>0010503</v>
      </c>
      <c r="C840" s="2" t="str">
        <f>"0010503"</f>
        <v>0010503</v>
      </c>
      <c r="D840" s="2" t="s">
        <v>1158</v>
      </c>
      <c r="E840" s="4">
        <v>16000</v>
      </c>
    </row>
    <row r="841" spans="1:5" ht="27.6">
      <c r="A841" s="2" t="s">
        <v>426</v>
      </c>
      <c r="B841" s="2" t="s">
        <v>1159</v>
      </c>
      <c r="C841" s="2" t="s">
        <v>1159</v>
      </c>
      <c r="D841" s="2" t="s">
        <v>1160</v>
      </c>
      <c r="E841" s="4">
        <v>39000</v>
      </c>
    </row>
    <row r="842" spans="1:5" ht="27.6">
      <c r="A842" s="2" t="s">
        <v>426</v>
      </c>
      <c r="B842" s="2" t="str">
        <f>"0019580"</f>
        <v>0019580</v>
      </c>
      <c r="C842" s="2" t="str">
        <f>"0019580"</f>
        <v>0019580</v>
      </c>
      <c r="D842" s="2" t="s">
        <v>1161</v>
      </c>
      <c r="E842" s="4">
        <v>16000</v>
      </c>
    </row>
    <row r="843" spans="1:5" ht="27.6">
      <c r="A843" s="2" t="s">
        <v>426</v>
      </c>
      <c r="B843" s="2" t="str">
        <f>"0018201"</f>
        <v>0018201</v>
      </c>
      <c r="C843" s="2" t="str">
        <f>"0018201"</f>
        <v>0018201</v>
      </c>
      <c r="D843" s="2" t="s">
        <v>1162</v>
      </c>
      <c r="E843" s="4">
        <v>21400</v>
      </c>
    </row>
    <row r="844" spans="1:5" ht="27.6">
      <c r="A844" s="2" t="s">
        <v>426</v>
      </c>
      <c r="B844" s="2" t="s">
        <v>1163</v>
      </c>
      <c r="C844" s="2" t="s">
        <v>1163</v>
      </c>
      <c r="D844" s="2" t="s">
        <v>1164</v>
      </c>
      <c r="E844" s="4">
        <v>22300</v>
      </c>
    </row>
    <row r="845" spans="1:5" ht="27.6">
      <c r="A845" s="2" t="s">
        <v>426</v>
      </c>
      <c r="B845" s="2" t="str">
        <f>"0010504"</f>
        <v>0010504</v>
      </c>
      <c r="C845" s="2" t="str">
        <f>"0010504"</f>
        <v>0010504</v>
      </c>
      <c r="D845" s="2" t="s">
        <v>1165</v>
      </c>
      <c r="E845" s="4">
        <v>29000</v>
      </c>
    </row>
    <row r="846" spans="1:5" ht="27.6">
      <c r="A846" s="2" t="s">
        <v>426</v>
      </c>
      <c r="B846" s="2" t="s">
        <v>1166</v>
      </c>
      <c r="C846" s="2" t="s">
        <v>1166</v>
      </c>
      <c r="D846" s="2" t="s">
        <v>1167</v>
      </c>
      <c r="E846" s="4">
        <v>24000</v>
      </c>
    </row>
    <row r="847" spans="1:5" ht="27.6">
      <c r="A847" s="2" t="s">
        <v>426</v>
      </c>
      <c r="B847" s="2" t="str">
        <f>"090040026"</f>
        <v>090040026</v>
      </c>
      <c r="C847" s="2" t="str">
        <f>"090040026"</f>
        <v>090040026</v>
      </c>
      <c r="D847" s="2" t="s">
        <v>1168</v>
      </c>
      <c r="E847" s="4">
        <v>12400</v>
      </c>
    </row>
    <row r="848" spans="1:5" ht="27.6">
      <c r="A848" s="2" t="s">
        <v>426</v>
      </c>
      <c r="B848" s="2" t="str">
        <f>"0014505"</f>
        <v>0014505</v>
      </c>
      <c r="C848" s="2" t="str">
        <f>"0014505"</f>
        <v>0014505</v>
      </c>
      <c r="D848" s="2" t="s">
        <v>1169</v>
      </c>
      <c r="E848" s="4">
        <v>28600</v>
      </c>
    </row>
    <row r="849" spans="1:5" ht="27.6">
      <c r="A849" s="2" t="s">
        <v>426</v>
      </c>
      <c r="B849" s="2" t="s">
        <v>1170</v>
      </c>
      <c r="C849" s="2" t="s">
        <v>1170</v>
      </c>
      <c r="D849" s="2" t="s">
        <v>1171</v>
      </c>
      <c r="E849" s="4">
        <v>16000</v>
      </c>
    </row>
    <row r="850" spans="1:5" ht="27.6">
      <c r="A850" s="2" t="s">
        <v>426</v>
      </c>
      <c r="B850" s="2" t="s">
        <v>1172</v>
      </c>
      <c r="C850" s="2" t="s">
        <v>1172</v>
      </c>
      <c r="D850" s="2" t="s">
        <v>1173</v>
      </c>
      <c r="E850" s="4">
        <v>15100</v>
      </c>
    </row>
    <row r="851" spans="1:5" ht="27.6">
      <c r="A851" s="2" t="s">
        <v>426</v>
      </c>
      <c r="B851" s="2" t="s">
        <v>1174</v>
      </c>
      <c r="C851" s="2" t="s">
        <v>1174</v>
      </c>
      <c r="D851" s="2" t="s">
        <v>1175</v>
      </c>
      <c r="E851" s="4">
        <v>24900</v>
      </c>
    </row>
    <row r="852" spans="1:5" ht="27.6">
      <c r="A852" s="2" t="s">
        <v>426</v>
      </c>
      <c r="B852" s="2" t="str">
        <f>"0019511"</f>
        <v>0019511</v>
      </c>
      <c r="C852" s="2" t="str">
        <f>"0019511"</f>
        <v>0019511</v>
      </c>
      <c r="D852" s="2" t="s">
        <v>1176</v>
      </c>
      <c r="E852" s="4">
        <v>19600</v>
      </c>
    </row>
    <row r="853" spans="1:5" ht="27.6">
      <c r="A853" s="2" t="s">
        <v>426</v>
      </c>
      <c r="B853" s="2" t="s">
        <v>1177</v>
      </c>
      <c r="C853" s="2" t="s">
        <v>1177</v>
      </c>
      <c r="D853" s="2" t="s">
        <v>1178</v>
      </c>
      <c r="E853" s="4">
        <v>13900</v>
      </c>
    </row>
    <row r="854" spans="1:5" ht="27.6">
      <c r="A854" s="2" t="s">
        <v>426</v>
      </c>
      <c r="B854" s="2" t="s">
        <v>1179</v>
      </c>
      <c r="C854" s="2" t="s">
        <v>1179</v>
      </c>
      <c r="D854" s="2" t="s">
        <v>1180</v>
      </c>
      <c r="E854" s="4">
        <v>14100</v>
      </c>
    </row>
    <row r="855" spans="1:5" ht="27.6">
      <c r="A855" s="2" t="s">
        <v>426</v>
      </c>
      <c r="B855" s="2" t="s">
        <v>1181</v>
      </c>
      <c r="C855" s="2" t="str">
        <f>"090040246 0018237"</f>
        <v>090040246 0018237</v>
      </c>
      <c r="D855" s="2" t="s">
        <v>1182</v>
      </c>
      <c r="E855" s="4">
        <v>25000</v>
      </c>
    </row>
    <row r="856" spans="1:5" ht="27.6">
      <c r="A856" s="2" t="s">
        <v>426</v>
      </c>
      <c r="B856" s="2" t="s">
        <v>1183</v>
      </c>
      <c r="C856" s="2" t="s">
        <v>1183</v>
      </c>
      <c r="D856" s="2" t="s">
        <v>1184</v>
      </c>
      <c r="E856" s="4">
        <v>24900</v>
      </c>
    </row>
    <row r="857" spans="1:5" ht="27.6">
      <c r="A857" s="2" t="s">
        <v>426</v>
      </c>
      <c r="B857" s="2" t="str">
        <f>"0010507"</f>
        <v>0010507</v>
      </c>
      <c r="C857" s="2" t="str">
        <f>"0010507"</f>
        <v>0010507</v>
      </c>
      <c r="D857" s="2" t="s">
        <v>1185</v>
      </c>
      <c r="E857" s="4">
        <v>39000</v>
      </c>
    </row>
    <row r="858" spans="1:5" ht="27.6">
      <c r="A858" s="2" t="s">
        <v>426</v>
      </c>
      <c r="B858" s="2" t="str">
        <f>"0010506"</f>
        <v>0010506</v>
      </c>
      <c r="C858" s="2" t="str">
        <f>"0010506"</f>
        <v>0010506</v>
      </c>
      <c r="D858" s="2" t="s">
        <v>1186</v>
      </c>
      <c r="E858" s="4">
        <v>39000</v>
      </c>
    </row>
    <row r="859" spans="1:5" ht="27.6">
      <c r="A859" s="2" t="s">
        <v>426</v>
      </c>
      <c r="B859" s="2" t="s">
        <v>1187</v>
      </c>
      <c r="C859" s="2" t="s">
        <v>1187</v>
      </c>
      <c r="D859" s="2" t="s">
        <v>1188</v>
      </c>
      <c r="E859" s="4">
        <v>19600</v>
      </c>
    </row>
    <row r="860" spans="1:5" ht="27.6">
      <c r="A860" s="2" t="s">
        <v>426</v>
      </c>
      <c r="B860" s="2" t="s">
        <v>1189</v>
      </c>
      <c r="C860" s="2" t="s">
        <v>1189</v>
      </c>
      <c r="D860" s="2" t="s">
        <v>1190</v>
      </c>
      <c r="E860" s="4">
        <v>28000</v>
      </c>
    </row>
    <row r="861" spans="1:5" ht="27.6">
      <c r="A861" s="2" t="s">
        <v>426</v>
      </c>
      <c r="B861" s="2" t="str">
        <f>"0010513"</f>
        <v>0010513</v>
      </c>
      <c r="C861" s="2" t="str">
        <f>"0010513"</f>
        <v>0010513</v>
      </c>
      <c r="D861" s="2" t="s">
        <v>1191</v>
      </c>
      <c r="E861" s="4">
        <v>22300</v>
      </c>
    </row>
    <row r="862" spans="1:5" ht="27.6">
      <c r="A862" s="2" t="s">
        <v>426</v>
      </c>
      <c r="B862" s="2" t="str">
        <f>"0010512"</f>
        <v>0010512</v>
      </c>
      <c r="C862" s="2" t="str">
        <f>"0010512"</f>
        <v>0010512</v>
      </c>
      <c r="D862" s="2" t="s">
        <v>1192</v>
      </c>
      <c r="E862" s="4">
        <v>27000</v>
      </c>
    </row>
    <row r="863" spans="1:5" ht="27.6">
      <c r="A863" s="2" t="s">
        <v>426</v>
      </c>
      <c r="B863" s="2" t="str">
        <f>"0006709"</f>
        <v>0006709</v>
      </c>
      <c r="C863" s="2" t="str">
        <f>"0006709"</f>
        <v>0006709</v>
      </c>
      <c r="D863" s="2" t="s">
        <v>1193</v>
      </c>
      <c r="E863" s="4">
        <v>24100</v>
      </c>
    </row>
    <row r="864" spans="1:5" ht="27.6">
      <c r="A864" s="2" t="s">
        <v>426</v>
      </c>
      <c r="B864" s="2" t="str">
        <f>"0010514"</f>
        <v>0010514</v>
      </c>
      <c r="C864" s="2" t="str">
        <f>"0010514"</f>
        <v>0010514</v>
      </c>
      <c r="D864" s="2" t="s">
        <v>1194</v>
      </c>
      <c r="E864" s="4">
        <v>25000</v>
      </c>
    </row>
    <row r="865" spans="1:5" ht="27.6">
      <c r="A865" s="2" t="s">
        <v>426</v>
      </c>
      <c r="B865" s="2" t="str">
        <f>"0006710"</f>
        <v>0006710</v>
      </c>
      <c r="C865" s="2" t="str">
        <f>"0006710"</f>
        <v>0006710</v>
      </c>
      <c r="D865" s="2" t="s">
        <v>1195</v>
      </c>
      <c r="E865" s="4">
        <v>24100</v>
      </c>
    </row>
    <row r="866" spans="1:5" ht="27.6">
      <c r="A866" s="2" t="s">
        <v>426</v>
      </c>
      <c r="B866" s="2" t="str">
        <f>"0010517"</f>
        <v>0010517</v>
      </c>
      <c r="C866" s="2" t="str">
        <f>"0010517"</f>
        <v>0010517</v>
      </c>
      <c r="D866" s="2" t="s">
        <v>1196</v>
      </c>
      <c r="E866" s="4">
        <v>29500</v>
      </c>
    </row>
    <row r="867" spans="1:5" ht="27.6">
      <c r="A867" s="2" t="s">
        <v>426</v>
      </c>
      <c r="B867" s="2" t="s">
        <v>1197</v>
      </c>
      <c r="C867" s="2" t="s">
        <v>1197</v>
      </c>
      <c r="D867" s="2" t="s">
        <v>1198</v>
      </c>
      <c r="E867" s="4">
        <v>16000</v>
      </c>
    </row>
    <row r="868" spans="1:5" ht="27.6">
      <c r="A868" s="2" t="s">
        <v>426</v>
      </c>
      <c r="B868" s="2" t="s">
        <v>1199</v>
      </c>
      <c r="C868" s="2" t="s">
        <v>1199</v>
      </c>
      <c r="D868" s="2" t="s">
        <v>1200</v>
      </c>
      <c r="E868" s="4">
        <v>25000</v>
      </c>
    </row>
    <row r="869" spans="1:5" ht="27.6">
      <c r="A869" s="2" t="s">
        <v>426</v>
      </c>
      <c r="B869" s="2" t="s">
        <v>1201</v>
      </c>
      <c r="C869" s="2" t="s">
        <v>1201</v>
      </c>
      <c r="D869" s="2" t="s">
        <v>1202</v>
      </c>
      <c r="E869" s="4">
        <v>25000</v>
      </c>
    </row>
    <row r="870" spans="1:5" ht="27.6">
      <c r="A870" s="2" t="s">
        <v>426</v>
      </c>
      <c r="B870" s="2" t="str">
        <f>"0022797"</f>
        <v>0022797</v>
      </c>
      <c r="C870" s="2" t="str">
        <f>"0022797"</f>
        <v>0022797</v>
      </c>
      <c r="D870" s="2" t="s">
        <v>1203</v>
      </c>
      <c r="E870" s="4">
        <v>22300</v>
      </c>
    </row>
    <row r="871" spans="1:5" ht="27.6">
      <c r="A871" s="2" t="s">
        <v>426</v>
      </c>
      <c r="B871" s="2" t="str">
        <f>"0022798"</f>
        <v>0022798</v>
      </c>
      <c r="C871" s="2" t="str">
        <f>"0022798"</f>
        <v>0022798</v>
      </c>
      <c r="D871" s="2" t="s">
        <v>1204</v>
      </c>
      <c r="E871" s="4">
        <v>22300</v>
      </c>
    </row>
    <row r="872" spans="1:5" ht="27.6">
      <c r="A872" s="2" t="s">
        <v>426</v>
      </c>
      <c r="B872" s="2" t="s">
        <v>1205</v>
      </c>
      <c r="C872" s="2" t="s">
        <v>1205</v>
      </c>
      <c r="D872" s="2" t="s">
        <v>1206</v>
      </c>
      <c r="E872" s="4">
        <v>48400</v>
      </c>
    </row>
    <row r="873" spans="1:5" ht="27.6">
      <c r="A873" s="2" t="s">
        <v>426</v>
      </c>
      <c r="B873" s="2" t="str">
        <f>"003060519"</f>
        <v>003060519</v>
      </c>
      <c r="C873" s="2" t="str">
        <f>"003060519"</f>
        <v>003060519</v>
      </c>
      <c r="D873" s="2" t="s">
        <v>1207</v>
      </c>
      <c r="E873" s="4">
        <v>38500</v>
      </c>
    </row>
    <row r="874" spans="1:5" ht="27.6">
      <c r="A874" s="2" t="s">
        <v>426</v>
      </c>
      <c r="B874" s="2" t="str">
        <f>"090040040"</f>
        <v>090040040</v>
      </c>
      <c r="C874" s="2" t="str">
        <f>"090040040"</f>
        <v>090040040</v>
      </c>
      <c r="D874" s="2" t="s">
        <v>1208</v>
      </c>
      <c r="E874" s="4">
        <v>25000</v>
      </c>
    </row>
    <row r="875" spans="1:5" ht="27.6">
      <c r="A875" s="2" t="s">
        <v>426</v>
      </c>
      <c r="B875" s="2" t="str">
        <f>"291002"</f>
        <v>291002</v>
      </c>
      <c r="C875" s="2" t="str">
        <f>"291002"</f>
        <v>291002</v>
      </c>
      <c r="D875" s="2" t="s">
        <v>1209</v>
      </c>
      <c r="E875" s="4">
        <v>80000</v>
      </c>
    </row>
    <row r="876" spans="1:5" ht="27.6">
      <c r="A876" s="2" t="s">
        <v>426</v>
      </c>
      <c r="B876" s="2" t="str">
        <f>"0010508"</f>
        <v>0010508</v>
      </c>
      <c r="C876" s="2" t="str">
        <f>"0010508"</f>
        <v>0010508</v>
      </c>
      <c r="D876" s="2" t="s">
        <v>1210</v>
      </c>
      <c r="E876" s="4">
        <v>19600</v>
      </c>
    </row>
    <row r="877" spans="1:5" ht="27.6">
      <c r="A877" s="2" t="s">
        <v>426</v>
      </c>
      <c r="B877" s="2" t="str">
        <f>"0021377"</f>
        <v>0021377</v>
      </c>
      <c r="C877" s="2" t="str">
        <f>"0021377"</f>
        <v>0021377</v>
      </c>
      <c r="D877" s="2" t="s">
        <v>1211</v>
      </c>
      <c r="E877" s="4">
        <v>19600</v>
      </c>
    </row>
    <row r="878" spans="1:5" ht="27.6">
      <c r="A878" s="2" t="s">
        <v>426</v>
      </c>
      <c r="B878" s="2" t="str">
        <f>"9943971"</f>
        <v>9943971</v>
      </c>
      <c r="C878" s="2" t="str">
        <f>"9943971"</f>
        <v>9943971</v>
      </c>
      <c r="D878" s="2" t="s">
        <v>1212</v>
      </c>
      <c r="E878" s="4">
        <v>29500</v>
      </c>
    </row>
    <row r="879" spans="1:5" ht="27.6">
      <c r="A879" s="2" t="s">
        <v>426</v>
      </c>
      <c r="B879" s="2" t="str">
        <f>"9952003"</f>
        <v>9952003</v>
      </c>
      <c r="C879" s="2" t="str">
        <f>"9952003"</f>
        <v>9952003</v>
      </c>
      <c r="D879" s="2" t="s">
        <v>1213</v>
      </c>
      <c r="E879" s="4">
        <v>43000</v>
      </c>
    </row>
    <row r="880" spans="1:5" ht="27.6">
      <c r="A880" s="2" t="s">
        <v>426</v>
      </c>
      <c r="B880" s="2" t="str">
        <f>"9952005"</f>
        <v>9952005</v>
      </c>
      <c r="C880" s="2" t="str">
        <f>"9952005"</f>
        <v>9952005</v>
      </c>
      <c r="D880" s="2" t="s">
        <v>1214</v>
      </c>
      <c r="E880" s="4">
        <v>43000</v>
      </c>
    </row>
    <row r="881" spans="1:5" ht="27.6">
      <c r="A881" s="2" t="s">
        <v>426</v>
      </c>
      <c r="B881" s="2" t="str">
        <f>"0019512"</f>
        <v>0019512</v>
      </c>
      <c r="C881" s="2" t="s">
        <v>1215</v>
      </c>
      <c r="D881" s="2" t="s">
        <v>1216</v>
      </c>
      <c r="E881" s="4">
        <v>38000</v>
      </c>
    </row>
    <row r="882" spans="1:5" ht="27.6">
      <c r="A882" s="2" t="s">
        <v>426</v>
      </c>
      <c r="B882" s="2" t="str">
        <f>"0010519"</f>
        <v>0010519</v>
      </c>
      <c r="C882" s="2" t="str">
        <f>"0010519"</f>
        <v>0010519</v>
      </c>
      <c r="D882" s="2" t="s">
        <v>1217</v>
      </c>
      <c r="E882" s="4">
        <v>25000</v>
      </c>
    </row>
    <row r="883" spans="1:5" ht="27.6">
      <c r="A883" s="2" t="s">
        <v>426</v>
      </c>
      <c r="B883" s="2" t="str">
        <f>"0019513"</f>
        <v>0019513</v>
      </c>
      <c r="C883" s="2" t="str">
        <f>"0019513"</f>
        <v>0019513</v>
      </c>
      <c r="D883" s="2" t="s">
        <v>1218</v>
      </c>
      <c r="E883" s="4">
        <v>18700</v>
      </c>
    </row>
    <row r="884" spans="1:5" ht="27.6">
      <c r="A884" s="2" t="s">
        <v>426</v>
      </c>
      <c r="B884" s="2" t="str">
        <f>"0010518"</f>
        <v>0010518</v>
      </c>
      <c r="C884" s="2" t="str">
        <f>"0010518"</f>
        <v>0010518</v>
      </c>
      <c r="D884" s="2" t="s">
        <v>1219</v>
      </c>
      <c r="E884" s="4">
        <v>34000</v>
      </c>
    </row>
    <row r="885" spans="1:5" ht="27.6">
      <c r="A885" s="2" t="s">
        <v>426</v>
      </c>
      <c r="B885" s="2" t="s">
        <v>1220</v>
      </c>
      <c r="C885" s="2" t="s">
        <v>1220</v>
      </c>
      <c r="D885" s="2" t="s">
        <v>1221</v>
      </c>
      <c r="E885" s="4">
        <v>12000</v>
      </c>
    </row>
    <row r="886" spans="1:5" ht="27.6">
      <c r="A886" s="2" t="s">
        <v>426</v>
      </c>
      <c r="B886" s="2" t="str">
        <f>"69450"</f>
        <v>69450</v>
      </c>
      <c r="C886" s="2" t="str">
        <f>"72328-2"</f>
        <v>72328-2</v>
      </c>
      <c r="D886" s="2" t="s">
        <v>1222</v>
      </c>
      <c r="E886" s="4">
        <v>29000</v>
      </c>
    </row>
    <row r="887" spans="1:5" ht="27.6">
      <c r="A887" s="2" t="s">
        <v>426</v>
      </c>
      <c r="B887" s="2" t="str">
        <f>"090040244"</f>
        <v>090040244</v>
      </c>
      <c r="C887" s="2" t="str">
        <f>"0018236"</f>
        <v>0018236</v>
      </c>
      <c r="D887" s="2" t="s">
        <v>1223</v>
      </c>
      <c r="E887" s="4">
        <v>29500</v>
      </c>
    </row>
    <row r="888" spans="1:5" ht="27.6">
      <c r="A888" s="2" t="s">
        <v>426</v>
      </c>
      <c r="B888" s="2" t="str">
        <f>"090040245"</f>
        <v>090040245</v>
      </c>
      <c r="C888" s="2" t="str">
        <f>"090040245"</f>
        <v>090040245</v>
      </c>
      <c r="D888" s="2" t="s">
        <v>1224</v>
      </c>
      <c r="E888" s="4">
        <v>19600</v>
      </c>
    </row>
    <row r="889" spans="1:5" ht="27.6">
      <c r="A889" s="2" t="s">
        <v>426</v>
      </c>
      <c r="B889" s="2" t="str">
        <f>"372313"</f>
        <v>372313</v>
      </c>
      <c r="C889" s="2" t="str">
        <f>"372313"</f>
        <v>372313</v>
      </c>
      <c r="D889" s="2" t="s">
        <v>1225</v>
      </c>
      <c r="E889" s="4">
        <v>17400</v>
      </c>
    </row>
    <row r="890" spans="1:5" ht="27.6">
      <c r="A890" s="2" t="s">
        <v>426</v>
      </c>
      <c r="B890" s="2" t="str">
        <f>"4400360"</f>
        <v>4400360</v>
      </c>
      <c r="C890" s="2" t="str">
        <f>"4400360"</f>
        <v>4400360</v>
      </c>
      <c r="D890" s="2" t="s">
        <v>1226</v>
      </c>
      <c r="E890" s="4">
        <v>21400</v>
      </c>
    </row>
    <row r="891" spans="1:5" ht="27.6">
      <c r="A891" s="2" t="s">
        <v>426</v>
      </c>
      <c r="B891" s="2" t="str">
        <f>"9950150"</f>
        <v>9950150</v>
      </c>
      <c r="C891" s="2" t="str">
        <f>"9950150"</f>
        <v>9950150</v>
      </c>
      <c r="D891" s="2" t="s">
        <v>1227</v>
      </c>
      <c r="E891" s="4">
        <v>28600</v>
      </c>
    </row>
    <row r="892" spans="1:5" ht="27.6">
      <c r="A892" s="2" t="s">
        <v>426</v>
      </c>
      <c r="B892" s="2" t="str">
        <f>"343298"</f>
        <v>343298</v>
      </c>
      <c r="C892" s="2" t="str">
        <f>"343298"</f>
        <v>343298</v>
      </c>
      <c r="D892" s="2" t="s">
        <v>1228</v>
      </c>
      <c r="E892" s="4">
        <v>38100</v>
      </c>
    </row>
    <row r="893" spans="1:5" ht="27.6">
      <c r="A893" s="2" t="s">
        <v>426</v>
      </c>
      <c r="B893" s="2" t="str">
        <f>"4411610"</f>
        <v>4411610</v>
      </c>
      <c r="C893" s="2" t="str">
        <f>"4411610"</f>
        <v>4411610</v>
      </c>
      <c r="D893" s="2" t="s">
        <v>1229</v>
      </c>
      <c r="E893" s="4">
        <v>28000</v>
      </c>
    </row>
    <row r="894" spans="1:5" ht="27.6">
      <c r="A894" s="2" t="s">
        <v>426</v>
      </c>
      <c r="B894" s="2" t="str">
        <f>"96168"</f>
        <v>96168</v>
      </c>
      <c r="C894" s="2" t="str">
        <f>"96168"</f>
        <v>96168</v>
      </c>
      <c r="D894" s="2" t="s">
        <v>1230</v>
      </c>
      <c r="E894" s="4">
        <v>28600</v>
      </c>
    </row>
    <row r="895" spans="1:5" ht="27.6">
      <c r="A895" s="2" t="s">
        <v>426</v>
      </c>
      <c r="B895" s="2" t="str">
        <f>"1652192555951"</f>
        <v>1652192555951</v>
      </c>
      <c r="C895" s="2" t="str">
        <f>"1652192555951"</f>
        <v>1652192555951</v>
      </c>
      <c r="D895" s="2" t="s">
        <v>1231</v>
      </c>
      <c r="E895" s="4">
        <v>49580</v>
      </c>
    </row>
    <row r="896" spans="1:5" ht="27.6">
      <c r="A896" s="2" t="s">
        <v>426</v>
      </c>
      <c r="B896" s="2" t="str">
        <f>"0020647"</f>
        <v>0020647</v>
      </c>
      <c r="C896" s="2" t="str">
        <f>"0020647"</f>
        <v>0020647</v>
      </c>
      <c r="D896" s="2" t="s">
        <v>1232</v>
      </c>
      <c r="E896" s="4">
        <v>59000</v>
      </c>
    </row>
    <row r="897" spans="1:5" ht="27.6">
      <c r="A897" s="2" t="s">
        <v>426</v>
      </c>
      <c r="B897" s="2" t="s">
        <v>1233</v>
      </c>
      <c r="C897" s="2" t="str">
        <f>"1705671221257"</f>
        <v>1705671221257</v>
      </c>
      <c r="D897" s="2" t="s">
        <v>1234</v>
      </c>
      <c r="E897" s="2">
        <v>0</v>
      </c>
    </row>
    <row r="898" spans="1:5" ht="27.6">
      <c r="A898" s="2" t="s">
        <v>426</v>
      </c>
      <c r="B898" s="2" t="str">
        <f>"301187"</f>
        <v>301187</v>
      </c>
      <c r="C898" s="2" t="str">
        <f>"301187"</f>
        <v>301187</v>
      </c>
      <c r="D898" s="2" t="s">
        <v>1235</v>
      </c>
      <c r="E898" s="4">
        <v>88000</v>
      </c>
    </row>
    <row r="899" spans="1:5" ht="27.6">
      <c r="A899" s="2" t="s">
        <v>426</v>
      </c>
      <c r="B899" s="2" t="str">
        <f>"301249"</f>
        <v>301249</v>
      </c>
      <c r="C899" s="2" t="str">
        <f>"301249"</f>
        <v>301249</v>
      </c>
      <c r="D899" s="2" t="s">
        <v>1236</v>
      </c>
      <c r="E899" s="4">
        <v>88000</v>
      </c>
    </row>
    <row r="900" spans="1:5" ht="27.6">
      <c r="A900" s="2" t="s">
        <v>426</v>
      </c>
      <c r="B900" s="2" t="str">
        <f>"1652199279842"</f>
        <v>1652199279842</v>
      </c>
      <c r="C900" s="2" t="str">
        <f>"1652199279842"</f>
        <v>1652199279842</v>
      </c>
      <c r="D900" s="2" t="s">
        <v>1237</v>
      </c>
      <c r="E900" s="4">
        <v>28571</v>
      </c>
    </row>
    <row r="901" spans="1:5" ht="27.6">
      <c r="A901" s="2" t="s">
        <v>426</v>
      </c>
      <c r="B901" s="2" t="str">
        <f>"003170093-0"</f>
        <v>003170093-0</v>
      </c>
      <c r="C901" s="2" t="str">
        <f>"003170093-0"</f>
        <v>003170093-0</v>
      </c>
      <c r="D901" s="2" t="s">
        <v>1238</v>
      </c>
      <c r="E901" s="4">
        <v>34000</v>
      </c>
    </row>
    <row r="902" spans="1:5" ht="27.6">
      <c r="A902" s="2" t="s">
        <v>426</v>
      </c>
      <c r="B902" s="2" t="str">
        <f>"805510"</f>
        <v>805510</v>
      </c>
      <c r="C902" s="2" t="str">
        <f>"8055510"</f>
        <v>8055510</v>
      </c>
      <c r="D902" s="2" t="s">
        <v>1239</v>
      </c>
      <c r="E902" s="4">
        <v>16000</v>
      </c>
    </row>
    <row r="903" spans="1:5" ht="27.6">
      <c r="A903" s="2" t="s">
        <v>426</v>
      </c>
      <c r="B903" s="2" t="str">
        <f>"0000260"</f>
        <v>0000260</v>
      </c>
      <c r="C903" s="2" t="str">
        <f>"0000260"</f>
        <v>0000260</v>
      </c>
      <c r="D903" s="2" t="s">
        <v>1240</v>
      </c>
      <c r="E903" s="4">
        <v>17800</v>
      </c>
    </row>
    <row r="904" spans="1:5" ht="27.6">
      <c r="A904" s="2" t="s">
        <v>426</v>
      </c>
      <c r="B904" s="2" t="str">
        <f>"42172"</f>
        <v>42172</v>
      </c>
      <c r="C904" s="2" t="str">
        <f>"42172"</f>
        <v>42172</v>
      </c>
      <c r="D904" s="2" t="s">
        <v>1241</v>
      </c>
      <c r="E904" s="4">
        <v>17000</v>
      </c>
    </row>
    <row r="905" spans="1:5" ht="27.6">
      <c r="A905" s="2" t="s">
        <v>426</v>
      </c>
      <c r="B905" s="2" t="s">
        <v>1242</v>
      </c>
      <c r="C905" s="2" t="s">
        <v>1242</v>
      </c>
      <c r="D905" s="2" t="s">
        <v>1243</v>
      </c>
      <c r="E905" s="4">
        <v>21400</v>
      </c>
    </row>
    <row r="906" spans="1:5" ht="27.6">
      <c r="A906" s="2" t="s">
        <v>426</v>
      </c>
      <c r="B906" s="2" t="s">
        <v>1244</v>
      </c>
      <c r="C906" s="2" t="s">
        <v>1245</v>
      </c>
      <c r="D906" s="2" t="s">
        <v>1246</v>
      </c>
      <c r="E906" s="4">
        <v>25000</v>
      </c>
    </row>
    <row r="907" spans="1:5" ht="27.6">
      <c r="A907" s="2" t="s">
        <v>426</v>
      </c>
      <c r="B907" s="2" t="str">
        <f>"0001611"</f>
        <v>0001611</v>
      </c>
      <c r="C907" s="2" t="str">
        <f>"0001611"</f>
        <v>0001611</v>
      </c>
      <c r="D907" s="2" t="s">
        <v>1247</v>
      </c>
      <c r="E907" s="4">
        <v>14200</v>
      </c>
    </row>
    <row r="908" spans="1:5" ht="27.6">
      <c r="A908" s="2" t="s">
        <v>426</v>
      </c>
      <c r="B908" s="2" t="s">
        <v>1248</v>
      </c>
      <c r="C908" s="2" t="s">
        <v>1248</v>
      </c>
      <c r="D908" s="2" t="s">
        <v>1249</v>
      </c>
      <c r="E908" s="4">
        <v>21000</v>
      </c>
    </row>
    <row r="909" spans="1:5" ht="27.6">
      <c r="A909" s="2" t="s">
        <v>426</v>
      </c>
      <c r="B909" s="2" t="str">
        <f>"9948923"</f>
        <v>9948923</v>
      </c>
      <c r="C909" s="2" t="str">
        <f>"9948923"</f>
        <v>9948923</v>
      </c>
      <c r="D909" s="2" t="s">
        <v>1250</v>
      </c>
      <c r="E909" s="4">
        <v>34000</v>
      </c>
    </row>
    <row r="910" spans="1:5" ht="27.6">
      <c r="A910" s="2" t="s">
        <v>426</v>
      </c>
      <c r="B910" s="2" t="str">
        <f>"9948924"</f>
        <v>9948924</v>
      </c>
      <c r="C910" s="2" t="str">
        <f>"9948924"</f>
        <v>9948924</v>
      </c>
      <c r="D910" s="2" t="s">
        <v>1251</v>
      </c>
      <c r="E910" s="4">
        <v>34000</v>
      </c>
    </row>
    <row r="911" spans="1:5" ht="27.6">
      <c r="A911" s="2" t="s">
        <v>426</v>
      </c>
      <c r="B911" s="2" t="s">
        <v>1252</v>
      </c>
      <c r="C911" s="2" t="str">
        <f>"1444218754"</f>
        <v>1444218754</v>
      </c>
      <c r="D911" s="2" t="s">
        <v>1253</v>
      </c>
      <c r="E911" s="4">
        <v>11500</v>
      </c>
    </row>
    <row r="912" spans="1:5" ht="27.6">
      <c r="A912" s="2" t="s">
        <v>426</v>
      </c>
      <c r="B912" s="2" t="str">
        <f>"0010407"</f>
        <v>0010407</v>
      </c>
      <c r="C912" s="2" t="str">
        <f>"0010407"</f>
        <v>0010407</v>
      </c>
      <c r="D912" s="2" t="s">
        <v>1254</v>
      </c>
      <c r="E912" s="4">
        <v>38000</v>
      </c>
    </row>
    <row r="913" spans="1:5" ht="27.6">
      <c r="A913" s="2" t="s">
        <v>426</v>
      </c>
      <c r="B913" s="2" t="str">
        <f>"0010400"</f>
        <v>0010400</v>
      </c>
      <c r="C913" s="2" t="str">
        <f>"0010400"</f>
        <v>0010400</v>
      </c>
      <c r="D913" s="2" t="s">
        <v>1255</v>
      </c>
      <c r="E913" s="4">
        <v>28000</v>
      </c>
    </row>
    <row r="914" spans="1:5" ht="27.6">
      <c r="A914" s="2" t="s">
        <v>426</v>
      </c>
      <c r="B914" s="2" t="str">
        <f>"090040258"</f>
        <v>090040258</v>
      </c>
      <c r="C914" s="2" t="str">
        <f>"090040258"</f>
        <v>090040258</v>
      </c>
      <c r="D914" s="2" t="s">
        <v>1256</v>
      </c>
      <c r="E914" s="4">
        <v>21400</v>
      </c>
    </row>
    <row r="915" spans="1:5" ht="27.6">
      <c r="A915" s="2" t="s">
        <v>426</v>
      </c>
      <c r="B915" s="2" t="s">
        <v>1257</v>
      </c>
      <c r="C915" s="2" t="s">
        <v>1257</v>
      </c>
      <c r="D915" s="2" t="s">
        <v>1258</v>
      </c>
      <c r="E915" s="4">
        <v>34000</v>
      </c>
    </row>
    <row r="916" spans="1:5" ht="27.6">
      <c r="A916" s="2" t="s">
        <v>426</v>
      </c>
      <c r="B916" s="2" t="str">
        <f>"0006729"</f>
        <v>0006729</v>
      </c>
      <c r="C916" s="2" t="str">
        <f>"1444218109"</f>
        <v>1444218109</v>
      </c>
      <c r="D916" s="2" t="s">
        <v>1259</v>
      </c>
      <c r="E916" s="4">
        <v>6729</v>
      </c>
    </row>
    <row r="917" spans="1:5" ht="27.6">
      <c r="A917" s="2" t="s">
        <v>426</v>
      </c>
      <c r="B917" s="2" t="str">
        <f>"090040577"</f>
        <v>090040577</v>
      </c>
      <c r="C917" s="2" t="str">
        <f>"090040577"</f>
        <v>090040577</v>
      </c>
      <c r="D917" s="2" t="s">
        <v>1260</v>
      </c>
      <c r="E917" s="4">
        <v>21900</v>
      </c>
    </row>
    <row r="918" spans="1:5" ht="27.6">
      <c r="A918" s="2" t="s">
        <v>426</v>
      </c>
      <c r="B918" s="2" t="str">
        <f>"090040578"</f>
        <v>090040578</v>
      </c>
      <c r="C918" s="2" t="str">
        <f>"090040578"</f>
        <v>090040578</v>
      </c>
      <c r="D918" s="2" t="s">
        <v>1261</v>
      </c>
      <c r="E918" s="4">
        <v>12500</v>
      </c>
    </row>
    <row r="919" spans="1:5" ht="27.6">
      <c r="A919" s="2" t="s">
        <v>426</v>
      </c>
      <c r="B919" s="2" t="str">
        <f>"0006700"</f>
        <v>0006700</v>
      </c>
      <c r="C919" s="2" t="str">
        <f>"0006711"</f>
        <v>0006711</v>
      </c>
      <c r="D919" s="2" t="s">
        <v>1262</v>
      </c>
      <c r="E919" s="4">
        <v>14200</v>
      </c>
    </row>
    <row r="920" spans="1:5">
      <c r="A920" s="2" t="s">
        <v>365</v>
      </c>
      <c r="B920" s="2" t="s">
        <v>1263</v>
      </c>
      <c r="C920" s="2" t="s">
        <v>1264</v>
      </c>
      <c r="D920" s="2" t="s">
        <v>1265</v>
      </c>
      <c r="E920" s="4">
        <v>5500</v>
      </c>
    </row>
    <row r="921" spans="1:5">
      <c r="A921" s="2" t="s">
        <v>359</v>
      </c>
      <c r="B921" s="2" t="str">
        <f>"090410164"</f>
        <v>090410164</v>
      </c>
      <c r="C921" s="2" t="str">
        <f>"090410164"</f>
        <v>090410164</v>
      </c>
      <c r="D921" s="2" t="s">
        <v>1266</v>
      </c>
      <c r="E921" s="4">
        <v>2000</v>
      </c>
    </row>
    <row r="922" spans="1:5">
      <c r="A922" s="2" t="s">
        <v>359</v>
      </c>
      <c r="B922" s="2" t="str">
        <f>"090410"</f>
        <v>090410</v>
      </c>
      <c r="C922" s="2" t="str">
        <f>"090410"</f>
        <v>090410</v>
      </c>
      <c r="D922" s="2" t="s">
        <v>1267</v>
      </c>
      <c r="E922" s="4">
        <v>2500</v>
      </c>
    </row>
    <row r="923" spans="1:5">
      <c r="A923" s="2" t="s">
        <v>359</v>
      </c>
      <c r="B923" s="2" t="str">
        <f>"057143"</f>
        <v>057143</v>
      </c>
      <c r="C923" s="2" t="str">
        <f>"057143"</f>
        <v>057143</v>
      </c>
      <c r="D923" s="2" t="s">
        <v>1268</v>
      </c>
      <c r="E923" s="2">
        <v>250</v>
      </c>
    </row>
    <row r="924" spans="1:5">
      <c r="A924" s="2" t="s">
        <v>359</v>
      </c>
      <c r="B924" s="2" t="str">
        <f>"330306"</f>
        <v>330306</v>
      </c>
      <c r="C924" s="2" t="str">
        <f>"330306"</f>
        <v>330306</v>
      </c>
      <c r="D924" s="2" t="s">
        <v>1269</v>
      </c>
      <c r="E924" s="2">
        <v>1500</v>
      </c>
    </row>
    <row r="925" spans="1:5">
      <c r="A925" s="2" t="s">
        <v>359</v>
      </c>
      <c r="B925" s="2" t="str">
        <f>"57154"</f>
        <v>57154</v>
      </c>
      <c r="C925" s="2" t="str">
        <f>"0050069112"</f>
        <v>0050069112</v>
      </c>
      <c r="D925" s="2" t="s">
        <v>1270</v>
      </c>
      <c r="E925" s="2">
        <v>250</v>
      </c>
    </row>
    <row r="926" spans="1:5">
      <c r="A926" s="2" t="s">
        <v>359</v>
      </c>
      <c r="B926" s="2" t="str">
        <f>"330392"</f>
        <v>330392</v>
      </c>
      <c r="C926" s="2" t="str">
        <f>"330392"</f>
        <v>330392</v>
      </c>
      <c r="D926" s="2" t="s">
        <v>1271</v>
      </c>
      <c r="E926" s="2">
        <v>290</v>
      </c>
    </row>
    <row r="927" spans="1:5">
      <c r="A927" s="2" t="s">
        <v>359</v>
      </c>
      <c r="B927" s="2" t="str">
        <f>"5000000193363"</f>
        <v>5000000193363</v>
      </c>
      <c r="C927" s="2" t="str">
        <f>"330309"</f>
        <v>330309</v>
      </c>
      <c r="D927" s="2" t="s">
        <v>1272</v>
      </c>
      <c r="E927" s="2">
        <v>490</v>
      </c>
    </row>
    <row r="928" spans="1:5">
      <c r="A928" s="2" t="s">
        <v>359</v>
      </c>
      <c r="B928" s="2" t="str">
        <f>"020050041"</f>
        <v>020050041</v>
      </c>
      <c r="C928" s="2" t="str">
        <f>"20050041"</f>
        <v>20050041</v>
      </c>
      <c r="D928" s="2" t="s">
        <v>1273</v>
      </c>
      <c r="E928" s="2">
        <v>250</v>
      </c>
    </row>
    <row r="929" spans="1:5">
      <c r="A929" s="2" t="s">
        <v>359</v>
      </c>
      <c r="B929" s="2" t="str">
        <f>"057172"</f>
        <v>057172</v>
      </c>
      <c r="C929" s="2" t="str">
        <f>"1488760710011"</f>
        <v>1488760710011</v>
      </c>
      <c r="D929" s="2" t="s">
        <v>1274</v>
      </c>
      <c r="E929" s="2">
        <v>300</v>
      </c>
    </row>
    <row r="930" spans="1:5">
      <c r="A930" s="2" t="s">
        <v>359</v>
      </c>
      <c r="B930" s="2" t="str">
        <f>"057675"</f>
        <v>057675</v>
      </c>
      <c r="C930" s="2" t="str">
        <f>"057675"</f>
        <v>057675</v>
      </c>
      <c r="D930" s="2" t="s">
        <v>1275</v>
      </c>
      <c r="E930" s="4">
        <v>1900</v>
      </c>
    </row>
    <row r="931" spans="1:5">
      <c r="A931" s="2" t="s">
        <v>359</v>
      </c>
      <c r="B931" s="2" t="str">
        <f>"5000000000326"</f>
        <v>5000000000326</v>
      </c>
      <c r="C931" s="2" t="str">
        <f>"330232"</f>
        <v>330232</v>
      </c>
      <c r="D931" s="2" t="s">
        <v>1276</v>
      </c>
      <c r="E931" s="2">
        <v>250</v>
      </c>
    </row>
    <row r="932" spans="1:5">
      <c r="A932" s="2" t="s">
        <v>359</v>
      </c>
      <c r="B932" s="2" t="str">
        <f>"090410153"</f>
        <v>090410153</v>
      </c>
      <c r="C932" s="2" t="str">
        <f>"090410153"</f>
        <v>090410153</v>
      </c>
      <c r="D932" s="2" t="s">
        <v>1277</v>
      </c>
      <c r="E932" s="4">
        <v>1900</v>
      </c>
    </row>
    <row r="933" spans="1:5">
      <c r="A933" s="2" t="s">
        <v>359</v>
      </c>
      <c r="B933" s="2" t="str">
        <f>"57691"</f>
        <v>57691</v>
      </c>
      <c r="C933" s="2" t="str">
        <f>"57691"</f>
        <v>57691</v>
      </c>
      <c r="D933" s="2" t="s">
        <v>1278</v>
      </c>
      <c r="E933" s="4">
        <v>18700</v>
      </c>
    </row>
    <row r="934" spans="1:5">
      <c r="A934" s="2" t="s">
        <v>359</v>
      </c>
      <c r="B934" s="2" t="str">
        <f>"4047024454873"</f>
        <v>4047024454873</v>
      </c>
      <c r="C934" s="2" t="str">
        <f>"110986AL152 H7 BOSCH"</f>
        <v>110986AL152 H7 BOSCH</v>
      </c>
      <c r="D934" s="2" t="s">
        <v>1279</v>
      </c>
      <c r="E934" s="4">
        <v>3000</v>
      </c>
    </row>
    <row r="935" spans="1:5">
      <c r="A935" s="2" t="s">
        <v>359</v>
      </c>
      <c r="B935" s="2" t="str">
        <f>"050090002"</f>
        <v>050090002</v>
      </c>
      <c r="C935" s="2" t="str">
        <f>"050090002"</f>
        <v>050090002</v>
      </c>
      <c r="D935" s="2" t="s">
        <v>1280</v>
      </c>
      <c r="E935" s="2">
        <v>450</v>
      </c>
    </row>
    <row r="936" spans="1:5">
      <c r="A936" s="2" t="s">
        <v>359</v>
      </c>
      <c r="B936" s="2" t="str">
        <f>"5000000193400"</f>
        <v>5000000193400</v>
      </c>
      <c r="C936" s="2" t="str">
        <f>"330324"</f>
        <v>330324</v>
      </c>
      <c r="D936" s="2" t="s">
        <v>1281</v>
      </c>
      <c r="E936" s="2">
        <v>800</v>
      </c>
    </row>
    <row r="937" spans="1:5">
      <c r="A937" s="2" t="s">
        <v>359</v>
      </c>
      <c r="B937" s="2" t="str">
        <f>"02005006"</f>
        <v>02005006</v>
      </c>
      <c r="C937" s="2" t="str">
        <f>"02005006"</f>
        <v>02005006</v>
      </c>
      <c r="D937" s="2" t="s">
        <v>1282</v>
      </c>
      <c r="E937" s="2">
        <v>250</v>
      </c>
    </row>
    <row r="938" spans="1:5">
      <c r="A938" s="2" t="s">
        <v>359</v>
      </c>
      <c r="B938" s="2" t="str">
        <f>"1442690406"</f>
        <v>1442690406</v>
      </c>
      <c r="C938" s="2" t="str">
        <f>"7443"</f>
        <v>7443</v>
      </c>
      <c r="D938" s="2" t="s">
        <v>1283</v>
      </c>
      <c r="E938" s="2">
        <v>400</v>
      </c>
    </row>
    <row r="939" spans="1:5">
      <c r="A939" s="2" t="s">
        <v>359</v>
      </c>
      <c r="B939" s="2" t="str">
        <f>"57172"</f>
        <v>57172</v>
      </c>
      <c r="C939" s="2" t="str">
        <f>"57172"</f>
        <v>57172</v>
      </c>
      <c r="D939" s="2" t="s">
        <v>1284</v>
      </c>
      <c r="E939" s="2">
        <v>300</v>
      </c>
    </row>
    <row r="940" spans="1:5">
      <c r="A940" s="2" t="s">
        <v>359</v>
      </c>
      <c r="B940" s="2" t="str">
        <f>"050090294"</f>
        <v>050090294</v>
      </c>
      <c r="C940" s="2" t="str">
        <f>"050090294 BA15S"</f>
        <v>050090294 BA15S</v>
      </c>
      <c r="D940" s="2" t="s">
        <v>1285</v>
      </c>
      <c r="E940" s="4">
        <v>2000</v>
      </c>
    </row>
    <row r="941" spans="1:5">
      <c r="A941" s="2" t="s">
        <v>359</v>
      </c>
      <c r="B941" s="2" t="s">
        <v>1286</v>
      </c>
      <c r="C941" s="2" t="s">
        <v>1286</v>
      </c>
      <c r="D941" s="2" t="s">
        <v>1287</v>
      </c>
      <c r="E941" s="2">
        <v>250</v>
      </c>
    </row>
    <row r="942" spans="1:5">
      <c r="A942" s="2" t="s">
        <v>359</v>
      </c>
      <c r="B942" s="2" t="str">
        <f>"060050108"</f>
        <v>060050108</v>
      </c>
      <c r="C942" s="2" t="str">
        <f>"060050108"</f>
        <v>060050108</v>
      </c>
      <c r="D942" s="2" t="s">
        <v>1288</v>
      </c>
      <c r="E942" s="4">
        <v>2800</v>
      </c>
    </row>
    <row r="943" spans="1:5">
      <c r="A943" s="2" t="s">
        <v>359</v>
      </c>
      <c r="B943" s="2" t="str">
        <f>"57442"</f>
        <v>57442</v>
      </c>
      <c r="C943" s="2" t="str">
        <f>"1500"</f>
        <v>1500</v>
      </c>
      <c r="D943" s="2" t="s">
        <v>1289</v>
      </c>
      <c r="E943" s="4">
        <v>1500</v>
      </c>
    </row>
    <row r="944" spans="1:5">
      <c r="A944" s="2" t="s">
        <v>359</v>
      </c>
      <c r="B944" s="2" t="str">
        <f>"060050102"</f>
        <v>060050102</v>
      </c>
      <c r="C944" s="2" t="str">
        <f>"057314 8809142890348"</f>
        <v>057314 8809142890348</v>
      </c>
      <c r="D944" s="2" t="s">
        <v>1290</v>
      </c>
      <c r="E944" s="4">
        <v>3000</v>
      </c>
    </row>
    <row r="945" spans="1:5">
      <c r="A945" s="2" t="s">
        <v>359</v>
      </c>
      <c r="B945" s="2" t="s">
        <v>1291</v>
      </c>
      <c r="C945" s="2" t="s">
        <v>1291</v>
      </c>
      <c r="D945" s="2" t="s">
        <v>1292</v>
      </c>
      <c r="E945" s="4">
        <v>25000</v>
      </c>
    </row>
    <row r="946" spans="1:5">
      <c r="A946" s="2" t="s">
        <v>359</v>
      </c>
      <c r="B946" s="2" t="str">
        <f>"110986AL151"</f>
        <v>110986AL151</v>
      </c>
      <c r="C946" s="2" t="str">
        <f>"110986A6151 H4 BOSCH"</f>
        <v>110986A6151 H4 BOSCH</v>
      </c>
      <c r="D946" s="2" t="s">
        <v>1293</v>
      </c>
      <c r="E946" s="4">
        <v>3000</v>
      </c>
    </row>
    <row r="947" spans="1:5">
      <c r="A947" s="2" t="s">
        <v>359</v>
      </c>
      <c r="B947" s="2" t="str">
        <f>"90410153"</f>
        <v>90410153</v>
      </c>
      <c r="C947" s="2" t="str">
        <f>"90410153"</f>
        <v>90410153</v>
      </c>
      <c r="D947" s="2" t="s">
        <v>1294</v>
      </c>
      <c r="E947" s="4">
        <v>2500</v>
      </c>
    </row>
    <row r="948" spans="1:5">
      <c r="A948" s="2" t="s">
        <v>359</v>
      </c>
      <c r="B948" s="2" t="str">
        <f>"57404"</f>
        <v>57404</v>
      </c>
      <c r="C948" s="2" t="str">
        <f>"1444328558"</f>
        <v>1444328558</v>
      </c>
      <c r="D948" s="2" t="s">
        <v>1295</v>
      </c>
      <c r="E948" s="4">
        <v>2500</v>
      </c>
    </row>
    <row r="949" spans="1:5">
      <c r="A949" s="2" t="s">
        <v>359</v>
      </c>
      <c r="B949" s="2" t="str">
        <f>"090050057"</f>
        <v>090050057</v>
      </c>
      <c r="C949" s="2" t="str">
        <f>"090050057"</f>
        <v>090050057</v>
      </c>
      <c r="D949" s="2" t="s">
        <v>1296</v>
      </c>
      <c r="E949" s="4">
        <v>2500</v>
      </c>
    </row>
    <row r="950" spans="1:5">
      <c r="A950" s="2" t="s">
        <v>359</v>
      </c>
      <c r="B950" s="2" t="str">
        <f>"57451"</f>
        <v>57451</v>
      </c>
      <c r="C950" s="2" t="str">
        <f>"57451"</f>
        <v>57451</v>
      </c>
      <c r="D950" s="2" t="s">
        <v>1297</v>
      </c>
      <c r="E950" s="4">
        <v>2500</v>
      </c>
    </row>
    <row r="951" spans="1:5">
      <c r="A951" s="2" t="s">
        <v>359</v>
      </c>
      <c r="B951" s="2" t="str">
        <f>"060050100"</f>
        <v>060050100</v>
      </c>
      <c r="C951" s="2" t="str">
        <f>"06050100"</f>
        <v>06050100</v>
      </c>
      <c r="D951" s="2" t="s">
        <v>1298</v>
      </c>
      <c r="E951" s="4">
        <v>2500</v>
      </c>
    </row>
    <row r="952" spans="1:5">
      <c r="A952" s="2" t="s">
        <v>359</v>
      </c>
      <c r="B952" s="2" t="s">
        <v>1299</v>
      </c>
      <c r="C952" s="2" t="s">
        <v>1299</v>
      </c>
      <c r="D952" s="2" t="s">
        <v>1300</v>
      </c>
      <c r="E952" s="4">
        <v>17800</v>
      </c>
    </row>
    <row r="953" spans="1:5">
      <c r="A953" s="2" t="s">
        <v>359</v>
      </c>
      <c r="B953" s="2" t="str">
        <f>"060050118"</f>
        <v>060050118</v>
      </c>
      <c r="C953" s="2" t="str">
        <f>"060050118"</f>
        <v>060050118</v>
      </c>
      <c r="D953" s="2" t="s">
        <v>1301</v>
      </c>
      <c r="E953" s="4">
        <v>3500</v>
      </c>
    </row>
    <row r="954" spans="1:5">
      <c r="A954" s="2" t="s">
        <v>359</v>
      </c>
      <c r="B954" s="2" t="str">
        <f>"090430014"</f>
        <v>090430014</v>
      </c>
      <c r="C954" s="2" t="str">
        <f>"090430014"</f>
        <v>090430014</v>
      </c>
      <c r="D954" s="2" t="s">
        <v>1302</v>
      </c>
      <c r="E954" s="4">
        <v>16000</v>
      </c>
    </row>
    <row r="955" spans="1:5">
      <c r="A955" s="2" t="s">
        <v>359</v>
      </c>
      <c r="B955" s="2" t="str">
        <f>"330233"</f>
        <v>330233</v>
      </c>
      <c r="C955" s="2" t="str">
        <f>"330233"</f>
        <v>330233</v>
      </c>
      <c r="D955" s="2" t="s">
        <v>1303</v>
      </c>
      <c r="E955" s="2">
        <v>350</v>
      </c>
    </row>
    <row r="956" spans="1:5">
      <c r="A956" s="2" t="s">
        <v>359</v>
      </c>
      <c r="B956" s="2" t="str">
        <f>"5000000191130"</f>
        <v>5000000191130</v>
      </c>
      <c r="C956" s="2" t="str">
        <f>"330305 050090113"</f>
        <v>330305 050090113</v>
      </c>
      <c r="D956" s="2" t="s">
        <v>1304</v>
      </c>
      <c r="E956" s="4">
        <v>2000</v>
      </c>
    </row>
    <row r="957" spans="1:5">
      <c r="A957" s="2" t="s">
        <v>359</v>
      </c>
      <c r="B957" s="2" t="str">
        <f>"330318"</f>
        <v>330318</v>
      </c>
      <c r="C957" s="2" t="str">
        <f>"330318"</f>
        <v>330318</v>
      </c>
      <c r="D957" s="2" t="s">
        <v>1305</v>
      </c>
      <c r="E957" s="4">
        <v>1000</v>
      </c>
    </row>
    <row r="958" spans="1:5">
      <c r="A958" s="2" t="s">
        <v>359</v>
      </c>
      <c r="B958" s="2" t="str">
        <f>"5000000191116"</f>
        <v>5000000191116</v>
      </c>
      <c r="C958" s="2" t="str">
        <f>"330317 7443"</f>
        <v>330317 7443</v>
      </c>
      <c r="D958" s="2" t="s">
        <v>1306</v>
      </c>
      <c r="E958" s="4">
        <v>1100</v>
      </c>
    </row>
    <row r="959" spans="1:5">
      <c r="A959" s="2" t="s">
        <v>359</v>
      </c>
      <c r="B959" s="2" t="str">
        <f>"330310"</f>
        <v>330310</v>
      </c>
      <c r="C959" s="2" t="str">
        <f>"330310"</f>
        <v>330310</v>
      </c>
      <c r="D959" s="2" t="s">
        <v>1307</v>
      </c>
      <c r="E959" s="2">
        <v>450</v>
      </c>
    </row>
    <row r="960" spans="1:5">
      <c r="A960" s="2" t="s">
        <v>359</v>
      </c>
      <c r="B960" s="2" t="str">
        <f>"330277"</f>
        <v>330277</v>
      </c>
      <c r="C960" s="2" t="str">
        <f>"330277"</f>
        <v>330277</v>
      </c>
      <c r="D960" s="2" t="s">
        <v>1308</v>
      </c>
      <c r="E960" s="2">
        <v>250</v>
      </c>
    </row>
    <row r="961" spans="1:5">
      <c r="A961" s="2" t="s">
        <v>359</v>
      </c>
      <c r="B961" s="2" t="str">
        <f>"057171"</f>
        <v>057171</v>
      </c>
      <c r="C961" s="2" t="str">
        <f>"057171"</f>
        <v>057171</v>
      </c>
      <c r="D961" s="2" t="s">
        <v>1309</v>
      </c>
      <c r="E961" s="2">
        <v>250</v>
      </c>
    </row>
    <row r="962" spans="1:5">
      <c r="A962" s="2" t="s">
        <v>359</v>
      </c>
      <c r="B962" s="2" t="str">
        <f>"330349"</f>
        <v>330349</v>
      </c>
      <c r="C962" s="2" t="str">
        <f>"330349"</f>
        <v>330349</v>
      </c>
      <c r="D962" s="2" t="s">
        <v>1310</v>
      </c>
      <c r="E962" s="2">
        <v>300</v>
      </c>
    </row>
    <row r="963" spans="1:5">
      <c r="A963" s="2" t="s">
        <v>359</v>
      </c>
      <c r="B963" s="2" t="str">
        <f>"00563157"</f>
        <v>00563157</v>
      </c>
      <c r="C963" s="2" t="str">
        <f>"00563157"</f>
        <v>00563157</v>
      </c>
      <c r="D963" s="2" t="s">
        <v>1311</v>
      </c>
      <c r="E963" s="2">
        <v>800</v>
      </c>
    </row>
    <row r="964" spans="1:5">
      <c r="A964" s="2" t="s">
        <v>359</v>
      </c>
      <c r="B964" s="2" t="str">
        <f>"090410156"</f>
        <v>090410156</v>
      </c>
      <c r="C964" s="2" t="str">
        <f>"090410156"</f>
        <v>090410156</v>
      </c>
      <c r="D964" s="2" t="s">
        <v>1312</v>
      </c>
      <c r="E964" s="4">
        <v>1800</v>
      </c>
    </row>
    <row r="965" spans="1:5">
      <c r="A965" s="2" t="s">
        <v>359</v>
      </c>
      <c r="B965" s="2" t="str">
        <f>"090050142"</f>
        <v>090050142</v>
      </c>
      <c r="C965" s="2" t="s">
        <v>1313</v>
      </c>
      <c r="D965" s="2" t="s">
        <v>1314</v>
      </c>
      <c r="E965" s="2">
        <v>300</v>
      </c>
    </row>
    <row r="966" spans="1:5">
      <c r="A966" s="2" t="s">
        <v>359</v>
      </c>
      <c r="B966" s="2" t="str">
        <f>"090410174"</f>
        <v>090410174</v>
      </c>
      <c r="C966" s="2" t="str">
        <f>"090410174"</f>
        <v>090410174</v>
      </c>
      <c r="D966" s="2" t="s">
        <v>1315</v>
      </c>
      <c r="E966" s="4">
        <v>2000</v>
      </c>
    </row>
    <row r="967" spans="1:5">
      <c r="A967" s="2" t="s">
        <v>359</v>
      </c>
      <c r="B967" s="2" t="str">
        <f>"090050055"</f>
        <v>090050055</v>
      </c>
      <c r="C967" s="2" t="str">
        <f>"09050065"</f>
        <v>09050065</v>
      </c>
      <c r="D967" s="2" t="s">
        <v>1316</v>
      </c>
      <c r="E967" s="4">
        <v>2000</v>
      </c>
    </row>
    <row r="968" spans="1:5">
      <c r="A968" s="2" t="s">
        <v>359</v>
      </c>
      <c r="B968" s="2" t="str">
        <f>"060050114"</f>
        <v>060050114</v>
      </c>
      <c r="C968" s="2" t="str">
        <f>"060050114"</f>
        <v>060050114</v>
      </c>
      <c r="D968" s="2" t="s">
        <v>1317</v>
      </c>
      <c r="E968" s="4">
        <v>2500</v>
      </c>
    </row>
    <row r="969" spans="1:5">
      <c r="A969" s="2" t="s">
        <v>359</v>
      </c>
      <c r="B969" s="2" t="str">
        <f>"1034"</f>
        <v>1034</v>
      </c>
      <c r="C969" s="2" t="str">
        <f>"1034"</f>
        <v>1034</v>
      </c>
      <c r="D969" s="2" t="s">
        <v>1318</v>
      </c>
      <c r="E969" s="2">
        <v>250</v>
      </c>
    </row>
    <row r="970" spans="1:5">
      <c r="A970" s="2" t="s">
        <v>359</v>
      </c>
      <c r="B970" s="2" t="s">
        <v>1319</v>
      </c>
      <c r="C970" s="2" t="s">
        <v>1319</v>
      </c>
      <c r="D970" s="2" t="s">
        <v>1320</v>
      </c>
      <c r="E970" s="2">
        <v>250</v>
      </c>
    </row>
    <row r="971" spans="1:5">
      <c r="A971" s="2" t="s">
        <v>359</v>
      </c>
      <c r="B971" s="2" t="str">
        <f>"4018354007138"</f>
        <v>4018354007138</v>
      </c>
      <c r="C971" s="2" t="str">
        <f>"050090114"</f>
        <v>050090114</v>
      </c>
      <c r="D971" s="2" t="s">
        <v>1321</v>
      </c>
      <c r="E971" s="4">
        <v>2500</v>
      </c>
    </row>
    <row r="972" spans="1:5">
      <c r="A972" s="2" t="s">
        <v>359</v>
      </c>
      <c r="B972" s="2" t="str">
        <f>"90050059"</f>
        <v>90050059</v>
      </c>
      <c r="C972" s="2" t="str">
        <f>"90050059"</f>
        <v>90050059</v>
      </c>
      <c r="D972" s="2" t="s">
        <v>1322</v>
      </c>
      <c r="E972" s="4">
        <v>2000</v>
      </c>
    </row>
    <row r="973" spans="1:5">
      <c r="A973" s="2" t="s">
        <v>359</v>
      </c>
      <c r="B973" s="2" t="str">
        <f>"90050060"</f>
        <v>90050060</v>
      </c>
      <c r="C973" s="2" t="str">
        <f>"90050060"</f>
        <v>90050060</v>
      </c>
      <c r="D973" s="2" t="s">
        <v>1323</v>
      </c>
      <c r="E973" s="4">
        <v>1600</v>
      </c>
    </row>
    <row r="974" spans="1:5">
      <c r="A974" s="2" t="s">
        <v>359</v>
      </c>
      <c r="B974" s="2" t="str">
        <f>"090050061"</f>
        <v>090050061</v>
      </c>
      <c r="C974" s="2" t="str">
        <f>"893"</f>
        <v>893</v>
      </c>
      <c r="D974" s="2" t="s">
        <v>1324</v>
      </c>
      <c r="E974" s="4">
        <v>1600</v>
      </c>
    </row>
    <row r="975" spans="1:5">
      <c r="A975" s="2" t="s">
        <v>359</v>
      </c>
      <c r="B975" s="2" t="str">
        <f>"90050062"</f>
        <v>90050062</v>
      </c>
      <c r="C975" s="2" t="str">
        <f>"90050062"</f>
        <v>90050062</v>
      </c>
      <c r="D975" s="2" t="s">
        <v>1325</v>
      </c>
      <c r="E975" s="4">
        <v>2500</v>
      </c>
    </row>
    <row r="976" spans="1:5">
      <c r="A976" s="2" t="s">
        <v>359</v>
      </c>
      <c r="B976" s="2" t="str">
        <f>"90410160"</f>
        <v>90410160</v>
      </c>
      <c r="C976" s="2" t="str">
        <f>"090410160"</f>
        <v>090410160</v>
      </c>
      <c r="D976" s="2" t="s">
        <v>1326</v>
      </c>
      <c r="E976" s="4">
        <v>2500</v>
      </c>
    </row>
    <row r="977" spans="1:5">
      <c r="A977" s="2" t="s">
        <v>359</v>
      </c>
      <c r="B977" s="2" t="str">
        <f>"060050091"</f>
        <v>060050091</v>
      </c>
      <c r="C977" s="2" t="str">
        <f>"060050091"</f>
        <v>060050091</v>
      </c>
      <c r="D977" s="2" t="s">
        <v>1327</v>
      </c>
      <c r="E977" s="4">
        <v>2000</v>
      </c>
    </row>
    <row r="978" spans="1:5">
      <c r="A978" s="2" t="s">
        <v>359</v>
      </c>
      <c r="B978" s="2" t="str">
        <f>"330372"</f>
        <v>330372</v>
      </c>
      <c r="C978" s="2" t="str">
        <f>"330372"</f>
        <v>330372</v>
      </c>
      <c r="D978" s="2" t="s">
        <v>1328</v>
      </c>
      <c r="E978" s="4">
        <v>2800</v>
      </c>
    </row>
    <row r="979" spans="1:5">
      <c r="A979" s="2" t="s">
        <v>359</v>
      </c>
      <c r="B979" s="2" t="str">
        <f>"060050093"</f>
        <v>060050093</v>
      </c>
      <c r="C979" s="2" t="str">
        <f>"060050093"</f>
        <v>060050093</v>
      </c>
      <c r="D979" s="2" t="s">
        <v>1329</v>
      </c>
      <c r="E979" s="4">
        <v>3400</v>
      </c>
    </row>
    <row r="980" spans="1:5">
      <c r="A980" s="2" t="s">
        <v>359</v>
      </c>
      <c r="B980" s="2" t="str">
        <f>"090410161"</f>
        <v>090410161</v>
      </c>
      <c r="C980" s="2" t="str">
        <f>"090410161"</f>
        <v>090410161</v>
      </c>
      <c r="D980" s="2" t="s">
        <v>1330</v>
      </c>
      <c r="E980" s="4">
        <v>2000</v>
      </c>
    </row>
    <row r="981" spans="1:5">
      <c r="A981" s="2" t="s">
        <v>359</v>
      </c>
      <c r="B981" s="2" t="s">
        <v>1331</v>
      </c>
      <c r="C981" s="2" t="str">
        <f>"9006"</f>
        <v>9006</v>
      </c>
      <c r="D981" s="2" t="s">
        <v>1332</v>
      </c>
      <c r="E981" s="4">
        <v>2000</v>
      </c>
    </row>
    <row r="982" spans="1:5">
      <c r="A982" s="2" t="s">
        <v>359</v>
      </c>
      <c r="B982" s="2" t="str">
        <f>"330312"</f>
        <v>330312</v>
      </c>
      <c r="C982" s="2" t="str">
        <f>"330312"</f>
        <v>330312</v>
      </c>
      <c r="D982" s="2" t="s">
        <v>1333</v>
      </c>
      <c r="E982" s="4">
        <v>2500</v>
      </c>
    </row>
    <row r="983" spans="1:5">
      <c r="A983" s="2" t="s">
        <v>359</v>
      </c>
      <c r="B983" s="2" t="str">
        <f>"50069006"</f>
        <v>50069006</v>
      </c>
      <c r="C983" s="2" t="str">
        <f>"50069006"</f>
        <v>50069006</v>
      </c>
      <c r="D983" s="2" t="s">
        <v>1334</v>
      </c>
      <c r="E983" s="4">
        <v>2500</v>
      </c>
    </row>
    <row r="984" spans="1:5">
      <c r="A984" s="2" t="s">
        <v>359</v>
      </c>
      <c r="B984" s="2" t="str">
        <f>"90410163"</f>
        <v>90410163</v>
      </c>
      <c r="C984" s="2" t="str">
        <f>"90410163"</f>
        <v>90410163</v>
      </c>
      <c r="D984" s="2" t="s">
        <v>1335</v>
      </c>
      <c r="E984" s="4">
        <v>2800</v>
      </c>
    </row>
    <row r="985" spans="1:5">
      <c r="A985" s="2" t="s">
        <v>359</v>
      </c>
      <c r="B985" s="2" t="str">
        <f>"3165141228809"</f>
        <v>3165141228809</v>
      </c>
      <c r="C985" s="2" t="str">
        <f>"1987301013"</f>
        <v>1987301013</v>
      </c>
      <c r="D985" s="2" t="s">
        <v>1336</v>
      </c>
      <c r="E985" s="4">
        <v>6900</v>
      </c>
    </row>
    <row r="986" spans="1:5">
      <c r="A986" s="2" t="s">
        <v>359</v>
      </c>
      <c r="B986" s="2" t="str">
        <f>"330221"</f>
        <v>330221</v>
      </c>
      <c r="C986" s="2" t="str">
        <f>"330221"</f>
        <v>330221</v>
      </c>
      <c r="D986" s="2" t="s">
        <v>1337</v>
      </c>
      <c r="E986" s="2">
        <v>300</v>
      </c>
    </row>
    <row r="987" spans="1:5">
      <c r="A987" s="2" t="s">
        <v>359</v>
      </c>
      <c r="B987" s="2" t="str">
        <f>"5000000000494"</f>
        <v>5000000000494</v>
      </c>
      <c r="C987" s="2" t="str">
        <f>"330300"</f>
        <v>330300</v>
      </c>
      <c r="D987" s="2" t="s">
        <v>1338</v>
      </c>
      <c r="E987" s="2">
        <v>400</v>
      </c>
    </row>
    <row r="988" spans="1:5">
      <c r="A988" s="2" t="s">
        <v>359</v>
      </c>
      <c r="B988" s="2" t="str">
        <f>"4047024454798"</f>
        <v>4047024454798</v>
      </c>
      <c r="C988" s="2" t="str">
        <f>"90410165"</f>
        <v>90410165</v>
      </c>
      <c r="D988" s="2" t="s">
        <v>1339</v>
      </c>
      <c r="E988" s="4">
        <v>1500</v>
      </c>
    </row>
    <row r="989" spans="1:5">
      <c r="A989" s="2" t="s">
        <v>359</v>
      </c>
      <c r="B989" s="2" t="str">
        <f>"330340"</f>
        <v>330340</v>
      </c>
      <c r="C989" s="2" t="str">
        <f>"330340"</f>
        <v>330340</v>
      </c>
      <c r="D989" s="2" t="s">
        <v>1340</v>
      </c>
      <c r="E989" s="4">
        <v>1000</v>
      </c>
    </row>
    <row r="990" spans="1:5">
      <c r="A990" s="2" t="s">
        <v>359</v>
      </c>
      <c r="B990" s="2" t="s">
        <v>1341</v>
      </c>
      <c r="C990" s="2" t="s">
        <v>1341</v>
      </c>
      <c r="D990" s="2" t="s">
        <v>1342</v>
      </c>
      <c r="E990" s="4">
        <v>1500</v>
      </c>
    </row>
    <row r="991" spans="1:5">
      <c r="A991" s="2" t="s">
        <v>359</v>
      </c>
      <c r="B991" s="2" t="s">
        <v>1343</v>
      </c>
      <c r="C991" s="2" t="s">
        <v>1344</v>
      </c>
      <c r="D991" s="2" t="s">
        <v>1345</v>
      </c>
      <c r="E991" s="4">
        <v>1500</v>
      </c>
    </row>
    <row r="992" spans="1:5">
      <c r="A992" s="2" t="s">
        <v>359</v>
      </c>
      <c r="B992" s="2" t="str">
        <f>"005006H112V"</f>
        <v>005006H112V</v>
      </c>
      <c r="C992" s="2" t="str">
        <f>"005006H112V"</f>
        <v>005006H112V</v>
      </c>
      <c r="D992" s="2" t="s">
        <v>1346</v>
      </c>
      <c r="E992" s="4">
        <v>1000</v>
      </c>
    </row>
    <row r="993" spans="1:5">
      <c r="A993" s="2" t="s">
        <v>359</v>
      </c>
      <c r="B993" s="2" t="str">
        <f>"57313"</f>
        <v>57313</v>
      </c>
      <c r="C993" s="2" t="s">
        <v>1347</v>
      </c>
      <c r="D993" s="2" t="s">
        <v>1348</v>
      </c>
      <c r="E993" s="4">
        <v>3500</v>
      </c>
    </row>
    <row r="994" spans="1:5">
      <c r="A994" s="2" t="s">
        <v>359</v>
      </c>
      <c r="B994" s="2" t="str">
        <f>"090410173"</f>
        <v>090410173</v>
      </c>
      <c r="C994" s="2" t="str">
        <f>"090410173"</f>
        <v>090410173</v>
      </c>
      <c r="D994" s="2" t="s">
        <v>1349</v>
      </c>
      <c r="E994" s="4">
        <v>2500</v>
      </c>
    </row>
    <row r="995" spans="1:5">
      <c r="A995" s="2" t="s">
        <v>359</v>
      </c>
      <c r="B995" s="2" t="str">
        <f>"9951795"</f>
        <v>9951795</v>
      </c>
      <c r="C995" s="2" t="str">
        <f>"9951795"</f>
        <v>9951795</v>
      </c>
      <c r="D995" s="2" t="s">
        <v>1350</v>
      </c>
      <c r="E995" s="4">
        <v>3000</v>
      </c>
    </row>
    <row r="996" spans="1:5">
      <c r="A996" s="2" t="s">
        <v>359</v>
      </c>
      <c r="B996" s="2" t="str">
        <f>"4047025321556"</f>
        <v>4047025321556</v>
      </c>
      <c r="C996" s="2" t="str">
        <f>"090050145"</f>
        <v>090050145</v>
      </c>
      <c r="D996" s="2" t="s">
        <v>1351</v>
      </c>
      <c r="E996" s="4">
        <v>6100</v>
      </c>
    </row>
    <row r="997" spans="1:5">
      <c r="A997" s="2" t="s">
        <v>359</v>
      </c>
      <c r="B997" s="2" t="str">
        <f>"57315"</f>
        <v>57315</v>
      </c>
      <c r="C997" s="2" t="s">
        <v>1352</v>
      </c>
      <c r="D997" s="2" t="s">
        <v>1353</v>
      </c>
      <c r="E997" s="4">
        <v>3500</v>
      </c>
    </row>
    <row r="998" spans="1:5">
      <c r="A998" s="2" t="s">
        <v>359</v>
      </c>
      <c r="B998" s="2" t="str">
        <f>"060050103"</f>
        <v>060050103</v>
      </c>
      <c r="C998" s="2" t="str">
        <f>"060050103"</f>
        <v>060050103</v>
      </c>
      <c r="D998" s="2" t="s">
        <v>1354</v>
      </c>
      <c r="E998" s="4">
        <v>4300</v>
      </c>
    </row>
    <row r="999" spans="1:5">
      <c r="A999" s="2" t="s">
        <v>359</v>
      </c>
      <c r="B999" s="2" t="str">
        <f>"090050058"</f>
        <v>090050058</v>
      </c>
      <c r="C999" s="2" t="str">
        <f>"090050058"</f>
        <v>090050058</v>
      </c>
      <c r="D999" s="2" t="s">
        <v>1355</v>
      </c>
      <c r="E999" s="4">
        <v>2800</v>
      </c>
    </row>
    <row r="1000" spans="1:5">
      <c r="A1000" s="2" t="s">
        <v>359</v>
      </c>
      <c r="B1000" s="2" t="str">
        <f>"90050058"</f>
        <v>90050058</v>
      </c>
      <c r="C1000" s="2" t="str">
        <f>"90050058"</f>
        <v>90050058</v>
      </c>
      <c r="D1000" s="2" t="s">
        <v>1356</v>
      </c>
      <c r="E1000" s="4">
        <v>3200</v>
      </c>
    </row>
    <row r="1001" spans="1:5">
      <c r="A1001" s="2" t="s">
        <v>359</v>
      </c>
      <c r="B1001" s="2" t="str">
        <f>"57316"</f>
        <v>57316</v>
      </c>
      <c r="C1001" s="2" t="s">
        <v>1357</v>
      </c>
      <c r="D1001" s="2" t="s">
        <v>1358</v>
      </c>
      <c r="E1001" s="4">
        <v>3900</v>
      </c>
    </row>
    <row r="1002" spans="1:5">
      <c r="A1002" s="2" t="s">
        <v>359</v>
      </c>
      <c r="B1002" s="2" t="s">
        <v>1359</v>
      </c>
      <c r="C1002" s="2" t="s">
        <v>1359</v>
      </c>
      <c r="D1002" s="2" t="s">
        <v>1360</v>
      </c>
      <c r="E1002" s="4">
        <v>1200</v>
      </c>
    </row>
    <row r="1003" spans="1:5">
      <c r="A1003" s="2" t="s">
        <v>359</v>
      </c>
      <c r="B1003" s="2" t="str">
        <f>"4050300332185"</f>
        <v>4050300332185</v>
      </c>
      <c r="C1003" s="2" t="str">
        <f>"64151"</f>
        <v>64151</v>
      </c>
      <c r="D1003" s="2" t="s">
        <v>1361</v>
      </c>
      <c r="E1003" s="4">
        <v>3500</v>
      </c>
    </row>
    <row r="1004" spans="1:5">
      <c r="A1004" s="2" t="s">
        <v>359</v>
      </c>
      <c r="B1004" s="2" t="s">
        <v>1362</v>
      </c>
      <c r="C1004" s="2" t="s">
        <v>1363</v>
      </c>
      <c r="D1004" s="2" t="s">
        <v>1364</v>
      </c>
      <c r="E1004" s="4">
        <v>1700</v>
      </c>
    </row>
    <row r="1005" spans="1:5">
      <c r="A1005" s="2" t="s">
        <v>359</v>
      </c>
      <c r="B1005" s="2" t="str">
        <f>"0010880"</f>
        <v>0010880</v>
      </c>
      <c r="C1005" s="2" t="str">
        <f>"0010880"</f>
        <v>0010880</v>
      </c>
      <c r="D1005" s="2" t="s">
        <v>1365</v>
      </c>
      <c r="E1005" s="4">
        <v>2900</v>
      </c>
    </row>
    <row r="1006" spans="1:5">
      <c r="A1006" s="2" t="s">
        <v>359</v>
      </c>
      <c r="B1006" s="2" t="str">
        <f>"330326"</f>
        <v>330326</v>
      </c>
      <c r="C1006" s="2" t="str">
        <f>"330326"</f>
        <v>330326</v>
      </c>
      <c r="D1006" s="2" t="s">
        <v>1366</v>
      </c>
      <c r="E1006" s="4">
        <v>1900</v>
      </c>
    </row>
    <row r="1007" spans="1:5">
      <c r="A1007" s="2" t="s">
        <v>359</v>
      </c>
      <c r="B1007" s="2" t="str">
        <f>"4047024196971"</f>
        <v>4047024196971</v>
      </c>
      <c r="C1007" s="2" t="s">
        <v>1367</v>
      </c>
      <c r="D1007" s="2" t="s">
        <v>1368</v>
      </c>
      <c r="E1007" s="4">
        <v>5200</v>
      </c>
    </row>
    <row r="1008" spans="1:5">
      <c r="A1008" s="2" t="s">
        <v>359</v>
      </c>
      <c r="B1008" s="2" t="str">
        <f>"301010"</f>
        <v>301010</v>
      </c>
      <c r="C1008" s="2" t="str">
        <f>"301010"</f>
        <v>301010</v>
      </c>
      <c r="D1008" s="2" t="s">
        <v>1369</v>
      </c>
      <c r="E1008" s="4">
        <v>8800</v>
      </c>
    </row>
    <row r="1009" spans="1:5">
      <c r="A1009" s="2" t="s">
        <v>359</v>
      </c>
      <c r="B1009" s="2" t="str">
        <f>"57464"</f>
        <v>57464</v>
      </c>
      <c r="C1009" s="2" t="str">
        <f>"57464"</f>
        <v>57464</v>
      </c>
      <c r="D1009" s="2" t="s">
        <v>1370</v>
      </c>
      <c r="E1009" s="4">
        <v>7000</v>
      </c>
    </row>
    <row r="1010" spans="1:5">
      <c r="A1010" s="2" t="s">
        <v>359</v>
      </c>
      <c r="B1010" s="2" t="s">
        <v>1371</v>
      </c>
      <c r="C1010" s="2" t="s">
        <v>1371</v>
      </c>
      <c r="D1010" s="2" t="s">
        <v>1372</v>
      </c>
      <c r="E1010" s="4">
        <v>16000</v>
      </c>
    </row>
    <row r="1011" spans="1:5">
      <c r="A1011" s="2" t="s">
        <v>359</v>
      </c>
      <c r="B1011" s="2" t="s">
        <v>1373</v>
      </c>
      <c r="C1011" s="2" t="s">
        <v>1373</v>
      </c>
      <c r="D1011" s="2" t="s">
        <v>1374</v>
      </c>
      <c r="E1011" s="4">
        <v>19600</v>
      </c>
    </row>
    <row r="1012" spans="1:5">
      <c r="A1012" s="2" t="s">
        <v>359</v>
      </c>
      <c r="B1012" s="2" t="str">
        <f>"4050300001470"</f>
        <v>4050300001470</v>
      </c>
      <c r="C1012" s="2" t="str">
        <f>"005006H4O"</f>
        <v>005006H4O</v>
      </c>
      <c r="D1012" s="2" t="s">
        <v>1375</v>
      </c>
      <c r="E1012" s="4">
        <v>4900</v>
      </c>
    </row>
    <row r="1013" spans="1:5">
      <c r="A1013" s="2" t="s">
        <v>359</v>
      </c>
      <c r="B1013" s="2" t="str">
        <f>"090410157"</f>
        <v>090410157</v>
      </c>
      <c r="C1013" s="2" t="str">
        <f>"090410157"</f>
        <v>090410157</v>
      </c>
      <c r="D1013" s="2" t="s">
        <v>1376</v>
      </c>
      <c r="E1013" s="4">
        <v>1800</v>
      </c>
    </row>
    <row r="1014" spans="1:5">
      <c r="A1014" s="2" t="s">
        <v>359</v>
      </c>
      <c r="B1014" s="2" t="s">
        <v>1377</v>
      </c>
      <c r="C1014" s="2" t="s">
        <v>1377</v>
      </c>
      <c r="D1014" s="2" t="s">
        <v>1378</v>
      </c>
      <c r="E1014" s="4">
        <v>2000</v>
      </c>
    </row>
    <row r="1015" spans="1:5">
      <c r="A1015" s="2" t="s">
        <v>359</v>
      </c>
      <c r="B1015" s="2" t="s">
        <v>1379</v>
      </c>
      <c r="C1015" s="2" t="s">
        <v>1379</v>
      </c>
      <c r="D1015" s="2" t="s">
        <v>1380</v>
      </c>
      <c r="E1015" s="4">
        <v>1900</v>
      </c>
    </row>
    <row r="1016" spans="1:5">
      <c r="A1016" s="2" t="s">
        <v>359</v>
      </c>
      <c r="B1016" s="2" t="str">
        <f>"57693"</f>
        <v>57693</v>
      </c>
      <c r="C1016" s="2" t="str">
        <f>"57693"</f>
        <v>57693</v>
      </c>
      <c r="D1016" s="2" t="s">
        <v>1381</v>
      </c>
      <c r="E1016" s="4">
        <v>19000</v>
      </c>
    </row>
    <row r="1017" spans="1:5">
      <c r="A1017" s="2" t="s">
        <v>359</v>
      </c>
      <c r="B1017" s="2" t="str">
        <f>"0012455"</f>
        <v>0012455</v>
      </c>
      <c r="C1017" s="2" t="str">
        <f>"0012455"</f>
        <v>0012455</v>
      </c>
      <c r="D1017" s="2" t="s">
        <v>1382</v>
      </c>
      <c r="E1017" s="4">
        <v>2500</v>
      </c>
    </row>
    <row r="1018" spans="1:5">
      <c r="A1018" s="2" t="s">
        <v>359</v>
      </c>
      <c r="B1018" s="2" t="str">
        <f>"057451"</f>
        <v>057451</v>
      </c>
      <c r="C1018" s="2" t="str">
        <f>"057451"</f>
        <v>057451</v>
      </c>
      <c r="D1018" s="2" t="s">
        <v>1383</v>
      </c>
      <c r="E1018" s="4">
        <v>1900</v>
      </c>
    </row>
    <row r="1019" spans="1:5">
      <c r="A1019" s="2" t="s">
        <v>359</v>
      </c>
      <c r="B1019" s="2" t="str">
        <f>"330319"</f>
        <v>330319</v>
      </c>
      <c r="C1019" s="2" t="str">
        <f>"330319"</f>
        <v>330319</v>
      </c>
      <c r="D1019" s="2" t="s">
        <v>1384</v>
      </c>
      <c r="E1019" s="4">
        <v>1500</v>
      </c>
    </row>
    <row r="1020" spans="1:5">
      <c r="A1020" s="2" t="s">
        <v>359</v>
      </c>
      <c r="B1020" s="2" t="s">
        <v>1385</v>
      </c>
      <c r="C1020" s="2" t="s">
        <v>1385</v>
      </c>
      <c r="D1020" s="2" t="s">
        <v>1386</v>
      </c>
      <c r="E1020" s="4">
        <v>18700</v>
      </c>
    </row>
    <row r="1021" spans="1:5">
      <c r="A1021" s="2" t="s">
        <v>359</v>
      </c>
      <c r="B1021" s="2" t="str">
        <f>"57467"</f>
        <v>57467</v>
      </c>
      <c r="C1021" s="2" t="str">
        <f>"57467"</f>
        <v>57467</v>
      </c>
      <c r="D1021" s="2" t="s">
        <v>1387</v>
      </c>
      <c r="E1021" s="4">
        <v>6500</v>
      </c>
    </row>
    <row r="1022" spans="1:5">
      <c r="A1022" s="2" t="s">
        <v>359</v>
      </c>
      <c r="B1022" s="2" t="str">
        <f>"57F5H7LED"</f>
        <v>57F5H7LED</v>
      </c>
      <c r="C1022" s="2" t="str">
        <f>"57F5H7LED"</f>
        <v>57F5H7LED</v>
      </c>
      <c r="D1022" s="2" t="s">
        <v>1388</v>
      </c>
      <c r="E1022" s="4">
        <v>19600</v>
      </c>
    </row>
    <row r="1023" spans="1:5">
      <c r="A1023" s="2" t="s">
        <v>359</v>
      </c>
      <c r="B1023" s="2" t="str">
        <f>"090430011"</f>
        <v>090430011</v>
      </c>
      <c r="C1023" s="2" t="s">
        <v>1389</v>
      </c>
      <c r="D1023" s="2" t="s">
        <v>1390</v>
      </c>
      <c r="E1023" s="4">
        <v>16000</v>
      </c>
    </row>
    <row r="1024" spans="1:5">
      <c r="A1024" s="2" t="s">
        <v>359</v>
      </c>
      <c r="B1024" s="2" t="str">
        <f>"060050133"</f>
        <v>060050133</v>
      </c>
      <c r="C1024" s="2" t="str">
        <f>"060050133"</f>
        <v>060050133</v>
      </c>
      <c r="D1024" s="2" t="s">
        <v>1391</v>
      </c>
      <c r="E1024" s="2">
        <v>500</v>
      </c>
    </row>
    <row r="1025" spans="1:5">
      <c r="A1025" s="2" t="s">
        <v>1392</v>
      </c>
      <c r="B1025" s="2" t="str">
        <f>"62135"</f>
        <v>62135</v>
      </c>
      <c r="C1025" s="2" t="str">
        <f>"62135"</f>
        <v>62135</v>
      </c>
      <c r="D1025" s="2" t="s">
        <v>1393</v>
      </c>
      <c r="E1025" s="4">
        <v>6100</v>
      </c>
    </row>
    <row r="1026" spans="1:5">
      <c r="A1026" s="2" t="s">
        <v>1394</v>
      </c>
      <c r="B1026" s="2" t="str">
        <f>"311082"</f>
        <v>311082</v>
      </c>
      <c r="C1026" s="2" t="str">
        <f>"311082"</f>
        <v>311082</v>
      </c>
      <c r="D1026" s="2" t="s">
        <v>1395</v>
      </c>
      <c r="E1026" s="4">
        <v>18000</v>
      </c>
    </row>
    <row r="1027" spans="1:5">
      <c r="A1027" s="2" t="s">
        <v>296</v>
      </c>
      <c r="B1027" s="2" t="str">
        <f>"0772203"</f>
        <v>0772203</v>
      </c>
      <c r="C1027" s="2" t="str">
        <f>"072203"</f>
        <v>072203</v>
      </c>
      <c r="D1027" s="2" t="s">
        <v>1396</v>
      </c>
      <c r="E1027" s="4">
        <v>3900</v>
      </c>
    </row>
    <row r="1028" spans="1:5">
      <c r="A1028" s="2" t="s">
        <v>296</v>
      </c>
      <c r="B1028" s="2" t="s">
        <v>1397</v>
      </c>
      <c r="C1028" s="2" t="s">
        <v>1397</v>
      </c>
      <c r="D1028" s="2" t="s">
        <v>1398</v>
      </c>
      <c r="E1028" s="4">
        <v>9700</v>
      </c>
    </row>
    <row r="1029" spans="1:5">
      <c r="A1029" s="2" t="s">
        <v>296</v>
      </c>
      <c r="B1029" s="2" t="s">
        <v>1399</v>
      </c>
      <c r="C1029" s="2" t="str">
        <f>"72865"</f>
        <v>72865</v>
      </c>
      <c r="D1029" s="2" t="s">
        <v>1400</v>
      </c>
      <c r="E1029" s="4">
        <v>7900</v>
      </c>
    </row>
    <row r="1030" spans="1:5">
      <c r="A1030" s="2" t="s">
        <v>296</v>
      </c>
      <c r="B1030" s="2" t="str">
        <f>"0001797"</f>
        <v>0001797</v>
      </c>
      <c r="C1030" s="2" t="str">
        <f>"072202"</f>
        <v>072202</v>
      </c>
      <c r="D1030" s="2" t="s">
        <v>1401</v>
      </c>
      <c r="E1030" s="4">
        <v>8800</v>
      </c>
    </row>
    <row r="1031" spans="1:5">
      <c r="A1031" s="2" t="s">
        <v>296</v>
      </c>
      <c r="B1031" s="2" t="str">
        <f>"023002D21"</f>
        <v>023002D21</v>
      </c>
      <c r="C1031" s="2" t="str">
        <f>"023002D21"</f>
        <v>023002D21</v>
      </c>
      <c r="D1031" s="2" t="s">
        <v>1402</v>
      </c>
      <c r="E1031" s="4">
        <v>3800</v>
      </c>
    </row>
    <row r="1032" spans="1:5">
      <c r="A1032" s="2" t="s">
        <v>296</v>
      </c>
      <c r="B1032" s="2" t="str">
        <f>"0143408"</f>
        <v>0143408</v>
      </c>
      <c r="C1032" s="2" t="str">
        <f>"0143408"</f>
        <v>0143408</v>
      </c>
      <c r="D1032" s="2" t="s">
        <v>1403</v>
      </c>
      <c r="E1032" s="4">
        <v>10600</v>
      </c>
    </row>
    <row r="1033" spans="1:5">
      <c r="A1033" s="2" t="s">
        <v>296</v>
      </c>
      <c r="B1033" s="2" t="str">
        <f>"72212"</f>
        <v>72212</v>
      </c>
      <c r="C1033" s="2" t="str">
        <f>"72212"</f>
        <v>72212</v>
      </c>
      <c r="D1033" s="2" t="s">
        <v>1404</v>
      </c>
      <c r="E1033" s="4">
        <v>2500</v>
      </c>
    </row>
    <row r="1034" spans="1:5">
      <c r="A1034" s="2" t="s">
        <v>296</v>
      </c>
      <c r="B1034" s="2" t="str">
        <f>"023002P"</f>
        <v>023002P</v>
      </c>
      <c r="C1034" s="2" t="str">
        <f>"023002P"</f>
        <v>023002P</v>
      </c>
      <c r="D1034" s="2" t="s">
        <v>1405</v>
      </c>
      <c r="E1034" s="4">
        <v>2500</v>
      </c>
    </row>
    <row r="1035" spans="1:5">
      <c r="A1035" s="2" t="s">
        <v>296</v>
      </c>
      <c r="B1035" s="2" t="s">
        <v>1406</v>
      </c>
      <c r="C1035" s="2" t="s">
        <v>1406</v>
      </c>
      <c r="D1035" s="2" t="s">
        <v>1407</v>
      </c>
      <c r="E1035" s="4">
        <v>2500</v>
      </c>
    </row>
    <row r="1036" spans="1:5">
      <c r="A1036" s="2" t="s">
        <v>296</v>
      </c>
      <c r="B1036" s="2" t="str">
        <f>"072221"</f>
        <v>072221</v>
      </c>
      <c r="C1036" s="2" t="str">
        <f>"072221"</f>
        <v>072221</v>
      </c>
      <c r="D1036" s="2" t="s">
        <v>1408</v>
      </c>
      <c r="E1036" s="4">
        <v>4300</v>
      </c>
    </row>
    <row r="1037" spans="1:5">
      <c r="A1037" s="2" t="s">
        <v>296</v>
      </c>
      <c r="B1037" s="2" t="str">
        <f>"090980401"</f>
        <v>090980401</v>
      </c>
      <c r="C1037" s="2" t="s">
        <v>1409</v>
      </c>
      <c r="D1037" s="2" t="s">
        <v>1410</v>
      </c>
      <c r="E1037" s="4">
        <v>4300</v>
      </c>
    </row>
    <row r="1038" spans="1:5">
      <c r="A1038" s="2" t="s">
        <v>165</v>
      </c>
      <c r="B1038" s="2" t="s">
        <v>1411</v>
      </c>
      <c r="C1038" s="2" t="s">
        <v>1411</v>
      </c>
      <c r="D1038" s="2" t="s">
        <v>1412</v>
      </c>
      <c r="E1038" s="4">
        <v>3800</v>
      </c>
    </row>
    <row r="1039" spans="1:5">
      <c r="A1039" s="2" t="s">
        <v>165</v>
      </c>
      <c r="B1039" s="2" t="s">
        <v>1413</v>
      </c>
      <c r="C1039" s="2" t="s">
        <v>1413</v>
      </c>
      <c r="D1039" s="2" t="s">
        <v>1414</v>
      </c>
      <c r="E1039" s="4">
        <v>4000</v>
      </c>
    </row>
    <row r="1040" spans="1:5">
      <c r="A1040" s="2" t="s">
        <v>165</v>
      </c>
      <c r="B1040" s="2" t="str">
        <f>"611-E"</f>
        <v>611-E</v>
      </c>
      <c r="C1040" s="2" t="str">
        <f>"611-E"</f>
        <v>611-E</v>
      </c>
      <c r="D1040" s="2" t="s">
        <v>1415</v>
      </c>
      <c r="E1040" s="4">
        <v>4000</v>
      </c>
    </row>
    <row r="1041" spans="1:5">
      <c r="A1041" s="2" t="s">
        <v>165</v>
      </c>
      <c r="B1041" s="2" t="str">
        <f>"71120lt"</f>
        <v>71120lt</v>
      </c>
      <c r="C1041" s="2" t="str">
        <f>"1540215877290"</f>
        <v>1540215877290</v>
      </c>
      <c r="D1041" s="2" t="s">
        <v>1416</v>
      </c>
      <c r="E1041" s="4">
        <v>25000</v>
      </c>
    </row>
    <row r="1042" spans="1:5">
      <c r="A1042" s="2" t="s">
        <v>165</v>
      </c>
      <c r="B1042" s="2" t="s">
        <v>1417</v>
      </c>
      <c r="C1042" s="2" t="s">
        <v>1417</v>
      </c>
      <c r="D1042" s="2" t="s">
        <v>1418</v>
      </c>
      <c r="E1042" s="4">
        <v>5500</v>
      </c>
    </row>
    <row r="1043" spans="1:5">
      <c r="A1043" s="2" t="s">
        <v>165</v>
      </c>
      <c r="B1043" s="2" t="s">
        <v>1419</v>
      </c>
      <c r="C1043" s="2" t="s">
        <v>1419</v>
      </c>
      <c r="D1043" s="2" t="s">
        <v>1420</v>
      </c>
      <c r="E1043" s="4">
        <v>9500</v>
      </c>
    </row>
    <row r="1044" spans="1:5">
      <c r="A1044" s="2" t="s">
        <v>165</v>
      </c>
      <c r="B1044" s="2" t="str">
        <f>"7805315650123"</f>
        <v>7805315650123</v>
      </c>
      <c r="C1044" s="2" t="s">
        <v>1421</v>
      </c>
      <c r="D1044" s="2" t="s">
        <v>1422</v>
      </c>
      <c r="E1044" s="4">
        <v>9500</v>
      </c>
    </row>
    <row r="1045" spans="1:5">
      <c r="A1045" s="2" t="s">
        <v>165</v>
      </c>
      <c r="B1045" s="2" t="str">
        <f>"4100420018770"</f>
        <v>4100420018770</v>
      </c>
      <c r="C1045" s="2" t="str">
        <f>"1877"</f>
        <v>1877</v>
      </c>
      <c r="D1045" s="2" t="s">
        <v>1423</v>
      </c>
      <c r="E1045" s="4">
        <v>7000</v>
      </c>
    </row>
    <row r="1046" spans="1:5">
      <c r="A1046" s="2" t="s">
        <v>165</v>
      </c>
      <c r="B1046" s="2" t="str">
        <f>"7702763005065"</f>
        <v>7702763005065</v>
      </c>
      <c r="C1046" s="2" t="str">
        <f>"3685"</f>
        <v>3685</v>
      </c>
      <c r="D1046" s="2" t="s">
        <v>1424</v>
      </c>
      <c r="E1046" s="4">
        <v>4300</v>
      </c>
    </row>
    <row r="1047" spans="1:5">
      <c r="A1047" s="2" t="s">
        <v>165</v>
      </c>
      <c r="B1047" s="2" t="str">
        <f>"7702763005072"</f>
        <v>7702763005072</v>
      </c>
      <c r="C1047" s="2" t="str">
        <f>"3684"</f>
        <v>3684</v>
      </c>
      <c r="D1047" s="2" t="s">
        <v>1425</v>
      </c>
      <c r="E1047" s="4">
        <v>4300</v>
      </c>
    </row>
    <row r="1048" spans="1:5">
      <c r="A1048" s="2" t="s">
        <v>165</v>
      </c>
      <c r="B1048" s="2" t="str">
        <f>"7702763002590"</f>
        <v>7702763002590</v>
      </c>
      <c r="C1048" s="2" t="str">
        <f>"3575"</f>
        <v>3575</v>
      </c>
      <c r="D1048" s="2" t="s">
        <v>1426</v>
      </c>
      <c r="E1048" s="4">
        <v>4300</v>
      </c>
    </row>
    <row r="1049" spans="1:5">
      <c r="A1049" s="2" t="s">
        <v>165</v>
      </c>
      <c r="B1049" s="2" t="str">
        <f>"50/50"</f>
        <v>50/50</v>
      </c>
      <c r="C1049" s="2" t="str">
        <f>"50/50"</f>
        <v>50/50</v>
      </c>
      <c r="D1049" s="2" t="s">
        <v>1427</v>
      </c>
      <c r="E1049" s="4">
        <v>10600</v>
      </c>
    </row>
    <row r="1050" spans="1:5">
      <c r="A1050" s="2" t="s">
        <v>165</v>
      </c>
      <c r="B1050" s="2" t="s">
        <v>1428</v>
      </c>
      <c r="C1050" s="2" t="s">
        <v>1428</v>
      </c>
      <c r="D1050" s="2" t="s">
        <v>1429</v>
      </c>
      <c r="E1050" s="4">
        <v>20500</v>
      </c>
    </row>
    <row r="1051" spans="1:5">
      <c r="A1051" s="2" t="s">
        <v>165</v>
      </c>
      <c r="B1051" s="2" t="str">
        <f>"797496880901"</f>
        <v>797496880901</v>
      </c>
      <c r="C1051" s="2" t="s">
        <v>1430</v>
      </c>
      <c r="D1051" s="2" t="s">
        <v>1431</v>
      </c>
      <c r="E1051" s="4">
        <v>21000</v>
      </c>
    </row>
    <row r="1052" spans="1:5">
      <c r="A1052" s="2" t="s">
        <v>165</v>
      </c>
      <c r="B1052" s="2" t="str">
        <f>"79749687389"</f>
        <v>79749687389</v>
      </c>
      <c r="C1052" s="2" t="s">
        <v>1432</v>
      </c>
      <c r="D1052" s="2" t="s">
        <v>1433</v>
      </c>
      <c r="E1052" s="4">
        <v>22000</v>
      </c>
    </row>
    <row r="1053" spans="1:5" ht="27.6">
      <c r="A1053" s="2" t="s">
        <v>165</v>
      </c>
      <c r="B1053" s="2" t="str">
        <f>"797496871541"</f>
        <v>797496871541</v>
      </c>
      <c r="C1053" s="2" t="s">
        <v>1434</v>
      </c>
      <c r="D1053" s="2" t="s">
        <v>1435</v>
      </c>
      <c r="E1053" s="4">
        <v>14000</v>
      </c>
    </row>
    <row r="1054" spans="1:5">
      <c r="A1054" s="2" t="s">
        <v>165</v>
      </c>
      <c r="B1054" s="2" t="str">
        <f>"797496873897"</f>
        <v>797496873897</v>
      </c>
      <c r="C1054" s="2" t="s">
        <v>1436</v>
      </c>
      <c r="D1054" s="2" t="s">
        <v>1437</v>
      </c>
      <c r="E1054" s="4">
        <v>24500</v>
      </c>
    </row>
    <row r="1055" spans="1:5">
      <c r="A1055" s="2" t="s">
        <v>165</v>
      </c>
      <c r="B1055" s="2" t="s">
        <v>1438</v>
      </c>
      <c r="C1055" s="2" t="s">
        <v>1438</v>
      </c>
      <c r="D1055" s="2" t="s">
        <v>1439</v>
      </c>
      <c r="E1055" s="4">
        <v>22000</v>
      </c>
    </row>
    <row r="1056" spans="1:5" ht="27.6">
      <c r="A1056" s="2" t="s">
        <v>165</v>
      </c>
      <c r="B1056" s="2" t="str">
        <f>"797496865632"</f>
        <v>797496865632</v>
      </c>
      <c r="C1056" s="2" t="s">
        <v>1440</v>
      </c>
      <c r="D1056" s="2" t="s">
        <v>1441</v>
      </c>
      <c r="E1056" s="4">
        <v>17000</v>
      </c>
    </row>
    <row r="1057" spans="1:5">
      <c r="A1057" s="2" t="s">
        <v>165</v>
      </c>
      <c r="B1057" s="2" t="s">
        <v>1442</v>
      </c>
      <c r="C1057" s="2" t="s">
        <v>1442</v>
      </c>
      <c r="D1057" s="2" t="s">
        <v>1443</v>
      </c>
      <c r="E1057" s="4">
        <v>3500</v>
      </c>
    </row>
    <row r="1058" spans="1:5">
      <c r="A1058" s="2" t="s">
        <v>165</v>
      </c>
      <c r="B1058" s="2" t="s">
        <v>1444</v>
      </c>
      <c r="C1058" s="2" t="s">
        <v>1445</v>
      </c>
      <c r="D1058" s="2" t="s">
        <v>1446</v>
      </c>
      <c r="E1058" s="4">
        <v>3500</v>
      </c>
    </row>
    <row r="1059" spans="1:5">
      <c r="A1059" s="2" t="s">
        <v>165</v>
      </c>
      <c r="B1059" s="2" t="s">
        <v>1447</v>
      </c>
      <c r="C1059" s="2" t="str">
        <f>"1718804401210"</f>
        <v>1718804401210</v>
      </c>
      <c r="D1059" s="2" t="s">
        <v>1448</v>
      </c>
      <c r="E1059" s="4">
        <v>6500</v>
      </c>
    </row>
    <row r="1060" spans="1:5">
      <c r="A1060" s="2" t="s">
        <v>165</v>
      </c>
      <c r="B1060" s="2" t="s">
        <v>1449</v>
      </c>
      <c r="C1060" s="2" t="s">
        <v>1449</v>
      </c>
      <c r="D1060" s="2" t="s">
        <v>1450</v>
      </c>
      <c r="E1060" s="4">
        <v>5500</v>
      </c>
    </row>
    <row r="1061" spans="1:5">
      <c r="A1061" s="2" t="s">
        <v>165</v>
      </c>
      <c r="B1061" s="2" t="s">
        <v>1451</v>
      </c>
      <c r="C1061" s="2" t="s">
        <v>1451</v>
      </c>
      <c r="D1061" s="2" t="s">
        <v>1452</v>
      </c>
      <c r="E1061" s="4">
        <v>5500</v>
      </c>
    </row>
    <row r="1062" spans="1:5">
      <c r="A1062" s="2" t="s">
        <v>165</v>
      </c>
      <c r="B1062" s="2" t="s">
        <v>1453</v>
      </c>
      <c r="C1062" s="2" t="s">
        <v>1454</v>
      </c>
      <c r="D1062" s="2" t="s">
        <v>1455</v>
      </c>
      <c r="E1062" s="4">
        <v>6500</v>
      </c>
    </row>
    <row r="1063" spans="1:5">
      <c r="A1063" s="2" t="s">
        <v>165</v>
      </c>
      <c r="B1063" s="2" t="str">
        <f>"38-M"</f>
        <v>38-M</v>
      </c>
      <c r="C1063" s="2" t="str">
        <f>"38-M"</f>
        <v>38-M</v>
      </c>
      <c r="D1063" s="2" t="s">
        <v>1456</v>
      </c>
      <c r="E1063" s="4">
        <v>2500</v>
      </c>
    </row>
    <row r="1064" spans="1:5">
      <c r="A1064" s="2" t="s">
        <v>46</v>
      </c>
      <c r="B1064" s="2" t="str">
        <f>"040210089"</f>
        <v>040210089</v>
      </c>
      <c r="C1064" s="2" t="str">
        <f>"040210089"</f>
        <v>040210089</v>
      </c>
      <c r="D1064" s="2" t="s">
        <v>1457</v>
      </c>
      <c r="E1064" s="4">
        <v>2800</v>
      </c>
    </row>
    <row r="1065" spans="1:5">
      <c r="A1065" s="2" t="s">
        <v>46</v>
      </c>
      <c r="B1065" s="2" t="str">
        <f>"040210090"</f>
        <v>040210090</v>
      </c>
      <c r="C1065" s="2" t="str">
        <f>"040210090"</f>
        <v>040210090</v>
      </c>
      <c r="D1065" s="2" t="s">
        <v>1458</v>
      </c>
      <c r="E1065" s="4">
        <v>2800</v>
      </c>
    </row>
    <row r="1066" spans="1:5">
      <c r="A1066" s="2" t="s">
        <v>46</v>
      </c>
      <c r="B1066" s="2" t="s">
        <v>1459</v>
      </c>
      <c r="C1066" s="2" t="s">
        <v>1460</v>
      </c>
      <c r="D1066" s="2" t="s">
        <v>1461</v>
      </c>
      <c r="E1066" s="4">
        <v>2300</v>
      </c>
    </row>
    <row r="1067" spans="1:5">
      <c r="A1067" s="2" t="s">
        <v>46</v>
      </c>
      <c r="B1067" s="2" t="str">
        <f>"040210092"</f>
        <v>040210092</v>
      </c>
      <c r="C1067" s="2" t="str">
        <f>"040210092"</f>
        <v>040210092</v>
      </c>
      <c r="D1067" s="2" t="s">
        <v>1462</v>
      </c>
      <c r="E1067" s="4">
        <v>2800</v>
      </c>
    </row>
    <row r="1068" spans="1:5">
      <c r="A1068" s="2" t="s">
        <v>46</v>
      </c>
      <c r="B1068" s="2" t="s">
        <v>1463</v>
      </c>
      <c r="C1068" s="2" t="s">
        <v>1463</v>
      </c>
      <c r="D1068" s="2" t="s">
        <v>1464</v>
      </c>
      <c r="E1068" s="4">
        <v>4500</v>
      </c>
    </row>
    <row r="1069" spans="1:5">
      <c r="A1069" s="2" t="s">
        <v>46</v>
      </c>
      <c r="B1069" s="2" t="str">
        <f>"040210095"</f>
        <v>040210095</v>
      </c>
      <c r="C1069" s="2" t="str">
        <f>"040210095"</f>
        <v>040210095</v>
      </c>
      <c r="D1069" s="2" t="s">
        <v>1465</v>
      </c>
      <c r="E1069" s="4">
        <v>2800</v>
      </c>
    </row>
    <row r="1070" spans="1:5">
      <c r="A1070" s="2" t="s">
        <v>46</v>
      </c>
      <c r="B1070" s="2" t="str">
        <f>"0893600022"</f>
        <v>0893600022</v>
      </c>
      <c r="C1070" s="2" t="str">
        <f>"600022"</f>
        <v>600022</v>
      </c>
      <c r="D1070" s="2" t="s">
        <v>1466</v>
      </c>
      <c r="E1070" s="4">
        <v>1800</v>
      </c>
    </row>
    <row r="1071" spans="1:5">
      <c r="A1071" s="2" t="s">
        <v>296</v>
      </c>
      <c r="B1071" s="2" t="str">
        <f>"288478"</f>
        <v>288478</v>
      </c>
      <c r="C1071" s="2" t="str">
        <f>"288478"</f>
        <v>288478</v>
      </c>
      <c r="D1071" s="2" t="s">
        <v>1467</v>
      </c>
      <c r="E1071" s="4">
        <v>19800</v>
      </c>
    </row>
    <row r="1072" spans="1:5">
      <c r="A1072" s="2" t="s">
        <v>296</v>
      </c>
      <c r="B1072" s="2" t="str">
        <f>"312009"</f>
        <v>312009</v>
      </c>
      <c r="C1072" s="2" t="str">
        <f>"312009"</f>
        <v>312009</v>
      </c>
      <c r="D1072" s="2" t="s">
        <v>1468</v>
      </c>
      <c r="E1072" s="4">
        <v>9700</v>
      </c>
    </row>
    <row r="1073" spans="1:5">
      <c r="A1073" s="2" t="s">
        <v>296</v>
      </c>
      <c r="B1073" s="2" t="str">
        <f>"289353"</f>
        <v>289353</v>
      </c>
      <c r="C1073" s="2" t="str">
        <f>"289353"</f>
        <v>289353</v>
      </c>
      <c r="D1073" s="2" t="s">
        <v>1469</v>
      </c>
      <c r="E1073" s="4">
        <v>16000</v>
      </c>
    </row>
    <row r="1074" spans="1:5">
      <c r="A1074" s="2" t="s">
        <v>296</v>
      </c>
      <c r="B1074" s="2" t="str">
        <f>"281550"</f>
        <v>281550</v>
      </c>
      <c r="C1074" s="2" t="str">
        <f>"281550"</f>
        <v>281550</v>
      </c>
      <c r="D1074" s="2" t="s">
        <v>1470</v>
      </c>
      <c r="E1074" s="4">
        <v>11500</v>
      </c>
    </row>
    <row r="1075" spans="1:5">
      <c r="A1075" s="2" t="s">
        <v>296</v>
      </c>
      <c r="B1075" s="2" t="str">
        <f>"5 000000 37 1587"</f>
        <v>5 000000 37 1587</v>
      </c>
      <c r="C1075" s="2" t="str">
        <f>"017202"</f>
        <v>017202</v>
      </c>
      <c r="D1075" s="2" t="s">
        <v>1471</v>
      </c>
      <c r="E1075" s="4">
        <v>14200</v>
      </c>
    </row>
    <row r="1076" spans="1:5">
      <c r="A1076" s="2" t="s">
        <v>421</v>
      </c>
      <c r="B1076" s="2" t="str">
        <f>"0033331"</f>
        <v>0033331</v>
      </c>
      <c r="C1076" s="2" t="str">
        <f>"0033331"</f>
        <v>0033331</v>
      </c>
      <c r="D1076" s="2" t="s">
        <v>1472</v>
      </c>
      <c r="E1076" s="4">
        <v>18700</v>
      </c>
    </row>
    <row r="1077" spans="1:5">
      <c r="A1077" s="2" t="s">
        <v>421</v>
      </c>
      <c r="B1077" s="2" t="str">
        <f>"0014207"</f>
        <v>0014207</v>
      </c>
      <c r="C1077" s="2" t="s">
        <v>1473</v>
      </c>
      <c r="D1077" s="2" t="s">
        <v>1474</v>
      </c>
      <c r="E1077" s="4">
        <v>19600</v>
      </c>
    </row>
    <row r="1078" spans="1:5">
      <c r="A1078" s="2" t="s">
        <v>421</v>
      </c>
      <c r="B1078" s="2" t="str">
        <f>"016410"</f>
        <v>016410</v>
      </c>
      <c r="C1078" s="2" t="str">
        <f>"016410"</f>
        <v>016410</v>
      </c>
      <c r="D1078" s="2" t="s">
        <v>1475</v>
      </c>
      <c r="E1078" s="4">
        <v>34000</v>
      </c>
    </row>
    <row r="1079" spans="1:5">
      <c r="A1079" s="2" t="s">
        <v>421</v>
      </c>
      <c r="B1079" s="2" t="str">
        <f>"050213"</f>
        <v>050213</v>
      </c>
      <c r="C1079" s="2" t="str">
        <f>"050213"</f>
        <v>050213</v>
      </c>
      <c r="D1079" s="2" t="s">
        <v>1476</v>
      </c>
      <c r="E1079" s="4">
        <v>24000</v>
      </c>
    </row>
    <row r="1080" spans="1:5">
      <c r="A1080" s="2" t="s">
        <v>421</v>
      </c>
      <c r="B1080" s="2" t="str">
        <f>"289591"</f>
        <v>289591</v>
      </c>
      <c r="C1080" s="2" t="str">
        <f>"289591"</f>
        <v>289591</v>
      </c>
      <c r="D1080" s="2" t="s">
        <v>1477</v>
      </c>
      <c r="E1080" s="4">
        <v>13500</v>
      </c>
    </row>
    <row r="1081" spans="1:5">
      <c r="A1081" s="2" t="s">
        <v>1478</v>
      </c>
      <c r="B1081" s="2" t="str">
        <f>"1600810"</f>
        <v>1600810</v>
      </c>
      <c r="C1081" s="2" t="str">
        <f>"1600810"</f>
        <v>1600810</v>
      </c>
      <c r="D1081" s="2" t="s">
        <v>1479</v>
      </c>
      <c r="E1081" s="4">
        <v>24000</v>
      </c>
    </row>
    <row r="1082" spans="1:5">
      <c r="A1082" s="2" t="s">
        <v>1478</v>
      </c>
      <c r="B1082" s="2" t="str">
        <f>"3030-4200"</f>
        <v>3030-4200</v>
      </c>
      <c r="C1082" s="2" t="str">
        <f>"3030-4200"</f>
        <v>3030-4200</v>
      </c>
      <c r="D1082" s="2" t="s">
        <v>1480</v>
      </c>
      <c r="E1082" s="4">
        <v>25000</v>
      </c>
    </row>
    <row r="1083" spans="1:5">
      <c r="A1083" s="2" t="s">
        <v>1478</v>
      </c>
      <c r="B1083" s="2" t="s">
        <v>1481</v>
      </c>
      <c r="C1083" s="2" t="s">
        <v>1481</v>
      </c>
      <c r="D1083" s="2" t="s">
        <v>1482</v>
      </c>
      <c r="E1083" s="4">
        <v>11500</v>
      </c>
    </row>
    <row r="1084" spans="1:5">
      <c r="A1084" s="2" t="s">
        <v>1478</v>
      </c>
      <c r="B1084" s="2" t="s">
        <v>1483</v>
      </c>
      <c r="C1084" s="2" t="s">
        <v>1484</v>
      </c>
      <c r="D1084" s="2" t="s">
        <v>1485</v>
      </c>
      <c r="E1084" s="4">
        <v>52000</v>
      </c>
    </row>
    <row r="1085" spans="1:5">
      <c r="A1085" s="2" t="s">
        <v>1478</v>
      </c>
      <c r="B1085" s="2" t="str">
        <f>"0171810"</f>
        <v>0171810</v>
      </c>
      <c r="C1085" s="2" t="str">
        <f>"0171810"</f>
        <v>0171810</v>
      </c>
      <c r="D1085" s="2" t="s">
        <v>1486</v>
      </c>
      <c r="E1085" s="4">
        <v>19600</v>
      </c>
    </row>
    <row r="1086" spans="1:5">
      <c r="A1086" s="2" t="s">
        <v>1478</v>
      </c>
      <c r="B1086" s="2" t="str">
        <f>"0001798"</f>
        <v>0001798</v>
      </c>
      <c r="C1086" s="2" t="str">
        <f>"0001798"</f>
        <v>0001798</v>
      </c>
      <c r="D1086" s="2" t="s">
        <v>1487</v>
      </c>
      <c r="E1086" s="4">
        <v>34000</v>
      </c>
    </row>
    <row r="1087" spans="1:5">
      <c r="A1087" s="2" t="s">
        <v>1478</v>
      </c>
      <c r="B1087" s="2" t="str">
        <f>"0301208"</f>
        <v>0301208</v>
      </c>
      <c r="C1087" s="2" t="str">
        <f>"0301208"</f>
        <v>0301208</v>
      </c>
      <c r="D1087" s="2" t="s">
        <v>1488</v>
      </c>
      <c r="E1087" s="4">
        <v>29000</v>
      </c>
    </row>
    <row r="1088" spans="1:5">
      <c r="A1088" s="2" t="s">
        <v>1478</v>
      </c>
      <c r="B1088" s="2" t="str">
        <f>"003952"</f>
        <v>003952</v>
      </c>
      <c r="C1088" s="2" t="str">
        <f>"003952"</f>
        <v>003952</v>
      </c>
      <c r="D1088" s="2" t="s">
        <v>1489</v>
      </c>
      <c r="E1088" s="4">
        <v>22000</v>
      </c>
    </row>
    <row r="1089" spans="1:5">
      <c r="A1089" s="2" t="s">
        <v>5</v>
      </c>
      <c r="B1089" s="2" t="str">
        <f>"171022"</f>
        <v>171022</v>
      </c>
      <c r="C1089" s="2" t="str">
        <f>"171022"</f>
        <v>171022</v>
      </c>
      <c r="D1089" s="2" t="s">
        <v>1490</v>
      </c>
      <c r="E1089" s="4">
        <v>11700</v>
      </c>
    </row>
    <row r="1090" spans="1:5">
      <c r="A1090" s="2" t="s">
        <v>5</v>
      </c>
      <c r="B1090" s="2" t="str">
        <f>"815"</f>
        <v>815</v>
      </c>
      <c r="C1090" s="2" t="str">
        <f>"815"</f>
        <v>815</v>
      </c>
      <c r="D1090" s="2" t="s">
        <v>1491</v>
      </c>
      <c r="E1090" s="4">
        <v>6200</v>
      </c>
    </row>
    <row r="1091" spans="1:5">
      <c r="A1091" s="2" t="s">
        <v>421</v>
      </c>
      <c r="B1091" s="2" t="str">
        <f>"0007997"</f>
        <v>0007997</v>
      </c>
      <c r="C1091" s="2" t="str">
        <f>"0007997"</f>
        <v>0007997</v>
      </c>
      <c r="D1091" s="2" t="s">
        <v>1492</v>
      </c>
      <c r="E1091" s="4">
        <v>7000</v>
      </c>
    </row>
    <row r="1092" spans="1:5">
      <c r="A1092" s="2" t="s">
        <v>421</v>
      </c>
      <c r="B1092" s="2" t="str">
        <f>"301065"</f>
        <v>301065</v>
      </c>
      <c r="C1092" s="2" t="str">
        <f>"301065"</f>
        <v>301065</v>
      </c>
      <c r="D1092" s="2" t="s">
        <v>1493</v>
      </c>
      <c r="E1092" s="4">
        <v>7500</v>
      </c>
    </row>
    <row r="1093" spans="1:5">
      <c r="A1093" s="2" t="s">
        <v>421</v>
      </c>
      <c r="B1093" s="2" t="str">
        <f>"9953404"</f>
        <v>9953404</v>
      </c>
      <c r="C1093" s="2" t="str">
        <f>"9953404"</f>
        <v>9953404</v>
      </c>
      <c r="D1093" s="2" t="s">
        <v>1494</v>
      </c>
      <c r="E1093" s="4">
        <v>10600</v>
      </c>
    </row>
    <row r="1094" spans="1:5">
      <c r="A1094" s="2" t="s">
        <v>421</v>
      </c>
      <c r="B1094" s="2" t="str">
        <f>"9954321"</f>
        <v>9954321</v>
      </c>
      <c r="C1094" s="2" t="str">
        <f>"9954321"</f>
        <v>9954321</v>
      </c>
      <c r="D1094" s="2" t="s">
        <v>1495</v>
      </c>
      <c r="E1094" s="4">
        <v>9700</v>
      </c>
    </row>
    <row r="1095" spans="1:5">
      <c r="A1095" s="2" t="s">
        <v>421</v>
      </c>
      <c r="B1095" s="2" t="str">
        <f>"301994"</f>
        <v>301994</v>
      </c>
      <c r="C1095" s="2" t="str">
        <f>"301994"</f>
        <v>301994</v>
      </c>
      <c r="D1095" s="2" t="s">
        <v>1496</v>
      </c>
      <c r="E1095" s="4">
        <v>7500</v>
      </c>
    </row>
    <row r="1096" spans="1:5">
      <c r="A1096" s="2" t="s">
        <v>421</v>
      </c>
      <c r="B1096" s="2" t="s">
        <v>1497</v>
      </c>
      <c r="C1096" s="2" t="s">
        <v>1497</v>
      </c>
      <c r="D1096" s="2" t="s">
        <v>1498</v>
      </c>
      <c r="E1096" s="4">
        <v>4300</v>
      </c>
    </row>
    <row r="1097" spans="1:5">
      <c r="A1097" s="2" t="s">
        <v>421</v>
      </c>
      <c r="B1097" s="2" t="str">
        <f>"0007996"</f>
        <v>0007996</v>
      </c>
      <c r="C1097" s="2" t="str">
        <f>"0007996"</f>
        <v>0007996</v>
      </c>
      <c r="D1097" s="2" t="s">
        <v>1499</v>
      </c>
      <c r="E1097" s="4">
        <v>7000</v>
      </c>
    </row>
    <row r="1098" spans="1:5">
      <c r="A1098" s="2" t="s">
        <v>421</v>
      </c>
      <c r="B1098" s="2" t="str">
        <f>"312023"</f>
        <v>312023</v>
      </c>
      <c r="C1098" s="2" t="str">
        <f>"312023"</f>
        <v>312023</v>
      </c>
      <c r="D1098" s="2" t="s">
        <v>1500</v>
      </c>
      <c r="E1098" s="4">
        <v>18000</v>
      </c>
    </row>
    <row r="1099" spans="1:5">
      <c r="A1099" s="2" t="s">
        <v>421</v>
      </c>
      <c r="B1099" s="2" t="str">
        <f>"9951502"</f>
        <v>9951502</v>
      </c>
      <c r="C1099" s="2" t="str">
        <f>"99951502"</f>
        <v>99951502</v>
      </c>
      <c r="D1099" s="2" t="s">
        <v>1501</v>
      </c>
      <c r="E1099" s="4">
        <v>9700</v>
      </c>
    </row>
    <row r="1100" spans="1:5">
      <c r="A1100" s="2" t="s">
        <v>421</v>
      </c>
      <c r="B1100" s="2" t="str">
        <f>"680054"</f>
        <v>680054</v>
      </c>
      <c r="C1100" s="2" t="str">
        <f>"680054"</f>
        <v>680054</v>
      </c>
      <c r="D1100" s="2" t="s">
        <v>1502</v>
      </c>
      <c r="E1100" s="4">
        <v>26000</v>
      </c>
    </row>
    <row r="1101" spans="1:5">
      <c r="A1101" s="2" t="s">
        <v>421</v>
      </c>
      <c r="B1101" s="2" t="str">
        <f>"017208"</f>
        <v>017208</v>
      </c>
      <c r="C1101" s="2" t="str">
        <f>"017208"</f>
        <v>017208</v>
      </c>
      <c r="D1101" s="2" t="s">
        <v>1503</v>
      </c>
      <c r="E1101" s="4">
        <v>15100</v>
      </c>
    </row>
    <row r="1102" spans="1:5">
      <c r="A1102" s="2" t="s">
        <v>421</v>
      </c>
      <c r="B1102" s="2" t="str">
        <f>"301991"</f>
        <v>301991</v>
      </c>
      <c r="C1102" s="2" t="str">
        <f>"301991"</f>
        <v>301991</v>
      </c>
      <c r="D1102" s="2" t="s">
        <v>1504</v>
      </c>
      <c r="E1102" s="4">
        <v>7500</v>
      </c>
    </row>
    <row r="1103" spans="1:5">
      <c r="A1103" s="2" t="s">
        <v>421</v>
      </c>
      <c r="B1103" s="2" t="s">
        <v>1505</v>
      </c>
      <c r="C1103" s="2" t="s">
        <v>1505</v>
      </c>
      <c r="D1103" s="2" t="s">
        <v>1506</v>
      </c>
      <c r="E1103" s="4">
        <v>7000</v>
      </c>
    </row>
    <row r="1104" spans="1:5">
      <c r="A1104" s="2" t="s">
        <v>421</v>
      </c>
      <c r="B1104" s="2" t="str">
        <f>"312020"</f>
        <v>312020</v>
      </c>
      <c r="C1104" s="2" t="str">
        <f>"312020"</f>
        <v>312020</v>
      </c>
      <c r="D1104" s="2" t="s">
        <v>1507</v>
      </c>
      <c r="E1104" s="4">
        <v>16000</v>
      </c>
    </row>
    <row r="1105" spans="1:5">
      <c r="A1105" s="2" t="s">
        <v>421</v>
      </c>
      <c r="B1105" s="2" t="s">
        <v>1508</v>
      </c>
      <c r="C1105" s="2" t="str">
        <f>"1701353283070"</f>
        <v>1701353283070</v>
      </c>
      <c r="D1105" s="2" t="s">
        <v>1509</v>
      </c>
      <c r="E1105" s="4">
        <v>16000</v>
      </c>
    </row>
    <row r="1106" spans="1:5">
      <c r="A1106" s="2" t="s">
        <v>421</v>
      </c>
      <c r="B1106" s="2" t="str">
        <f>"0248347"</f>
        <v>0248347</v>
      </c>
      <c r="C1106" s="2" t="str">
        <f>"0248347"</f>
        <v>0248347</v>
      </c>
      <c r="D1106" s="2" t="s">
        <v>1510</v>
      </c>
      <c r="E1106" s="4">
        <v>3500</v>
      </c>
    </row>
    <row r="1107" spans="1:5">
      <c r="A1107" s="2" t="s">
        <v>421</v>
      </c>
      <c r="B1107" s="2" t="str">
        <f>"0008023"</f>
        <v>0008023</v>
      </c>
      <c r="C1107" s="2" t="str">
        <f>"0008023"</f>
        <v>0008023</v>
      </c>
      <c r="D1107" s="2" t="s">
        <v>1511</v>
      </c>
      <c r="E1107" s="4">
        <v>8800</v>
      </c>
    </row>
    <row r="1108" spans="1:5">
      <c r="A1108" s="2" t="s">
        <v>421</v>
      </c>
      <c r="B1108" s="2" t="str">
        <f>"0148147"</f>
        <v>0148147</v>
      </c>
      <c r="C1108" s="2" t="str">
        <f>"0148147"</f>
        <v>0148147</v>
      </c>
      <c r="D1108" s="2" t="s">
        <v>1512</v>
      </c>
      <c r="E1108" s="4">
        <v>4800</v>
      </c>
    </row>
    <row r="1109" spans="1:5">
      <c r="A1109" s="2" t="s">
        <v>421</v>
      </c>
      <c r="B1109" s="2" t="s">
        <v>1513</v>
      </c>
      <c r="C1109" s="2" t="s">
        <v>1513</v>
      </c>
      <c r="D1109" s="2" t="s">
        <v>1514</v>
      </c>
      <c r="E1109" s="4">
        <v>11500</v>
      </c>
    </row>
    <row r="1110" spans="1:5">
      <c r="A1110" s="2" t="s">
        <v>421</v>
      </c>
      <c r="B1110" s="2" t="s">
        <v>1515</v>
      </c>
      <c r="C1110" s="2" t="str">
        <f>"1697290171629"</f>
        <v>1697290171629</v>
      </c>
      <c r="D1110" s="2" t="s">
        <v>1516</v>
      </c>
      <c r="E1110" s="4">
        <v>12000</v>
      </c>
    </row>
    <row r="1111" spans="1:5">
      <c r="A1111" s="2" t="s">
        <v>421</v>
      </c>
      <c r="B1111" s="2" t="s">
        <v>1517</v>
      </c>
      <c r="C1111" s="2" t="str">
        <f>"1697290494497"</f>
        <v>1697290494497</v>
      </c>
      <c r="D1111" s="2" t="s">
        <v>1518</v>
      </c>
      <c r="E1111" s="4">
        <v>12000</v>
      </c>
    </row>
    <row r="1112" spans="1:5">
      <c r="A1112" s="2" t="s">
        <v>1478</v>
      </c>
      <c r="B1112" s="2" t="s">
        <v>1519</v>
      </c>
      <c r="C1112" s="2" t="s">
        <v>1519</v>
      </c>
      <c r="D1112" s="2" t="s">
        <v>1520</v>
      </c>
      <c r="E1112" s="4">
        <v>5400</v>
      </c>
    </row>
    <row r="1113" spans="1:5">
      <c r="A1113" s="2" t="s">
        <v>1478</v>
      </c>
      <c r="B1113" s="2" t="str">
        <f>"1102230"</f>
        <v>1102230</v>
      </c>
      <c r="C1113" s="2" t="str">
        <f>"1102230"</f>
        <v>1102230</v>
      </c>
      <c r="D1113" s="2" t="s">
        <v>1521</v>
      </c>
      <c r="E1113" s="4">
        <v>3400</v>
      </c>
    </row>
    <row r="1114" spans="1:5">
      <c r="A1114" s="2" t="s">
        <v>1478</v>
      </c>
      <c r="B1114" s="2" t="str">
        <f>"284497"</f>
        <v>284497</v>
      </c>
      <c r="C1114" s="2" t="str">
        <f>"284497"</f>
        <v>284497</v>
      </c>
      <c r="D1114" s="2" t="s">
        <v>1522</v>
      </c>
      <c r="E1114" s="4">
        <v>18700</v>
      </c>
    </row>
    <row r="1115" spans="1:5">
      <c r="A1115" s="2" t="s">
        <v>1478</v>
      </c>
      <c r="B1115" s="2" t="s">
        <v>1523</v>
      </c>
      <c r="C1115" s="2" t="s">
        <v>1523</v>
      </c>
      <c r="D1115" s="2" t="s">
        <v>1524</v>
      </c>
      <c r="E1115" s="4">
        <v>22000</v>
      </c>
    </row>
    <row r="1116" spans="1:5">
      <c r="A1116" s="2" t="s">
        <v>1478</v>
      </c>
      <c r="B1116" s="2" t="str">
        <f>"2914375-7"</f>
        <v>2914375-7</v>
      </c>
      <c r="C1116" s="2" t="str">
        <f>"2914375-7"</f>
        <v>2914375-7</v>
      </c>
      <c r="D1116" s="2" t="s">
        <v>1525</v>
      </c>
      <c r="E1116" s="4">
        <v>8800</v>
      </c>
    </row>
    <row r="1117" spans="1:5">
      <c r="A1117" s="2" t="s">
        <v>1478</v>
      </c>
      <c r="B1117" s="2" t="str">
        <f>"0171070"</f>
        <v>0171070</v>
      </c>
      <c r="C1117" s="2" t="str">
        <f>"0171070"</f>
        <v>0171070</v>
      </c>
      <c r="D1117" s="2" t="s">
        <v>1526</v>
      </c>
      <c r="E1117" s="4">
        <v>18700</v>
      </c>
    </row>
    <row r="1118" spans="1:5">
      <c r="A1118" s="2" t="s">
        <v>1478</v>
      </c>
      <c r="B1118" s="2" t="str">
        <f>"284499"</f>
        <v>284499</v>
      </c>
      <c r="C1118" s="2" t="str">
        <f>"284499"</f>
        <v>284499</v>
      </c>
      <c r="D1118" s="2" t="s">
        <v>1527</v>
      </c>
      <c r="E1118" s="4">
        <v>18700</v>
      </c>
    </row>
    <row r="1119" spans="1:5">
      <c r="A1119" s="2" t="s">
        <v>1478</v>
      </c>
      <c r="B1119" s="2" t="str">
        <f>"284498"</f>
        <v>284498</v>
      </c>
      <c r="C1119" s="2" t="str">
        <f>"284498"</f>
        <v>284498</v>
      </c>
      <c r="D1119" s="2" t="s">
        <v>1528</v>
      </c>
      <c r="E1119" s="4">
        <v>18700</v>
      </c>
    </row>
    <row r="1120" spans="1:5">
      <c r="A1120" s="2" t="s">
        <v>1478</v>
      </c>
      <c r="B1120" s="2" t="s">
        <v>1529</v>
      </c>
      <c r="C1120" s="2" t="s">
        <v>1529</v>
      </c>
      <c r="D1120" s="2" t="s">
        <v>1530</v>
      </c>
      <c r="E1120" s="4">
        <v>4300</v>
      </c>
    </row>
    <row r="1121" spans="1:5">
      <c r="A1121" s="2" t="s">
        <v>1478</v>
      </c>
      <c r="B1121" s="2" t="str">
        <f>"0333-150"</f>
        <v>0333-150</v>
      </c>
      <c r="C1121" s="2" t="str">
        <f>"0333-150"</f>
        <v>0333-150</v>
      </c>
      <c r="D1121" s="2" t="s">
        <v>1531</v>
      </c>
      <c r="E1121" s="4">
        <v>5800</v>
      </c>
    </row>
    <row r="1122" spans="1:5">
      <c r="A1122" s="2" t="s">
        <v>1478</v>
      </c>
      <c r="B1122" s="2" t="str">
        <f>"284496"</f>
        <v>284496</v>
      </c>
      <c r="C1122" s="2" t="str">
        <f>"284496"</f>
        <v>284496</v>
      </c>
      <c r="D1122" s="2" t="s">
        <v>1532</v>
      </c>
      <c r="E1122" s="4">
        <v>18700</v>
      </c>
    </row>
    <row r="1123" spans="1:5">
      <c r="A1123" s="2" t="s">
        <v>1478</v>
      </c>
      <c r="B1123" s="2" t="s">
        <v>1533</v>
      </c>
      <c r="C1123" s="2" t="s">
        <v>1533</v>
      </c>
      <c r="D1123" s="2" t="s">
        <v>1534</v>
      </c>
      <c r="E1123" s="4">
        <v>8800</v>
      </c>
    </row>
    <row r="1124" spans="1:5">
      <c r="A1124" s="2" t="s">
        <v>1478</v>
      </c>
      <c r="B1124" s="2" t="s">
        <v>1535</v>
      </c>
      <c r="C1124" s="2" t="s">
        <v>1535</v>
      </c>
      <c r="D1124" s="2" t="s">
        <v>1536</v>
      </c>
      <c r="E1124" s="4">
        <v>8800</v>
      </c>
    </row>
    <row r="1125" spans="1:5">
      <c r="A1125" s="2" t="s">
        <v>1537</v>
      </c>
      <c r="B1125" s="2" t="s">
        <v>1538</v>
      </c>
      <c r="C1125" s="2" t="str">
        <f>"020110101"</f>
        <v>020110101</v>
      </c>
      <c r="D1125" s="2" t="s">
        <v>1539</v>
      </c>
      <c r="E1125" s="4">
        <v>28000</v>
      </c>
    </row>
    <row r="1126" spans="1:5">
      <c r="A1126" s="2" t="s">
        <v>1537</v>
      </c>
      <c r="B1126" s="2" t="str">
        <f>"020110076"</f>
        <v>020110076</v>
      </c>
      <c r="C1126" s="2" t="str">
        <f>"020110076"</f>
        <v>020110076</v>
      </c>
      <c r="D1126" s="2" t="s">
        <v>1540</v>
      </c>
      <c r="E1126" s="4">
        <v>28600</v>
      </c>
    </row>
    <row r="1127" spans="1:5">
      <c r="A1127" s="2" t="s">
        <v>1537</v>
      </c>
      <c r="B1127" s="2" t="str">
        <f>"013011M"</f>
        <v>013011M</v>
      </c>
      <c r="C1127" s="2" t="str">
        <f>"013011M"</f>
        <v>013011M</v>
      </c>
      <c r="D1127" s="2" t="s">
        <v>1541</v>
      </c>
      <c r="E1127" s="4">
        <v>26000</v>
      </c>
    </row>
    <row r="1128" spans="1:5">
      <c r="A1128" s="2" t="s">
        <v>421</v>
      </c>
      <c r="B1128" s="2" t="str">
        <f>"100101"</f>
        <v>100101</v>
      </c>
      <c r="C1128" s="2" t="str">
        <f>"100101"</f>
        <v>100101</v>
      </c>
      <c r="D1128" s="2" t="s">
        <v>1542</v>
      </c>
      <c r="E1128" s="4">
        <v>9700</v>
      </c>
    </row>
    <row r="1129" spans="1:5">
      <c r="A1129" s="2" t="s">
        <v>421</v>
      </c>
      <c r="B1129" s="2" t="str">
        <f>"100102"</f>
        <v>100102</v>
      </c>
      <c r="C1129" s="2" t="str">
        <f>"100102"</f>
        <v>100102</v>
      </c>
      <c r="D1129" s="2" t="s">
        <v>1543</v>
      </c>
      <c r="E1129" s="4">
        <v>9700</v>
      </c>
    </row>
    <row r="1130" spans="1:5">
      <c r="A1130" s="2" t="s">
        <v>421</v>
      </c>
      <c r="B1130" s="2" t="str">
        <f>"1101428"</f>
        <v>1101428</v>
      </c>
      <c r="C1130" s="2" t="str">
        <f>"1101428"</f>
        <v>1101428</v>
      </c>
      <c r="D1130" s="2" t="s">
        <v>1544</v>
      </c>
      <c r="E1130" s="4">
        <v>19600</v>
      </c>
    </row>
    <row r="1131" spans="1:5">
      <c r="A1131" s="2" t="s">
        <v>421</v>
      </c>
      <c r="B1131" s="2" t="str">
        <f>"1101418"</f>
        <v>1101418</v>
      </c>
      <c r="C1131" s="2" t="str">
        <f>"1101418"</f>
        <v>1101418</v>
      </c>
      <c r="D1131" s="2" t="s">
        <v>1545</v>
      </c>
      <c r="E1131" s="4">
        <v>19600</v>
      </c>
    </row>
    <row r="1132" spans="1:5">
      <c r="A1132" s="2" t="s">
        <v>421</v>
      </c>
      <c r="B1132" s="2" t="str">
        <f>"090620093"</f>
        <v>090620093</v>
      </c>
      <c r="C1132" s="2" t="str">
        <f>"090620093"</f>
        <v>090620093</v>
      </c>
      <c r="D1132" s="2" t="s">
        <v>1546</v>
      </c>
      <c r="E1132" s="4">
        <v>25000</v>
      </c>
    </row>
    <row r="1133" spans="1:5">
      <c r="A1133" s="2" t="s">
        <v>421</v>
      </c>
      <c r="B1133" s="2" t="s">
        <v>1547</v>
      </c>
      <c r="C1133" s="2" t="s">
        <v>1547</v>
      </c>
      <c r="D1133" s="2" t="s">
        <v>1548</v>
      </c>
      <c r="E1133" s="4">
        <v>87000</v>
      </c>
    </row>
    <row r="1134" spans="1:5">
      <c r="A1134" s="2" t="s">
        <v>421</v>
      </c>
      <c r="B1134" s="2" t="str">
        <f>"1602318"</f>
        <v>1602318</v>
      </c>
      <c r="C1134" s="2" t="str">
        <f>"1602318"</f>
        <v>1602318</v>
      </c>
      <c r="D1134" s="2" t="s">
        <v>1549</v>
      </c>
      <c r="E1134" s="4">
        <v>32000</v>
      </c>
    </row>
    <row r="1135" spans="1:5">
      <c r="A1135" s="2" t="s">
        <v>421</v>
      </c>
      <c r="B1135" s="2" t="str">
        <f>"0017944"</f>
        <v>0017944</v>
      </c>
      <c r="C1135" s="2" t="str">
        <f>"0017944"</f>
        <v>0017944</v>
      </c>
      <c r="D1135" s="2" t="s">
        <v>1550</v>
      </c>
      <c r="E1135" s="4">
        <v>34000</v>
      </c>
    </row>
    <row r="1136" spans="1:5">
      <c r="A1136" s="2" t="s">
        <v>421</v>
      </c>
      <c r="B1136" s="2" t="str">
        <f>"0017945"</f>
        <v>0017945</v>
      </c>
      <c r="C1136" s="2" t="str">
        <f>"0017945"</f>
        <v>0017945</v>
      </c>
      <c r="D1136" s="2" t="s">
        <v>1551</v>
      </c>
      <c r="E1136" s="4">
        <v>34000</v>
      </c>
    </row>
    <row r="1137" spans="1:5">
      <c r="A1137" s="2" t="s">
        <v>421</v>
      </c>
      <c r="B1137" s="2" t="str">
        <f>"0032829"</f>
        <v>0032829</v>
      </c>
      <c r="C1137" s="2" t="str">
        <f>"0032829"</f>
        <v>0032829</v>
      </c>
      <c r="D1137" s="2" t="s">
        <v>1552</v>
      </c>
      <c r="E1137" s="4">
        <v>34000</v>
      </c>
    </row>
    <row r="1138" spans="1:5">
      <c r="A1138" s="2" t="s">
        <v>421</v>
      </c>
      <c r="B1138" s="2" t="str">
        <f>"0032828"</f>
        <v>0032828</v>
      </c>
      <c r="C1138" s="2" t="str">
        <f>"0032828"</f>
        <v>0032828</v>
      </c>
      <c r="D1138" s="2" t="s">
        <v>1553</v>
      </c>
      <c r="E1138" s="4">
        <v>34000</v>
      </c>
    </row>
    <row r="1139" spans="1:5">
      <c r="A1139" s="2" t="s">
        <v>421</v>
      </c>
      <c r="B1139" s="2" t="str">
        <f>"0022024"</f>
        <v>0022024</v>
      </c>
      <c r="C1139" s="2" t="str">
        <f>"0022024"</f>
        <v>0022024</v>
      </c>
      <c r="D1139" s="2" t="s">
        <v>1554</v>
      </c>
      <c r="E1139" s="4">
        <v>28600</v>
      </c>
    </row>
    <row r="1140" spans="1:5">
      <c r="A1140" s="2" t="s">
        <v>421</v>
      </c>
      <c r="B1140" s="2" t="str">
        <f>"0022025"</f>
        <v>0022025</v>
      </c>
      <c r="C1140" s="2" t="str">
        <f>"0022025"</f>
        <v>0022025</v>
      </c>
      <c r="D1140" s="2" t="s">
        <v>1555</v>
      </c>
      <c r="E1140" s="4">
        <v>28600</v>
      </c>
    </row>
    <row r="1141" spans="1:5">
      <c r="A1141" s="2" t="s">
        <v>421</v>
      </c>
      <c r="B1141" s="2" t="str">
        <f>"8000088"</f>
        <v>8000088</v>
      </c>
      <c r="C1141" s="2" t="str">
        <f>"8000088"</f>
        <v>8000088</v>
      </c>
      <c r="D1141" s="2" t="s">
        <v>1556</v>
      </c>
      <c r="E1141" s="4">
        <v>9700</v>
      </c>
    </row>
    <row r="1142" spans="1:5">
      <c r="A1142" s="2" t="s">
        <v>421</v>
      </c>
      <c r="B1142" s="2" t="s">
        <v>1557</v>
      </c>
      <c r="C1142" s="2" t="s">
        <v>1557</v>
      </c>
      <c r="D1142" s="2" t="s">
        <v>1558</v>
      </c>
      <c r="E1142" s="4">
        <v>16684</v>
      </c>
    </row>
    <row r="1143" spans="1:5">
      <c r="A1143" s="2" t="s">
        <v>421</v>
      </c>
      <c r="B1143" s="2" t="s">
        <v>1559</v>
      </c>
      <c r="C1143" s="2" t="s">
        <v>1559</v>
      </c>
      <c r="D1143" s="2" t="s">
        <v>1560</v>
      </c>
      <c r="E1143" s="4">
        <v>21000</v>
      </c>
    </row>
    <row r="1144" spans="1:5">
      <c r="A1144" s="2" t="s">
        <v>421</v>
      </c>
      <c r="B1144" s="2" t="str">
        <f>"0000591"</f>
        <v>0000591</v>
      </c>
      <c r="C1144" s="2" t="str">
        <f>"0030691"</f>
        <v>0030691</v>
      </c>
      <c r="D1144" s="2" t="s">
        <v>1561</v>
      </c>
      <c r="E1144" s="4">
        <v>25000</v>
      </c>
    </row>
    <row r="1145" spans="1:5">
      <c r="A1145" s="2" t="s">
        <v>421</v>
      </c>
      <c r="B1145" s="2" t="str">
        <f>"090620025"</f>
        <v>090620025</v>
      </c>
      <c r="C1145" s="2" t="str">
        <f>"090620025"</f>
        <v>090620025</v>
      </c>
      <c r="D1145" s="2" t="s">
        <v>1562</v>
      </c>
      <c r="E1145" s="4">
        <v>13500</v>
      </c>
    </row>
    <row r="1146" spans="1:5">
      <c r="A1146" s="2" t="s">
        <v>421</v>
      </c>
      <c r="B1146" s="2" t="s">
        <v>1563</v>
      </c>
      <c r="C1146" s="2" t="s">
        <v>1563</v>
      </c>
      <c r="D1146" s="2" t="s">
        <v>1564</v>
      </c>
      <c r="E1146" s="4">
        <v>19000</v>
      </c>
    </row>
    <row r="1147" spans="1:5">
      <c r="A1147" s="2" t="s">
        <v>421</v>
      </c>
      <c r="B1147" s="2" t="str">
        <f>"004891"</f>
        <v>004891</v>
      </c>
      <c r="C1147" s="2" t="str">
        <f>"004891"</f>
        <v>004891</v>
      </c>
      <c r="D1147" s="2" t="s">
        <v>1565</v>
      </c>
      <c r="E1147" s="4">
        <v>33000</v>
      </c>
    </row>
    <row r="1148" spans="1:5">
      <c r="A1148" s="2" t="s">
        <v>421</v>
      </c>
      <c r="B1148" s="2" t="str">
        <f>"015895"</f>
        <v>015895</v>
      </c>
      <c r="C1148" s="2" t="str">
        <f>"015895"</f>
        <v>015895</v>
      </c>
      <c r="D1148" s="2" t="s">
        <v>1566</v>
      </c>
      <c r="E1148" s="4">
        <v>38000</v>
      </c>
    </row>
    <row r="1149" spans="1:5">
      <c r="A1149" s="2" t="s">
        <v>421</v>
      </c>
      <c r="B1149" s="2" t="s">
        <v>1567</v>
      </c>
      <c r="C1149" s="2" t="s">
        <v>1567</v>
      </c>
      <c r="D1149" s="2" t="s">
        <v>1568</v>
      </c>
      <c r="E1149" s="4">
        <v>47000</v>
      </c>
    </row>
    <row r="1150" spans="1:5">
      <c r="A1150" s="2" t="s">
        <v>421</v>
      </c>
      <c r="B1150" s="2" t="s">
        <v>1569</v>
      </c>
      <c r="C1150" s="2" t="s">
        <v>1569</v>
      </c>
      <c r="D1150" s="2" t="s">
        <v>1570</v>
      </c>
      <c r="E1150" s="4">
        <v>75000</v>
      </c>
    </row>
    <row r="1151" spans="1:5">
      <c r="A1151" s="2" t="s">
        <v>421</v>
      </c>
      <c r="B1151" s="2" t="str">
        <f>"0022979"</f>
        <v>0022979</v>
      </c>
      <c r="C1151" s="2" t="str">
        <f>"0022979"</f>
        <v>0022979</v>
      </c>
      <c r="D1151" s="2" t="s">
        <v>1571</v>
      </c>
      <c r="E1151" s="4">
        <v>19600</v>
      </c>
    </row>
    <row r="1152" spans="1:5">
      <c r="A1152" s="2" t="s">
        <v>421</v>
      </c>
      <c r="B1152" s="2" t="str">
        <f>"0022980"</f>
        <v>0022980</v>
      </c>
      <c r="C1152" s="2" t="str">
        <f>"0022980"</f>
        <v>0022980</v>
      </c>
      <c r="D1152" s="2" t="s">
        <v>1572</v>
      </c>
      <c r="E1152" s="4">
        <v>19600</v>
      </c>
    </row>
    <row r="1153" spans="1:5">
      <c r="A1153" s="2" t="s">
        <v>421</v>
      </c>
      <c r="B1153" s="2" t="s">
        <v>1573</v>
      </c>
      <c r="C1153" s="2" t="s">
        <v>1574</v>
      </c>
      <c r="D1153" s="2" t="s">
        <v>1575</v>
      </c>
      <c r="E1153" s="4">
        <v>18700</v>
      </c>
    </row>
    <row r="1154" spans="1:5">
      <c r="A1154" s="2" t="s">
        <v>421</v>
      </c>
      <c r="B1154" s="2" t="s">
        <v>1576</v>
      </c>
      <c r="C1154" s="2" t="s">
        <v>1576</v>
      </c>
      <c r="D1154" s="2" t="s">
        <v>1577</v>
      </c>
      <c r="E1154" s="4">
        <v>21000</v>
      </c>
    </row>
    <row r="1155" spans="1:5">
      <c r="A1155" s="2" t="s">
        <v>421</v>
      </c>
      <c r="B1155" s="2" t="s">
        <v>1578</v>
      </c>
      <c r="C1155" s="2" t="s">
        <v>1578</v>
      </c>
      <c r="D1155" s="2" t="s">
        <v>1579</v>
      </c>
      <c r="E1155" s="4">
        <v>21400</v>
      </c>
    </row>
    <row r="1156" spans="1:5">
      <c r="A1156" s="2" t="s">
        <v>421</v>
      </c>
      <c r="B1156" s="2" t="s">
        <v>1580</v>
      </c>
      <c r="C1156" s="2" t="s">
        <v>1580</v>
      </c>
      <c r="D1156" s="2" t="s">
        <v>1581</v>
      </c>
      <c r="E1156" s="4">
        <v>34000</v>
      </c>
    </row>
    <row r="1157" spans="1:5">
      <c r="A1157" s="2" t="s">
        <v>421</v>
      </c>
      <c r="B1157" s="2" t="str">
        <f>"090620026"</f>
        <v>090620026</v>
      </c>
      <c r="C1157" s="2" t="str">
        <f>"090620026"</f>
        <v>090620026</v>
      </c>
      <c r="D1157" s="2" t="s">
        <v>1582</v>
      </c>
      <c r="E1157" s="4">
        <v>13500</v>
      </c>
    </row>
    <row r="1158" spans="1:5">
      <c r="A1158" s="2" t="s">
        <v>421</v>
      </c>
      <c r="B1158" s="2" t="str">
        <f>"0000590"</f>
        <v>0000590</v>
      </c>
      <c r="C1158" s="2" t="str">
        <f>"0030692"</f>
        <v>0030692</v>
      </c>
      <c r="D1158" s="2" t="s">
        <v>1583</v>
      </c>
      <c r="E1158" s="4">
        <v>25000</v>
      </c>
    </row>
    <row r="1159" spans="1:5">
      <c r="A1159" s="2" t="s">
        <v>421</v>
      </c>
      <c r="B1159" s="2" t="str">
        <f>"0147847"</f>
        <v>0147847</v>
      </c>
      <c r="C1159" s="2" t="str">
        <f>"0147847"</f>
        <v>0147847</v>
      </c>
      <c r="D1159" s="2" t="s">
        <v>1584</v>
      </c>
      <c r="E1159" s="4">
        <v>13500</v>
      </c>
    </row>
    <row r="1160" spans="1:5">
      <c r="A1160" s="2" t="s">
        <v>421</v>
      </c>
      <c r="B1160" s="2" t="str">
        <f>"017429"</f>
        <v>017429</v>
      </c>
      <c r="C1160" s="2" t="str">
        <f>"017429"</f>
        <v>017429</v>
      </c>
      <c r="D1160" s="2" t="s">
        <v>1585</v>
      </c>
      <c r="E1160" s="4">
        <v>52000</v>
      </c>
    </row>
    <row r="1161" spans="1:5">
      <c r="A1161" s="2" t="s">
        <v>421</v>
      </c>
      <c r="B1161" s="2" t="str">
        <f>"003871014-1"</f>
        <v>003871014-1</v>
      </c>
      <c r="C1161" s="2" t="str">
        <f>"003871014-1"</f>
        <v>003871014-1</v>
      </c>
      <c r="D1161" s="2" t="s">
        <v>1586</v>
      </c>
      <c r="E1161" s="4">
        <v>42000</v>
      </c>
    </row>
    <row r="1162" spans="1:5">
      <c r="A1162" s="2" t="s">
        <v>421</v>
      </c>
      <c r="B1162" s="2" t="s">
        <v>1587</v>
      </c>
      <c r="C1162" s="2" t="s">
        <v>1587</v>
      </c>
      <c r="D1162" s="2" t="s">
        <v>1588</v>
      </c>
      <c r="E1162" s="4">
        <v>28000</v>
      </c>
    </row>
    <row r="1163" spans="1:5">
      <c r="A1163" s="2" t="s">
        <v>421</v>
      </c>
      <c r="B1163" s="2" t="str">
        <f>"000407215-4"</f>
        <v>000407215-4</v>
      </c>
      <c r="C1163" s="2" t="str">
        <f>"000407215-4"</f>
        <v>000407215-4</v>
      </c>
      <c r="D1163" s="2" t="s">
        <v>1589</v>
      </c>
      <c r="E1163" s="4">
        <v>21000</v>
      </c>
    </row>
    <row r="1164" spans="1:5">
      <c r="A1164" s="2" t="s">
        <v>421</v>
      </c>
      <c r="B1164" s="2" t="str">
        <f>"0013878"</f>
        <v>0013878</v>
      </c>
      <c r="C1164" s="2" t="str">
        <f>"0013878"</f>
        <v>0013878</v>
      </c>
      <c r="D1164" s="2" t="s">
        <v>1590</v>
      </c>
      <c r="E1164" s="4">
        <v>38000</v>
      </c>
    </row>
    <row r="1165" spans="1:5">
      <c r="A1165" s="2" t="s">
        <v>421</v>
      </c>
      <c r="B1165" s="2" t="str">
        <f>"0022935"</f>
        <v>0022935</v>
      </c>
      <c r="C1165" s="2" t="str">
        <f>"0022935"</f>
        <v>0022935</v>
      </c>
      <c r="D1165" s="2" t="s">
        <v>1591</v>
      </c>
      <c r="E1165" s="4">
        <v>75000</v>
      </c>
    </row>
    <row r="1166" spans="1:5">
      <c r="A1166" s="2" t="s">
        <v>421</v>
      </c>
      <c r="B1166" s="2" t="str">
        <f>"090620044"</f>
        <v>090620044</v>
      </c>
      <c r="C1166" s="2" t="str">
        <f>"090620044"</f>
        <v>090620044</v>
      </c>
      <c r="D1166" s="2" t="s">
        <v>1592</v>
      </c>
      <c r="E1166" s="4">
        <v>19900</v>
      </c>
    </row>
    <row r="1167" spans="1:5">
      <c r="A1167" s="2" t="s">
        <v>421</v>
      </c>
      <c r="B1167" s="2" t="s">
        <v>1593</v>
      </c>
      <c r="C1167" s="2" t="s">
        <v>1593</v>
      </c>
      <c r="D1167" s="2" t="s">
        <v>1594</v>
      </c>
      <c r="E1167" s="4">
        <v>45000</v>
      </c>
    </row>
    <row r="1168" spans="1:5">
      <c r="A1168" s="2" t="s">
        <v>421</v>
      </c>
      <c r="B1168" s="2" t="str">
        <f>"090620179"</f>
        <v>090620179</v>
      </c>
      <c r="C1168" s="2" t="str">
        <f>"090620179 SPDT450201"</f>
        <v>090620179 SPDT450201</v>
      </c>
      <c r="D1168" s="2" t="s">
        <v>1595</v>
      </c>
      <c r="E1168" s="4">
        <v>22300</v>
      </c>
    </row>
    <row r="1169" spans="1:5">
      <c r="A1169" s="2" t="s">
        <v>421</v>
      </c>
      <c r="B1169" s="2" t="s">
        <v>1596</v>
      </c>
      <c r="C1169" s="2" t="s">
        <v>1596</v>
      </c>
      <c r="D1169" s="2" t="s">
        <v>1597</v>
      </c>
      <c r="E1169" s="4">
        <v>19700</v>
      </c>
    </row>
    <row r="1170" spans="1:5">
      <c r="A1170" s="2" t="s">
        <v>421</v>
      </c>
      <c r="B1170" s="2" t="s">
        <v>1598</v>
      </c>
      <c r="C1170" s="2" t="s">
        <v>1598</v>
      </c>
      <c r="D1170" s="2" t="s">
        <v>1599</v>
      </c>
      <c r="E1170" s="4">
        <v>52000</v>
      </c>
    </row>
    <row r="1171" spans="1:5">
      <c r="A1171" s="2" t="s">
        <v>421</v>
      </c>
      <c r="B1171" s="2" t="str">
        <f>"090620180"</f>
        <v>090620180</v>
      </c>
      <c r="C1171" s="2" t="str">
        <f>"090620180"</f>
        <v>090620180</v>
      </c>
      <c r="D1171" s="2" t="s">
        <v>1600</v>
      </c>
      <c r="E1171" s="4">
        <v>22300</v>
      </c>
    </row>
    <row r="1172" spans="1:5">
      <c r="A1172" s="2" t="s">
        <v>421</v>
      </c>
      <c r="B1172" s="2" t="str">
        <f>"0028037"</f>
        <v>0028037</v>
      </c>
      <c r="C1172" s="2" t="str">
        <f>"0028037"</f>
        <v>0028037</v>
      </c>
      <c r="D1172" s="2" t="s">
        <v>1601</v>
      </c>
      <c r="E1172" s="4">
        <v>18700</v>
      </c>
    </row>
    <row r="1173" spans="1:5">
      <c r="A1173" s="2" t="s">
        <v>421</v>
      </c>
      <c r="B1173" s="2" t="str">
        <f>"0147747"</f>
        <v>0147747</v>
      </c>
      <c r="C1173" s="2" t="s">
        <v>1602</v>
      </c>
      <c r="D1173" s="2" t="s">
        <v>1603</v>
      </c>
      <c r="E1173" s="4">
        <v>18700</v>
      </c>
    </row>
    <row r="1174" spans="1:5">
      <c r="A1174" s="2" t="s">
        <v>421</v>
      </c>
      <c r="B1174" s="2" t="str">
        <f>"0028038"</f>
        <v>0028038</v>
      </c>
      <c r="C1174" s="2" t="str">
        <f>"0023038"</f>
        <v>0023038</v>
      </c>
      <c r="D1174" s="2" t="s">
        <v>1604</v>
      </c>
      <c r="E1174" s="4">
        <v>19600</v>
      </c>
    </row>
    <row r="1175" spans="1:5">
      <c r="A1175" s="2" t="s">
        <v>421</v>
      </c>
      <c r="B1175" s="2" t="str">
        <f>"01101V16"</f>
        <v>01101V16</v>
      </c>
      <c r="C1175" s="2" t="str">
        <f>"01101V16"</f>
        <v>01101V16</v>
      </c>
      <c r="D1175" s="2" t="s">
        <v>1605</v>
      </c>
      <c r="E1175" s="4">
        <v>13500</v>
      </c>
    </row>
    <row r="1176" spans="1:5">
      <c r="A1176" s="2" t="s">
        <v>421</v>
      </c>
      <c r="B1176" s="2" t="str">
        <f>"0022030"</f>
        <v>0022030</v>
      </c>
      <c r="C1176" s="2" t="str">
        <f>"0022030"</f>
        <v>0022030</v>
      </c>
      <c r="D1176" s="2" t="s">
        <v>1606</v>
      </c>
      <c r="E1176" s="4">
        <v>21400</v>
      </c>
    </row>
    <row r="1177" spans="1:5">
      <c r="A1177" s="2" t="s">
        <v>421</v>
      </c>
      <c r="B1177" s="2" t="str">
        <f>"0022031"</f>
        <v>0022031</v>
      </c>
      <c r="C1177" s="2" t="str">
        <f>"0022031"</f>
        <v>0022031</v>
      </c>
      <c r="D1177" s="2" t="s">
        <v>1607</v>
      </c>
      <c r="E1177" s="4">
        <v>21400</v>
      </c>
    </row>
    <row r="1178" spans="1:5">
      <c r="A1178" s="2" t="s">
        <v>421</v>
      </c>
      <c r="B1178" s="2" t="str">
        <f>"3707103-K"</f>
        <v>3707103-K</v>
      </c>
      <c r="C1178" s="2" t="str">
        <f>"3707103-K"</f>
        <v>3707103-K</v>
      </c>
      <c r="D1178" s="2" t="s">
        <v>1608</v>
      </c>
      <c r="E1178" s="4">
        <v>28000</v>
      </c>
    </row>
    <row r="1179" spans="1:5">
      <c r="A1179" s="2" t="s">
        <v>421</v>
      </c>
      <c r="B1179" s="2" t="str">
        <f>"3707102-1"</f>
        <v>3707102-1</v>
      </c>
      <c r="C1179" s="2" t="str">
        <f>"3707102-1"</f>
        <v>3707102-1</v>
      </c>
      <c r="D1179" s="2" t="s">
        <v>1609</v>
      </c>
      <c r="E1179" s="4">
        <v>28000</v>
      </c>
    </row>
    <row r="1180" spans="1:5">
      <c r="A1180" s="2" t="s">
        <v>421</v>
      </c>
      <c r="B1180" s="2" t="str">
        <f>"0028020"</f>
        <v>0028020</v>
      </c>
      <c r="C1180" s="2" t="str">
        <f>"0028020"</f>
        <v>0028020</v>
      </c>
      <c r="D1180" s="2" t="s">
        <v>1610</v>
      </c>
      <c r="E1180" s="4">
        <v>34000</v>
      </c>
    </row>
    <row r="1181" spans="1:5">
      <c r="A1181" s="2" t="s">
        <v>421</v>
      </c>
      <c r="B1181" s="2" t="str">
        <f>"0028021"</f>
        <v>0028021</v>
      </c>
      <c r="C1181" s="2" t="str">
        <f>"0028021"</f>
        <v>0028021</v>
      </c>
      <c r="D1181" s="2" t="s">
        <v>1611</v>
      </c>
      <c r="E1181" s="4">
        <v>34000</v>
      </c>
    </row>
    <row r="1182" spans="1:5">
      <c r="A1182" s="2" t="s">
        <v>421</v>
      </c>
      <c r="B1182" s="2" t="str">
        <f>"0300510"</f>
        <v>0300510</v>
      </c>
      <c r="C1182" s="2" t="str">
        <f>"0300510"</f>
        <v>0300510</v>
      </c>
      <c r="D1182" s="2" t="s">
        <v>1612</v>
      </c>
      <c r="E1182" s="4">
        <v>17000</v>
      </c>
    </row>
    <row r="1183" spans="1:5">
      <c r="A1183" s="2" t="s">
        <v>421</v>
      </c>
      <c r="B1183" s="2" t="s">
        <v>1613</v>
      </c>
      <c r="C1183" s="2" t="s">
        <v>1613</v>
      </c>
      <c r="D1183" s="2" t="s">
        <v>1614</v>
      </c>
      <c r="E1183" s="4">
        <v>21500</v>
      </c>
    </row>
    <row r="1184" spans="1:5">
      <c r="A1184" s="2" t="s">
        <v>421</v>
      </c>
      <c r="B1184" s="2" t="s">
        <v>1615</v>
      </c>
      <c r="C1184" s="2" t="s">
        <v>1615</v>
      </c>
      <c r="D1184" s="2" t="s">
        <v>1616</v>
      </c>
      <c r="E1184" s="4">
        <v>34000</v>
      </c>
    </row>
    <row r="1185" spans="1:5">
      <c r="A1185" s="2" t="s">
        <v>421</v>
      </c>
      <c r="B1185" s="2" t="str">
        <f>"1602358"</f>
        <v>1602358</v>
      </c>
      <c r="C1185" s="2" t="str">
        <f>"1602358"</f>
        <v>1602358</v>
      </c>
      <c r="D1185" s="2" t="s">
        <v>1617</v>
      </c>
      <c r="E1185" s="4">
        <v>24100</v>
      </c>
    </row>
    <row r="1186" spans="1:5">
      <c r="A1186" s="2" t="s">
        <v>421</v>
      </c>
      <c r="B1186" s="2" t="str">
        <f>"1602348"</f>
        <v>1602348</v>
      </c>
      <c r="C1186" s="2" t="str">
        <f>"1602348"</f>
        <v>1602348</v>
      </c>
      <c r="D1186" s="2" t="s">
        <v>1618</v>
      </c>
      <c r="E1186" s="4">
        <v>24100</v>
      </c>
    </row>
    <row r="1187" spans="1:5">
      <c r="A1187" s="2" t="s">
        <v>421</v>
      </c>
      <c r="B1187" s="2" t="str">
        <f>"050027"</f>
        <v>050027</v>
      </c>
      <c r="C1187" s="2" t="str">
        <f>"050027"</f>
        <v>050027</v>
      </c>
      <c r="D1187" s="2" t="s">
        <v>1619</v>
      </c>
      <c r="E1187" s="4">
        <v>42000</v>
      </c>
    </row>
    <row r="1188" spans="1:5">
      <c r="A1188" s="2" t="s">
        <v>421</v>
      </c>
      <c r="B1188" s="2" t="s">
        <v>1620</v>
      </c>
      <c r="C1188" s="2" t="s">
        <v>1621</v>
      </c>
      <c r="D1188" s="2" t="s">
        <v>1622</v>
      </c>
      <c r="E1188" s="4">
        <v>39000</v>
      </c>
    </row>
    <row r="1189" spans="1:5">
      <c r="A1189" s="2" t="s">
        <v>421</v>
      </c>
      <c r="B1189" s="2" t="str">
        <f>"8000670"</f>
        <v>8000670</v>
      </c>
      <c r="C1189" s="2" t="str">
        <f>"8000670"</f>
        <v>8000670</v>
      </c>
      <c r="D1189" s="2" t="s">
        <v>1623</v>
      </c>
      <c r="E1189" s="4">
        <v>18000</v>
      </c>
    </row>
    <row r="1190" spans="1:5">
      <c r="A1190" s="2" t="s">
        <v>421</v>
      </c>
      <c r="B1190" s="2" t="str">
        <f>"090620031"</f>
        <v>090620031</v>
      </c>
      <c r="C1190" s="2" t="str">
        <f>"090620031"</f>
        <v>090620031</v>
      </c>
      <c r="D1190" s="2" t="s">
        <v>1624</v>
      </c>
      <c r="E1190" s="4">
        <v>9700</v>
      </c>
    </row>
    <row r="1191" spans="1:5">
      <c r="A1191" s="2" t="s">
        <v>421</v>
      </c>
      <c r="B1191" s="2" t="str">
        <f>"8510608"</f>
        <v>8510608</v>
      </c>
      <c r="C1191" s="2" t="str">
        <f>"8510608"</f>
        <v>8510608</v>
      </c>
      <c r="D1191" s="2" t="s">
        <v>1625</v>
      </c>
      <c r="E1191" s="4">
        <v>9700</v>
      </c>
    </row>
    <row r="1192" spans="1:5">
      <c r="A1192" s="2" t="s">
        <v>421</v>
      </c>
      <c r="B1192" s="2" t="s">
        <v>1626</v>
      </c>
      <c r="C1192" s="2" t="s">
        <v>1627</v>
      </c>
      <c r="D1192" s="2" t="s">
        <v>1628</v>
      </c>
      <c r="E1192" s="4">
        <v>12400</v>
      </c>
    </row>
    <row r="1193" spans="1:5">
      <c r="A1193" s="2" t="s">
        <v>421</v>
      </c>
      <c r="B1193" s="2" t="s">
        <v>1629</v>
      </c>
      <c r="C1193" s="2" t="s">
        <v>1629</v>
      </c>
      <c r="D1193" s="2" t="s">
        <v>1630</v>
      </c>
      <c r="E1193" s="4">
        <v>8806</v>
      </c>
    </row>
    <row r="1194" spans="1:5">
      <c r="A1194" s="2" t="s">
        <v>421</v>
      </c>
      <c r="B1194" s="2" t="s">
        <v>1631</v>
      </c>
      <c r="C1194" s="2" t="s">
        <v>1632</v>
      </c>
      <c r="D1194" s="2" t="s">
        <v>1633</v>
      </c>
      <c r="E1194" s="4">
        <v>25000</v>
      </c>
    </row>
    <row r="1195" spans="1:5">
      <c r="A1195" s="2" t="s">
        <v>421</v>
      </c>
      <c r="B1195" s="2" t="str">
        <f>"090620123"</f>
        <v>090620123</v>
      </c>
      <c r="C1195" s="2" t="str">
        <f>"090620123"</f>
        <v>090620123</v>
      </c>
      <c r="D1195" s="2" t="s">
        <v>1634</v>
      </c>
      <c r="E1195" s="4">
        <v>19900</v>
      </c>
    </row>
    <row r="1196" spans="1:5">
      <c r="A1196" s="2" t="s">
        <v>421</v>
      </c>
      <c r="B1196" s="2" t="str">
        <f>"090620120"</f>
        <v>090620120</v>
      </c>
      <c r="C1196" s="2" t="str">
        <f>"090620120"</f>
        <v>090620120</v>
      </c>
      <c r="D1196" s="2" t="s">
        <v>1635</v>
      </c>
      <c r="E1196" s="4">
        <v>18900</v>
      </c>
    </row>
    <row r="1197" spans="1:5">
      <c r="A1197" s="2" t="s">
        <v>421</v>
      </c>
      <c r="B1197" s="2" t="str">
        <f>"090620121"</f>
        <v>090620121</v>
      </c>
      <c r="C1197" s="2" t="str">
        <f>"090620121"</f>
        <v>090620121</v>
      </c>
      <c r="D1197" s="2" t="s">
        <v>1636</v>
      </c>
      <c r="E1197" s="4">
        <v>19600</v>
      </c>
    </row>
    <row r="1198" spans="1:5">
      <c r="A1198" s="2" t="s">
        <v>421</v>
      </c>
      <c r="B1198" s="2" t="str">
        <f>"016994"</f>
        <v>016994</v>
      </c>
      <c r="C1198" s="2" t="str">
        <f>"016994"</f>
        <v>016994</v>
      </c>
      <c r="D1198" s="2" t="s">
        <v>1637</v>
      </c>
      <c r="E1198" s="4">
        <v>32000</v>
      </c>
    </row>
    <row r="1199" spans="1:5">
      <c r="A1199" s="2" t="s">
        <v>421</v>
      </c>
      <c r="B1199" s="2" t="str">
        <f>"090620122"</f>
        <v>090620122</v>
      </c>
      <c r="C1199" s="2" t="str">
        <f>"090620122"</f>
        <v>090620122</v>
      </c>
      <c r="D1199" s="2" t="s">
        <v>1638</v>
      </c>
      <c r="E1199" s="4">
        <v>19900</v>
      </c>
    </row>
    <row r="1200" spans="1:5">
      <c r="A1200" s="2" t="s">
        <v>421</v>
      </c>
      <c r="B1200" s="2" t="str">
        <f>"0022941"</f>
        <v>0022941</v>
      </c>
      <c r="C1200" s="2" t="str">
        <f>"0022941"</f>
        <v>0022941</v>
      </c>
      <c r="D1200" s="2" t="s">
        <v>1639</v>
      </c>
      <c r="E1200" s="4">
        <v>29500</v>
      </c>
    </row>
    <row r="1201" spans="1:5">
      <c r="A1201" s="2" t="s">
        <v>421</v>
      </c>
      <c r="B1201" s="2" t="str">
        <f>"090620722"</f>
        <v>090620722</v>
      </c>
      <c r="C1201" s="2" t="str">
        <f>"090620722"</f>
        <v>090620722</v>
      </c>
      <c r="D1201" s="2" t="s">
        <v>1640</v>
      </c>
      <c r="E1201" s="4">
        <v>59000</v>
      </c>
    </row>
    <row r="1202" spans="1:5">
      <c r="A1202" s="2" t="s">
        <v>421</v>
      </c>
      <c r="B1202" s="2" t="str">
        <f>"09062073"</f>
        <v>09062073</v>
      </c>
      <c r="C1202" s="2" t="str">
        <f>"09062073"</f>
        <v>09062073</v>
      </c>
      <c r="D1202" s="2" t="s">
        <v>1641</v>
      </c>
      <c r="E1202" s="4">
        <v>59000</v>
      </c>
    </row>
    <row r="1203" spans="1:5">
      <c r="A1203" s="2" t="s">
        <v>421</v>
      </c>
      <c r="B1203" s="2" t="str">
        <f>"0022940"</f>
        <v>0022940</v>
      </c>
      <c r="C1203" s="2" t="str">
        <f>"0022940"</f>
        <v>0022940</v>
      </c>
      <c r="D1203" s="2" t="s">
        <v>1642</v>
      </c>
      <c r="E1203" s="4">
        <v>29500</v>
      </c>
    </row>
    <row r="1204" spans="1:5">
      <c r="A1204" s="2" t="s">
        <v>421</v>
      </c>
      <c r="B1204" s="2" t="s">
        <v>1643</v>
      </c>
      <c r="C1204" s="2" t="s">
        <v>1644</v>
      </c>
      <c r="D1204" s="2" t="s">
        <v>1645</v>
      </c>
      <c r="E1204" s="4">
        <v>25000</v>
      </c>
    </row>
    <row r="1205" spans="1:5">
      <c r="A1205" s="2" t="s">
        <v>421</v>
      </c>
      <c r="B1205" s="2" t="s">
        <v>1646</v>
      </c>
      <c r="C1205" s="2" t="s">
        <v>1646</v>
      </c>
      <c r="D1205" s="2" t="s">
        <v>1647</v>
      </c>
      <c r="E1205" s="4">
        <v>28600</v>
      </c>
    </row>
    <row r="1206" spans="1:5">
      <c r="A1206" s="2" t="s">
        <v>421</v>
      </c>
      <c r="B1206" s="2" t="s">
        <v>1648</v>
      </c>
      <c r="C1206" s="2" t="s">
        <v>1649</v>
      </c>
      <c r="D1206" s="2" t="s">
        <v>1650</v>
      </c>
      <c r="E1206" s="4">
        <v>19900</v>
      </c>
    </row>
    <row r="1207" spans="1:5">
      <c r="A1207" s="2" t="s">
        <v>421</v>
      </c>
      <c r="B1207" s="2" t="str">
        <f>"0022898"</f>
        <v>0022898</v>
      </c>
      <c r="C1207" s="2" t="str">
        <f>"0022898"</f>
        <v>0022898</v>
      </c>
      <c r="D1207" s="2" t="s">
        <v>1651</v>
      </c>
      <c r="E1207" s="4">
        <v>34000</v>
      </c>
    </row>
    <row r="1208" spans="1:5">
      <c r="A1208" s="2" t="s">
        <v>421</v>
      </c>
      <c r="B1208" s="2" t="str">
        <f>"500222"</f>
        <v>500222</v>
      </c>
      <c r="C1208" s="2" t="str">
        <f>"500222"</f>
        <v>500222</v>
      </c>
      <c r="D1208" s="2" t="s">
        <v>1652</v>
      </c>
      <c r="E1208" s="4">
        <v>19500</v>
      </c>
    </row>
    <row r="1209" spans="1:5">
      <c r="A1209" s="2" t="s">
        <v>421</v>
      </c>
      <c r="B1209" s="2" t="str">
        <f>"500221"</f>
        <v>500221</v>
      </c>
      <c r="C1209" s="2" t="str">
        <f>"500221"</f>
        <v>500221</v>
      </c>
      <c r="D1209" s="2" t="s">
        <v>1653</v>
      </c>
      <c r="E1209" s="4">
        <v>19500</v>
      </c>
    </row>
    <row r="1210" spans="1:5">
      <c r="A1210" s="2" t="s">
        <v>421</v>
      </c>
      <c r="B1210" s="2" t="str">
        <f>"0022897"</f>
        <v>0022897</v>
      </c>
      <c r="C1210" s="2" t="str">
        <f>"0022897"</f>
        <v>0022897</v>
      </c>
      <c r="D1210" s="2" t="s">
        <v>1654</v>
      </c>
      <c r="E1210" s="4">
        <v>34000</v>
      </c>
    </row>
    <row r="1211" spans="1:5">
      <c r="A1211" s="2" t="s">
        <v>421</v>
      </c>
      <c r="B1211" s="2" t="str">
        <f>"500201"</f>
        <v>500201</v>
      </c>
      <c r="C1211" s="2" t="str">
        <f>"500201"</f>
        <v>500201</v>
      </c>
      <c r="D1211" s="2" t="s">
        <v>1655</v>
      </c>
      <c r="E1211" s="4">
        <v>19800</v>
      </c>
    </row>
    <row r="1212" spans="1:5">
      <c r="A1212" s="2" t="s">
        <v>421</v>
      </c>
      <c r="B1212" s="2" t="str">
        <f>"500202"</f>
        <v>500202</v>
      </c>
      <c r="C1212" s="2" t="str">
        <f>"500202"</f>
        <v>500202</v>
      </c>
      <c r="D1212" s="2" t="s">
        <v>1656</v>
      </c>
      <c r="E1212" s="4">
        <v>19800</v>
      </c>
    </row>
    <row r="1213" spans="1:5">
      <c r="A1213" s="2" t="s">
        <v>421</v>
      </c>
      <c r="B1213" s="2" t="s">
        <v>1657</v>
      </c>
      <c r="C1213" s="2" t="s">
        <v>1657</v>
      </c>
      <c r="D1213" s="2" t="s">
        <v>1658</v>
      </c>
      <c r="E1213" s="4">
        <v>19700</v>
      </c>
    </row>
    <row r="1214" spans="1:5">
      <c r="A1214" s="2" t="s">
        <v>421</v>
      </c>
      <c r="B1214" s="2" t="s">
        <v>1659</v>
      </c>
      <c r="C1214" s="2" t="str">
        <f>"1714163176370"</f>
        <v>1714163176370</v>
      </c>
      <c r="D1214" s="2" t="s">
        <v>1660</v>
      </c>
      <c r="E1214" s="4">
        <v>25000</v>
      </c>
    </row>
    <row r="1215" spans="1:5">
      <c r="A1215" s="2" t="s">
        <v>421</v>
      </c>
      <c r="B1215" s="2" t="s">
        <v>1661</v>
      </c>
      <c r="C1215" s="2" t="str">
        <f>"1714163225688"</f>
        <v>1714163225688</v>
      </c>
      <c r="D1215" s="2" t="s">
        <v>1662</v>
      </c>
      <c r="E1215" s="4">
        <v>25000</v>
      </c>
    </row>
    <row r="1216" spans="1:5">
      <c r="A1216" s="2" t="s">
        <v>296</v>
      </c>
      <c r="B1216" s="2" t="str">
        <f>"070760293"</f>
        <v>070760293</v>
      </c>
      <c r="C1216" s="2" t="str">
        <f>"4A000"</f>
        <v>4A000</v>
      </c>
      <c r="D1216" s="2" t="s">
        <v>1663</v>
      </c>
      <c r="E1216" s="4">
        <v>13800</v>
      </c>
    </row>
    <row r="1217" spans="1:5">
      <c r="A1217" s="2" t="s">
        <v>1478</v>
      </c>
      <c r="B1217" s="2" t="str">
        <f>"8224042"</f>
        <v>8224042</v>
      </c>
      <c r="C1217" s="2" t="str">
        <f>"8224042"</f>
        <v>8224042</v>
      </c>
      <c r="D1217" s="2" t="s">
        <v>1664</v>
      </c>
      <c r="E1217" s="4">
        <v>12500</v>
      </c>
    </row>
    <row r="1218" spans="1:5">
      <c r="A1218" s="2" t="s">
        <v>1478</v>
      </c>
      <c r="B1218" s="2" t="str">
        <f>"0000301"</f>
        <v>0000301</v>
      </c>
      <c r="C1218" s="2" t="str">
        <f>"0000301"</f>
        <v>0000301</v>
      </c>
      <c r="D1218" s="2" t="s">
        <v>1665</v>
      </c>
      <c r="E1218" s="4">
        <v>12400</v>
      </c>
    </row>
    <row r="1219" spans="1:5">
      <c r="A1219" s="2" t="s">
        <v>1478</v>
      </c>
      <c r="B1219" s="2" t="str">
        <f>"0101408"</f>
        <v>0101408</v>
      </c>
      <c r="C1219" s="2" t="str">
        <f>"0101408"</f>
        <v>0101408</v>
      </c>
      <c r="D1219" s="2" t="s">
        <v>1666</v>
      </c>
      <c r="E1219" s="4">
        <v>11500</v>
      </c>
    </row>
    <row r="1220" spans="1:5">
      <c r="A1220" s="2" t="s">
        <v>1478</v>
      </c>
      <c r="B1220" s="2" t="str">
        <f>"0019977"</f>
        <v>0019977</v>
      </c>
      <c r="C1220" s="2" t="str">
        <f>"1026-4757"</f>
        <v>1026-4757</v>
      </c>
      <c r="D1220" s="2" t="s">
        <v>1667</v>
      </c>
      <c r="E1220" s="4">
        <v>16000</v>
      </c>
    </row>
    <row r="1221" spans="1:5">
      <c r="A1221" s="2" t="s">
        <v>1478</v>
      </c>
      <c r="B1221" s="2" t="str">
        <f>"1026-4758"</f>
        <v>1026-4758</v>
      </c>
      <c r="C1221" s="2" t="str">
        <f>"1026-4758"</f>
        <v>1026-4758</v>
      </c>
      <c r="D1221" s="2" t="s">
        <v>1668</v>
      </c>
      <c r="E1221" s="4">
        <v>18700</v>
      </c>
    </row>
    <row r="1222" spans="1:5">
      <c r="A1222" s="2" t="s">
        <v>1478</v>
      </c>
      <c r="B1222" s="2" t="str">
        <f>"9941743"</f>
        <v>9941743</v>
      </c>
      <c r="C1222" s="2" t="str">
        <f>"9941743"</f>
        <v>9941743</v>
      </c>
      <c r="D1222" s="2" t="s">
        <v>1668</v>
      </c>
      <c r="E1222" s="4">
        <v>16000</v>
      </c>
    </row>
    <row r="1223" spans="1:5">
      <c r="A1223" s="2" t="s">
        <v>1478</v>
      </c>
      <c r="B1223" s="2" t="str">
        <f>"2026-5398"</f>
        <v>2026-5398</v>
      </c>
      <c r="C1223" s="2" t="str">
        <f>"2026-5398"</f>
        <v>2026-5398</v>
      </c>
      <c r="D1223" s="2" t="s">
        <v>1669</v>
      </c>
      <c r="E1223" s="4">
        <v>12900</v>
      </c>
    </row>
    <row r="1224" spans="1:5">
      <c r="A1224" s="2" t="s">
        <v>1478</v>
      </c>
      <c r="B1224" s="2" t="str">
        <f>"16333-11200"</f>
        <v>16333-11200</v>
      </c>
      <c r="C1224" s="2" t="str">
        <f>"16333-11200"</f>
        <v>16333-11200</v>
      </c>
      <c r="D1224" s="2" t="s">
        <v>1670</v>
      </c>
      <c r="E1224" s="4">
        <v>25000</v>
      </c>
    </row>
    <row r="1225" spans="1:5">
      <c r="A1225" s="2" t="s">
        <v>1478</v>
      </c>
      <c r="B1225" s="2" t="str">
        <f>"2026-5375"</f>
        <v>2026-5375</v>
      </c>
      <c r="C1225" s="2" t="str">
        <f>"2026-5375"</f>
        <v>2026-5375</v>
      </c>
      <c r="D1225" s="2" t="s">
        <v>1671</v>
      </c>
      <c r="E1225" s="4">
        <v>18700</v>
      </c>
    </row>
    <row r="1226" spans="1:5">
      <c r="A1226" s="2" t="s">
        <v>1478</v>
      </c>
      <c r="B1226" s="2" t="str">
        <f>"2026-5395"</f>
        <v>2026-5395</v>
      </c>
      <c r="C1226" s="2" t="str">
        <f>"2026-5395"</f>
        <v>2026-5395</v>
      </c>
      <c r="D1226" s="2" t="s">
        <v>1672</v>
      </c>
      <c r="E1226" s="4">
        <v>19900</v>
      </c>
    </row>
    <row r="1227" spans="1:5">
      <c r="A1227" s="2" t="s">
        <v>5</v>
      </c>
      <c r="B1227" s="2" t="s">
        <v>1673</v>
      </c>
      <c r="C1227" s="2" t="str">
        <f>"55230"</f>
        <v>55230</v>
      </c>
      <c r="D1227" s="2" t="s">
        <v>1674</v>
      </c>
      <c r="E1227" s="4">
        <v>18700</v>
      </c>
    </row>
    <row r="1228" spans="1:5">
      <c r="A1228" s="2" t="s">
        <v>5</v>
      </c>
      <c r="B1228" s="2" t="s">
        <v>1675</v>
      </c>
      <c r="C1228" s="2" t="s">
        <v>1675</v>
      </c>
      <c r="D1228" s="2" t="s">
        <v>1676</v>
      </c>
      <c r="E1228" s="4">
        <v>18700</v>
      </c>
    </row>
    <row r="1229" spans="1:5">
      <c r="A1229" s="2" t="s">
        <v>5</v>
      </c>
      <c r="B1229" s="2" t="s">
        <v>1677</v>
      </c>
      <c r="C1229" s="2" t="str">
        <f>"55238"</f>
        <v>55238</v>
      </c>
      <c r="D1229" s="2" t="s">
        <v>1678</v>
      </c>
      <c r="E1229" s="4">
        <v>14200</v>
      </c>
    </row>
    <row r="1230" spans="1:5">
      <c r="A1230" s="2" t="s">
        <v>365</v>
      </c>
      <c r="B1230" s="2" t="s">
        <v>1679</v>
      </c>
      <c r="C1230" s="2" t="s">
        <v>1679</v>
      </c>
      <c r="D1230" s="2" t="s">
        <v>1680</v>
      </c>
      <c r="E1230" s="4">
        <v>97000</v>
      </c>
    </row>
    <row r="1231" spans="1:5">
      <c r="A1231" s="2" t="s">
        <v>365</v>
      </c>
      <c r="B1231" s="2" t="str">
        <f>"030220813"</f>
        <v>030220813</v>
      </c>
      <c r="C1231" s="2" t="str">
        <f>"030220813"</f>
        <v>030220813</v>
      </c>
      <c r="D1231" s="2" t="s">
        <v>1681</v>
      </c>
      <c r="E1231" s="4">
        <v>152000</v>
      </c>
    </row>
    <row r="1232" spans="1:5">
      <c r="A1232" s="2" t="s">
        <v>365</v>
      </c>
      <c r="B1232" s="2" t="s">
        <v>1682</v>
      </c>
      <c r="C1232" s="2" t="s">
        <v>1683</v>
      </c>
      <c r="D1232" s="2" t="s">
        <v>1684</v>
      </c>
      <c r="E1232" s="4">
        <v>49000</v>
      </c>
    </row>
    <row r="1233" spans="1:5">
      <c r="A1233" s="2" t="s">
        <v>365</v>
      </c>
      <c r="B1233" s="2" t="str">
        <f>"39N100GB"</f>
        <v>39N100GB</v>
      </c>
      <c r="C1233" s="2" t="s">
        <v>1685</v>
      </c>
      <c r="D1233" s="2" t="s">
        <v>1686</v>
      </c>
      <c r="E1233" s="4">
        <v>90000</v>
      </c>
    </row>
    <row r="1234" spans="1:5">
      <c r="A1234" s="2" t="s">
        <v>365</v>
      </c>
      <c r="B1234" s="2" t="str">
        <f>"3960038GB"</f>
        <v>3960038GB</v>
      </c>
      <c r="C1234" s="2" t="s">
        <v>1687</v>
      </c>
      <c r="D1234" s="2" t="s">
        <v>1688</v>
      </c>
      <c r="E1234" s="4">
        <v>78000</v>
      </c>
    </row>
    <row r="1235" spans="1:5">
      <c r="A1235" s="2" t="s">
        <v>365</v>
      </c>
      <c r="B1235" s="2" t="str">
        <f>"39N120GB"</f>
        <v>39N120GB</v>
      </c>
      <c r="C1235" s="2" t="str">
        <f>"39N120GB"</f>
        <v>39N120GB</v>
      </c>
      <c r="D1235" s="2" t="s">
        <v>1689</v>
      </c>
      <c r="E1235" s="4">
        <v>98000</v>
      </c>
    </row>
    <row r="1236" spans="1:5">
      <c r="A1236" s="2" t="s">
        <v>365</v>
      </c>
      <c r="B1236" s="2" t="str">
        <f>"39N150GB"</f>
        <v>39N150GB</v>
      </c>
      <c r="C1236" s="2" t="str">
        <f>"39N150GB"</f>
        <v>39N150GB</v>
      </c>
      <c r="D1236" s="2" t="s">
        <v>1690</v>
      </c>
      <c r="E1236" s="4">
        <v>130000</v>
      </c>
    </row>
    <row r="1237" spans="1:5">
      <c r="A1237" s="2" t="s">
        <v>365</v>
      </c>
      <c r="B1237" s="2" t="str">
        <f>"39N200GB"</f>
        <v>39N200GB</v>
      </c>
      <c r="C1237" s="2" t="str">
        <f>"39N200GB"</f>
        <v>39N200GB</v>
      </c>
      <c r="D1237" s="2" t="s">
        <v>1691</v>
      </c>
      <c r="E1237" s="4">
        <v>145000</v>
      </c>
    </row>
    <row r="1238" spans="1:5">
      <c r="A1238" s="2" t="s">
        <v>365</v>
      </c>
      <c r="B1238" s="2" t="str">
        <f>"39NS40ZLGB"</f>
        <v>39NS40ZLGB</v>
      </c>
      <c r="C1238" s="2" t="s">
        <v>1692</v>
      </c>
      <c r="D1238" s="2" t="s">
        <v>1693</v>
      </c>
      <c r="E1238" s="4">
        <v>53000</v>
      </c>
    </row>
    <row r="1239" spans="1:5">
      <c r="A1239" s="2" t="s">
        <v>365</v>
      </c>
      <c r="B1239" s="2" t="str">
        <f>"39NS40ZGB"</f>
        <v>39NS40ZGB</v>
      </c>
      <c r="C1239" s="2" t="str">
        <f>"39NS40ZGB"</f>
        <v>39NS40ZGB</v>
      </c>
      <c r="D1239" s="2" t="s">
        <v>1694</v>
      </c>
      <c r="E1239" s="4">
        <v>53000</v>
      </c>
    </row>
    <row r="1240" spans="1:5">
      <c r="A1240" s="2" t="s">
        <v>365</v>
      </c>
      <c r="B1240" s="2" t="str">
        <f>"3954449"</f>
        <v>3954449</v>
      </c>
      <c r="C1240" s="2" t="str">
        <f>"3954449"</f>
        <v>3954449</v>
      </c>
      <c r="D1240" s="2" t="s">
        <v>1695</v>
      </c>
      <c r="E1240" s="4">
        <v>59000</v>
      </c>
    </row>
    <row r="1241" spans="1:5">
      <c r="A1241" s="2" t="s">
        <v>365</v>
      </c>
      <c r="B1241" s="2" t="str">
        <f>"39NS60LGB"</f>
        <v>39NS60LGB</v>
      </c>
      <c r="C1241" s="2" t="s">
        <v>1696</v>
      </c>
      <c r="D1241" s="2" t="s">
        <v>1697</v>
      </c>
      <c r="E1241" s="4">
        <v>62000</v>
      </c>
    </row>
    <row r="1242" spans="1:5">
      <c r="A1242" s="2" t="s">
        <v>365</v>
      </c>
      <c r="B1242" s="2" t="str">
        <f>"39NS60GB"</f>
        <v>39NS60GB</v>
      </c>
      <c r="C1242" s="2" t="s">
        <v>1698</v>
      </c>
      <c r="D1242" s="2" t="s">
        <v>1699</v>
      </c>
      <c r="E1242" s="4">
        <v>62000</v>
      </c>
    </row>
    <row r="1243" spans="1:5">
      <c r="A1243" s="2" t="s">
        <v>365</v>
      </c>
      <c r="B1243" s="2" t="str">
        <f>"39CMF50AL"</f>
        <v>39CMF50AL</v>
      </c>
      <c r="C1243" s="2" t="s">
        <v>1700</v>
      </c>
      <c r="D1243" s="2" t="s">
        <v>1701</v>
      </c>
      <c r="E1243" s="4">
        <v>37000</v>
      </c>
    </row>
    <row r="1244" spans="1:5">
      <c r="A1244" s="2" t="s">
        <v>365</v>
      </c>
      <c r="B1244" s="2" t="s">
        <v>1702</v>
      </c>
      <c r="C1244" s="2" t="s">
        <v>1702</v>
      </c>
      <c r="D1244" s="2" t="s">
        <v>1703</v>
      </c>
      <c r="E1244" s="4">
        <v>37000</v>
      </c>
    </row>
    <row r="1245" spans="1:5">
      <c r="A1245" s="2" t="s">
        <v>365</v>
      </c>
      <c r="B1245" s="2" t="str">
        <f>"3955530"</f>
        <v>3955530</v>
      </c>
      <c r="C1245" s="2" t="s">
        <v>1704</v>
      </c>
      <c r="D1245" s="2" t="s">
        <v>1705</v>
      </c>
      <c r="E1245" s="4">
        <v>49000</v>
      </c>
    </row>
    <row r="1246" spans="1:5">
      <c r="A1246" s="2" t="s">
        <v>365</v>
      </c>
      <c r="B1246" s="2" t="str">
        <f>"3955548GB"</f>
        <v>3955548GB</v>
      </c>
      <c r="C1246" s="2" t="s">
        <v>1706</v>
      </c>
      <c r="D1246" s="2" t="s">
        <v>1707</v>
      </c>
      <c r="E1246" s="4">
        <v>49000</v>
      </c>
    </row>
    <row r="1247" spans="1:5">
      <c r="A1247" s="2" t="s">
        <v>365</v>
      </c>
      <c r="B1247" s="2" t="str">
        <f>"3955D23LGB"</f>
        <v>3955D23LGB</v>
      </c>
      <c r="C1247" s="2" t="str">
        <f>"3955D23LGB"</f>
        <v>3955D23LGB</v>
      </c>
      <c r="D1247" s="2" t="s">
        <v>1708</v>
      </c>
      <c r="E1247" s="4">
        <v>65000</v>
      </c>
    </row>
    <row r="1248" spans="1:5">
      <c r="A1248" s="2" t="s">
        <v>365</v>
      </c>
      <c r="B1248" s="2" t="s">
        <v>1709</v>
      </c>
      <c r="C1248" s="2" t="str">
        <f>"3955D23RGB"</f>
        <v>3955D23RGB</v>
      </c>
      <c r="D1248" s="2" t="s">
        <v>1710</v>
      </c>
      <c r="E1248" s="4">
        <v>49000</v>
      </c>
    </row>
    <row r="1249" spans="1:5">
      <c r="A1249" s="2" t="s">
        <v>365</v>
      </c>
      <c r="B1249" s="2" t="str">
        <f>"3956219GB"</f>
        <v>3956219GB</v>
      </c>
      <c r="C1249" s="2" t="str">
        <f>"3956219GB"</f>
        <v>3956219GB</v>
      </c>
      <c r="D1249" s="2" t="s">
        <v>1711</v>
      </c>
      <c r="E1249" s="4">
        <v>59000</v>
      </c>
    </row>
    <row r="1250" spans="1:5">
      <c r="A1250" s="2" t="s">
        <v>365</v>
      </c>
      <c r="B1250" s="2" t="str">
        <f>"3956220GB"</f>
        <v>3956220GB</v>
      </c>
      <c r="C1250" s="2" t="str">
        <f>"3956220GB"</f>
        <v>3956220GB</v>
      </c>
      <c r="D1250" s="2" t="s">
        <v>1712</v>
      </c>
      <c r="E1250" s="4">
        <v>45000</v>
      </c>
    </row>
    <row r="1251" spans="1:5">
      <c r="A1251" s="2" t="s">
        <v>365</v>
      </c>
      <c r="B1251" s="2" t="s">
        <v>1713</v>
      </c>
      <c r="C1251" s="2" t="str">
        <f>"39NX110-5LGB"</f>
        <v>39NX110-5LGB</v>
      </c>
      <c r="D1251" s="2" t="s">
        <v>1714</v>
      </c>
      <c r="E1251" s="4">
        <v>82000</v>
      </c>
    </row>
    <row r="1252" spans="1:5">
      <c r="A1252" s="2" t="s">
        <v>365</v>
      </c>
      <c r="B1252" s="2" t="str">
        <f>"39NX1105LBES"</f>
        <v>39NX1105LBES</v>
      </c>
      <c r="C1252" s="2" t="str">
        <f>"39NX1105L"</f>
        <v>39NX1105L</v>
      </c>
      <c r="D1252" s="2" t="s">
        <v>1715</v>
      </c>
      <c r="E1252" s="4">
        <v>89000</v>
      </c>
    </row>
    <row r="1253" spans="1:5">
      <c r="A1253" s="2" t="s">
        <v>365</v>
      </c>
      <c r="B1253" s="2" t="str">
        <f>"3957113GB"</f>
        <v>3957113GB</v>
      </c>
      <c r="C1253" s="2" t="str">
        <f>"3957113GB"</f>
        <v>3957113GB</v>
      </c>
      <c r="D1253" s="2" t="s">
        <v>1716</v>
      </c>
      <c r="E1253" s="4">
        <v>82600</v>
      </c>
    </row>
    <row r="1254" spans="1:5">
      <c r="A1254" s="2" t="s">
        <v>365</v>
      </c>
      <c r="B1254" s="2" t="s">
        <v>1717</v>
      </c>
      <c r="C1254" s="2" t="str">
        <f>"39NX110-5GB"</f>
        <v>39NX110-5GB</v>
      </c>
      <c r="D1254" s="2" t="s">
        <v>1718</v>
      </c>
      <c r="E1254" s="4">
        <v>55000</v>
      </c>
    </row>
    <row r="1255" spans="1:5">
      <c r="A1255" s="2" t="s">
        <v>365</v>
      </c>
      <c r="B1255" s="2" t="str">
        <f>"39NX1105BES"</f>
        <v>39NX1105BES</v>
      </c>
      <c r="C1255" s="2" t="str">
        <f>"39NX1105BES"</f>
        <v>39NX1105BES</v>
      </c>
      <c r="D1255" s="2" t="s">
        <v>1718</v>
      </c>
      <c r="E1255" s="4">
        <v>82000</v>
      </c>
    </row>
    <row r="1256" spans="1:5">
      <c r="A1256" s="2" t="s">
        <v>365</v>
      </c>
      <c r="B1256" s="2" t="str">
        <f>"3958014gb"</f>
        <v>3958014gb</v>
      </c>
      <c r="C1256" s="2" t="str">
        <f>"3958014GB"</f>
        <v>3958014GB</v>
      </c>
      <c r="D1256" s="2" t="s">
        <v>1719</v>
      </c>
      <c r="E1256" s="4">
        <v>69000</v>
      </c>
    </row>
    <row r="1257" spans="1:5">
      <c r="A1257" s="2" t="s">
        <v>365</v>
      </c>
      <c r="B1257" s="2" t="str">
        <f>"39NX120-7GB"</f>
        <v>39NX120-7GB</v>
      </c>
      <c r="C1257" s="2" t="str">
        <f>"39NX120-7GB"</f>
        <v>39NX120-7GB</v>
      </c>
      <c r="D1257" s="2" t="s">
        <v>1720</v>
      </c>
      <c r="E1257" s="4">
        <v>79000</v>
      </c>
    </row>
    <row r="1258" spans="1:5">
      <c r="A1258" s="2" t="s">
        <v>365</v>
      </c>
      <c r="B1258" s="2" t="s">
        <v>1721</v>
      </c>
      <c r="C1258" s="2" t="s">
        <v>1721</v>
      </c>
      <c r="D1258" s="2" t="s">
        <v>1722</v>
      </c>
      <c r="E1258" s="4">
        <v>65000</v>
      </c>
    </row>
    <row r="1259" spans="1:5">
      <c r="A1259" s="2" t="s">
        <v>365</v>
      </c>
      <c r="B1259" s="2" t="s">
        <v>1723</v>
      </c>
      <c r="C1259" s="2" t="s">
        <v>1723</v>
      </c>
      <c r="D1259" s="2" t="s">
        <v>1724</v>
      </c>
      <c r="E1259" s="4">
        <v>65000</v>
      </c>
    </row>
    <row r="1260" spans="1:5">
      <c r="A1260" s="2" t="s">
        <v>365</v>
      </c>
      <c r="B1260" s="2" t="str">
        <f>"95E41"</f>
        <v>95E41</v>
      </c>
      <c r="C1260" s="2" t="str">
        <f>"95E41"</f>
        <v>95E41</v>
      </c>
      <c r="D1260" s="2" t="s">
        <v>1725</v>
      </c>
      <c r="E1260" s="4">
        <v>100000</v>
      </c>
    </row>
    <row r="1261" spans="1:5">
      <c r="A1261" s="2" t="s">
        <v>365</v>
      </c>
      <c r="B1261" s="2" t="str">
        <f>"39N100MF"</f>
        <v>39N100MF</v>
      </c>
      <c r="C1261" s="2" t="str">
        <f>"39N100MF"</f>
        <v>39N100MF</v>
      </c>
      <c r="D1261" s="2" t="s">
        <v>1726</v>
      </c>
      <c r="E1261" s="4">
        <v>110000</v>
      </c>
    </row>
    <row r="1262" spans="1:5">
      <c r="A1262" s="2" t="s">
        <v>365</v>
      </c>
      <c r="B1262" s="2" t="str">
        <f>"39NS40ZLMF"</f>
        <v>39NS40ZLMF</v>
      </c>
      <c r="C1262" s="2" t="str">
        <f>"39NS40ZLMF"</f>
        <v>39NS40ZLMF</v>
      </c>
      <c r="D1262" s="2" t="s">
        <v>1727</v>
      </c>
      <c r="E1262" s="4">
        <v>67000</v>
      </c>
    </row>
    <row r="1263" spans="1:5">
      <c r="A1263" s="2" t="s">
        <v>365</v>
      </c>
      <c r="B1263" s="2" t="str">
        <f>"39NS40ZMF"</f>
        <v>39NS40ZMF</v>
      </c>
      <c r="C1263" s="2" t="str">
        <f>"39NS40ZML"</f>
        <v>39NS40ZML</v>
      </c>
      <c r="D1263" s="2" t="s">
        <v>1728</v>
      </c>
      <c r="E1263" s="4">
        <v>67000</v>
      </c>
    </row>
    <row r="1264" spans="1:5">
      <c r="A1264" s="2" t="s">
        <v>365</v>
      </c>
      <c r="B1264" s="2" t="str">
        <f>"39NS40ZLT"</f>
        <v>39NS40ZLT</v>
      </c>
      <c r="C1264" s="2" t="str">
        <f>"39NS40ZLT"</f>
        <v>39NS40ZLT</v>
      </c>
      <c r="D1264" s="2" t="s">
        <v>1729</v>
      </c>
      <c r="E1264" s="4">
        <v>62500</v>
      </c>
    </row>
    <row r="1265" spans="1:5">
      <c r="A1265" s="2" t="s">
        <v>365</v>
      </c>
      <c r="B1265" s="2" t="str">
        <f>"39NS40ZT"</f>
        <v>39NS40ZT</v>
      </c>
      <c r="C1265" s="2" t="str">
        <f>"39NS40ZT"</f>
        <v>39NS40ZT</v>
      </c>
      <c r="D1265" s="2" t="s">
        <v>1730</v>
      </c>
      <c r="E1265" s="4">
        <v>59000</v>
      </c>
    </row>
    <row r="1266" spans="1:5">
      <c r="A1266" s="2" t="s">
        <v>365</v>
      </c>
      <c r="B1266" s="2" t="str">
        <f>"39S545E"</f>
        <v>39S545E</v>
      </c>
      <c r="C1266" s="2" t="str">
        <f>"39S545E"</f>
        <v>39S545E</v>
      </c>
      <c r="D1266" s="2" t="s">
        <v>1731</v>
      </c>
      <c r="E1266" s="4">
        <v>77000</v>
      </c>
    </row>
    <row r="1267" spans="1:5">
      <c r="A1267" s="2" t="s">
        <v>365</v>
      </c>
      <c r="B1267" s="2" t="str">
        <f>"39S445D"</f>
        <v>39S445D</v>
      </c>
      <c r="C1267" s="2" t="str">
        <f>"39S445D"</f>
        <v>39S445D</v>
      </c>
      <c r="D1267" s="2" t="s">
        <v>1732</v>
      </c>
      <c r="E1267" s="4">
        <v>91000</v>
      </c>
    </row>
    <row r="1268" spans="1:5">
      <c r="A1268" s="2" t="s">
        <v>365</v>
      </c>
      <c r="B1268" s="2" t="str">
        <f>"39NS60LMF"</f>
        <v>39NS60LMF</v>
      </c>
      <c r="C1268" s="2" t="str">
        <f>"39NS60LMF 46B24L"</f>
        <v>39NS60LMF 46B24L</v>
      </c>
      <c r="D1268" s="2" t="s">
        <v>1733</v>
      </c>
      <c r="E1268" s="4">
        <v>73000</v>
      </c>
    </row>
    <row r="1269" spans="1:5">
      <c r="A1269" s="2" t="s">
        <v>365</v>
      </c>
      <c r="B1269" s="2" t="str">
        <f>"39S545D"</f>
        <v>39S545D</v>
      </c>
      <c r="C1269" s="2" t="str">
        <f>"39S545D"</f>
        <v>39S545D</v>
      </c>
      <c r="D1269" s="2" t="s">
        <v>1734</v>
      </c>
      <c r="E1269" s="4">
        <v>77000</v>
      </c>
    </row>
    <row r="1270" spans="1:5">
      <c r="A1270" s="2" t="s">
        <v>365</v>
      </c>
      <c r="B1270" s="2" t="str">
        <f>"39NS60SMF"</f>
        <v>39NS60SMF</v>
      </c>
      <c r="C1270" s="2" t="str">
        <f>"39NS60SMF"</f>
        <v>39NS60SMF</v>
      </c>
      <c r="D1270" s="2" t="s">
        <v>1735</v>
      </c>
      <c r="E1270" s="4">
        <v>73000</v>
      </c>
    </row>
    <row r="1271" spans="1:5">
      <c r="A1271" s="2" t="s">
        <v>365</v>
      </c>
      <c r="B1271" s="2" t="str">
        <f>"39S355D"</f>
        <v>39S355D</v>
      </c>
      <c r="C1271" s="2" t="str">
        <f>"39S355D"</f>
        <v>39S355D</v>
      </c>
      <c r="D1271" s="2" t="s">
        <v>1736</v>
      </c>
      <c r="E1271" s="4">
        <v>76000</v>
      </c>
    </row>
    <row r="1272" spans="1:5">
      <c r="A1272" s="2" t="s">
        <v>365</v>
      </c>
      <c r="B1272" s="2" t="str">
        <f>"39S355E"</f>
        <v>39S355E</v>
      </c>
      <c r="C1272" s="2" t="str">
        <f>"39S355E"</f>
        <v>39S355E</v>
      </c>
      <c r="D1272" s="2" t="s">
        <v>1737</v>
      </c>
      <c r="E1272" s="4">
        <v>76000</v>
      </c>
    </row>
    <row r="1273" spans="1:5">
      <c r="A1273" s="2" t="s">
        <v>365</v>
      </c>
      <c r="B1273" s="2" t="str">
        <f>"39NX110-5LT"</f>
        <v>39NX110-5LT</v>
      </c>
      <c r="C1273" s="2" t="str">
        <f>"39NX110-5LT"</f>
        <v>39NX110-5LT</v>
      </c>
      <c r="D1273" s="2" t="s">
        <v>1738</v>
      </c>
      <c r="E1273" s="4">
        <v>98000</v>
      </c>
    </row>
    <row r="1274" spans="1:5">
      <c r="A1274" s="2" t="s">
        <v>365</v>
      </c>
      <c r="B1274" s="2" t="str">
        <f>"39NX110-5T"</f>
        <v>39NX110-5T</v>
      </c>
      <c r="C1274" s="2" t="str">
        <f>"39NX110-5T"</f>
        <v>39NX110-5T</v>
      </c>
      <c r="D1274" s="2" t="s">
        <v>1739</v>
      </c>
      <c r="E1274" s="4">
        <v>98000</v>
      </c>
    </row>
    <row r="1275" spans="1:5">
      <c r="A1275" s="2" t="s">
        <v>365</v>
      </c>
      <c r="B1275" s="2" t="str">
        <f>"3955D23RMF"</f>
        <v>3955D23RMF</v>
      </c>
      <c r="C1275" s="2" t="str">
        <f>"55D23R"</f>
        <v>55D23R</v>
      </c>
      <c r="D1275" s="2" t="s">
        <v>1740</v>
      </c>
      <c r="E1275" s="4">
        <v>98000</v>
      </c>
    </row>
    <row r="1276" spans="1:5">
      <c r="A1276" s="2" t="s">
        <v>365</v>
      </c>
      <c r="B1276" s="2" t="str">
        <f>"39S560D-E"</f>
        <v>39S560D-E</v>
      </c>
      <c r="C1276" s="2" t="str">
        <f>"39S560D-E"</f>
        <v>39S560D-E</v>
      </c>
      <c r="D1276" s="2" t="s">
        <v>1741</v>
      </c>
      <c r="E1276" s="4">
        <v>105000</v>
      </c>
    </row>
    <row r="1277" spans="1:5">
      <c r="A1277" s="2" t="s">
        <v>365</v>
      </c>
      <c r="B1277" s="2" t="str">
        <f>"39S56E-E"</f>
        <v>39S56E-E</v>
      </c>
      <c r="C1277" s="2" t="str">
        <f>"39S56E-E"</f>
        <v>39S56E-E</v>
      </c>
      <c r="D1277" s="2" t="s">
        <v>1742</v>
      </c>
      <c r="E1277" s="4">
        <v>97000</v>
      </c>
    </row>
    <row r="1278" spans="1:5">
      <c r="A1278" s="2" t="s">
        <v>365</v>
      </c>
      <c r="B1278" s="2" t="str">
        <f>"3955D23LMF"</f>
        <v>3955D23LMF</v>
      </c>
      <c r="C1278" s="2" t="str">
        <f>"3955D23LMF"</f>
        <v>3955D23LMF</v>
      </c>
      <c r="D1278" s="2" t="s">
        <v>1743</v>
      </c>
      <c r="E1278" s="4">
        <v>98000</v>
      </c>
    </row>
    <row r="1279" spans="1:5">
      <c r="A1279" s="2" t="s">
        <v>365</v>
      </c>
      <c r="B1279" s="2" t="str">
        <f>"39S560E-E"</f>
        <v>39S560E-E</v>
      </c>
      <c r="C1279" s="2" t="str">
        <f>"39S560E-E"</f>
        <v>39S560E-E</v>
      </c>
      <c r="D1279" s="2" t="s">
        <v>1744</v>
      </c>
      <c r="E1279" s="4">
        <v>105000</v>
      </c>
    </row>
    <row r="1280" spans="1:5">
      <c r="A1280" s="2" t="s">
        <v>365</v>
      </c>
      <c r="B1280" s="2" t="str">
        <f>"3955D23LT"</f>
        <v>3955D23LT</v>
      </c>
      <c r="C1280" s="2" t="str">
        <f>"3955D23LT"</f>
        <v>3955D23LT</v>
      </c>
      <c r="D1280" s="2" t="s">
        <v>1745</v>
      </c>
      <c r="E1280" s="4">
        <v>105000</v>
      </c>
    </row>
    <row r="1281" spans="1:5">
      <c r="A1281" s="2" t="s">
        <v>365</v>
      </c>
      <c r="B1281" s="2" t="str">
        <f>"39NX110-5LMF"</f>
        <v>39NX110-5LMF</v>
      </c>
      <c r="C1281" s="2" t="str">
        <f>"39NX110-5LMF"</f>
        <v>39NX110-5LMF</v>
      </c>
      <c r="D1281" s="2" t="s">
        <v>1746</v>
      </c>
      <c r="E1281" s="4">
        <v>115000</v>
      </c>
    </row>
    <row r="1282" spans="1:5">
      <c r="A1282" s="2" t="s">
        <v>365</v>
      </c>
      <c r="B1282" s="2" t="str">
        <f>"39S470D-T"</f>
        <v>39S470D-T</v>
      </c>
      <c r="C1282" s="2" t="str">
        <f>"39S470D-T"</f>
        <v>39S470D-T</v>
      </c>
      <c r="D1282" s="2" t="s">
        <v>1746</v>
      </c>
      <c r="E1282" s="4">
        <v>115000</v>
      </c>
    </row>
    <row r="1283" spans="1:5">
      <c r="A1283" s="2" t="s">
        <v>365</v>
      </c>
      <c r="B1283" s="2" t="str">
        <f>"39S470E-T"</f>
        <v>39S470E-T</v>
      </c>
      <c r="C1283" s="2" t="str">
        <f>"1595683546406"</f>
        <v>1595683546406</v>
      </c>
      <c r="D1283" s="2" t="s">
        <v>1747</v>
      </c>
      <c r="E1283" s="4">
        <v>115000</v>
      </c>
    </row>
    <row r="1284" spans="1:5">
      <c r="A1284" s="2" t="s">
        <v>365</v>
      </c>
      <c r="B1284" s="2" t="str">
        <f>"39NX110-5MF"</f>
        <v>39NX110-5MF</v>
      </c>
      <c r="C1284" s="2" t="str">
        <f>"39NX110-5MF"</f>
        <v>39NX110-5MF</v>
      </c>
      <c r="D1284" s="2" t="s">
        <v>1748</v>
      </c>
      <c r="E1284" s="4">
        <v>115000</v>
      </c>
    </row>
    <row r="1285" spans="1:5">
      <c r="A1285" s="2" t="s">
        <v>365</v>
      </c>
      <c r="B1285" s="2" t="str">
        <f>"3965-660BCI"</f>
        <v>3965-660BCI</v>
      </c>
      <c r="C1285" s="2" t="str">
        <f>"3965-660BCI"</f>
        <v>3965-660BCI</v>
      </c>
      <c r="D1285" s="2" t="s">
        <v>1749</v>
      </c>
      <c r="E1285" s="4">
        <v>105000</v>
      </c>
    </row>
    <row r="1286" spans="1:5">
      <c r="A1286" s="2" t="s">
        <v>365</v>
      </c>
      <c r="B1286" s="2" t="str">
        <f>"3978-760BCI"</f>
        <v>3978-760BCI</v>
      </c>
      <c r="C1286" s="2" t="str">
        <f>"3978-760BCI"</f>
        <v>3978-760BCI</v>
      </c>
      <c r="D1286" s="2" t="s">
        <v>1750</v>
      </c>
      <c r="E1286" s="4">
        <v>79000</v>
      </c>
    </row>
    <row r="1287" spans="1:5">
      <c r="A1287" s="2" t="s">
        <v>365</v>
      </c>
      <c r="B1287" s="2" t="str">
        <f>"39N75B"</f>
        <v>39N75B</v>
      </c>
      <c r="C1287" s="2" t="str">
        <f>"75AMPBOSCH"</f>
        <v>75AMPBOSCH</v>
      </c>
      <c r="D1287" s="2" t="s">
        <v>1751</v>
      </c>
      <c r="E1287" s="4">
        <v>115000</v>
      </c>
    </row>
    <row r="1288" spans="1:5">
      <c r="A1288" s="2" t="s">
        <v>365</v>
      </c>
      <c r="B1288" s="2" t="str">
        <f>"3978DT-76BC"</f>
        <v>3978DT-76BC</v>
      </c>
      <c r="C1288" s="2" t="str">
        <f>"3978DT-760BC"</f>
        <v>3978DT-760BC</v>
      </c>
      <c r="D1288" s="2" t="s">
        <v>1752</v>
      </c>
      <c r="E1288" s="4">
        <v>115000</v>
      </c>
    </row>
    <row r="1289" spans="1:5">
      <c r="A1289" s="2" t="s">
        <v>365</v>
      </c>
      <c r="B1289" s="2" t="str">
        <f>"3958014MF"</f>
        <v>3958014MF</v>
      </c>
      <c r="C1289" s="2" t="str">
        <f>"3958014MF"</f>
        <v>3958014MF</v>
      </c>
      <c r="D1289" s="2" t="s">
        <v>1753</v>
      </c>
      <c r="E1289" s="4">
        <v>142000</v>
      </c>
    </row>
    <row r="1290" spans="1:5">
      <c r="A1290" s="2" t="s">
        <v>365</v>
      </c>
      <c r="B1290" s="2" t="str">
        <f>"39NX120-7MF"</f>
        <v>39NX120-7MF</v>
      </c>
      <c r="C1290" s="2" t="str">
        <f>"39NX120-7MF"</f>
        <v>39NX120-7MF</v>
      </c>
      <c r="D1290" s="2" t="s">
        <v>1754</v>
      </c>
      <c r="E1290" s="4">
        <v>135000</v>
      </c>
    </row>
    <row r="1291" spans="1:5">
      <c r="A1291" s="2" t="s">
        <v>365</v>
      </c>
      <c r="B1291" s="2" t="str">
        <f>"39NX120-7LMF"</f>
        <v>39NX120-7LMF</v>
      </c>
      <c r="C1291" s="2" t="str">
        <f>"39NX120-7LMF"</f>
        <v>39NX120-7LMF</v>
      </c>
      <c r="D1291" s="2" t="s">
        <v>1755</v>
      </c>
      <c r="E1291" s="4">
        <v>135000</v>
      </c>
    </row>
    <row r="1292" spans="1:5">
      <c r="A1292" s="2" t="s">
        <v>365</v>
      </c>
      <c r="B1292" s="2" t="str">
        <f>"39NX120-7LT"</f>
        <v>39NX120-7LT</v>
      </c>
      <c r="C1292" s="2" t="str">
        <f>"39NX120-7LT"</f>
        <v>39NX120-7LT</v>
      </c>
      <c r="D1292" s="2" t="s">
        <v>1756</v>
      </c>
      <c r="E1292" s="4">
        <v>129000</v>
      </c>
    </row>
    <row r="1293" spans="1:5">
      <c r="A1293" s="2" t="s">
        <v>365</v>
      </c>
      <c r="B1293" s="2" t="str">
        <f>"39NX120-7T"</f>
        <v>39NX120-7T</v>
      </c>
      <c r="C1293" s="2" t="str">
        <f>"39NX120-7T"</f>
        <v>39NX120-7T</v>
      </c>
      <c r="D1293" s="2" t="s">
        <v>1757</v>
      </c>
      <c r="E1293" s="4">
        <v>129000</v>
      </c>
    </row>
    <row r="1294" spans="1:5">
      <c r="A1294" s="2" t="s">
        <v>365</v>
      </c>
      <c r="B1294" s="2" t="s">
        <v>1758</v>
      </c>
      <c r="C1294" s="2" t="s">
        <v>1758</v>
      </c>
      <c r="D1294" s="2" t="s">
        <v>1759</v>
      </c>
      <c r="E1294" s="4">
        <v>85000</v>
      </c>
    </row>
    <row r="1295" spans="1:5">
      <c r="A1295" s="2" t="s">
        <v>365</v>
      </c>
      <c r="B1295" s="2" t="s">
        <v>1760</v>
      </c>
      <c r="C1295" s="2" t="s">
        <v>1760</v>
      </c>
      <c r="D1295" s="2" t="s">
        <v>1761</v>
      </c>
      <c r="E1295" s="4">
        <v>115000</v>
      </c>
    </row>
    <row r="1296" spans="1:5">
      <c r="A1296" s="2" t="s">
        <v>365</v>
      </c>
      <c r="B1296" s="2" t="s">
        <v>1762</v>
      </c>
      <c r="C1296" s="2" t="s">
        <v>1762</v>
      </c>
      <c r="D1296" s="2" t="s">
        <v>1763</v>
      </c>
      <c r="E1296" s="4">
        <v>161000</v>
      </c>
    </row>
    <row r="1297" spans="1:5">
      <c r="A1297" s="2" t="s">
        <v>365</v>
      </c>
      <c r="B1297" s="2" t="s">
        <v>1764</v>
      </c>
      <c r="C1297" s="2" t="s">
        <v>1764</v>
      </c>
      <c r="D1297" s="2" t="s">
        <v>1765</v>
      </c>
      <c r="E1297" s="4">
        <v>53000</v>
      </c>
    </row>
    <row r="1298" spans="1:5">
      <c r="A1298" s="2" t="s">
        <v>365</v>
      </c>
      <c r="B1298" s="2" t="s">
        <v>1766</v>
      </c>
      <c r="C1298" s="2" t="s">
        <v>1766</v>
      </c>
      <c r="D1298" s="2" t="s">
        <v>1767</v>
      </c>
      <c r="E1298" s="4">
        <v>55000</v>
      </c>
    </row>
    <row r="1299" spans="1:5">
      <c r="A1299" s="2" t="s">
        <v>365</v>
      </c>
      <c r="B1299" s="2" t="s">
        <v>1768</v>
      </c>
      <c r="C1299" s="2" t="s">
        <v>1768</v>
      </c>
      <c r="D1299" s="2" t="s">
        <v>1769</v>
      </c>
      <c r="E1299" s="4">
        <v>78000</v>
      </c>
    </row>
    <row r="1300" spans="1:5">
      <c r="A1300" s="2" t="s">
        <v>365</v>
      </c>
      <c r="B1300" s="2" t="s">
        <v>1770</v>
      </c>
      <c r="C1300" s="2" t="s">
        <v>1770</v>
      </c>
      <c r="D1300" s="2" t="s">
        <v>1771</v>
      </c>
      <c r="E1300" s="4">
        <v>78000</v>
      </c>
    </row>
    <row r="1301" spans="1:5">
      <c r="A1301" s="2" t="s">
        <v>365</v>
      </c>
      <c r="B1301" s="2" t="s">
        <v>1772</v>
      </c>
      <c r="C1301" s="2" t="s">
        <v>1772</v>
      </c>
      <c r="D1301" s="2" t="s">
        <v>1773</v>
      </c>
      <c r="E1301" s="4">
        <v>85000</v>
      </c>
    </row>
    <row r="1302" spans="1:5">
      <c r="A1302" s="2" t="s">
        <v>365</v>
      </c>
      <c r="B1302" s="2" t="s">
        <v>1774</v>
      </c>
      <c r="C1302" s="2" t="s">
        <v>1774</v>
      </c>
      <c r="D1302" s="2" t="s">
        <v>1775</v>
      </c>
      <c r="E1302" s="4">
        <v>80000</v>
      </c>
    </row>
    <row r="1303" spans="1:5">
      <c r="A1303" s="2" t="s">
        <v>365</v>
      </c>
      <c r="B1303" s="2" t="s">
        <v>1776</v>
      </c>
      <c r="C1303" s="2" t="s">
        <v>1776</v>
      </c>
      <c r="D1303" s="2" t="s">
        <v>1777</v>
      </c>
      <c r="E1303" s="4">
        <v>47000</v>
      </c>
    </row>
    <row r="1304" spans="1:5">
      <c r="A1304" s="2" t="s">
        <v>365</v>
      </c>
      <c r="B1304" s="2" t="s">
        <v>1778</v>
      </c>
      <c r="C1304" s="2" t="s">
        <v>1778</v>
      </c>
      <c r="D1304" s="2" t="s">
        <v>1779</v>
      </c>
      <c r="E1304" s="4">
        <v>49000</v>
      </c>
    </row>
    <row r="1305" spans="1:5">
      <c r="A1305" s="2" t="s">
        <v>365</v>
      </c>
      <c r="B1305" s="2" t="s">
        <v>1780</v>
      </c>
      <c r="C1305" s="2" t="s">
        <v>1781</v>
      </c>
      <c r="D1305" s="2" t="s">
        <v>1782</v>
      </c>
      <c r="E1305" s="4">
        <v>55000</v>
      </c>
    </row>
    <row r="1306" spans="1:5">
      <c r="A1306" s="2" t="s">
        <v>365</v>
      </c>
      <c r="B1306" s="2" t="str">
        <f>"55530D"</f>
        <v>55530D</v>
      </c>
      <c r="C1306" s="2" t="str">
        <f>"55530D"</f>
        <v>55530D</v>
      </c>
      <c r="D1306" s="2" t="s">
        <v>1783</v>
      </c>
      <c r="E1306" s="4">
        <v>49000</v>
      </c>
    </row>
    <row r="1307" spans="1:5">
      <c r="A1307" s="2" t="s">
        <v>365</v>
      </c>
      <c r="B1307" s="2" t="str">
        <f>"57113R-D"</f>
        <v>57113R-D</v>
      </c>
      <c r="C1307" s="2" t="str">
        <f>"030220811"</f>
        <v>030220811</v>
      </c>
      <c r="D1307" s="2" t="s">
        <v>1784</v>
      </c>
      <c r="E1307" s="4">
        <v>69000</v>
      </c>
    </row>
    <row r="1308" spans="1:5">
      <c r="A1308" s="2" t="s">
        <v>365</v>
      </c>
      <c r="B1308" s="2" t="s">
        <v>1785</v>
      </c>
      <c r="C1308" s="2" t="s">
        <v>1785</v>
      </c>
      <c r="D1308" s="2" t="s">
        <v>1786</v>
      </c>
      <c r="E1308" s="4">
        <v>85000</v>
      </c>
    </row>
    <row r="1309" spans="1:5">
      <c r="A1309" s="2" t="s">
        <v>365</v>
      </c>
      <c r="B1309" s="2" t="s">
        <v>1787</v>
      </c>
      <c r="C1309" s="2" t="s">
        <v>1787</v>
      </c>
      <c r="D1309" s="2" t="s">
        <v>1788</v>
      </c>
      <c r="E1309" s="4">
        <v>80000</v>
      </c>
    </row>
    <row r="1310" spans="1:5">
      <c r="A1310" s="2" t="s">
        <v>365</v>
      </c>
      <c r="B1310" s="2" t="s">
        <v>1789</v>
      </c>
      <c r="C1310" s="2" t="s">
        <v>1790</v>
      </c>
      <c r="D1310" s="2" t="s">
        <v>1791</v>
      </c>
      <c r="E1310" s="4">
        <v>49579</v>
      </c>
    </row>
    <row r="1311" spans="1:5">
      <c r="A1311" s="2" t="s">
        <v>365</v>
      </c>
      <c r="B1311" s="2" t="s">
        <v>1792</v>
      </c>
      <c r="C1311" s="2" t="s">
        <v>1792</v>
      </c>
      <c r="D1311" s="2" t="s">
        <v>1793</v>
      </c>
      <c r="E1311" s="4">
        <v>39000</v>
      </c>
    </row>
    <row r="1312" spans="1:5">
      <c r="A1312" s="2" t="s">
        <v>365</v>
      </c>
      <c r="B1312" s="2" t="str">
        <f>"30H102-E"</f>
        <v>30H102-E</v>
      </c>
      <c r="C1312" s="2" t="str">
        <f>"30H102-E"</f>
        <v>30H102-E</v>
      </c>
      <c r="D1312" s="2" t="s">
        <v>1794</v>
      </c>
      <c r="E1312" s="4">
        <v>88000</v>
      </c>
    </row>
    <row r="1313" spans="1:5">
      <c r="A1313" s="2" t="s">
        <v>365</v>
      </c>
      <c r="B1313" s="2" t="str">
        <f>"030220703"</f>
        <v>030220703</v>
      </c>
      <c r="C1313" s="2" t="str">
        <f>"030220703"</f>
        <v>030220703</v>
      </c>
      <c r="D1313" s="2" t="s">
        <v>1795</v>
      </c>
      <c r="E1313" s="4">
        <v>88000</v>
      </c>
    </row>
    <row r="1314" spans="1:5">
      <c r="A1314" s="2" t="s">
        <v>365</v>
      </c>
      <c r="B1314" s="2" t="s">
        <v>1796</v>
      </c>
      <c r="C1314" s="2" t="s">
        <v>1797</v>
      </c>
      <c r="D1314" s="2" t="s">
        <v>1798</v>
      </c>
      <c r="E1314" s="4">
        <v>55000</v>
      </c>
    </row>
    <row r="1315" spans="1:5">
      <c r="A1315" s="2" t="s">
        <v>365</v>
      </c>
      <c r="B1315" s="2" t="str">
        <f>"55530-E"</f>
        <v>55530-E</v>
      </c>
      <c r="C1315" s="2" t="str">
        <f>"55530-E 030220704"</f>
        <v>55530-E 030220704</v>
      </c>
      <c r="D1315" s="2" t="s">
        <v>1799</v>
      </c>
      <c r="E1315" s="4">
        <v>45000</v>
      </c>
    </row>
    <row r="1316" spans="1:5">
      <c r="A1316" s="2" t="s">
        <v>365</v>
      </c>
      <c r="B1316" s="2" t="str">
        <f>"55D23-RE"</f>
        <v>55D23-RE</v>
      </c>
      <c r="C1316" s="2" t="str">
        <f>"55D23-RE"</f>
        <v>55D23-RE</v>
      </c>
      <c r="D1316" s="2" t="s">
        <v>1800</v>
      </c>
      <c r="E1316" s="4">
        <v>65000</v>
      </c>
    </row>
    <row r="1317" spans="1:5">
      <c r="A1317" s="2" t="s">
        <v>365</v>
      </c>
      <c r="B1317" s="2" t="str">
        <f>"030220724"</f>
        <v>030220724</v>
      </c>
      <c r="C1317" s="2" t="str">
        <f>"030220724"</f>
        <v>030220724</v>
      </c>
      <c r="D1317" s="2" t="s">
        <v>1801</v>
      </c>
      <c r="E1317" s="4">
        <v>72000</v>
      </c>
    </row>
    <row r="1318" spans="1:5">
      <c r="A1318" s="2" t="s">
        <v>365</v>
      </c>
      <c r="B1318" s="2" t="s">
        <v>1802</v>
      </c>
      <c r="C1318" s="2" t="s">
        <v>1802</v>
      </c>
      <c r="D1318" s="2" t="s">
        <v>1803</v>
      </c>
      <c r="E1318" s="4">
        <v>75000</v>
      </c>
    </row>
    <row r="1319" spans="1:5">
      <c r="A1319" s="2" t="s">
        <v>365</v>
      </c>
      <c r="B1319" s="2" t="s">
        <v>1804</v>
      </c>
      <c r="C1319" s="2" t="s">
        <v>1804</v>
      </c>
      <c r="D1319" s="2" t="s">
        <v>1805</v>
      </c>
      <c r="E1319" s="4">
        <v>75000</v>
      </c>
    </row>
    <row r="1320" spans="1:5">
      <c r="A1320" s="2" t="s">
        <v>365</v>
      </c>
      <c r="B1320" s="2" t="s">
        <v>1806</v>
      </c>
      <c r="C1320" s="2" t="s">
        <v>1806</v>
      </c>
      <c r="D1320" s="2" t="s">
        <v>1807</v>
      </c>
      <c r="E1320" s="4">
        <v>45000</v>
      </c>
    </row>
    <row r="1321" spans="1:5">
      <c r="A1321" s="2" t="s">
        <v>365</v>
      </c>
      <c r="B1321" s="2" t="str">
        <f>"030220958"</f>
        <v>030220958</v>
      </c>
      <c r="C1321" s="2" t="s">
        <v>1808</v>
      </c>
      <c r="D1321" s="2" t="s">
        <v>1809</v>
      </c>
      <c r="E1321" s="4">
        <v>148300</v>
      </c>
    </row>
    <row r="1322" spans="1:5">
      <c r="A1322" s="2" t="s">
        <v>365</v>
      </c>
      <c r="B1322" s="2" t="s">
        <v>1810</v>
      </c>
      <c r="C1322" s="2" t="s">
        <v>1810</v>
      </c>
      <c r="D1322" s="2" t="s">
        <v>1811</v>
      </c>
      <c r="E1322" s="4">
        <v>52000</v>
      </c>
    </row>
    <row r="1323" spans="1:5">
      <c r="A1323" s="2" t="s">
        <v>365</v>
      </c>
      <c r="B1323" s="2" t="str">
        <f>"55548E"</f>
        <v>55548E</v>
      </c>
      <c r="C1323" s="2" t="str">
        <f>"55548E"</f>
        <v>55548E</v>
      </c>
      <c r="D1323" s="2" t="s">
        <v>1812</v>
      </c>
      <c r="E1323" s="4">
        <v>52000</v>
      </c>
    </row>
    <row r="1324" spans="1:5">
      <c r="A1324" s="2" t="s">
        <v>365</v>
      </c>
      <c r="B1324" s="2" t="s">
        <v>1813</v>
      </c>
      <c r="C1324" s="2" t="str">
        <f>"1627849686069"</f>
        <v>1627849686069</v>
      </c>
      <c r="D1324" s="2" t="s">
        <v>1814</v>
      </c>
      <c r="E1324" s="4">
        <v>72235</v>
      </c>
    </row>
    <row r="1325" spans="1:5">
      <c r="A1325" s="2" t="s">
        <v>365</v>
      </c>
      <c r="B1325" s="2" t="str">
        <f>"030220956"</f>
        <v>030220956</v>
      </c>
      <c r="C1325" s="2" t="s">
        <v>1815</v>
      </c>
      <c r="D1325" s="2" t="s">
        <v>1816</v>
      </c>
      <c r="E1325" s="4">
        <v>75000</v>
      </c>
    </row>
    <row r="1326" spans="1:5">
      <c r="A1326" s="2" t="s">
        <v>365</v>
      </c>
      <c r="B1326" s="2" t="str">
        <f>"030220957"</f>
        <v>030220957</v>
      </c>
      <c r="C1326" s="2" t="s">
        <v>1817</v>
      </c>
      <c r="D1326" s="2" t="s">
        <v>1818</v>
      </c>
      <c r="E1326" s="4">
        <v>75000</v>
      </c>
    </row>
    <row r="1327" spans="1:5">
      <c r="A1327" s="2" t="s">
        <v>365</v>
      </c>
      <c r="B1327" s="2" t="str">
        <f>"31S-850"</f>
        <v>31S-850</v>
      </c>
      <c r="C1327" s="2" t="str">
        <f>"072220042"</f>
        <v>072220042</v>
      </c>
      <c r="D1327" s="2" t="s">
        <v>1819</v>
      </c>
      <c r="E1327" s="4">
        <v>140000</v>
      </c>
    </row>
    <row r="1328" spans="1:5">
      <c r="A1328" s="2" t="s">
        <v>365</v>
      </c>
      <c r="B1328" s="2" t="str">
        <f>"072220034"</f>
        <v>072220034</v>
      </c>
      <c r="C1328" s="2" t="str">
        <f>"072220034"</f>
        <v>072220034</v>
      </c>
      <c r="D1328" s="2" t="s">
        <v>1820</v>
      </c>
      <c r="E1328" s="4">
        <v>130000</v>
      </c>
    </row>
    <row r="1329" spans="1:5">
      <c r="A1329" s="2" t="s">
        <v>365</v>
      </c>
      <c r="B1329" s="2" t="s">
        <v>1821</v>
      </c>
      <c r="C1329" s="2" t="s">
        <v>1822</v>
      </c>
      <c r="D1329" s="2" t="s">
        <v>1823</v>
      </c>
      <c r="E1329" s="4">
        <v>135000</v>
      </c>
    </row>
    <row r="1330" spans="1:5">
      <c r="A1330" s="2" t="s">
        <v>365</v>
      </c>
      <c r="B1330" s="2" t="s">
        <v>1824</v>
      </c>
      <c r="C1330" s="2" t="s">
        <v>1824</v>
      </c>
      <c r="D1330" s="2" t="s">
        <v>1823</v>
      </c>
      <c r="E1330" s="4">
        <v>115000</v>
      </c>
    </row>
    <row r="1331" spans="1:5">
      <c r="A1331" s="2" t="s">
        <v>365</v>
      </c>
      <c r="B1331" s="2" t="s">
        <v>1825</v>
      </c>
      <c r="C1331" s="2" t="str">
        <f>"072220036"</f>
        <v>072220036</v>
      </c>
      <c r="D1331" s="2" t="s">
        <v>1826</v>
      </c>
      <c r="E1331" s="4">
        <v>185000</v>
      </c>
    </row>
    <row r="1332" spans="1:5">
      <c r="A1332" s="2" t="s">
        <v>365</v>
      </c>
      <c r="B1332" s="2" t="s">
        <v>1827</v>
      </c>
      <c r="C1332" s="2" t="str">
        <f>"072220037"</f>
        <v>072220037</v>
      </c>
      <c r="D1332" s="2" t="s">
        <v>1828</v>
      </c>
      <c r="E1332" s="4">
        <v>235000</v>
      </c>
    </row>
    <row r="1333" spans="1:5">
      <c r="A1333" s="2" t="s">
        <v>365</v>
      </c>
      <c r="B1333" s="2" t="str">
        <f>"072220038"</f>
        <v>072220038</v>
      </c>
      <c r="C1333" s="2" t="s">
        <v>1829</v>
      </c>
      <c r="D1333" s="2" t="s">
        <v>1830</v>
      </c>
      <c r="E1333" s="4">
        <v>290000</v>
      </c>
    </row>
    <row r="1334" spans="1:5">
      <c r="A1334" s="2" t="s">
        <v>365</v>
      </c>
      <c r="B1334" s="2" t="s">
        <v>1831</v>
      </c>
      <c r="C1334" s="2" t="s">
        <v>1831</v>
      </c>
      <c r="D1334" s="2" t="s">
        <v>1832</v>
      </c>
      <c r="E1334" s="4">
        <v>56000</v>
      </c>
    </row>
    <row r="1335" spans="1:5">
      <c r="A1335" s="2" t="s">
        <v>365</v>
      </c>
      <c r="B1335" s="2" t="str">
        <f>"072220008"</f>
        <v>072220008</v>
      </c>
      <c r="C1335" s="2" t="str">
        <f>"072220008"</f>
        <v>072220008</v>
      </c>
      <c r="D1335" s="2" t="s">
        <v>1833</v>
      </c>
      <c r="E1335" s="4">
        <v>58000</v>
      </c>
    </row>
    <row r="1336" spans="1:5">
      <c r="A1336" s="2" t="s">
        <v>365</v>
      </c>
      <c r="B1336" s="2" t="str">
        <f>"072220018"</f>
        <v>072220018</v>
      </c>
      <c r="C1336" s="2" t="str">
        <f>"42B19R BHD"</f>
        <v>42B19R BHD</v>
      </c>
      <c r="D1336" s="2" t="s">
        <v>1834</v>
      </c>
      <c r="E1336" s="4">
        <v>59000</v>
      </c>
    </row>
    <row r="1337" spans="1:5">
      <c r="A1337" s="2" t="s">
        <v>365</v>
      </c>
      <c r="B1337" s="2" t="str">
        <f>"072220019"</f>
        <v>072220019</v>
      </c>
      <c r="C1337" s="2" t="s">
        <v>1835</v>
      </c>
      <c r="D1337" s="2" t="s">
        <v>1836</v>
      </c>
      <c r="E1337" s="4">
        <v>69000</v>
      </c>
    </row>
    <row r="1338" spans="1:5">
      <c r="A1338" s="2" t="s">
        <v>365</v>
      </c>
      <c r="B1338" s="2" t="str">
        <f>"072220013"</f>
        <v>072220013</v>
      </c>
      <c r="C1338" s="2" t="s">
        <v>1837</v>
      </c>
      <c r="D1338" s="2" t="s">
        <v>1838</v>
      </c>
      <c r="E1338" s="4">
        <v>70000</v>
      </c>
    </row>
    <row r="1339" spans="1:5">
      <c r="A1339" s="2" t="s">
        <v>365</v>
      </c>
      <c r="B1339" s="2" t="s">
        <v>1839</v>
      </c>
      <c r="C1339" s="2" t="s">
        <v>1839</v>
      </c>
      <c r="D1339" s="2" t="s">
        <v>1840</v>
      </c>
      <c r="E1339" s="4">
        <v>69000</v>
      </c>
    </row>
    <row r="1340" spans="1:5">
      <c r="A1340" s="2" t="s">
        <v>365</v>
      </c>
      <c r="B1340" s="2" t="str">
        <f>"072220012"</f>
        <v>072220012</v>
      </c>
      <c r="C1340" s="2" t="s">
        <v>1841</v>
      </c>
      <c r="D1340" s="2" t="s">
        <v>1842</v>
      </c>
      <c r="E1340" s="4">
        <v>70000</v>
      </c>
    </row>
    <row r="1341" spans="1:5">
      <c r="A1341" s="2" t="s">
        <v>365</v>
      </c>
      <c r="B1341" s="2" t="s">
        <v>1843</v>
      </c>
      <c r="C1341" s="2" t="s">
        <v>1843</v>
      </c>
      <c r="D1341" s="2" t="s">
        <v>1844</v>
      </c>
      <c r="E1341" s="4">
        <v>69000</v>
      </c>
    </row>
    <row r="1342" spans="1:5">
      <c r="A1342" s="2" t="s">
        <v>365</v>
      </c>
      <c r="B1342" s="2" t="str">
        <f>"072220014"</f>
        <v>072220014</v>
      </c>
      <c r="C1342" s="2" t="str">
        <f>"072220014"</f>
        <v>072220014</v>
      </c>
      <c r="D1342" s="2" t="s">
        <v>1844</v>
      </c>
      <c r="E1342" s="4">
        <v>70000</v>
      </c>
    </row>
    <row r="1343" spans="1:5">
      <c r="A1343" s="2" t="s">
        <v>365</v>
      </c>
      <c r="B1343" s="2" t="str">
        <f>"072220001"</f>
        <v>072220001</v>
      </c>
      <c r="C1343" s="2" t="s">
        <v>1845</v>
      </c>
      <c r="D1343" s="2" t="s">
        <v>1846</v>
      </c>
      <c r="E1343" s="4">
        <v>59000</v>
      </c>
    </row>
    <row r="1344" spans="1:5">
      <c r="A1344" s="2" t="s">
        <v>365</v>
      </c>
      <c r="B1344" s="2" t="str">
        <f>"07222005"</f>
        <v>07222005</v>
      </c>
      <c r="C1344" s="2" t="s">
        <v>1847</v>
      </c>
      <c r="D1344" s="2" t="s">
        <v>1848</v>
      </c>
      <c r="E1344" s="4">
        <v>75000</v>
      </c>
    </row>
    <row r="1345" spans="1:5">
      <c r="A1345" s="2" t="s">
        <v>365</v>
      </c>
      <c r="B1345" s="2" t="s">
        <v>1849</v>
      </c>
      <c r="C1345" s="2" t="s">
        <v>1849</v>
      </c>
      <c r="D1345" s="2" t="s">
        <v>1850</v>
      </c>
      <c r="E1345" s="4">
        <v>65000</v>
      </c>
    </row>
    <row r="1346" spans="1:5">
      <c r="A1346" s="2" t="s">
        <v>365</v>
      </c>
      <c r="B1346" s="2" t="str">
        <f>"072220006"</f>
        <v>072220006</v>
      </c>
      <c r="C1346" s="2" t="str">
        <f>"072220006"</f>
        <v>072220006</v>
      </c>
      <c r="D1346" s="2" t="s">
        <v>1851</v>
      </c>
      <c r="E1346" s="4">
        <v>72000</v>
      </c>
    </row>
    <row r="1347" spans="1:5">
      <c r="A1347" s="2" t="s">
        <v>365</v>
      </c>
      <c r="B1347" s="2" t="str">
        <f>"0702220020"</f>
        <v>0702220020</v>
      </c>
      <c r="C1347" s="2" t="str">
        <f>"072220020"</f>
        <v>072220020</v>
      </c>
      <c r="D1347" s="2" t="s">
        <v>1852</v>
      </c>
      <c r="E1347" s="4">
        <v>73000</v>
      </c>
    </row>
    <row r="1348" spans="1:5">
      <c r="A1348" s="2" t="s">
        <v>365</v>
      </c>
      <c r="B1348" s="2" t="str">
        <f>"65D23L"</f>
        <v>65D23L</v>
      </c>
      <c r="C1348" s="2" t="str">
        <f>"65D23L"</f>
        <v>65D23L</v>
      </c>
      <c r="D1348" s="2" t="s">
        <v>1853</v>
      </c>
      <c r="E1348" s="4">
        <v>74168</v>
      </c>
    </row>
    <row r="1349" spans="1:5">
      <c r="A1349" s="2" t="s">
        <v>365</v>
      </c>
      <c r="B1349" s="2" t="str">
        <f>"072220021"</f>
        <v>072220021</v>
      </c>
      <c r="C1349" s="2" t="s">
        <v>1854</v>
      </c>
      <c r="D1349" s="2" t="s">
        <v>1855</v>
      </c>
      <c r="E1349" s="4">
        <v>95000</v>
      </c>
    </row>
    <row r="1350" spans="1:5">
      <c r="A1350" s="2" t="s">
        <v>365</v>
      </c>
      <c r="B1350" s="2" t="str">
        <f>"072220022"</f>
        <v>072220022</v>
      </c>
      <c r="C1350" s="2" t="s">
        <v>1856</v>
      </c>
      <c r="D1350" s="2" t="s">
        <v>1857</v>
      </c>
      <c r="E1350" s="4">
        <v>95000</v>
      </c>
    </row>
    <row r="1351" spans="1:5">
      <c r="A1351" s="2" t="s">
        <v>365</v>
      </c>
      <c r="B1351" s="2" t="s">
        <v>1858</v>
      </c>
      <c r="C1351" s="2" t="str">
        <f>"072220026"</f>
        <v>072220026</v>
      </c>
      <c r="D1351" s="2" t="s">
        <v>1859</v>
      </c>
      <c r="E1351" s="4">
        <v>97000</v>
      </c>
    </row>
    <row r="1352" spans="1:5">
      <c r="A1352" s="2" t="s">
        <v>365</v>
      </c>
      <c r="B1352" s="2" t="s">
        <v>1860</v>
      </c>
      <c r="C1352" s="2" t="str">
        <f>"072220027"</f>
        <v>072220027</v>
      </c>
      <c r="D1352" s="2" t="s">
        <v>1861</v>
      </c>
      <c r="E1352" s="4">
        <v>98000</v>
      </c>
    </row>
    <row r="1353" spans="1:5">
      <c r="A1353" s="2" t="s">
        <v>365</v>
      </c>
      <c r="B1353" s="2" t="s">
        <v>1862</v>
      </c>
      <c r="C1353" s="2" t="str">
        <f>"072220047"</f>
        <v>072220047</v>
      </c>
      <c r="D1353" s="2" t="s">
        <v>1863</v>
      </c>
      <c r="E1353" s="4">
        <v>105000</v>
      </c>
    </row>
    <row r="1354" spans="1:5">
      <c r="A1354" s="2" t="s">
        <v>365</v>
      </c>
      <c r="B1354" s="2" t="s">
        <v>1864</v>
      </c>
      <c r="C1354" s="2" t="s">
        <v>1864</v>
      </c>
      <c r="D1354" s="2" t="s">
        <v>1865</v>
      </c>
      <c r="E1354" s="4">
        <v>97000</v>
      </c>
    </row>
    <row r="1355" spans="1:5">
      <c r="A1355" s="2" t="s">
        <v>365</v>
      </c>
      <c r="B1355" s="2" t="s">
        <v>1866</v>
      </c>
      <c r="C1355" s="2" t="s">
        <v>1866</v>
      </c>
      <c r="D1355" s="2" t="s">
        <v>1867</v>
      </c>
      <c r="E1355" s="4">
        <v>115000</v>
      </c>
    </row>
    <row r="1356" spans="1:5">
      <c r="A1356" s="2" t="s">
        <v>365</v>
      </c>
      <c r="B1356" s="2" t="s">
        <v>1868</v>
      </c>
      <c r="C1356" s="2" t="s">
        <v>1868</v>
      </c>
      <c r="D1356" s="2" t="s">
        <v>1869</v>
      </c>
      <c r="E1356" s="4">
        <v>91500</v>
      </c>
    </row>
    <row r="1357" spans="1:5">
      <c r="A1357" s="2" t="s">
        <v>365</v>
      </c>
      <c r="B1357" s="2" t="str">
        <f>"072220031"</f>
        <v>072220031</v>
      </c>
      <c r="C1357" s="2" t="s">
        <v>1870</v>
      </c>
      <c r="D1357" s="2" t="s">
        <v>1871</v>
      </c>
      <c r="E1357" s="4">
        <v>120000</v>
      </c>
    </row>
    <row r="1358" spans="1:5">
      <c r="A1358" s="2" t="s">
        <v>365</v>
      </c>
      <c r="B1358" s="2" t="s">
        <v>1872</v>
      </c>
      <c r="C1358" s="2" t="s">
        <v>1873</v>
      </c>
      <c r="D1358" s="2" t="s">
        <v>1874</v>
      </c>
      <c r="E1358" s="4">
        <v>105000</v>
      </c>
    </row>
    <row r="1359" spans="1:5">
      <c r="A1359" s="2" t="s">
        <v>365</v>
      </c>
      <c r="B1359" s="2" t="str">
        <f>"072220002"</f>
        <v>072220002</v>
      </c>
      <c r="C1359" s="2" t="s">
        <v>1875</v>
      </c>
      <c r="D1359" s="2" t="s">
        <v>1876</v>
      </c>
      <c r="E1359" s="4">
        <v>107000</v>
      </c>
    </row>
    <row r="1360" spans="1:5">
      <c r="A1360" s="2" t="s">
        <v>365</v>
      </c>
      <c r="B1360" s="2" t="str">
        <f>"072220003"</f>
        <v>072220003</v>
      </c>
      <c r="C1360" s="2" t="str">
        <f>"072220003 NX120-7"</f>
        <v>072220003 NX120-7</v>
      </c>
      <c r="D1360" s="2" t="s">
        <v>1877</v>
      </c>
      <c r="E1360" s="4">
        <v>95000</v>
      </c>
    </row>
    <row r="1361" spans="1:5">
      <c r="A1361" s="2" t="s">
        <v>365</v>
      </c>
      <c r="B1361" s="2" t="str">
        <f>"072220004"</f>
        <v>072220004</v>
      </c>
      <c r="C1361" s="2" t="s">
        <v>1878</v>
      </c>
      <c r="D1361" s="2" t="s">
        <v>1879</v>
      </c>
      <c r="E1361" s="4">
        <v>107000</v>
      </c>
    </row>
    <row r="1362" spans="1:5">
      <c r="A1362" s="2" t="s">
        <v>365</v>
      </c>
      <c r="B1362" s="2" t="s">
        <v>1880</v>
      </c>
      <c r="C1362" s="2" t="s">
        <v>1880</v>
      </c>
      <c r="D1362" s="2" t="s">
        <v>1881</v>
      </c>
      <c r="E1362" s="4">
        <v>93000</v>
      </c>
    </row>
    <row r="1363" spans="1:5">
      <c r="A1363" s="2" t="s">
        <v>365</v>
      </c>
      <c r="B1363" s="2" t="s">
        <v>1882</v>
      </c>
      <c r="C1363" s="2" t="s">
        <v>1882</v>
      </c>
      <c r="D1363" s="2" t="s">
        <v>1883</v>
      </c>
      <c r="E1363" s="4">
        <v>149000</v>
      </c>
    </row>
    <row r="1364" spans="1:5">
      <c r="A1364" s="2" t="s">
        <v>365</v>
      </c>
      <c r="B1364" s="2" t="s">
        <v>1884</v>
      </c>
      <c r="C1364" s="2" t="s">
        <v>1884</v>
      </c>
      <c r="D1364" s="2" t="s">
        <v>1885</v>
      </c>
      <c r="E1364" s="4">
        <v>130000</v>
      </c>
    </row>
    <row r="1365" spans="1:5">
      <c r="A1365" s="2" t="s">
        <v>365</v>
      </c>
      <c r="B1365" s="2" t="s">
        <v>1886</v>
      </c>
      <c r="C1365" s="2" t="s">
        <v>1886</v>
      </c>
      <c r="D1365" s="2" t="s">
        <v>1887</v>
      </c>
      <c r="E1365" s="4">
        <v>61000</v>
      </c>
    </row>
    <row r="1366" spans="1:5">
      <c r="A1366" s="2" t="s">
        <v>365</v>
      </c>
      <c r="B1366" s="2" t="s">
        <v>1888</v>
      </c>
      <c r="C1366" s="2" t="s">
        <v>1888</v>
      </c>
      <c r="D1366" s="2" t="s">
        <v>1889</v>
      </c>
      <c r="E1366" s="4">
        <v>65000</v>
      </c>
    </row>
    <row r="1367" spans="1:5">
      <c r="A1367" s="2" t="s">
        <v>365</v>
      </c>
      <c r="B1367" s="2" t="s">
        <v>1890</v>
      </c>
      <c r="C1367" s="2" t="s">
        <v>1890</v>
      </c>
      <c r="D1367" s="2" t="s">
        <v>1891</v>
      </c>
      <c r="E1367" s="4">
        <v>47500</v>
      </c>
    </row>
    <row r="1368" spans="1:5">
      <c r="A1368" s="2" t="s">
        <v>365</v>
      </c>
      <c r="B1368" s="2" t="s">
        <v>1892</v>
      </c>
      <c r="C1368" s="2" t="s">
        <v>1892</v>
      </c>
      <c r="D1368" s="2" t="s">
        <v>1893</v>
      </c>
      <c r="E1368" s="4">
        <v>43000</v>
      </c>
    </row>
    <row r="1369" spans="1:5">
      <c r="A1369" s="2" t="s">
        <v>365</v>
      </c>
      <c r="B1369" s="2" t="s">
        <v>1894</v>
      </c>
      <c r="C1369" s="2" t="s">
        <v>1895</v>
      </c>
      <c r="D1369" s="2" t="s">
        <v>1896</v>
      </c>
      <c r="E1369" s="4">
        <v>52000</v>
      </c>
    </row>
    <row r="1370" spans="1:5">
      <c r="A1370" s="2" t="s">
        <v>365</v>
      </c>
      <c r="B1370" s="2" t="s">
        <v>1897</v>
      </c>
      <c r="C1370" s="2" t="s">
        <v>1897</v>
      </c>
      <c r="D1370" s="2" t="s">
        <v>1898</v>
      </c>
      <c r="E1370" s="4">
        <v>65000</v>
      </c>
    </row>
    <row r="1371" spans="1:5">
      <c r="A1371" s="2" t="s">
        <v>365</v>
      </c>
      <c r="B1371" s="2" t="s">
        <v>1899</v>
      </c>
      <c r="C1371" s="2" t="s">
        <v>1899</v>
      </c>
      <c r="D1371" s="2" t="s">
        <v>1900</v>
      </c>
      <c r="E1371" s="4">
        <v>52000</v>
      </c>
    </row>
    <row r="1372" spans="1:5">
      <c r="A1372" s="2" t="s">
        <v>365</v>
      </c>
      <c r="B1372" s="2" t="s">
        <v>1901</v>
      </c>
      <c r="C1372" s="2" t="s">
        <v>1901</v>
      </c>
      <c r="D1372" s="2" t="s">
        <v>1902</v>
      </c>
      <c r="E1372" s="4">
        <v>69000</v>
      </c>
    </row>
    <row r="1373" spans="1:5">
      <c r="A1373" s="2" t="s">
        <v>365</v>
      </c>
      <c r="B1373" s="2" t="s">
        <v>1903</v>
      </c>
      <c r="C1373" s="2" t="s">
        <v>1903</v>
      </c>
      <c r="D1373" s="2" t="s">
        <v>1904</v>
      </c>
      <c r="E1373" s="4">
        <v>49000</v>
      </c>
    </row>
    <row r="1374" spans="1:5">
      <c r="A1374" s="2" t="s">
        <v>365</v>
      </c>
      <c r="B1374" s="2" t="s">
        <v>1905</v>
      </c>
      <c r="C1374" s="2" t="str">
        <f>"85BR60K"</f>
        <v>85BR60K</v>
      </c>
      <c r="D1374" s="2" t="s">
        <v>1906</v>
      </c>
      <c r="E1374" s="4">
        <v>75000</v>
      </c>
    </row>
    <row r="1375" spans="1:5">
      <c r="A1375" s="2" t="s">
        <v>365</v>
      </c>
      <c r="B1375" s="2" t="s">
        <v>1907</v>
      </c>
      <c r="C1375" s="2" t="s">
        <v>1907</v>
      </c>
      <c r="D1375" s="2" t="s">
        <v>1908</v>
      </c>
      <c r="E1375" s="4">
        <v>75000</v>
      </c>
    </row>
    <row r="1376" spans="1:5">
      <c r="A1376" s="2" t="s">
        <v>365</v>
      </c>
      <c r="B1376" s="2" t="s">
        <v>1909</v>
      </c>
      <c r="C1376" s="2" t="s">
        <v>1909</v>
      </c>
      <c r="D1376" s="2" t="s">
        <v>1910</v>
      </c>
      <c r="E1376" s="4">
        <v>98000</v>
      </c>
    </row>
    <row r="1377" spans="1:5">
      <c r="A1377" s="2" t="s">
        <v>365</v>
      </c>
      <c r="B1377" s="2" t="s">
        <v>1911</v>
      </c>
      <c r="C1377" s="2" t="s">
        <v>1911</v>
      </c>
      <c r="D1377" s="2" t="s">
        <v>1912</v>
      </c>
      <c r="E1377" s="4">
        <v>75000</v>
      </c>
    </row>
    <row r="1378" spans="1:5">
      <c r="A1378" s="2" t="s">
        <v>365</v>
      </c>
      <c r="B1378" s="2" t="s">
        <v>1913</v>
      </c>
      <c r="C1378" s="2" t="str">
        <f>"57220"</f>
        <v>57220</v>
      </c>
      <c r="D1378" s="2" t="s">
        <v>1914</v>
      </c>
      <c r="E1378" s="4">
        <v>79000</v>
      </c>
    </row>
    <row r="1379" spans="1:5">
      <c r="A1379" s="2" t="s">
        <v>365</v>
      </c>
      <c r="B1379" s="2" t="s">
        <v>1915</v>
      </c>
      <c r="C1379" s="2" t="s">
        <v>1915</v>
      </c>
      <c r="D1379" s="2" t="s">
        <v>1916</v>
      </c>
      <c r="E1379" s="4">
        <v>75000</v>
      </c>
    </row>
    <row r="1380" spans="1:5" ht="27.6">
      <c r="A1380" s="2" t="s">
        <v>365</v>
      </c>
      <c r="B1380" s="2" t="s">
        <v>1917</v>
      </c>
      <c r="C1380" s="2" t="s">
        <v>1917</v>
      </c>
      <c r="D1380" s="2" t="s">
        <v>1918</v>
      </c>
      <c r="E1380" s="4">
        <v>97000</v>
      </c>
    </row>
    <row r="1381" spans="1:5">
      <c r="A1381" s="2" t="s">
        <v>365</v>
      </c>
      <c r="B1381" s="2" t="s">
        <v>1919</v>
      </c>
      <c r="C1381" s="2" t="s">
        <v>1919</v>
      </c>
      <c r="D1381" s="2" t="s">
        <v>1920</v>
      </c>
      <c r="E1381" s="4">
        <v>99000</v>
      </c>
    </row>
    <row r="1382" spans="1:5">
      <c r="A1382" s="2" t="s">
        <v>365</v>
      </c>
      <c r="B1382" s="2" t="s">
        <v>1921</v>
      </c>
      <c r="C1382" s="2" t="s">
        <v>1922</v>
      </c>
      <c r="D1382" s="2" t="s">
        <v>1923</v>
      </c>
      <c r="E1382" s="4">
        <v>89000</v>
      </c>
    </row>
    <row r="1383" spans="1:5">
      <c r="A1383" s="2" t="s">
        <v>365</v>
      </c>
      <c r="B1383" s="2" t="s">
        <v>1924</v>
      </c>
      <c r="C1383" s="2" t="s">
        <v>1924</v>
      </c>
      <c r="D1383" s="2" t="s">
        <v>1925</v>
      </c>
      <c r="E1383" s="4">
        <v>165000</v>
      </c>
    </row>
    <row r="1384" spans="1:5">
      <c r="A1384" s="2" t="s">
        <v>365</v>
      </c>
      <c r="B1384" s="2" t="str">
        <f>"070350014"</f>
        <v>070350014</v>
      </c>
      <c r="C1384" s="2" t="str">
        <f>"070350014"</f>
        <v>070350014</v>
      </c>
      <c r="D1384" s="2" t="s">
        <v>1926</v>
      </c>
      <c r="E1384" s="4">
        <v>215000</v>
      </c>
    </row>
    <row r="1385" spans="1:5">
      <c r="A1385" s="2" t="s">
        <v>365</v>
      </c>
      <c r="B1385" s="2" t="s">
        <v>1927</v>
      </c>
      <c r="C1385" s="2" t="s">
        <v>1928</v>
      </c>
      <c r="D1385" s="2" t="s">
        <v>1929</v>
      </c>
      <c r="E1385" s="4">
        <v>52000</v>
      </c>
    </row>
    <row r="1386" spans="1:5">
      <c r="A1386" s="2" t="s">
        <v>365</v>
      </c>
      <c r="B1386" s="2" t="str">
        <f>"070350053"</f>
        <v>070350053</v>
      </c>
      <c r="C1386" s="2" t="s">
        <v>1930</v>
      </c>
      <c r="D1386" s="2" t="s">
        <v>1931</v>
      </c>
      <c r="E1386" s="4">
        <v>68000</v>
      </c>
    </row>
    <row r="1387" spans="1:5">
      <c r="A1387" s="2" t="s">
        <v>365</v>
      </c>
      <c r="B1387" s="2" t="str">
        <f>"070350036"</f>
        <v>070350036</v>
      </c>
      <c r="C1387" s="2" t="str">
        <f>"070350036"</f>
        <v>070350036</v>
      </c>
      <c r="D1387" s="2" t="s">
        <v>1932</v>
      </c>
      <c r="E1387" s="4">
        <v>63000</v>
      </c>
    </row>
    <row r="1388" spans="1:5">
      <c r="A1388" s="2" t="s">
        <v>365</v>
      </c>
      <c r="B1388" s="2" t="s">
        <v>1933</v>
      </c>
      <c r="C1388" s="2" t="s">
        <v>1933</v>
      </c>
      <c r="D1388" s="2" t="s">
        <v>1934</v>
      </c>
      <c r="E1388" s="4">
        <v>58000</v>
      </c>
    </row>
    <row r="1389" spans="1:5">
      <c r="A1389" s="2" t="s">
        <v>365</v>
      </c>
      <c r="B1389" s="2" t="s">
        <v>1935</v>
      </c>
      <c r="C1389" s="2" t="s">
        <v>1935</v>
      </c>
      <c r="D1389" s="2" t="s">
        <v>1936</v>
      </c>
      <c r="E1389" s="4">
        <v>61000</v>
      </c>
    </row>
    <row r="1390" spans="1:5">
      <c r="A1390" s="2" t="s">
        <v>365</v>
      </c>
      <c r="B1390" s="2" t="s">
        <v>1937</v>
      </c>
      <c r="C1390" s="2" t="s">
        <v>1937</v>
      </c>
      <c r="D1390" s="2" t="s">
        <v>1938</v>
      </c>
      <c r="E1390" s="4">
        <v>70500</v>
      </c>
    </row>
    <row r="1391" spans="1:5">
      <c r="A1391" s="2" t="s">
        <v>365</v>
      </c>
      <c r="B1391" s="2" t="s">
        <v>1939</v>
      </c>
      <c r="C1391" s="2" t="s">
        <v>1940</v>
      </c>
      <c r="D1391" s="2" t="s">
        <v>1941</v>
      </c>
      <c r="E1391" s="4">
        <v>77000</v>
      </c>
    </row>
    <row r="1392" spans="1:5">
      <c r="A1392" s="2" t="s">
        <v>365</v>
      </c>
      <c r="B1392" s="2" t="s">
        <v>1942</v>
      </c>
      <c r="C1392" s="2" t="s">
        <v>1942</v>
      </c>
      <c r="D1392" s="2" t="s">
        <v>1943</v>
      </c>
      <c r="E1392" s="4">
        <v>79000</v>
      </c>
    </row>
    <row r="1393" spans="1:5">
      <c r="A1393" s="2" t="s">
        <v>365</v>
      </c>
      <c r="B1393" s="2" t="s">
        <v>1944</v>
      </c>
      <c r="C1393" s="2" t="s">
        <v>1944</v>
      </c>
      <c r="D1393" s="2" t="s">
        <v>1945</v>
      </c>
      <c r="E1393" s="4">
        <v>75000</v>
      </c>
    </row>
    <row r="1394" spans="1:5">
      <c r="A1394" s="2" t="s">
        <v>365</v>
      </c>
      <c r="B1394" s="2" t="str">
        <f>"070350024"</f>
        <v>070350024</v>
      </c>
      <c r="C1394" s="2" t="s">
        <v>1946</v>
      </c>
      <c r="D1394" s="2" t="s">
        <v>1947</v>
      </c>
      <c r="E1394" s="4">
        <v>90000</v>
      </c>
    </row>
    <row r="1395" spans="1:5">
      <c r="A1395" s="2" t="s">
        <v>365</v>
      </c>
      <c r="B1395" s="2" t="str">
        <f>"070350025"</f>
        <v>070350025</v>
      </c>
      <c r="C1395" s="2" t="s">
        <v>1948</v>
      </c>
      <c r="D1395" s="2" t="s">
        <v>1949</v>
      </c>
      <c r="E1395" s="4">
        <v>105000</v>
      </c>
    </row>
    <row r="1396" spans="1:5">
      <c r="A1396" s="2" t="s">
        <v>365</v>
      </c>
      <c r="B1396" s="2" t="str">
        <f>"070350020"</f>
        <v>070350020</v>
      </c>
      <c r="C1396" s="2" t="str">
        <f>"070350020"</f>
        <v>070350020</v>
      </c>
      <c r="D1396" s="2" t="s">
        <v>1950</v>
      </c>
      <c r="E1396" s="4">
        <v>120000</v>
      </c>
    </row>
    <row r="1397" spans="1:5">
      <c r="A1397" s="2" t="s">
        <v>365</v>
      </c>
      <c r="B1397" s="2" t="str">
        <f>"070350052"</f>
        <v>070350052</v>
      </c>
      <c r="C1397" s="2" t="s">
        <v>1951</v>
      </c>
      <c r="D1397" s="2" t="s">
        <v>1952</v>
      </c>
      <c r="E1397" s="4">
        <v>95000</v>
      </c>
    </row>
    <row r="1398" spans="1:5">
      <c r="A1398" s="2" t="s">
        <v>365</v>
      </c>
      <c r="B1398" s="2" t="s">
        <v>1953</v>
      </c>
      <c r="C1398" s="2" t="s">
        <v>1953</v>
      </c>
      <c r="D1398" s="2" t="s">
        <v>1954</v>
      </c>
      <c r="E1398" s="4">
        <v>52000</v>
      </c>
    </row>
    <row r="1399" spans="1:5">
      <c r="A1399" s="2" t="s">
        <v>365</v>
      </c>
      <c r="B1399" s="2" t="s">
        <v>1955</v>
      </c>
      <c r="C1399" s="2" t="s">
        <v>1956</v>
      </c>
      <c r="D1399" s="2" t="s">
        <v>1957</v>
      </c>
      <c r="E1399" s="4">
        <v>90500</v>
      </c>
    </row>
    <row r="1400" spans="1:5">
      <c r="A1400" s="2" t="s">
        <v>365</v>
      </c>
      <c r="B1400" s="2" t="s">
        <v>1958</v>
      </c>
      <c r="C1400" s="2" t="s">
        <v>1958</v>
      </c>
      <c r="D1400" s="2" t="s">
        <v>1959</v>
      </c>
      <c r="E1400" s="4">
        <v>90500</v>
      </c>
    </row>
    <row r="1401" spans="1:5">
      <c r="A1401" s="2" t="s">
        <v>365</v>
      </c>
      <c r="B1401" s="2" t="str">
        <f>"3955548RK"</f>
        <v>3955548RK</v>
      </c>
      <c r="C1401" s="2" t="str">
        <f>"3955548K"</f>
        <v>3955548K</v>
      </c>
      <c r="D1401" s="2" t="s">
        <v>1960</v>
      </c>
      <c r="E1401" s="4">
        <v>43000</v>
      </c>
    </row>
    <row r="1402" spans="1:5">
      <c r="A1402" s="2" t="s">
        <v>365</v>
      </c>
      <c r="B1402" s="2" t="str">
        <f>"3931S-730RK"</f>
        <v>3931S-730RK</v>
      </c>
      <c r="C1402" s="2" t="str">
        <f>"3931S-730RK"</f>
        <v>3931S-730RK</v>
      </c>
      <c r="D1402" s="2" t="s">
        <v>1961</v>
      </c>
      <c r="E1402" s="4">
        <v>97000</v>
      </c>
    </row>
    <row r="1403" spans="1:5">
      <c r="A1403" s="2" t="s">
        <v>365</v>
      </c>
      <c r="B1403" s="2" t="str">
        <f>"3960044RK"</f>
        <v>3960044RK</v>
      </c>
      <c r="C1403" s="2" t="str">
        <f>"3960044RK"</f>
        <v>3960044RK</v>
      </c>
      <c r="D1403" s="2" t="s">
        <v>1962</v>
      </c>
      <c r="E1403" s="4">
        <v>101500</v>
      </c>
    </row>
    <row r="1404" spans="1:5">
      <c r="A1404" s="2" t="s">
        <v>365</v>
      </c>
      <c r="B1404" s="2" t="str">
        <f>"39N100RK"</f>
        <v>39N100RK</v>
      </c>
      <c r="C1404" s="2" t="str">
        <f>"39N100RK"</f>
        <v>39N100RK</v>
      </c>
      <c r="D1404" s="2" t="s">
        <v>1962</v>
      </c>
      <c r="E1404" s="4">
        <v>99700</v>
      </c>
    </row>
    <row r="1405" spans="1:5">
      <c r="A1405" s="2" t="s">
        <v>365</v>
      </c>
      <c r="B1405" s="2" t="str">
        <f>"3930H-74RK"</f>
        <v>3930H-74RK</v>
      </c>
      <c r="C1405" s="2" t="str">
        <f>"3930H-74RK"</f>
        <v>3930H-74RK</v>
      </c>
      <c r="D1405" s="2" t="s">
        <v>1963</v>
      </c>
      <c r="E1405" s="4">
        <v>115000</v>
      </c>
    </row>
    <row r="1406" spans="1:5">
      <c r="A1406" s="2" t="s">
        <v>365</v>
      </c>
      <c r="B1406" s="2" t="str">
        <f>"39N120RK"</f>
        <v>39N120RK</v>
      </c>
      <c r="C1406" s="2" t="str">
        <f>"39N120RK"</f>
        <v>39N120RK</v>
      </c>
      <c r="D1406" s="2" t="s">
        <v>1964</v>
      </c>
      <c r="E1406" s="4">
        <v>155000</v>
      </c>
    </row>
    <row r="1407" spans="1:5">
      <c r="A1407" s="2" t="s">
        <v>365</v>
      </c>
      <c r="B1407" s="2" t="str">
        <f>"39N150RK"</f>
        <v>39N150RK</v>
      </c>
      <c r="C1407" s="2" t="str">
        <f>"39N150RK"</f>
        <v>39N150RK</v>
      </c>
      <c r="D1407" s="2" t="s">
        <v>1965</v>
      </c>
      <c r="E1407" s="4">
        <v>145000</v>
      </c>
    </row>
    <row r="1408" spans="1:5">
      <c r="A1408" s="2" t="s">
        <v>365</v>
      </c>
      <c r="B1408" s="2" t="str">
        <f>"39N200RK"</f>
        <v>39N200RK</v>
      </c>
      <c r="C1408" s="2" t="str">
        <f>"39N200RK"</f>
        <v>39N200RK</v>
      </c>
      <c r="D1408" s="2" t="s">
        <v>1966</v>
      </c>
      <c r="E1408" s="4">
        <v>180000</v>
      </c>
    </row>
    <row r="1409" spans="1:5">
      <c r="A1409" s="2" t="s">
        <v>365</v>
      </c>
      <c r="B1409" s="2" t="str">
        <f>"39NS40ZLRK"</f>
        <v>39NS40ZLRK</v>
      </c>
      <c r="C1409" s="2" t="str">
        <f>"39NS40ZLRK"</f>
        <v>39NS40ZLRK</v>
      </c>
      <c r="D1409" s="2" t="s">
        <v>1967</v>
      </c>
      <c r="E1409" s="4">
        <v>52000</v>
      </c>
    </row>
    <row r="1410" spans="1:5">
      <c r="A1410" s="2" t="s">
        <v>365</v>
      </c>
      <c r="B1410" s="2" t="str">
        <f>"39NS40ZRK"</f>
        <v>39NS40ZRK</v>
      </c>
      <c r="C1410" s="2" t="str">
        <f>"39NS40ZRK"</f>
        <v>39NS40ZRK</v>
      </c>
      <c r="D1410" s="2" t="s">
        <v>1968</v>
      </c>
      <c r="E1410" s="4">
        <v>52000</v>
      </c>
    </row>
    <row r="1411" spans="1:5">
      <c r="A1411" s="2" t="s">
        <v>365</v>
      </c>
      <c r="B1411" s="2" t="str">
        <f>"39NS60LRK"</f>
        <v>39NS60LRK</v>
      </c>
      <c r="C1411" s="2" t="str">
        <f>"39NS60LRK"</f>
        <v>39NS60LRK</v>
      </c>
      <c r="D1411" s="2" t="s">
        <v>1969</v>
      </c>
      <c r="E1411" s="4">
        <v>47000</v>
      </c>
    </row>
    <row r="1412" spans="1:5">
      <c r="A1412" s="2" t="s">
        <v>365</v>
      </c>
      <c r="B1412" s="2" t="str">
        <f>"39NS60RK"</f>
        <v>39NS60RK</v>
      </c>
      <c r="C1412" s="2" t="str">
        <f>"39NS60RK"</f>
        <v>39NS60RK</v>
      </c>
      <c r="D1412" s="2" t="s">
        <v>1969</v>
      </c>
      <c r="E1412" s="4">
        <v>47000</v>
      </c>
    </row>
    <row r="1413" spans="1:5">
      <c r="A1413" s="2" t="s">
        <v>365</v>
      </c>
      <c r="B1413" s="2" t="str">
        <f>"39NS60SRK"</f>
        <v>39NS60SRK</v>
      </c>
      <c r="C1413" s="2" t="str">
        <f>"39NS60SRK"</f>
        <v>39NS60SRK</v>
      </c>
      <c r="D1413" s="2" t="s">
        <v>1969</v>
      </c>
      <c r="E1413" s="4">
        <v>47000</v>
      </c>
    </row>
    <row r="1414" spans="1:5">
      <c r="A1414" s="2" t="s">
        <v>365</v>
      </c>
      <c r="B1414" s="2" t="str">
        <f>"39NS60LSRK"</f>
        <v>39NS60LSRK</v>
      </c>
      <c r="C1414" s="2" t="str">
        <f>"39NS60LSR"</f>
        <v>39NS60LSR</v>
      </c>
      <c r="D1414" s="2" t="s">
        <v>1969</v>
      </c>
      <c r="E1414" s="4">
        <v>47000</v>
      </c>
    </row>
    <row r="1415" spans="1:5">
      <c r="A1415" s="2" t="s">
        <v>365</v>
      </c>
      <c r="B1415" s="2" t="str">
        <f>"3855530RK"</f>
        <v>3855530RK</v>
      </c>
      <c r="C1415" s="2" t="str">
        <f>"3955530RK"</f>
        <v>3955530RK</v>
      </c>
      <c r="D1415" s="2" t="s">
        <v>1970</v>
      </c>
      <c r="E1415" s="4">
        <v>43000</v>
      </c>
    </row>
    <row r="1416" spans="1:5">
      <c r="A1416" s="2" t="s">
        <v>365</v>
      </c>
      <c r="B1416" s="2" t="str">
        <f>"3955D23RRK"</f>
        <v>3955D23RRK</v>
      </c>
      <c r="C1416" s="2" t="str">
        <f>"3955D23RRK"</f>
        <v>3955D23RRK</v>
      </c>
      <c r="D1416" s="2" t="s">
        <v>1971</v>
      </c>
      <c r="E1416" s="4">
        <v>57000</v>
      </c>
    </row>
    <row r="1417" spans="1:5">
      <c r="A1417" s="2" t="s">
        <v>365</v>
      </c>
      <c r="B1417" s="2" t="str">
        <f>"3956219RK"</f>
        <v>3956219RK</v>
      </c>
      <c r="C1417" s="2" t="str">
        <f>"3956219KRK"</f>
        <v>3956219KRK</v>
      </c>
      <c r="D1417" s="2" t="s">
        <v>1972</v>
      </c>
      <c r="E1417" s="4">
        <v>95000</v>
      </c>
    </row>
    <row r="1418" spans="1:5">
      <c r="A1418" s="2" t="s">
        <v>365</v>
      </c>
      <c r="B1418" s="2" t="str">
        <f>"39NX110-5LRK"</f>
        <v>39NX110-5LRK</v>
      </c>
      <c r="C1418" s="2" t="str">
        <f>"39NX110-5LRK"</f>
        <v>39NX110-5LRK</v>
      </c>
      <c r="D1418" s="2" t="s">
        <v>1973</v>
      </c>
      <c r="E1418" s="4">
        <v>68400</v>
      </c>
    </row>
    <row r="1419" spans="1:5">
      <c r="A1419" s="2" t="s">
        <v>365</v>
      </c>
      <c r="B1419" s="2" t="str">
        <f>"39NX110-5RK"</f>
        <v>39NX110-5RK</v>
      </c>
      <c r="C1419" s="2" t="str">
        <f>"39NX110-5RK"</f>
        <v>39NX110-5RK</v>
      </c>
      <c r="D1419" s="2" t="s">
        <v>1974</v>
      </c>
      <c r="E1419" s="4">
        <v>68400</v>
      </c>
    </row>
    <row r="1420" spans="1:5">
      <c r="A1420" s="2" t="s">
        <v>365</v>
      </c>
      <c r="B1420" s="2" t="s">
        <v>1975</v>
      </c>
      <c r="C1420" s="2" t="s">
        <v>1976</v>
      </c>
      <c r="D1420" s="2" t="s">
        <v>1977</v>
      </c>
      <c r="E1420" s="4">
        <v>85000</v>
      </c>
    </row>
    <row r="1421" spans="1:5">
      <c r="A1421" s="2" t="s">
        <v>365</v>
      </c>
      <c r="B1421" s="2" t="str">
        <f>"3957219RK"</f>
        <v>3957219RK</v>
      </c>
      <c r="C1421" s="2" t="str">
        <f>"3957219RK"</f>
        <v>3957219RK</v>
      </c>
      <c r="D1421" s="2" t="s">
        <v>1978</v>
      </c>
      <c r="E1421" s="4">
        <v>90000</v>
      </c>
    </row>
    <row r="1422" spans="1:5">
      <c r="A1422" s="2" t="s">
        <v>365</v>
      </c>
      <c r="B1422" s="2" t="str">
        <f>"3957220RK"</f>
        <v>3957220RK</v>
      </c>
      <c r="C1422" s="2" t="str">
        <f>"3957220RK"</f>
        <v>3957220RK</v>
      </c>
      <c r="D1422" s="2" t="s">
        <v>1979</v>
      </c>
      <c r="E1422" s="4">
        <v>95000</v>
      </c>
    </row>
    <row r="1423" spans="1:5">
      <c r="A1423" s="2" t="s">
        <v>365</v>
      </c>
      <c r="B1423" s="2" t="str">
        <f>"58014R"</f>
        <v>58014R</v>
      </c>
      <c r="C1423" s="2" t="str">
        <f>"5801R"</f>
        <v>5801R</v>
      </c>
      <c r="D1423" s="2" t="s">
        <v>1980</v>
      </c>
      <c r="E1423" s="4">
        <v>89000</v>
      </c>
    </row>
    <row r="1424" spans="1:5">
      <c r="A1424" s="2" t="s">
        <v>365</v>
      </c>
      <c r="B1424" s="2" t="str">
        <f>"39NX120-7LRK"</f>
        <v>39NX120-7LRK</v>
      </c>
      <c r="C1424" s="2" t="str">
        <f>"39NX120-7LRK"</f>
        <v>39NX120-7LRK</v>
      </c>
      <c r="D1424" s="2" t="s">
        <v>1981</v>
      </c>
      <c r="E1424" s="4">
        <v>95000</v>
      </c>
    </row>
    <row r="1425" spans="1:5">
      <c r="A1425" s="2" t="s">
        <v>365</v>
      </c>
      <c r="B1425" s="2" t="str">
        <f>"39NX120-7RK"</f>
        <v>39NX120-7RK</v>
      </c>
      <c r="C1425" s="2" t="str">
        <f>"39NX120-7RK"</f>
        <v>39NX120-7RK</v>
      </c>
      <c r="D1425" s="2" t="s">
        <v>1982</v>
      </c>
      <c r="E1425" s="4">
        <v>95000</v>
      </c>
    </row>
    <row r="1426" spans="1:5">
      <c r="A1426" s="2" t="s">
        <v>365</v>
      </c>
      <c r="B1426" s="2" t="s">
        <v>1983</v>
      </c>
      <c r="C1426" s="2" t="s">
        <v>1983</v>
      </c>
      <c r="D1426" s="2" t="s">
        <v>1984</v>
      </c>
      <c r="E1426" s="4">
        <v>105000</v>
      </c>
    </row>
    <row r="1427" spans="1:5">
      <c r="A1427" s="2" t="s">
        <v>365</v>
      </c>
      <c r="B1427" s="2" t="s">
        <v>1985</v>
      </c>
      <c r="C1427" s="2" t="s">
        <v>1985</v>
      </c>
      <c r="D1427" s="2" t="s">
        <v>1986</v>
      </c>
      <c r="E1427" s="4">
        <v>94000</v>
      </c>
    </row>
    <row r="1428" spans="1:5">
      <c r="A1428" s="2" t="s">
        <v>365</v>
      </c>
      <c r="B1428" s="2" t="s">
        <v>1987</v>
      </c>
      <c r="C1428" s="2" t="s">
        <v>1987</v>
      </c>
      <c r="D1428" s="2" t="s">
        <v>1988</v>
      </c>
      <c r="E1428" s="4">
        <v>137000</v>
      </c>
    </row>
    <row r="1429" spans="1:5">
      <c r="A1429" s="2" t="s">
        <v>365</v>
      </c>
      <c r="B1429" s="2" t="s">
        <v>1989</v>
      </c>
      <c r="C1429" s="2" t="s">
        <v>1989</v>
      </c>
      <c r="D1429" s="2" t="s">
        <v>1990</v>
      </c>
      <c r="E1429" s="4">
        <v>185000</v>
      </c>
    </row>
    <row r="1430" spans="1:5">
      <c r="A1430" s="2" t="s">
        <v>365</v>
      </c>
      <c r="B1430" s="2" t="s">
        <v>1991</v>
      </c>
      <c r="C1430" s="2" t="s">
        <v>1991</v>
      </c>
      <c r="D1430" s="2" t="s">
        <v>1992</v>
      </c>
      <c r="E1430" s="4">
        <v>197000</v>
      </c>
    </row>
    <row r="1431" spans="1:5">
      <c r="A1431" s="2" t="s">
        <v>365</v>
      </c>
      <c r="B1431" s="2" t="s">
        <v>1993</v>
      </c>
      <c r="C1431" s="2" t="s">
        <v>1993</v>
      </c>
      <c r="D1431" s="2" t="s">
        <v>1994</v>
      </c>
      <c r="E1431" s="4">
        <v>59000</v>
      </c>
    </row>
    <row r="1432" spans="1:5">
      <c r="A1432" s="2" t="s">
        <v>365</v>
      </c>
      <c r="B1432" s="2" t="s">
        <v>1995</v>
      </c>
      <c r="C1432" s="2" t="s">
        <v>1995</v>
      </c>
      <c r="D1432" s="2" t="s">
        <v>1996</v>
      </c>
      <c r="E1432" s="4">
        <v>59000</v>
      </c>
    </row>
    <row r="1433" spans="1:5">
      <c r="A1433" s="2" t="s">
        <v>365</v>
      </c>
      <c r="B1433" s="2" t="s">
        <v>1997</v>
      </c>
      <c r="C1433" s="2" t="s">
        <v>1997</v>
      </c>
      <c r="D1433" s="2" t="s">
        <v>1998</v>
      </c>
      <c r="E1433" s="4">
        <v>59000</v>
      </c>
    </row>
    <row r="1434" spans="1:5">
      <c r="A1434" s="2" t="s">
        <v>365</v>
      </c>
      <c r="B1434" s="2" t="s">
        <v>1999</v>
      </c>
      <c r="C1434" s="2" t="s">
        <v>1999</v>
      </c>
      <c r="D1434" s="2" t="s">
        <v>2000</v>
      </c>
      <c r="E1434" s="4">
        <v>61000</v>
      </c>
    </row>
    <row r="1435" spans="1:5">
      <c r="A1435" s="2" t="s">
        <v>365</v>
      </c>
      <c r="B1435" s="2" t="s">
        <v>2001</v>
      </c>
      <c r="C1435" s="2" t="s">
        <v>2001</v>
      </c>
      <c r="D1435" s="2" t="s">
        <v>2002</v>
      </c>
      <c r="E1435" s="4">
        <v>51000</v>
      </c>
    </row>
    <row r="1436" spans="1:5">
      <c r="A1436" s="2" t="s">
        <v>365</v>
      </c>
      <c r="B1436" s="2" t="s">
        <v>2003</v>
      </c>
      <c r="C1436" s="2" t="s">
        <v>2003</v>
      </c>
      <c r="D1436" s="2" t="s">
        <v>2004</v>
      </c>
      <c r="E1436" s="4">
        <v>56000</v>
      </c>
    </row>
    <row r="1437" spans="1:5">
      <c r="A1437" s="2" t="s">
        <v>365</v>
      </c>
      <c r="B1437" s="2" t="s">
        <v>2005</v>
      </c>
      <c r="C1437" s="2" t="s">
        <v>2005</v>
      </c>
      <c r="D1437" s="2" t="s">
        <v>2006</v>
      </c>
      <c r="E1437" s="4">
        <v>67000</v>
      </c>
    </row>
    <row r="1438" spans="1:5">
      <c r="A1438" s="2" t="s">
        <v>365</v>
      </c>
      <c r="B1438" s="2" t="s">
        <v>2007</v>
      </c>
      <c r="C1438" s="2" t="s">
        <v>2007</v>
      </c>
      <c r="D1438" s="2" t="s">
        <v>2008</v>
      </c>
      <c r="E1438" s="4">
        <v>65000</v>
      </c>
    </row>
    <row r="1439" spans="1:5">
      <c r="A1439" s="2" t="s">
        <v>365</v>
      </c>
      <c r="B1439" s="2" t="s">
        <v>2009</v>
      </c>
      <c r="C1439" s="2" t="s">
        <v>2009</v>
      </c>
      <c r="D1439" s="2" t="s">
        <v>2010</v>
      </c>
      <c r="E1439" s="4">
        <v>65000</v>
      </c>
    </row>
    <row r="1440" spans="1:5">
      <c r="A1440" s="2" t="s">
        <v>365</v>
      </c>
      <c r="B1440" s="2" t="s">
        <v>2011</v>
      </c>
      <c r="C1440" s="2" t="s">
        <v>2011</v>
      </c>
      <c r="D1440" s="2" t="s">
        <v>2012</v>
      </c>
      <c r="E1440" s="4">
        <v>73000</v>
      </c>
    </row>
    <row r="1441" spans="1:5">
      <c r="A1441" s="2" t="s">
        <v>365</v>
      </c>
      <c r="B1441" s="2" t="s">
        <v>2013</v>
      </c>
      <c r="C1441" s="2" t="s">
        <v>2013</v>
      </c>
      <c r="D1441" s="2" t="s">
        <v>2014</v>
      </c>
      <c r="E1441" s="4">
        <v>87000</v>
      </c>
    </row>
    <row r="1442" spans="1:5">
      <c r="A1442" s="2" t="s">
        <v>365</v>
      </c>
      <c r="B1442" s="2" t="s">
        <v>2015</v>
      </c>
      <c r="C1442" s="2" t="s">
        <v>2015</v>
      </c>
      <c r="D1442" s="2" t="s">
        <v>2016</v>
      </c>
      <c r="E1442" s="4">
        <v>65000</v>
      </c>
    </row>
    <row r="1443" spans="1:5">
      <c r="A1443" s="2" t="s">
        <v>365</v>
      </c>
      <c r="B1443" s="2" t="s">
        <v>2017</v>
      </c>
      <c r="C1443" s="2" t="s">
        <v>2017</v>
      </c>
      <c r="D1443" s="2" t="s">
        <v>2018</v>
      </c>
      <c r="E1443" s="4">
        <v>87000</v>
      </c>
    </row>
    <row r="1444" spans="1:5">
      <c r="A1444" s="2" t="s">
        <v>365</v>
      </c>
      <c r="B1444" s="2" t="s">
        <v>2019</v>
      </c>
      <c r="C1444" s="2" t="s">
        <v>2019</v>
      </c>
      <c r="D1444" s="2" t="s">
        <v>2020</v>
      </c>
      <c r="E1444" s="4">
        <v>88000</v>
      </c>
    </row>
    <row r="1445" spans="1:5">
      <c r="A1445" s="2" t="s">
        <v>365</v>
      </c>
      <c r="B1445" s="2" t="s">
        <v>2021</v>
      </c>
      <c r="C1445" s="2" t="s">
        <v>2021</v>
      </c>
      <c r="D1445" s="2" t="s">
        <v>2022</v>
      </c>
      <c r="E1445" s="4">
        <v>81000</v>
      </c>
    </row>
    <row r="1446" spans="1:5">
      <c r="A1446" s="2" t="s">
        <v>365</v>
      </c>
      <c r="B1446" s="2" t="s">
        <v>2023</v>
      </c>
      <c r="C1446" s="2" t="s">
        <v>2023</v>
      </c>
      <c r="D1446" s="2" t="s">
        <v>2024</v>
      </c>
      <c r="E1446" s="4">
        <v>105000</v>
      </c>
    </row>
    <row r="1447" spans="1:5">
      <c r="A1447" s="2" t="s">
        <v>365</v>
      </c>
      <c r="B1447" s="2" t="s">
        <v>2025</v>
      </c>
      <c r="C1447" s="2" t="s">
        <v>2025</v>
      </c>
      <c r="D1447" s="2" t="s">
        <v>2026</v>
      </c>
      <c r="E1447" s="4">
        <v>105000</v>
      </c>
    </row>
    <row r="1448" spans="1:5">
      <c r="A1448" s="2" t="s">
        <v>365</v>
      </c>
      <c r="B1448" s="2" t="s">
        <v>2027</v>
      </c>
      <c r="C1448" s="2" t="s">
        <v>2027</v>
      </c>
      <c r="D1448" s="2" t="s">
        <v>2028</v>
      </c>
      <c r="E1448" s="4">
        <v>105000</v>
      </c>
    </row>
    <row r="1449" spans="1:5">
      <c r="A1449" s="2" t="s">
        <v>365</v>
      </c>
      <c r="B1449" s="2" t="s">
        <v>2029</v>
      </c>
      <c r="C1449" s="2" t="s">
        <v>2029</v>
      </c>
      <c r="D1449" s="2" t="s">
        <v>2030</v>
      </c>
      <c r="E1449" s="4">
        <v>105000</v>
      </c>
    </row>
    <row r="1450" spans="1:5">
      <c r="A1450" s="2" t="s">
        <v>365</v>
      </c>
      <c r="B1450" s="2" t="s">
        <v>2031</v>
      </c>
      <c r="C1450" s="2" t="s">
        <v>2031</v>
      </c>
      <c r="D1450" s="2" t="s">
        <v>2032</v>
      </c>
      <c r="E1450" s="4">
        <v>120000</v>
      </c>
    </row>
    <row r="1451" spans="1:5">
      <c r="A1451" s="2" t="s">
        <v>365</v>
      </c>
      <c r="B1451" s="2" t="s">
        <v>2033</v>
      </c>
      <c r="C1451" s="2" t="s">
        <v>2033</v>
      </c>
      <c r="D1451" s="2" t="s">
        <v>2034</v>
      </c>
      <c r="E1451" s="4">
        <v>65000</v>
      </c>
    </row>
    <row r="1452" spans="1:5">
      <c r="A1452" s="2" t="s">
        <v>365</v>
      </c>
      <c r="B1452" s="2" t="s">
        <v>2035</v>
      </c>
      <c r="C1452" s="2" t="s">
        <v>2035</v>
      </c>
      <c r="D1452" s="2" t="s">
        <v>2036</v>
      </c>
      <c r="E1452" s="4">
        <v>58000</v>
      </c>
    </row>
    <row r="1453" spans="1:5">
      <c r="A1453" s="2" t="s">
        <v>365</v>
      </c>
      <c r="B1453" s="2" t="s">
        <v>2037</v>
      </c>
      <c r="C1453" s="2" t="s">
        <v>2037</v>
      </c>
      <c r="D1453" s="2" t="s">
        <v>2038</v>
      </c>
      <c r="E1453" s="4">
        <v>95000</v>
      </c>
    </row>
    <row r="1454" spans="1:5">
      <c r="A1454" s="2" t="s">
        <v>365</v>
      </c>
      <c r="B1454" s="2" t="s">
        <v>2039</v>
      </c>
      <c r="C1454" s="2" t="s">
        <v>2039</v>
      </c>
      <c r="D1454" s="2" t="s">
        <v>2040</v>
      </c>
      <c r="E1454" s="4">
        <v>85000</v>
      </c>
    </row>
    <row r="1455" spans="1:5">
      <c r="A1455" s="2" t="s">
        <v>365</v>
      </c>
      <c r="B1455" s="2" t="s">
        <v>2041</v>
      </c>
      <c r="C1455" s="2" t="s">
        <v>2041</v>
      </c>
      <c r="D1455" s="2" t="s">
        <v>2042</v>
      </c>
      <c r="E1455" s="4">
        <v>125000</v>
      </c>
    </row>
    <row r="1456" spans="1:5">
      <c r="A1456" s="2" t="s">
        <v>365</v>
      </c>
      <c r="B1456" s="2" t="str">
        <f>"030220515"</f>
        <v>030220515</v>
      </c>
      <c r="C1456" s="2" t="s">
        <v>2043</v>
      </c>
      <c r="D1456" s="2" t="s">
        <v>2044</v>
      </c>
      <c r="E1456" s="4">
        <v>55000</v>
      </c>
    </row>
    <row r="1457" spans="1:5">
      <c r="A1457" s="2" t="s">
        <v>365</v>
      </c>
      <c r="B1457" s="2" t="str">
        <f>"55530T"</f>
        <v>55530T</v>
      </c>
      <c r="C1457" s="2" t="str">
        <f>"55530T"</f>
        <v>55530T</v>
      </c>
      <c r="D1457" s="2" t="s">
        <v>2045</v>
      </c>
      <c r="E1457" s="4">
        <v>39000</v>
      </c>
    </row>
    <row r="1458" spans="1:5">
      <c r="A1458" s="2" t="s">
        <v>365</v>
      </c>
      <c r="B1458" s="2" t="str">
        <f>"55548T"</f>
        <v>55548T</v>
      </c>
      <c r="C1458" s="2" t="str">
        <f>"030220507"</f>
        <v>030220507</v>
      </c>
      <c r="D1458" s="2" t="s">
        <v>2046</v>
      </c>
      <c r="E1458" s="4">
        <v>39000</v>
      </c>
    </row>
    <row r="1459" spans="1:5">
      <c r="A1459" s="2" t="s">
        <v>365</v>
      </c>
      <c r="B1459" s="2" t="str">
        <f>"55D23LT"</f>
        <v>55D23LT</v>
      </c>
      <c r="C1459" s="2" t="str">
        <f>"55D23LT"</f>
        <v>55D23LT</v>
      </c>
      <c r="D1459" s="2" t="s">
        <v>2047</v>
      </c>
      <c r="E1459" s="4">
        <v>68000</v>
      </c>
    </row>
    <row r="1460" spans="1:5">
      <c r="A1460" s="2" t="s">
        <v>365</v>
      </c>
      <c r="B1460" s="2" t="str">
        <f>"030220514"</f>
        <v>030220514</v>
      </c>
      <c r="C1460" s="2" t="s">
        <v>2048</v>
      </c>
      <c r="D1460" s="2" t="s">
        <v>2049</v>
      </c>
      <c r="E1460" s="4">
        <v>67500</v>
      </c>
    </row>
    <row r="1461" spans="1:5">
      <c r="A1461" s="2" t="s">
        <v>365</v>
      </c>
      <c r="B1461" s="2" t="s">
        <v>2050</v>
      </c>
      <c r="C1461" s="2" t="str">
        <f>"030220504"</f>
        <v>030220504</v>
      </c>
      <c r="D1461" s="2" t="s">
        <v>2051</v>
      </c>
      <c r="E1461" s="4">
        <v>75000</v>
      </c>
    </row>
    <row r="1462" spans="1:5">
      <c r="A1462" s="2" t="s">
        <v>365</v>
      </c>
      <c r="B1462" s="2" t="s">
        <v>2052</v>
      </c>
      <c r="C1462" s="2" t="s">
        <v>2052</v>
      </c>
      <c r="D1462" s="2" t="s">
        <v>2053</v>
      </c>
      <c r="E1462" s="4">
        <v>75000</v>
      </c>
    </row>
    <row r="1463" spans="1:5">
      <c r="A1463" s="2" t="s">
        <v>365</v>
      </c>
      <c r="B1463" s="2" t="s">
        <v>2054</v>
      </c>
      <c r="C1463" s="2" t="str">
        <f>"1463000603"</f>
        <v>1463000603</v>
      </c>
      <c r="D1463" s="2" t="s">
        <v>2055</v>
      </c>
      <c r="E1463" s="4">
        <v>159000</v>
      </c>
    </row>
    <row r="1464" spans="1:5">
      <c r="A1464" s="2" t="s">
        <v>1478</v>
      </c>
      <c r="B1464" s="2" t="str">
        <f>"1645043298468"</f>
        <v>1645043298468</v>
      </c>
      <c r="C1464" s="2" t="str">
        <f>"1645043298468"</f>
        <v>1645043298468</v>
      </c>
      <c r="D1464" s="2" t="s">
        <v>2056</v>
      </c>
      <c r="E1464" s="4">
        <v>85000</v>
      </c>
    </row>
    <row r="1465" spans="1:5">
      <c r="A1465" s="2" t="s">
        <v>1478</v>
      </c>
      <c r="B1465" s="2" t="str">
        <f>"9947379"</f>
        <v>9947379</v>
      </c>
      <c r="C1465" s="2" t="str">
        <f>"9947379"</f>
        <v>9947379</v>
      </c>
      <c r="D1465" s="2" t="s">
        <v>2057</v>
      </c>
      <c r="E1465" s="4">
        <v>140000</v>
      </c>
    </row>
    <row r="1466" spans="1:5">
      <c r="A1466" s="2" t="s">
        <v>1478</v>
      </c>
      <c r="B1466" s="2" t="str">
        <f>"9952855"</f>
        <v>9952855</v>
      </c>
      <c r="C1466" s="2" t="str">
        <f>"1709231910600"</f>
        <v>1709231910600</v>
      </c>
      <c r="D1466" s="2" t="s">
        <v>2058</v>
      </c>
      <c r="E1466" s="4">
        <v>97000</v>
      </c>
    </row>
    <row r="1467" spans="1:5">
      <c r="A1467" s="2" t="s">
        <v>1478</v>
      </c>
      <c r="B1467" s="2" t="str">
        <f>"0021320"</f>
        <v>0021320</v>
      </c>
      <c r="C1467" s="2" t="str">
        <f>"0021320"</f>
        <v>0021320</v>
      </c>
      <c r="D1467" s="2" t="s">
        <v>2059</v>
      </c>
      <c r="E1467" s="4">
        <v>495000</v>
      </c>
    </row>
    <row r="1468" spans="1:5">
      <c r="A1468" s="2" t="s">
        <v>1478</v>
      </c>
      <c r="B1468" s="2" t="str">
        <f>"0019320"</f>
        <v>0019320</v>
      </c>
      <c r="C1468" s="2" t="str">
        <f>"0019320"</f>
        <v>0019320</v>
      </c>
      <c r="D1468" s="2" t="s">
        <v>2060</v>
      </c>
      <c r="E1468" s="4">
        <v>97000</v>
      </c>
    </row>
    <row r="1469" spans="1:5">
      <c r="A1469" s="2" t="s">
        <v>1478</v>
      </c>
      <c r="B1469" s="2" t="s">
        <v>2061</v>
      </c>
      <c r="C1469" s="2" t="str">
        <f>"1732046190722"</f>
        <v>1732046190722</v>
      </c>
      <c r="D1469" s="2" t="s">
        <v>2062</v>
      </c>
      <c r="E1469" s="2">
        <v>0</v>
      </c>
    </row>
    <row r="1470" spans="1:5">
      <c r="A1470" s="2" t="s">
        <v>1478</v>
      </c>
      <c r="B1470" s="2" t="str">
        <f>"9954592"</f>
        <v>9954592</v>
      </c>
      <c r="C1470" s="2" t="str">
        <f>"9954592"</f>
        <v>9954592</v>
      </c>
      <c r="D1470" s="2" t="s">
        <v>2063</v>
      </c>
      <c r="E1470" s="4">
        <v>25000</v>
      </c>
    </row>
    <row r="1471" spans="1:5">
      <c r="A1471" s="2" t="s">
        <v>2064</v>
      </c>
      <c r="B1471" s="2" t="str">
        <f>"9954572"</f>
        <v>9954572</v>
      </c>
      <c r="C1471" s="2" t="str">
        <f>"9954572"</f>
        <v>9954572</v>
      </c>
      <c r="D1471" s="2" t="s">
        <v>2065</v>
      </c>
      <c r="E1471" s="4">
        <v>29500</v>
      </c>
    </row>
    <row r="1472" spans="1:5">
      <c r="A1472" s="2" t="s">
        <v>2064</v>
      </c>
      <c r="B1472" s="2" t="str">
        <f>"9941578"</f>
        <v>9941578</v>
      </c>
      <c r="C1472" s="2" t="str">
        <f>"9941578"</f>
        <v>9941578</v>
      </c>
      <c r="D1472" s="2" t="s">
        <v>2066</v>
      </c>
      <c r="E1472" s="4">
        <v>16000</v>
      </c>
    </row>
    <row r="1473" spans="1:5">
      <c r="A1473" s="2" t="s">
        <v>2064</v>
      </c>
      <c r="B1473" s="2" t="str">
        <f>"9954608"</f>
        <v>9954608</v>
      </c>
      <c r="C1473" s="2" t="str">
        <f>"9954608"</f>
        <v>9954608</v>
      </c>
      <c r="D1473" s="2" t="s">
        <v>2067</v>
      </c>
      <c r="E1473" s="4">
        <v>28600</v>
      </c>
    </row>
    <row r="1474" spans="1:5">
      <c r="A1474" s="2" t="s">
        <v>2064</v>
      </c>
      <c r="B1474" s="2" t="str">
        <f>"9954641"</f>
        <v>9954641</v>
      </c>
      <c r="C1474" s="2" t="str">
        <f>"9954641"</f>
        <v>9954641</v>
      </c>
      <c r="D1474" s="2" t="s">
        <v>2068</v>
      </c>
      <c r="E1474" s="4">
        <v>25000</v>
      </c>
    </row>
    <row r="1475" spans="1:5">
      <c r="A1475" s="2" t="s">
        <v>2064</v>
      </c>
      <c r="B1475" s="2" t="str">
        <f>"9954589"</f>
        <v>9954589</v>
      </c>
      <c r="C1475" s="2" t="str">
        <f>"9954589"</f>
        <v>9954589</v>
      </c>
      <c r="D1475" s="2" t="s">
        <v>2069</v>
      </c>
      <c r="E1475" s="4">
        <v>19600</v>
      </c>
    </row>
    <row r="1476" spans="1:5">
      <c r="A1476" s="2" t="s">
        <v>1478</v>
      </c>
      <c r="B1476" s="2" t="s">
        <v>2070</v>
      </c>
      <c r="C1476" s="2" t="str">
        <f>"1694803394532"</f>
        <v>1694803394532</v>
      </c>
      <c r="D1476" s="2" t="s">
        <v>2071</v>
      </c>
      <c r="E1476" s="4">
        <v>21600</v>
      </c>
    </row>
    <row r="1477" spans="1:5">
      <c r="A1477" s="2" t="s">
        <v>1478</v>
      </c>
      <c r="B1477" s="2" t="str">
        <f>"0014771"</f>
        <v>0014771</v>
      </c>
      <c r="C1477" s="2" t="str">
        <f>"0014771"</f>
        <v>0014771</v>
      </c>
      <c r="D1477" s="2" t="s">
        <v>2072</v>
      </c>
      <c r="E1477" s="4">
        <v>18700</v>
      </c>
    </row>
    <row r="1478" spans="1:5">
      <c r="A1478" s="2" t="s">
        <v>1478</v>
      </c>
      <c r="B1478" s="2" t="s">
        <v>2073</v>
      </c>
      <c r="C1478" s="2" t="s">
        <v>2073</v>
      </c>
      <c r="D1478" s="2" t="s">
        <v>2074</v>
      </c>
      <c r="E1478" s="4">
        <v>250000</v>
      </c>
    </row>
    <row r="1479" spans="1:5">
      <c r="A1479" s="2" t="s">
        <v>1478</v>
      </c>
      <c r="B1479" s="2" t="str">
        <f>"123123"</f>
        <v>123123</v>
      </c>
      <c r="C1479" s="2" t="str">
        <f>"123123"</f>
        <v>123123</v>
      </c>
      <c r="D1479" s="2" t="s">
        <v>2075</v>
      </c>
      <c r="E1479" s="4">
        <v>240000</v>
      </c>
    </row>
    <row r="1480" spans="1:5">
      <c r="A1480" s="2" t="s">
        <v>2076</v>
      </c>
      <c r="B1480" s="2" t="str">
        <f>"0030473"</f>
        <v>0030473</v>
      </c>
      <c r="C1480" s="2" t="str">
        <f>"0030473"</f>
        <v>0030473</v>
      </c>
      <c r="D1480" s="2" t="s">
        <v>2077</v>
      </c>
      <c r="E1480" s="4">
        <v>18700</v>
      </c>
    </row>
    <row r="1481" spans="1:5">
      <c r="A1481" s="2" t="s">
        <v>2076</v>
      </c>
      <c r="B1481" s="2" t="str">
        <f>"001420258-7"</f>
        <v>001420258-7</v>
      </c>
      <c r="C1481" s="2" t="str">
        <f>"001420258-7"</f>
        <v>001420258-7</v>
      </c>
      <c r="D1481" s="2" t="s">
        <v>2078</v>
      </c>
      <c r="E1481" s="4">
        <v>28600</v>
      </c>
    </row>
    <row r="1482" spans="1:5">
      <c r="A1482" s="2" t="s">
        <v>2076</v>
      </c>
      <c r="B1482" s="2" t="str">
        <f>"001121476-2"</f>
        <v>001121476-2</v>
      </c>
      <c r="C1482" s="2" t="str">
        <f>"1121476-2"</f>
        <v>1121476-2</v>
      </c>
      <c r="D1482" s="2" t="s">
        <v>2079</v>
      </c>
      <c r="E1482" s="4">
        <v>19800</v>
      </c>
    </row>
    <row r="1483" spans="1:5">
      <c r="A1483" s="2" t="s">
        <v>2076</v>
      </c>
      <c r="B1483" s="2" t="s">
        <v>2080</v>
      </c>
      <c r="C1483" s="2" t="s">
        <v>2080</v>
      </c>
      <c r="D1483" s="2" t="s">
        <v>2081</v>
      </c>
      <c r="E1483" s="4">
        <v>14200</v>
      </c>
    </row>
    <row r="1484" spans="1:5">
      <c r="A1484" s="2" t="s">
        <v>2076</v>
      </c>
      <c r="B1484" s="2" t="str">
        <f>"4655-030"</f>
        <v>4655-030</v>
      </c>
      <c r="C1484" s="2" t="str">
        <f>"4655-030"</f>
        <v>4655-030</v>
      </c>
      <c r="D1484" s="2" t="s">
        <v>2082</v>
      </c>
      <c r="E1484" s="4">
        <v>97000</v>
      </c>
    </row>
    <row r="1485" spans="1:5">
      <c r="A1485" s="2" t="s">
        <v>2076</v>
      </c>
      <c r="B1485" s="2" t="str">
        <f>"0030734"</f>
        <v>0030734</v>
      </c>
      <c r="C1485" s="2" t="str">
        <f>"0030734"</f>
        <v>0030734</v>
      </c>
      <c r="D1485" s="2" t="s">
        <v>2083</v>
      </c>
      <c r="E1485" s="4">
        <v>28600</v>
      </c>
    </row>
    <row r="1486" spans="1:5">
      <c r="A1486" s="2" t="s">
        <v>2076</v>
      </c>
      <c r="B1486" s="2" t="str">
        <f>"0027309"</f>
        <v>0027309</v>
      </c>
      <c r="C1486" s="2" t="str">
        <f>"0027309"</f>
        <v>0027309</v>
      </c>
      <c r="D1486" s="2" t="s">
        <v>2084</v>
      </c>
      <c r="E1486" s="4">
        <v>25000</v>
      </c>
    </row>
    <row r="1487" spans="1:5">
      <c r="A1487" s="2" t="s">
        <v>2076</v>
      </c>
      <c r="B1487" s="2" t="s">
        <v>2085</v>
      </c>
      <c r="C1487" s="2" t="s">
        <v>2085</v>
      </c>
      <c r="D1487" s="2" t="s">
        <v>2086</v>
      </c>
      <c r="E1487" s="4">
        <v>12800</v>
      </c>
    </row>
    <row r="1488" spans="1:5">
      <c r="A1488" s="2" t="s">
        <v>2076</v>
      </c>
      <c r="B1488" s="2" t="s">
        <v>2087</v>
      </c>
      <c r="C1488" s="2" t="s">
        <v>2087</v>
      </c>
      <c r="D1488" s="2" t="s">
        <v>2088</v>
      </c>
      <c r="E1488" s="4">
        <v>38000</v>
      </c>
    </row>
    <row r="1489" spans="1:5">
      <c r="A1489" s="2" t="s">
        <v>2076</v>
      </c>
      <c r="B1489" s="2" t="s">
        <v>2089</v>
      </c>
      <c r="C1489" s="2" t="s">
        <v>2089</v>
      </c>
      <c r="D1489" s="2" t="s">
        <v>2090</v>
      </c>
      <c r="E1489" s="4">
        <v>38500</v>
      </c>
    </row>
    <row r="1490" spans="1:5">
      <c r="A1490" s="2" t="s">
        <v>2076</v>
      </c>
      <c r="B1490" s="2" t="str">
        <f>"015092"</f>
        <v>015092</v>
      </c>
      <c r="C1490" s="2" t="str">
        <f>"015092"</f>
        <v>015092</v>
      </c>
      <c r="D1490" s="2" t="s">
        <v>2091</v>
      </c>
      <c r="E1490" s="4">
        <v>28600</v>
      </c>
    </row>
    <row r="1491" spans="1:5">
      <c r="A1491" s="2" t="s">
        <v>2076</v>
      </c>
      <c r="B1491" s="2" t="s">
        <v>2092</v>
      </c>
      <c r="C1491" s="2" t="str">
        <f>"420959-1"</f>
        <v>420959-1</v>
      </c>
      <c r="D1491" s="2" t="s">
        <v>2093</v>
      </c>
      <c r="E1491" s="4">
        <v>34000</v>
      </c>
    </row>
    <row r="1492" spans="1:5">
      <c r="A1492" s="2" t="s">
        <v>2076</v>
      </c>
      <c r="B1492" s="2" t="str">
        <f>"015403"</f>
        <v>015403</v>
      </c>
      <c r="C1492" s="2" t="str">
        <f>"015403"</f>
        <v>015403</v>
      </c>
      <c r="D1492" s="2" t="s">
        <v>2094</v>
      </c>
      <c r="E1492" s="4">
        <v>30400</v>
      </c>
    </row>
    <row r="1493" spans="1:5">
      <c r="A1493" s="2" t="s">
        <v>2076</v>
      </c>
      <c r="B1493" s="2" t="str">
        <f>"10233919"</f>
        <v>10233919</v>
      </c>
      <c r="C1493" s="2" t="str">
        <f>"1023-3919"</f>
        <v>1023-3919</v>
      </c>
      <c r="D1493" s="2" t="s">
        <v>2094</v>
      </c>
      <c r="E1493" s="4">
        <v>25000</v>
      </c>
    </row>
    <row r="1494" spans="1:5">
      <c r="A1494" s="2" t="s">
        <v>2076</v>
      </c>
      <c r="B1494" s="2" t="str">
        <f>"0014409"</f>
        <v>0014409</v>
      </c>
      <c r="C1494" s="2" t="str">
        <f>"0030526"</f>
        <v>0030526</v>
      </c>
      <c r="D1494" s="2" t="s">
        <v>2095</v>
      </c>
      <c r="E1494" s="4">
        <v>25000</v>
      </c>
    </row>
    <row r="1495" spans="1:5">
      <c r="A1495" s="2" t="s">
        <v>2076</v>
      </c>
      <c r="B1495" s="2" t="str">
        <f>"566930"</f>
        <v>566930</v>
      </c>
      <c r="C1495" s="2" t="str">
        <f>"566930"</f>
        <v>566930</v>
      </c>
      <c r="D1495" s="2" t="s">
        <v>2096</v>
      </c>
      <c r="E1495" s="4">
        <v>115000</v>
      </c>
    </row>
    <row r="1496" spans="1:5">
      <c r="A1496" s="2" t="s">
        <v>2076</v>
      </c>
      <c r="B1496" s="2" t="str">
        <f>"287749"</f>
        <v>287749</v>
      </c>
      <c r="C1496" s="2" t="str">
        <f>"287749"</f>
        <v>287749</v>
      </c>
      <c r="D1496" s="2" t="s">
        <v>2097</v>
      </c>
      <c r="E1496" s="4">
        <v>28600</v>
      </c>
    </row>
    <row r="1497" spans="1:5">
      <c r="A1497" s="2" t="s">
        <v>2076</v>
      </c>
      <c r="B1497" s="2" t="str">
        <f>"070500016"</f>
        <v>070500016</v>
      </c>
      <c r="C1497" s="2" t="str">
        <f>"070500016"</f>
        <v>070500016</v>
      </c>
      <c r="D1497" s="2" t="s">
        <v>2098</v>
      </c>
      <c r="E1497" s="4">
        <v>62000</v>
      </c>
    </row>
    <row r="1498" spans="1:5">
      <c r="A1498" s="2" t="s">
        <v>2076</v>
      </c>
      <c r="B1498" s="2" t="str">
        <f>"287291"</f>
        <v>287291</v>
      </c>
      <c r="C1498" s="2" t="str">
        <f>"287291"</f>
        <v>287291</v>
      </c>
      <c r="D1498" s="2" t="s">
        <v>2099</v>
      </c>
      <c r="E1498" s="4">
        <v>32000</v>
      </c>
    </row>
    <row r="1499" spans="1:5">
      <c r="A1499" s="2" t="s">
        <v>2076</v>
      </c>
      <c r="B1499" s="2" t="str">
        <f>"260627"</f>
        <v>260627</v>
      </c>
      <c r="C1499" s="2" t="str">
        <f>"1446845088"</f>
        <v>1446845088</v>
      </c>
      <c r="D1499" s="2" t="s">
        <v>2100</v>
      </c>
      <c r="E1499" s="4">
        <v>21500</v>
      </c>
    </row>
    <row r="1500" spans="1:5">
      <c r="A1500" s="2" t="s">
        <v>2076</v>
      </c>
      <c r="B1500" s="2" t="str">
        <f>"014751"</f>
        <v>014751</v>
      </c>
      <c r="C1500" s="2" t="str">
        <f>"014751"</f>
        <v>014751</v>
      </c>
      <c r="D1500" s="2" t="s">
        <v>2101</v>
      </c>
      <c r="E1500" s="4">
        <v>28600</v>
      </c>
    </row>
    <row r="1501" spans="1:5">
      <c r="A1501" s="2" t="s">
        <v>2076</v>
      </c>
      <c r="B1501" s="2" t="s">
        <v>2102</v>
      </c>
      <c r="C1501" s="2" t="s">
        <v>2102</v>
      </c>
      <c r="D1501" s="2" t="s">
        <v>2103</v>
      </c>
      <c r="E1501" s="4">
        <v>18700</v>
      </c>
    </row>
    <row r="1502" spans="1:5">
      <c r="A1502" s="2" t="s">
        <v>1478</v>
      </c>
      <c r="B1502" s="2" t="str">
        <f>"9952846"</f>
        <v>9952846</v>
      </c>
      <c r="C1502" s="2" t="str">
        <f>"9952846"</f>
        <v>9952846</v>
      </c>
      <c r="D1502" s="2" t="s">
        <v>2104</v>
      </c>
      <c r="E1502" s="4">
        <v>78000</v>
      </c>
    </row>
    <row r="1503" spans="1:5">
      <c r="A1503" s="2" t="s">
        <v>1478</v>
      </c>
      <c r="B1503" s="2" t="str">
        <f>"0014211"</f>
        <v>0014211</v>
      </c>
      <c r="C1503" s="2" t="str">
        <f>"0014211"</f>
        <v>0014211</v>
      </c>
      <c r="D1503" s="2" t="s">
        <v>2105</v>
      </c>
      <c r="E1503" s="4">
        <v>43000</v>
      </c>
    </row>
    <row r="1504" spans="1:5">
      <c r="A1504" s="2" t="s">
        <v>1478</v>
      </c>
      <c r="B1504" s="2" t="str">
        <f>"090160067"</f>
        <v>090160067</v>
      </c>
      <c r="C1504" s="2" t="str">
        <f>"090160067"</f>
        <v>090160067</v>
      </c>
      <c r="D1504" s="2" t="s">
        <v>2106</v>
      </c>
      <c r="E1504" s="4">
        <v>28600</v>
      </c>
    </row>
    <row r="1505" spans="1:5">
      <c r="A1505" s="2" t="s">
        <v>1478</v>
      </c>
      <c r="B1505" s="2" t="str">
        <f>"0009731"</f>
        <v>0009731</v>
      </c>
      <c r="C1505" s="2" t="str">
        <f>"1458830"</f>
        <v>1458830</v>
      </c>
      <c r="D1505" s="2" t="s">
        <v>2107</v>
      </c>
      <c r="E1505" s="4">
        <v>34000</v>
      </c>
    </row>
    <row r="1506" spans="1:5">
      <c r="A1506" s="2" t="s">
        <v>1478</v>
      </c>
      <c r="B1506" s="2" t="s">
        <v>2108</v>
      </c>
      <c r="C1506" s="2" t="s">
        <v>2108</v>
      </c>
      <c r="D1506" s="2" t="s">
        <v>2109</v>
      </c>
      <c r="E1506" s="4">
        <v>145000</v>
      </c>
    </row>
    <row r="1507" spans="1:5">
      <c r="A1507" s="2" t="s">
        <v>1478</v>
      </c>
      <c r="B1507" s="2" t="str">
        <f>"0613-16-103"</f>
        <v>0613-16-103</v>
      </c>
      <c r="C1507" s="2" t="str">
        <f>"0613-16-103"</f>
        <v>0613-16-103</v>
      </c>
      <c r="D1507" s="2" t="s">
        <v>2110</v>
      </c>
      <c r="E1507" s="4">
        <v>2618</v>
      </c>
    </row>
    <row r="1508" spans="1:5">
      <c r="A1508" s="2" t="s">
        <v>1478</v>
      </c>
      <c r="B1508" s="2" t="str">
        <f>"0009730"</f>
        <v>0009730</v>
      </c>
      <c r="C1508" s="2" t="str">
        <f>"0009730"</f>
        <v>0009730</v>
      </c>
      <c r="D1508" s="2" t="s">
        <v>2111</v>
      </c>
      <c r="E1508" s="4">
        <v>39000</v>
      </c>
    </row>
    <row r="1509" spans="1:5">
      <c r="A1509" s="2" t="s">
        <v>1478</v>
      </c>
      <c r="B1509" s="2" t="str">
        <f>"264052"</f>
        <v>264052</v>
      </c>
      <c r="C1509" s="2" t="str">
        <f>"264052"</f>
        <v>264052</v>
      </c>
      <c r="D1509" s="2" t="s">
        <v>2112</v>
      </c>
      <c r="E1509" s="4">
        <v>59000</v>
      </c>
    </row>
    <row r="1510" spans="1:5">
      <c r="A1510" s="2" t="s">
        <v>1478</v>
      </c>
      <c r="B1510" s="2" t="s">
        <v>2113</v>
      </c>
      <c r="C1510" s="2" t="s">
        <v>2113</v>
      </c>
      <c r="D1510" s="2" t="s">
        <v>2114</v>
      </c>
      <c r="E1510" s="4">
        <v>25000</v>
      </c>
    </row>
    <row r="1511" spans="1:5">
      <c r="A1511" s="2" t="s">
        <v>1478</v>
      </c>
      <c r="B1511" s="2" t="s">
        <v>2115</v>
      </c>
      <c r="C1511" s="2" t="s">
        <v>2115</v>
      </c>
      <c r="D1511" s="2" t="s">
        <v>2116</v>
      </c>
      <c r="E1511" s="4">
        <v>23000</v>
      </c>
    </row>
    <row r="1512" spans="1:5">
      <c r="A1512" s="2" t="s">
        <v>1478</v>
      </c>
      <c r="B1512" s="2" t="str">
        <f>"090160108"</f>
        <v>090160108</v>
      </c>
      <c r="C1512" s="2" t="str">
        <f>"090160108"</f>
        <v>090160108</v>
      </c>
      <c r="D1512" s="2" t="s">
        <v>2117</v>
      </c>
      <c r="E1512" s="4">
        <v>24000</v>
      </c>
    </row>
    <row r="1513" spans="1:5">
      <c r="A1513" s="2" t="s">
        <v>1478</v>
      </c>
      <c r="B1513" s="2" t="str">
        <f>"1458270"</f>
        <v>1458270</v>
      </c>
      <c r="C1513" s="2" t="str">
        <f>"4655 030"</f>
        <v>4655 030</v>
      </c>
      <c r="D1513" s="2" t="s">
        <v>2118</v>
      </c>
      <c r="E1513" s="4">
        <v>78000</v>
      </c>
    </row>
    <row r="1514" spans="1:5">
      <c r="A1514" s="2" t="s">
        <v>1478</v>
      </c>
      <c r="B1514" s="2" t="str">
        <f>"090160001"</f>
        <v>090160001</v>
      </c>
      <c r="C1514" s="2" t="str">
        <f>"090160001"</f>
        <v>090160001</v>
      </c>
      <c r="D1514" s="2" t="s">
        <v>2119</v>
      </c>
      <c r="E1514" s="4">
        <v>18700</v>
      </c>
    </row>
    <row r="1515" spans="1:5">
      <c r="A1515" s="2" t="s">
        <v>1478</v>
      </c>
      <c r="B1515" s="2" t="str">
        <f>"264039"</f>
        <v>264039</v>
      </c>
      <c r="C1515" s="2" t="str">
        <f>"264039"</f>
        <v>264039</v>
      </c>
      <c r="D1515" s="2" t="s">
        <v>2120</v>
      </c>
      <c r="E1515" s="4">
        <v>57400</v>
      </c>
    </row>
    <row r="1516" spans="1:5">
      <c r="A1516" s="2" t="s">
        <v>1478</v>
      </c>
      <c r="B1516" s="2" t="str">
        <f>"21310-22010"</f>
        <v>21310-22010</v>
      </c>
      <c r="C1516" s="2" t="str">
        <f>"21310-22010"</f>
        <v>21310-22010</v>
      </c>
      <c r="D1516" s="2" t="s">
        <v>2121</v>
      </c>
      <c r="E1516" s="4">
        <v>35800</v>
      </c>
    </row>
    <row r="1517" spans="1:5">
      <c r="A1517" s="2" t="s">
        <v>1478</v>
      </c>
      <c r="B1517" s="2" t="str">
        <f>"0030148"</f>
        <v>0030148</v>
      </c>
      <c r="C1517" s="2" t="str">
        <f>"0030148"</f>
        <v>0030148</v>
      </c>
      <c r="D1517" s="2" t="s">
        <v>2122</v>
      </c>
      <c r="E1517" s="4">
        <v>105000</v>
      </c>
    </row>
    <row r="1518" spans="1:5">
      <c r="A1518" s="2" t="s">
        <v>1478</v>
      </c>
      <c r="B1518" s="2" t="str">
        <f>"0006746"</f>
        <v>0006746</v>
      </c>
      <c r="C1518" s="2" t="str">
        <f>"0006746"</f>
        <v>0006746</v>
      </c>
      <c r="D1518" s="2" t="s">
        <v>2123</v>
      </c>
      <c r="E1518" s="4">
        <v>49000</v>
      </c>
    </row>
    <row r="1519" spans="1:5">
      <c r="A1519" s="2" t="s">
        <v>1478</v>
      </c>
      <c r="B1519" s="2" t="s">
        <v>2124</v>
      </c>
      <c r="C1519" s="2" t="s">
        <v>2124</v>
      </c>
      <c r="D1519" s="2" t="s">
        <v>2125</v>
      </c>
      <c r="E1519" s="4">
        <v>65000</v>
      </c>
    </row>
    <row r="1520" spans="1:5">
      <c r="A1520" s="2" t="s">
        <v>1478</v>
      </c>
      <c r="B1520" s="2" t="str">
        <f>"0200427"</f>
        <v>0200427</v>
      </c>
      <c r="C1520" s="2" t="str">
        <f>"0200427"</f>
        <v>0200427</v>
      </c>
      <c r="D1520" s="2" t="s">
        <v>2126</v>
      </c>
      <c r="E1520" s="4">
        <v>28600</v>
      </c>
    </row>
    <row r="1521" spans="1:5">
      <c r="A1521" s="2" t="s">
        <v>1478</v>
      </c>
      <c r="B1521" s="2" t="str">
        <f>"0009716"</f>
        <v>0009716</v>
      </c>
      <c r="C1521" s="2" t="str">
        <f>"0009716"</f>
        <v>0009716</v>
      </c>
      <c r="D1521" s="2" t="s">
        <v>2127</v>
      </c>
      <c r="E1521" s="4">
        <v>25000</v>
      </c>
    </row>
    <row r="1522" spans="1:5">
      <c r="A1522" s="2" t="s">
        <v>1478</v>
      </c>
      <c r="B1522" s="2" t="str">
        <f>"090160052"</f>
        <v>090160052</v>
      </c>
      <c r="C1522" s="2" t="str">
        <f>"090160052"</f>
        <v>090160052</v>
      </c>
      <c r="D1522" s="2" t="s">
        <v>2128</v>
      </c>
      <c r="E1522" s="4">
        <v>25000</v>
      </c>
    </row>
    <row r="1523" spans="1:5">
      <c r="A1523" s="2" t="s">
        <v>1478</v>
      </c>
      <c r="B1523" s="2" t="str">
        <f>"0030156"</f>
        <v>0030156</v>
      </c>
      <c r="C1523" s="2" t="str">
        <f>"0030156"</f>
        <v>0030156</v>
      </c>
      <c r="D1523" s="2" t="s">
        <v>2128</v>
      </c>
      <c r="E1523" s="4">
        <v>25000</v>
      </c>
    </row>
    <row r="1524" spans="1:5">
      <c r="A1524" s="2" t="s">
        <v>1478</v>
      </c>
      <c r="B1524" s="2" t="str">
        <f>"0200670"</f>
        <v>0200670</v>
      </c>
      <c r="C1524" s="2" t="str">
        <f>"0200670"</f>
        <v>0200670</v>
      </c>
      <c r="D1524" s="2" t="s">
        <v>2129</v>
      </c>
      <c r="E1524" s="4">
        <v>25000</v>
      </c>
    </row>
    <row r="1525" spans="1:5">
      <c r="A1525" s="2" t="s">
        <v>1478</v>
      </c>
      <c r="B1525" s="2" t="str">
        <f>"090160063"</f>
        <v>090160063</v>
      </c>
      <c r="C1525" s="2" t="str">
        <f>"090160063"</f>
        <v>090160063</v>
      </c>
      <c r="D1525" s="2" t="s">
        <v>2130</v>
      </c>
      <c r="E1525" s="4">
        <v>29000</v>
      </c>
    </row>
    <row r="1526" spans="1:5">
      <c r="A1526" s="2" t="s">
        <v>1478</v>
      </c>
      <c r="B1526" s="2" t="str">
        <f>"090160103"</f>
        <v>090160103</v>
      </c>
      <c r="C1526" s="2" t="str">
        <f>"141482"</f>
        <v>141482</v>
      </c>
      <c r="D1526" s="2" t="s">
        <v>2131</v>
      </c>
      <c r="E1526" s="4">
        <v>98000</v>
      </c>
    </row>
    <row r="1527" spans="1:5">
      <c r="A1527" s="2" t="s">
        <v>1478</v>
      </c>
      <c r="B1527" s="2" t="s">
        <v>2132</v>
      </c>
      <c r="C1527" s="2" t="s">
        <v>2132</v>
      </c>
      <c r="D1527" s="2" t="s">
        <v>2133</v>
      </c>
      <c r="E1527" s="4">
        <v>58000</v>
      </c>
    </row>
    <row r="1528" spans="1:5">
      <c r="A1528" s="2" t="s">
        <v>1478</v>
      </c>
      <c r="B1528" s="2" t="str">
        <f>"141481"</f>
        <v>141481</v>
      </c>
      <c r="C1528" s="2" t="str">
        <f>"141481"</f>
        <v>141481</v>
      </c>
      <c r="D1528" s="2" t="s">
        <v>2134</v>
      </c>
      <c r="E1528" s="4">
        <v>110000</v>
      </c>
    </row>
    <row r="1529" spans="1:5">
      <c r="A1529" s="2" t="s">
        <v>1478</v>
      </c>
      <c r="B1529" s="2" t="str">
        <f>"090160050"</f>
        <v>090160050</v>
      </c>
      <c r="C1529" s="2" t="str">
        <f>"090160050"</f>
        <v>090160050</v>
      </c>
      <c r="D1529" s="2" t="s">
        <v>2135</v>
      </c>
      <c r="E1529" s="4">
        <v>97000</v>
      </c>
    </row>
    <row r="1530" spans="1:5">
      <c r="A1530" s="2" t="s">
        <v>1478</v>
      </c>
      <c r="B1530" s="2" t="str">
        <f>"090160059"</f>
        <v>090160059</v>
      </c>
      <c r="C1530" s="2" t="str">
        <f>"090160059"</f>
        <v>090160059</v>
      </c>
      <c r="D1530" s="2" t="s">
        <v>2136</v>
      </c>
      <c r="E1530" s="4">
        <v>43000</v>
      </c>
    </row>
    <row r="1531" spans="1:5">
      <c r="A1531" s="2" t="s">
        <v>1478</v>
      </c>
      <c r="B1531" s="2" t="str">
        <f>"9952874"</f>
        <v>9952874</v>
      </c>
      <c r="C1531" s="2" t="str">
        <f>"9952874"</f>
        <v>9952874</v>
      </c>
      <c r="D1531" s="2" t="s">
        <v>2137</v>
      </c>
      <c r="E1531" s="4">
        <v>65000</v>
      </c>
    </row>
    <row r="1532" spans="1:5">
      <c r="A1532" s="2" t="s">
        <v>1478</v>
      </c>
      <c r="B1532" s="2" t="str">
        <f>"0027184"</f>
        <v>0027184</v>
      </c>
      <c r="C1532" s="2" t="str">
        <f>"0200410"</f>
        <v>0200410</v>
      </c>
      <c r="D1532" s="2" t="s">
        <v>2138</v>
      </c>
      <c r="E1532" s="4">
        <v>38500</v>
      </c>
    </row>
    <row r="1533" spans="1:5">
      <c r="A1533" s="2" t="s">
        <v>1478</v>
      </c>
      <c r="B1533" s="2" t="str">
        <f>"0009729"</f>
        <v>0009729</v>
      </c>
      <c r="C1533" s="2" t="str">
        <f>"0009729"</f>
        <v>0009729</v>
      </c>
      <c r="D1533" s="2" t="s">
        <v>2138</v>
      </c>
      <c r="E1533" s="4">
        <v>34000</v>
      </c>
    </row>
    <row r="1534" spans="1:5">
      <c r="A1534" s="2" t="s">
        <v>1478</v>
      </c>
      <c r="B1534" s="2" t="str">
        <f>"5 000000 134021"</f>
        <v>5 000000 134021</v>
      </c>
      <c r="C1534" s="2" t="str">
        <f>"264014"</f>
        <v>264014</v>
      </c>
      <c r="D1534" s="2" t="s">
        <v>2139</v>
      </c>
      <c r="E1534" s="4">
        <v>43900</v>
      </c>
    </row>
    <row r="1535" spans="1:5">
      <c r="A1535" s="2" t="s">
        <v>1478</v>
      </c>
      <c r="B1535" s="2" t="str">
        <f>"280663"</f>
        <v>280663</v>
      </c>
      <c r="C1535" s="2" t="str">
        <f>"280663"</f>
        <v>280663</v>
      </c>
      <c r="D1535" s="2" t="s">
        <v>2140</v>
      </c>
      <c r="E1535" s="4">
        <v>31300</v>
      </c>
    </row>
    <row r="1536" spans="1:5">
      <c r="A1536" s="2" t="s">
        <v>1478</v>
      </c>
      <c r="B1536" s="2" t="str">
        <f>"280661"</f>
        <v>280661</v>
      </c>
      <c r="C1536" s="2" t="str">
        <f>"280661"</f>
        <v>280661</v>
      </c>
      <c r="D1536" s="2" t="s">
        <v>2141</v>
      </c>
      <c r="E1536" s="4">
        <v>35800</v>
      </c>
    </row>
    <row r="1537" spans="1:5">
      <c r="A1537" s="2" t="s">
        <v>1478</v>
      </c>
      <c r="B1537" s="2" t="s">
        <v>2142</v>
      </c>
      <c r="C1537" s="2" t="str">
        <f>"283691"</f>
        <v>283691</v>
      </c>
      <c r="D1537" s="2" t="s">
        <v>2143</v>
      </c>
      <c r="E1537" s="4">
        <v>25000</v>
      </c>
    </row>
    <row r="1538" spans="1:5">
      <c r="A1538" s="2" t="s">
        <v>1478</v>
      </c>
      <c r="B1538" s="2" t="str">
        <f>"1069-003"</f>
        <v>1069-003</v>
      </c>
      <c r="C1538" s="2" t="str">
        <f>"00102250"</f>
        <v>00102250</v>
      </c>
      <c r="D1538" s="2" t="s">
        <v>2144</v>
      </c>
      <c r="E1538" s="4">
        <v>29500</v>
      </c>
    </row>
    <row r="1539" spans="1:5">
      <c r="A1539" s="2" t="s">
        <v>1478</v>
      </c>
      <c r="B1539" s="2" t="str">
        <f>"1069-016"</f>
        <v>1069-016</v>
      </c>
      <c r="C1539" s="2" t="str">
        <f>"1069-016"</f>
        <v>1069-016</v>
      </c>
      <c r="D1539" s="2" t="s">
        <v>2145</v>
      </c>
      <c r="E1539" s="4">
        <v>43000</v>
      </c>
    </row>
    <row r="1540" spans="1:5">
      <c r="A1540" s="2" t="s">
        <v>1478</v>
      </c>
      <c r="B1540" s="2" t="str">
        <f>"280659"</f>
        <v>280659</v>
      </c>
      <c r="C1540" s="2" t="str">
        <f>"1069-015"</f>
        <v>1069-015</v>
      </c>
      <c r="D1540" s="2" t="s">
        <v>2146</v>
      </c>
      <c r="E1540" s="4">
        <v>49000</v>
      </c>
    </row>
    <row r="1541" spans="1:5">
      <c r="A1541" s="2" t="s">
        <v>1478</v>
      </c>
      <c r="B1541" s="2" t="str">
        <f>"8005114"</f>
        <v>8005114</v>
      </c>
      <c r="C1541" s="2" t="str">
        <f>"283008"</f>
        <v>283008</v>
      </c>
      <c r="D1541" s="2" t="s">
        <v>2147</v>
      </c>
      <c r="E1541" s="4">
        <v>18900</v>
      </c>
    </row>
    <row r="1542" spans="1:5">
      <c r="A1542" s="2" t="s">
        <v>1478</v>
      </c>
      <c r="B1542" s="2" t="str">
        <f>"283536"</f>
        <v>283536</v>
      </c>
      <c r="C1542" s="2" t="str">
        <f>"283536"</f>
        <v>283536</v>
      </c>
      <c r="D1542" s="2" t="s">
        <v>2148</v>
      </c>
      <c r="E1542" s="4">
        <v>18500</v>
      </c>
    </row>
    <row r="1543" spans="1:5">
      <c r="A1543" s="2" t="s">
        <v>1478</v>
      </c>
      <c r="B1543" s="2" t="str">
        <f>"8033924"</f>
        <v>8033924</v>
      </c>
      <c r="C1543" s="2" t="str">
        <f>"8033924"</f>
        <v>8033924</v>
      </c>
      <c r="D1543" s="2" t="s">
        <v>2149</v>
      </c>
      <c r="E1543" s="4">
        <v>28000</v>
      </c>
    </row>
    <row r="1544" spans="1:5">
      <c r="A1544" s="2" t="s">
        <v>1478</v>
      </c>
      <c r="B1544" s="2" t="str">
        <f>"1599014"</f>
        <v>1599014</v>
      </c>
      <c r="C1544" s="2" t="str">
        <f>"159014 9941580"</f>
        <v>159014 9941580</v>
      </c>
      <c r="D1544" s="2" t="s">
        <v>2150</v>
      </c>
      <c r="E1544" s="4">
        <v>19600</v>
      </c>
    </row>
    <row r="1545" spans="1:5">
      <c r="A1545" s="2" t="s">
        <v>1478</v>
      </c>
      <c r="B1545" s="2" t="str">
        <f>"8041010"</f>
        <v>8041010</v>
      </c>
      <c r="C1545" s="2" t="str">
        <f>"8041010"</f>
        <v>8041010</v>
      </c>
      <c r="D1545" s="2" t="s">
        <v>2151</v>
      </c>
      <c r="E1545" s="4">
        <v>12400</v>
      </c>
    </row>
    <row r="1546" spans="1:5">
      <c r="A1546" s="2" t="s">
        <v>1478</v>
      </c>
      <c r="B1546" s="2" t="str">
        <f>"1069-144"</f>
        <v>1069-144</v>
      </c>
      <c r="C1546" s="2" t="str">
        <f>"1069-144"</f>
        <v>1069-144</v>
      </c>
      <c r="D1546" s="2" t="s">
        <v>2152</v>
      </c>
      <c r="E1546" s="4">
        <v>19600</v>
      </c>
    </row>
    <row r="1547" spans="1:5">
      <c r="A1547" s="2" t="s">
        <v>1478</v>
      </c>
      <c r="B1547" s="2" t="str">
        <f>"3010-1111"</f>
        <v>3010-1111</v>
      </c>
      <c r="C1547" s="2" t="str">
        <f>"30101111"</f>
        <v>30101111</v>
      </c>
      <c r="D1547" s="2" t="s">
        <v>2153</v>
      </c>
      <c r="E1547" s="4">
        <v>19000</v>
      </c>
    </row>
    <row r="1548" spans="1:5">
      <c r="A1548" s="2" t="s">
        <v>1478</v>
      </c>
      <c r="B1548" s="2" t="str">
        <f>"090410084"</f>
        <v>090410084</v>
      </c>
      <c r="C1548" s="2" t="str">
        <f>"090410084"</f>
        <v>090410084</v>
      </c>
      <c r="D1548" s="2" t="s">
        <v>2154</v>
      </c>
      <c r="E1548" s="4">
        <v>11500</v>
      </c>
    </row>
    <row r="1549" spans="1:5">
      <c r="A1549" s="2" t="s">
        <v>1478</v>
      </c>
      <c r="B1549" s="2" t="str">
        <f>"016892 283692"</f>
        <v>016892 283692</v>
      </c>
      <c r="C1549" s="2" t="str">
        <f>"8041014"</f>
        <v>8041014</v>
      </c>
      <c r="D1549" s="2" t="s">
        <v>2154</v>
      </c>
      <c r="E1549" s="4">
        <v>19600</v>
      </c>
    </row>
    <row r="1550" spans="1:5">
      <c r="A1550" s="2" t="s">
        <v>1478</v>
      </c>
      <c r="B1550" s="2" t="str">
        <f>"006903"</f>
        <v>006903</v>
      </c>
      <c r="C1550" s="2" t="str">
        <f>"005538"</f>
        <v>005538</v>
      </c>
      <c r="D1550" s="2" t="s">
        <v>2155</v>
      </c>
      <c r="E1550" s="4">
        <v>25000</v>
      </c>
    </row>
    <row r="1551" spans="1:5">
      <c r="A1551" s="2" t="s">
        <v>1478</v>
      </c>
      <c r="B1551" s="2" t="str">
        <f>"0013932"</f>
        <v>0013932</v>
      </c>
      <c r="C1551" s="2" t="str">
        <f>"0013932"</f>
        <v>0013932</v>
      </c>
      <c r="D1551" s="2" t="s">
        <v>2156</v>
      </c>
      <c r="E1551" s="4">
        <v>28000</v>
      </c>
    </row>
    <row r="1552" spans="1:5">
      <c r="A1552" s="2" t="s">
        <v>1478</v>
      </c>
      <c r="B1552" s="2" t="str">
        <f>"090410085"</f>
        <v>090410085</v>
      </c>
      <c r="C1552" s="2" t="str">
        <f>"090410085"</f>
        <v>090410085</v>
      </c>
      <c r="D1552" s="2" t="s">
        <v>2157</v>
      </c>
      <c r="E1552" s="4">
        <v>19000</v>
      </c>
    </row>
    <row r="1553" spans="1:5">
      <c r="A1553" s="2" t="s">
        <v>1478</v>
      </c>
      <c r="B1553" s="2" t="s">
        <v>2158</v>
      </c>
      <c r="C1553" s="2" t="str">
        <f>"0013934"</f>
        <v>0013934</v>
      </c>
      <c r="D1553" s="2" t="s">
        <v>2159</v>
      </c>
      <c r="E1553" s="4">
        <v>12400</v>
      </c>
    </row>
    <row r="1554" spans="1:5">
      <c r="A1554" s="2" t="s">
        <v>1478</v>
      </c>
      <c r="B1554" s="2" t="str">
        <f>"288079"</f>
        <v>288079</v>
      </c>
      <c r="C1554" s="2" t="str">
        <f>"288079"</f>
        <v>288079</v>
      </c>
      <c r="D1554" s="2" t="s">
        <v>2160</v>
      </c>
      <c r="E1554" s="4">
        <v>18700</v>
      </c>
    </row>
    <row r="1555" spans="1:5">
      <c r="A1555" s="2" t="s">
        <v>1478</v>
      </c>
      <c r="B1555" s="2" t="str">
        <f>"0013925"</f>
        <v>0013925</v>
      </c>
      <c r="C1555" s="2" t="str">
        <f>"0013925"</f>
        <v>0013925</v>
      </c>
      <c r="D1555" s="2" t="s">
        <v>2161</v>
      </c>
      <c r="E1555" s="4">
        <v>16000</v>
      </c>
    </row>
    <row r="1556" spans="1:5">
      <c r="A1556" s="2" t="s">
        <v>1478</v>
      </c>
      <c r="B1556" s="2" t="str">
        <f>"9954607"</f>
        <v>9954607</v>
      </c>
      <c r="C1556" s="2" t="str">
        <f>"9954607"</f>
        <v>9954607</v>
      </c>
      <c r="D1556" s="2" t="s">
        <v>2162</v>
      </c>
      <c r="E1556" s="4">
        <v>19600</v>
      </c>
    </row>
    <row r="1557" spans="1:5">
      <c r="A1557" s="2" t="s">
        <v>1478</v>
      </c>
      <c r="B1557" s="2" t="str">
        <f>"1112218-3"</f>
        <v>1112218-3</v>
      </c>
      <c r="C1557" s="2" t="str">
        <f>"1112218-3"</f>
        <v>1112218-3</v>
      </c>
      <c r="D1557" s="2" t="s">
        <v>2163</v>
      </c>
      <c r="E1557" s="4">
        <v>26800</v>
      </c>
    </row>
    <row r="1558" spans="1:5">
      <c r="A1558" s="2" t="s">
        <v>1478</v>
      </c>
      <c r="B1558" s="2" t="str">
        <f>"283540"</f>
        <v>283540</v>
      </c>
      <c r="C1558" s="2" t="str">
        <f>"283540"</f>
        <v>283540</v>
      </c>
      <c r="D1558" s="2" t="s">
        <v>2164</v>
      </c>
      <c r="E1558" s="4">
        <v>25000</v>
      </c>
    </row>
    <row r="1559" spans="1:5">
      <c r="A1559" s="2" t="s">
        <v>1478</v>
      </c>
      <c r="B1559" s="2" t="str">
        <f>"1103631"</f>
        <v>1103631</v>
      </c>
      <c r="C1559" s="2" t="str">
        <f>"1103631"</f>
        <v>1103631</v>
      </c>
      <c r="D1559" s="2" t="s">
        <v>2165</v>
      </c>
      <c r="E1559" s="4">
        <v>14200</v>
      </c>
    </row>
    <row r="1560" spans="1:5">
      <c r="A1560" s="2" t="s">
        <v>1478</v>
      </c>
      <c r="B1560" s="2" t="str">
        <f>"001112211-6"</f>
        <v>001112211-6</v>
      </c>
      <c r="C1560" s="2" t="s">
        <v>2166</v>
      </c>
      <c r="D1560" s="2" t="s">
        <v>2167</v>
      </c>
      <c r="E1560" s="4">
        <v>12400</v>
      </c>
    </row>
    <row r="1561" spans="1:5">
      <c r="A1561" s="2" t="s">
        <v>1478</v>
      </c>
      <c r="B1561" s="2" t="str">
        <f>"010140052"</f>
        <v>010140052</v>
      </c>
      <c r="C1561" s="2" t="str">
        <f>"010140052"</f>
        <v>010140052</v>
      </c>
      <c r="D1561" s="2" t="s">
        <v>2168</v>
      </c>
      <c r="E1561" s="4">
        <v>29000</v>
      </c>
    </row>
    <row r="1562" spans="1:5">
      <c r="A1562" s="2" t="s">
        <v>1478</v>
      </c>
      <c r="B1562" s="2" t="str">
        <f>"30101046"</f>
        <v>30101046</v>
      </c>
      <c r="C1562" s="2" t="str">
        <f>"30101046"</f>
        <v>30101046</v>
      </c>
      <c r="D1562" s="2" t="s">
        <v>2169</v>
      </c>
      <c r="E1562" s="4">
        <v>28600</v>
      </c>
    </row>
    <row r="1563" spans="1:5">
      <c r="A1563" s="2" t="s">
        <v>1478</v>
      </c>
      <c r="B1563" s="2" t="str">
        <f>"090410081"</f>
        <v>090410081</v>
      </c>
      <c r="C1563" s="2" t="str">
        <f>"090410081"</f>
        <v>090410081</v>
      </c>
      <c r="D1563" s="2" t="s">
        <v>2170</v>
      </c>
      <c r="E1563" s="4">
        <v>19600</v>
      </c>
    </row>
    <row r="1564" spans="1:5">
      <c r="A1564" s="2" t="s">
        <v>1478</v>
      </c>
      <c r="B1564" s="2" t="str">
        <f>"016850"</f>
        <v>016850</v>
      </c>
      <c r="C1564" s="2" t="str">
        <f>"016850"</f>
        <v>016850</v>
      </c>
      <c r="D1564" s="2" t="s">
        <v>2171</v>
      </c>
      <c r="E1564" s="4">
        <v>25000</v>
      </c>
    </row>
    <row r="1565" spans="1:5">
      <c r="A1565" s="2" t="s">
        <v>1478</v>
      </c>
      <c r="B1565" s="2" t="str">
        <f>"5000000137770"</f>
        <v>5000000137770</v>
      </c>
      <c r="C1565" s="2" t="str">
        <f>"282701"</f>
        <v>282701</v>
      </c>
      <c r="D1565" s="2" t="s">
        <v>2172</v>
      </c>
      <c r="E1565" s="4">
        <v>68000</v>
      </c>
    </row>
    <row r="1566" spans="1:5">
      <c r="A1566" s="2" t="s">
        <v>1478</v>
      </c>
      <c r="B1566" s="2" t="str">
        <f>"7777-3101"</f>
        <v>7777-3101</v>
      </c>
      <c r="C1566" s="2" t="str">
        <f>"010140182"</f>
        <v>010140182</v>
      </c>
      <c r="D1566" s="2" t="s">
        <v>2173</v>
      </c>
      <c r="E1566" s="4">
        <v>34000</v>
      </c>
    </row>
    <row r="1567" spans="1:5">
      <c r="A1567" s="2" t="s">
        <v>1478</v>
      </c>
      <c r="B1567" s="2" t="str">
        <f>"001412219-2"</f>
        <v>001412219-2</v>
      </c>
      <c r="C1567" s="2" t="str">
        <f>"1412219-2"</f>
        <v>1412219-2</v>
      </c>
      <c r="D1567" s="2" t="s">
        <v>2174</v>
      </c>
      <c r="E1567" s="4">
        <v>28600</v>
      </c>
    </row>
    <row r="1568" spans="1:5">
      <c r="A1568" s="2" t="s">
        <v>1478</v>
      </c>
      <c r="B1568" s="2" t="str">
        <f>"0011342"</f>
        <v>0011342</v>
      </c>
      <c r="C1568" s="2" t="str">
        <f>"0011342"</f>
        <v>0011342</v>
      </c>
      <c r="D1568" s="2" t="s">
        <v>2175</v>
      </c>
      <c r="E1568" s="4">
        <v>19600</v>
      </c>
    </row>
    <row r="1569" spans="1:5">
      <c r="A1569" s="2" t="s">
        <v>1478</v>
      </c>
      <c r="B1569" s="2" t="str">
        <f>"5000000386734"</f>
        <v>5000000386734</v>
      </c>
      <c r="C1569" s="2" t="str">
        <f>"017516"</f>
        <v>017516</v>
      </c>
      <c r="D1569" s="2" t="s">
        <v>2176</v>
      </c>
      <c r="E1569" s="4">
        <v>28000</v>
      </c>
    </row>
    <row r="1570" spans="1:5">
      <c r="A1570" s="2" t="s">
        <v>1478</v>
      </c>
      <c r="B1570" s="2" t="str">
        <f>"091440106"</f>
        <v>091440106</v>
      </c>
      <c r="C1570" s="2" t="s">
        <v>2177</v>
      </c>
      <c r="D1570" s="2" t="s">
        <v>2178</v>
      </c>
      <c r="E1570" s="4">
        <v>26800</v>
      </c>
    </row>
    <row r="1571" spans="1:5">
      <c r="A1571" s="2" t="s">
        <v>1478</v>
      </c>
      <c r="B1571" s="2" t="str">
        <f>"9954235"</f>
        <v>9954235</v>
      </c>
      <c r="C1571" s="2" t="str">
        <f>"9954235"</f>
        <v>9954235</v>
      </c>
      <c r="D1571" s="2" t="s">
        <v>2179</v>
      </c>
      <c r="E1571" s="4">
        <v>22300</v>
      </c>
    </row>
    <row r="1572" spans="1:5">
      <c r="A1572" s="2" t="s">
        <v>1478</v>
      </c>
      <c r="B1572" s="2" t="str">
        <f>"18770-4"</f>
        <v>18770-4</v>
      </c>
      <c r="C1572" s="2" t="str">
        <f>"18770-4"</f>
        <v>18770-4</v>
      </c>
      <c r="D1572" s="2" t="s">
        <v>2180</v>
      </c>
      <c r="E1572" s="4">
        <v>29500</v>
      </c>
    </row>
    <row r="1573" spans="1:5">
      <c r="A1573" s="2" t="s">
        <v>1478</v>
      </c>
      <c r="B1573" s="2" t="str">
        <f>"9951073"</f>
        <v>9951073</v>
      </c>
      <c r="C1573" s="2" t="str">
        <f>"9951073"</f>
        <v>9951073</v>
      </c>
      <c r="D1573" s="2" t="s">
        <v>2181</v>
      </c>
      <c r="E1573" s="4">
        <v>19600</v>
      </c>
    </row>
    <row r="1574" spans="1:5">
      <c r="A1574" s="2" t="s">
        <v>1478</v>
      </c>
      <c r="B1574" s="2" t="str">
        <f>"7777-3108"</f>
        <v>7777-3108</v>
      </c>
      <c r="C1574" s="2" t="str">
        <f>"7777-3108"</f>
        <v>7777-3108</v>
      </c>
      <c r="D1574" s="2" t="s">
        <v>2182</v>
      </c>
      <c r="E1574" s="4">
        <v>18700</v>
      </c>
    </row>
    <row r="1575" spans="1:5">
      <c r="A1575" s="2" t="s">
        <v>1478</v>
      </c>
      <c r="B1575" s="2" t="str">
        <f>"9941583"</f>
        <v>9941583</v>
      </c>
      <c r="C1575" s="2" t="str">
        <f>"9941583"</f>
        <v>9941583</v>
      </c>
      <c r="D1575" s="2" t="s">
        <v>2183</v>
      </c>
      <c r="E1575" s="4">
        <v>19600</v>
      </c>
    </row>
    <row r="1576" spans="1:5">
      <c r="A1576" s="2" t="s">
        <v>1478</v>
      </c>
      <c r="B1576" s="2" t="str">
        <f>"070870688"</f>
        <v>070870688</v>
      </c>
      <c r="C1576" s="2" t="str">
        <f>"070870688"</f>
        <v>070870688</v>
      </c>
      <c r="D1576" s="2" t="s">
        <v>2184</v>
      </c>
      <c r="E1576" s="4">
        <v>24100</v>
      </c>
    </row>
    <row r="1577" spans="1:5">
      <c r="A1577" s="2" t="s">
        <v>1478</v>
      </c>
      <c r="B1577" s="2" t="str">
        <f>"0014212"</f>
        <v>0014212</v>
      </c>
      <c r="C1577" s="2" t="str">
        <f>"0014212"</f>
        <v>0014212</v>
      </c>
      <c r="D1577" s="2" t="s">
        <v>2185</v>
      </c>
      <c r="E1577" s="4">
        <v>29000</v>
      </c>
    </row>
    <row r="1578" spans="1:5">
      <c r="A1578" s="2" t="s">
        <v>1478</v>
      </c>
      <c r="B1578" s="2" t="str">
        <f>"9954639"</f>
        <v>9954639</v>
      </c>
      <c r="C1578" s="2" t="str">
        <f>"9954639"</f>
        <v>9954639</v>
      </c>
      <c r="D1578" s="2" t="s">
        <v>2186</v>
      </c>
      <c r="E1578" s="4">
        <v>38500</v>
      </c>
    </row>
    <row r="1579" spans="1:5">
      <c r="A1579" s="2" t="s">
        <v>1478</v>
      </c>
      <c r="B1579" s="2" t="str">
        <f>"016905"</f>
        <v>016905</v>
      </c>
      <c r="C1579" s="2" t="str">
        <f>"016905"</f>
        <v>016905</v>
      </c>
      <c r="D1579" s="2" t="s">
        <v>2187</v>
      </c>
      <c r="E1579" s="4">
        <v>16000</v>
      </c>
    </row>
    <row r="1580" spans="1:5">
      <c r="A1580" s="2" t="s">
        <v>1478</v>
      </c>
      <c r="B1580" s="2" t="str">
        <f>"9941582"</f>
        <v>9941582</v>
      </c>
      <c r="C1580" s="2" t="str">
        <f>"9941582"</f>
        <v>9941582</v>
      </c>
      <c r="D1580" s="2" t="s">
        <v>2188</v>
      </c>
      <c r="E1580" s="4">
        <v>21000</v>
      </c>
    </row>
    <row r="1581" spans="1:5">
      <c r="A1581" s="2" t="s">
        <v>1478</v>
      </c>
      <c r="B1581" s="2" t="str">
        <f>"5000000174911"</f>
        <v>5000000174911</v>
      </c>
      <c r="C1581" s="2" t="str">
        <f>"283251"</f>
        <v>283251</v>
      </c>
      <c r="D1581" s="2" t="s">
        <v>2189</v>
      </c>
      <c r="E1581" s="4">
        <v>19600</v>
      </c>
    </row>
    <row r="1582" spans="1:5">
      <c r="A1582" s="2" t="s">
        <v>1478</v>
      </c>
      <c r="B1582" s="2" t="str">
        <f>"016890"</f>
        <v>016890</v>
      </c>
      <c r="C1582" s="2" t="str">
        <f>"016890"</f>
        <v>016890</v>
      </c>
      <c r="D1582" s="2" t="s">
        <v>2190</v>
      </c>
      <c r="E1582" s="4">
        <v>14200</v>
      </c>
    </row>
    <row r="1583" spans="1:5">
      <c r="A1583" s="2" t="s">
        <v>1478</v>
      </c>
      <c r="B1583" s="2" t="str">
        <f>"010140029"</f>
        <v>010140029</v>
      </c>
      <c r="C1583" s="2" t="str">
        <f>"87780"</f>
        <v>87780</v>
      </c>
      <c r="D1583" s="2" t="s">
        <v>2191</v>
      </c>
      <c r="E1583" s="4">
        <v>18000</v>
      </c>
    </row>
    <row r="1584" spans="1:5">
      <c r="A1584" s="2" t="s">
        <v>1478</v>
      </c>
      <c r="B1584" s="2" t="str">
        <f>"5000000136865"</f>
        <v>5000000136865</v>
      </c>
      <c r="C1584" s="2" t="str">
        <f>"260424"</f>
        <v>260424</v>
      </c>
      <c r="D1584" s="2" t="s">
        <v>2192</v>
      </c>
      <c r="E1584" s="4">
        <v>28000</v>
      </c>
    </row>
    <row r="1585" spans="1:5">
      <c r="A1585" s="2" t="s">
        <v>1478</v>
      </c>
      <c r="B1585" s="2" t="str">
        <f>"016846"</f>
        <v>016846</v>
      </c>
      <c r="C1585" s="2" t="str">
        <f>"016846"</f>
        <v>016846</v>
      </c>
      <c r="D1585" s="2" t="s">
        <v>2193</v>
      </c>
      <c r="E1585" s="4">
        <v>16000</v>
      </c>
    </row>
    <row r="1586" spans="1:5">
      <c r="A1586" s="2" t="s">
        <v>1478</v>
      </c>
      <c r="B1586" s="2" t="str">
        <f>"260418"</f>
        <v>260418</v>
      </c>
      <c r="C1586" s="2" t="str">
        <f>"260418"</f>
        <v>260418</v>
      </c>
      <c r="D1586" s="2" t="s">
        <v>2194</v>
      </c>
      <c r="E1586" s="4">
        <v>260418</v>
      </c>
    </row>
    <row r="1587" spans="1:5">
      <c r="A1587" s="2" t="s">
        <v>1478</v>
      </c>
      <c r="B1587" s="2" t="str">
        <f>"14951-9"</f>
        <v>14951-9</v>
      </c>
      <c r="C1587" s="2" t="str">
        <f>"14951-9"</f>
        <v>14951-9</v>
      </c>
      <c r="D1587" s="2" t="s">
        <v>2195</v>
      </c>
      <c r="E1587" s="4">
        <v>197000</v>
      </c>
    </row>
    <row r="1588" spans="1:5">
      <c r="A1588" s="2" t="s">
        <v>1478</v>
      </c>
      <c r="B1588" s="2" t="str">
        <f>"8700576"</f>
        <v>8700576</v>
      </c>
      <c r="C1588" s="2" t="str">
        <f>"8700576"</f>
        <v>8700576</v>
      </c>
      <c r="D1588" s="2" t="s">
        <v>2196</v>
      </c>
      <c r="E1588" s="4">
        <v>14500</v>
      </c>
    </row>
    <row r="1589" spans="1:5">
      <c r="A1589" s="2" t="s">
        <v>1478</v>
      </c>
      <c r="B1589" s="2" t="str">
        <f>"0012446"</f>
        <v>0012446</v>
      </c>
      <c r="C1589" s="2" t="str">
        <f>"0012446"</f>
        <v>0012446</v>
      </c>
      <c r="D1589" s="2" t="s">
        <v>2197</v>
      </c>
      <c r="E1589" s="4">
        <v>18000</v>
      </c>
    </row>
    <row r="1590" spans="1:5">
      <c r="A1590" s="2" t="s">
        <v>1478</v>
      </c>
      <c r="B1590" s="2" t="str">
        <f>"016445"</f>
        <v>016445</v>
      </c>
      <c r="C1590" s="2" t="str">
        <f>"016445"</f>
        <v>016445</v>
      </c>
      <c r="D1590" s="2" t="s">
        <v>2198</v>
      </c>
      <c r="E1590" s="4">
        <v>38500</v>
      </c>
    </row>
    <row r="1591" spans="1:5">
      <c r="A1591" s="2" t="s">
        <v>1478</v>
      </c>
      <c r="B1591" s="2" t="s">
        <v>2199</v>
      </c>
      <c r="C1591" s="2" t="s">
        <v>2200</v>
      </c>
      <c r="D1591" s="2" t="s">
        <v>2201</v>
      </c>
      <c r="E1591" s="4">
        <v>65000</v>
      </c>
    </row>
    <row r="1592" spans="1:5">
      <c r="A1592" s="2" t="s">
        <v>1478</v>
      </c>
      <c r="B1592" s="2" t="str">
        <f>"002012678-7"</f>
        <v>002012678-7</v>
      </c>
      <c r="C1592" s="2" t="str">
        <f>"002012678-7"</f>
        <v>002012678-7</v>
      </c>
      <c r="D1592" s="2" t="s">
        <v>2202</v>
      </c>
      <c r="E1592" s="4">
        <v>49000</v>
      </c>
    </row>
    <row r="1593" spans="1:5">
      <c r="A1593" s="2" t="s">
        <v>1478</v>
      </c>
      <c r="B1593" s="2" t="str">
        <f>"283881"</f>
        <v>283881</v>
      </c>
      <c r="C1593" s="2" t="str">
        <f>"283881"</f>
        <v>283881</v>
      </c>
      <c r="D1593" s="2" t="s">
        <v>2203</v>
      </c>
      <c r="E1593" s="4">
        <v>28000</v>
      </c>
    </row>
    <row r="1594" spans="1:5">
      <c r="A1594" s="2" t="s">
        <v>1478</v>
      </c>
      <c r="B1594" s="2" t="str">
        <f>"288013"</f>
        <v>288013</v>
      </c>
      <c r="C1594" s="2" t="str">
        <f>"288013"</f>
        <v>288013</v>
      </c>
      <c r="D1594" s="2" t="s">
        <v>2204</v>
      </c>
      <c r="E1594" s="4">
        <v>38000</v>
      </c>
    </row>
    <row r="1595" spans="1:5">
      <c r="A1595" s="2" t="s">
        <v>1478</v>
      </c>
      <c r="B1595" s="2" t="s">
        <v>2205</v>
      </c>
      <c r="C1595" s="2" t="s">
        <v>2205</v>
      </c>
      <c r="D1595" s="2" t="s">
        <v>2206</v>
      </c>
      <c r="E1595" s="4">
        <v>29000</v>
      </c>
    </row>
    <row r="1596" spans="1:5">
      <c r="A1596" s="2" t="s">
        <v>1478</v>
      </c>
      <c r="B1596" s="2" t="str">
        <f>"9941629"</f>
        <v>9941629</v>
      </c>
      <c r="C1596" s="2" t="str">
        <f>"9941629"</f>
        <v>9941629</v>
      </c>
      <c r="D1596" s="2" t="s">
        <v>2207</v>
      </c>
      <c r="E1596" s="4">
        <v>25000</v>
      </c>
    </row>
    <row r="1597" spans="1:5">
      <c r="A1597" s="2" t="s">
        <v>1478</v>
      </c>
      <c r="B1597" s="2" t="str">
        <f>"283322"</f>
        <v>283322</v>
      </c>
      <c r="C1597" s="2" t="str">
        <f>"283322"</f>
        <v>283322</v>
      </c>
      <c r="D1597" s="2" t="s">
        <v>2208</v>
      </c>
      <c r="E1597" s="4">
        <v>28000</v>
      </c>
    </row>
    <row r="1598" spans="1:5">
      <c r="A1598" s="2" t="s">
        <v>1478</v>
      </c>
      <c r="B1598" s="2" t="str">
        <f>"090410096"</f>
        <v>090410096</v>
      </c>
      <c r="C1598" s="2" t="s">
        <v>2209</v>
      </c>
      <c r="D1598" s="2" t="s">
        <v>2210</v>
      </c>
      <c r="E1598" s="4">
        <v>19900</v>
      </c>
    </row>
    <row r="1599" spans="1:5">
      <c r="A1599" s="2" t="s">
        <v>1478</v>
      </c>
      <c r="B1599" s="2" t="str">
        <f>"280653"</f>
        <v>280653</v>
      </c>
      <c r="C1599" s="2" t="str">
        <f>"280653"</f>
        <v>280653</v>
      </c>
      <c r="D1599" s="2" t="s">
        <v>2211</v>
      </c>
      <c r="E1599" s="4">
        <v>34000</v>
      </c>
    </row>
    <row r="1600" spans="1:5">
      <c r="A1600" s="2" t="s">
        <v>1478</v>
      </c>
      <c r="B1600" s="2" t="str">
        <f>"0013572"</f>
        <v>0013572</v>
      </c>
      <c r="C1600" s="2" t="str">
        <f>"0013572"</f>
        <v>0013572</v>
      </c>
      <c r="D1600" s="2" t="s">
        <v>2212</v>
      </c>
      <c r="E1600" s="4">
        <v>28600</v>
      </c>
    </row>
    <row r="1601" spans="1:5">
      <c r="A1601" s="2" t="s">
        <v>1478</v>
      </c>
      <c r="B1601" s="2" t="str">
        <f>"9941631"</f>
        <v>9941631</v>
      </c>
      <c r="C1601" s="2" t="str">
        <f>"9941631"</f>
        <v>9941631</v>
      </c>
      <c r="D1601" s="2" t="s">
        <v>2213</v>
      </c>
      <c r="E1601" s="4">
        <v>43000</v>
      </c>
    </row>
    <row r="1602" spans="1:5">
      <c r="A1602" s="2" t="s">
        <v>1478</v>
      </c>
      <c r="B1602" s="2" t="str">
        <f>"9941655"</f>
        <v>9941655</v>
      </c>
      <c r="C1602" s="2" t="str">
        <f>"9941655"</f>
        <v>9941655</v>
      </c>
      <c r="D1602" s="2" t="s">
        <v>2214</v>
      </c>
      <c r="E1602" s="4">
        <v>34000</v>
      </c>
    </row>
    <row r="1603" spans="1:5">
      <c r="A1603" s="2" t="s">
        <v>1478</v>
      </c>
      <c r="B1603" s="2" t="str">
        <f>"283352"</f>
        <v>283352</v>
      </c>
      <c r="C1603" s="2" t="str">
        <f>"283352"</f>
        <v>283352</v>
      </c>
      <c r="D1603" s="2" t="s">
        <v>2215</v>
      </c>
      <c r="E1603" s="4">
        <v>28600</v>
      </c>
    </row>
    <row r="1604" spans="1:5">
      <c r="A1604" s="2" t="s">
        <v>1478</v>
      </c>
      <c r="B1604" s="2" t="str">
        <f>"090410344"</f>
        <v>090410344</v>
      </c>
      <c r="C1604" s="2" t="str">
        <f>"090410344"</f>
        <v>090410344</v>
      </c>
      <c r="D1604" s="2" t="s">
        <v>2216</v>
      </c>
      <c r="E1604" s="4">
        <v>12400</v>
      </c>
    </row>
    <row r="1605" spans="1:5">
      <c r="A1605" s="2" t="s">
        <v>1478</v>
      </c>
      <c r="B1605" s="2" t="str">
        <f>"5000000231584"</f>
        <v>5000000231584</v>
      </c>
      <c r="C1605" s="2" t="str">
        <f>"288005"</f>
        <v>288005</v>
      </c>
      <c r="D1605" s="2" t="s">
        <v>2217</v>
      </c>
      <c r="E1605" s="4">
        <v>18700</v>
      </c>
    </row>
    <row r="1606" spans="1:5">
      <c r="A1606" s="2" t="s">
        <v>1478</v>
      </c>
      <c r="B1606" s="2" t="str">
        <f>"283354"</f>
        <v>283354</v>
      </c>
      <c r="C1606" s="2" t="str">
        <f>"283354"</f>
        <v>283354</v>
      </c>
      <c r="D1606" s="2" t="s">
        <v>2218</v>
      </c>
      <c r="E1606" s="4">
        <v>18700</v>
      </c>
    </row>
    <row r="1607" spans="1:5">
      <c r="A1607" s="2" t="s">
        <v>1478</v>
      </c>
      <c r="B1607" s="2" t="str">
        <f>"287516"</f>
        <v>287516</v>
      </c>
      <c r="C1607" s="2" t="str">
        <f>"287516"</f>
        <v>287516</v>
      </c>
      <c r="D1607" s="2" t="s">
        <v>2219</v>
      </c>
      <c r="E1607" s="4">
        <v>19600</v>
      </c>
    </row>
    <row r="1608" spans="1:5">
      <c r="A1608" s="2" t="s">
        <v>1478</v>
      </c>
      <c r="B1608" s="2" t="str">
        <f>"283538"</f>
        <v>283538</v>
      </c>
      <c r="C1608" s="2" t="str">
        <f>"283538"</f>
        <v>283538</v>
      </c>
      <c r="D1608" s="2" t="s">
        <v>2220</v>
      </c>
      <c r="E1608" s="4">
        <v>19900</v>
      </c>
    </row>
    <row r="1609" spans="1:5">
      <c r="A1609" s="2" t="s">
        <v>1478</v>
      </c>
      <c r="B1609" s="2" t="str">
        <f>"9954612"</f>
        <v>9954612</v>
      </c>
      <c r="C1609" s="2" t="str">
        <f>"9954612"</f>
        <v>9954612</v>
      </c>
      <c r="D1609" s="2" t="s">
        <v>2221</v>
      </c>
      <c r="E1609" s="4">
        <v>38500</v>
      </c>
    </row>
    <row r="1610" spans="1:5">
      <c r="A1610" s="2" t="s">
        <v>1478</v>
      </c>
      <c r="B1610" s="2" t="str">
        <f>"050188"</f>
        <v>050188</v>
      </c>
      <c r="C1610" s="2" t="str">
        <f>"050188 016700"</f>
        <v>050188 016700</v>
      </c>
      <c r="D1610" s="2" t="s">
        <v>2222</v>
      </c>
      <c r="E1610" s="4">
        <v>28000</v>
      </c>
    </row>
    <row r="1611" spans="1:5">
      <c r="A1611" s="2" t="s">
        <v>1478</v>
      </c>
      <c r="B1611" s="2" t="str">
        <f>"283944"</f>
        <v>283944</v>
      </c>
      <c r="C1611" s="2" t="str">
        <f>"283944"</f>
        <v>283944</v>
      </c>
      <c r="D1611" s="2" t="s">
        <v>2223</v>
      </c>
      <c r="E1611" s="4">
        <v>19000</v>
      </c>
    </row>
    <row r="1612" spans="1:5">
      <c r="A1612" s="2" t="s">
        <v>1478</v>
      </c>
      <c r="B1612" s="2" t="str">
        <f>"9951814"</f>
        <v>9951814</v>
      </c>
      <c r="C1612" s="2" t="str">
        <f>"9951814"</f>
        <v>9951814</v>
      </c>
      <c r="D1612" s="2" t="s">
        <v>2224</v>
      </c>
      <c r="E1612" s="4">
        <v>18700</v>
      </c>
    </row>
    <row r="1613" spans="1:5">
      <c r="A1613" s="2" t="s">
        <v>1478</v>
      </c>
      <c r="B1613" s="2" t="str">
        <f>"9941662"</f>
        <v>9941662</v>
      </c>
      <c r="C1613" s="2" t="str">
        <f>"9941662"</f>
        <v>9941662</v>
      </c>
      <c r="D1613" s="2" t="s">
        <v>2224</v>
      </c>
      <c r="E1613" s="4">
        <v>34000</v>
      </c>
    </row>
    <row r="1614" spans="1:5">
      <c r="A1614" s="2" t="s">
        <v>1478</v>
      </c>
      <c r="B1614" s="2" t="str">
        <f>"282614"</f>
        <v>282614</v>
      </c>
      <c r="C1614" s="2" t="str">
        <f>"282614"</f>
        <v>282614</v>
      </c>
      <c r="D1614" s="2" t="s">
        <v>2225</v>
      </c>
      <c r="E1614" s="4">
        <v>24900</v>
      </c>
    </row>
    <row r="1615" spans="1:5">
      <c r="A1615" s="2" t="s">
        <v>1478</v>
      </c>
      <c r="B1615" s="2" t="s">
        <v>2226</v>
      </c>
      <c r="C1615" s="2" t="s">
        <v>2226</v>
      </c>
      <c r="D1615" s="2" t="s">
        <v>2227</v>
      </c>
      <c r="E1615" s="4">
        <v>52000</v>
      </c>
    </row>
    <row r="1616" spans="1:5">
      <c r="A1616" s="2" t="s">
        <v>1478</v>
      </c>
      <c r="B1616" s="2" t="str">
        <f>"5000000364817"</f>
        <v>5000000364817</v>
      </c>
      <c r="C1616" s="2" t="str">
        <f>"016907"</f>
        <v>016907</v>
      </c>
      <c r="D1616" s="2" t="s">
        <v>2228</v>
      </c>
      <c r="E1616" s="4">
        <v>18000</v>
      </c>
    </row>
    <row r="1617" spans="1:5">
      <c r="A1617" s="2" t="s">
        <v>1478</v>
      </c>
      <c r="B1617" s="2" t="str">
        <f>"010140073"</f>
        <v>010140073</v>
      </c>
      <c r="C1617" s="2" t="str">
        <f>"010140073"</f>
        <v>010140073</v>
      </c>
      <c r="D1617" s="2" t="s">
        <v>2229</v>
      </c>
      <c r="E1617" s="4">
        <v>19000</v>
      </c>
    </row>
    <row r="1618" spans="1:5">
      <c r="A1618" s="2" t="s">
        <v>1478</v>
      </c>
      <c r="B1618" s="2" t="s">
        <v>2230</v>
      </c>
      <c r="C1618" s="2" t="s">
        <v>2230</v>
      </c>
      <c r="D1618" s="2" t="s">
        <v>2231</v>
      </c>
      <c r="E1618" s="4">
        <v>12400</v>
      </c>
    </row>
    <row r="1619" spans="1:5">
      <c r="A1619" s="2" t="s">
        <v>1478</v>
      </c>
      <c r="B1619" s="2" t="s">
        <v>2232</v>
      </c>
      <c r="C1619" s="2" t="s">
        <v>2232</v>
      </c>
      <c r="D1619" s="2" t="s">
        <v>2233</v>
      </c>
      <c r="E1619" s="4">
        <v>18700</v>
      </c>
    </row>
    <row r="1620" spans="1:5">
      <c r="A1620" s="2" t="s">
        <v>1478</v>
      </c>
      <c r="B1620" s="2" t="str">
        <f>"00102M27"</f>
        <v>00102M27</v>
      </c>
      <c r="C1620" s="2" t="str">
        <f>"00102M27"</f>
        <v>00102M27</v>
      </c>
      <c r="D1620" s="2" t="s">
        <v>2234</v>
      </c>
      <c r="E1620" s="4">
        <v>25500</v>
      </c>
    </row>
    <row r="1621" spans="1:5">
      <c r="A1621" s="2" t="s">
        <v>1478</v>
      </c>
      <c r="B1621" s="2" t="s">
        <v>2235</v>
      </c>
      <c r="C1621" s="2" t="s">
        <v>2235</v>
      </c>
      <c r="D1621" s="2" t="s">
        <v>2236</v>
      </c>
      <c r="E1621" s="4">
        <v>28600</v>
      </c>
    </row>
    <row r="1622" spans="1:5">
      <c r="A1622" s="2" t="s">
        <v>1478</v>
      </c>
      <c r="B1622" s="2" t="s">
        <v>2237</v>
      </c>
      <c r="C1622" s="2" t="s">
        <v>2237</v>
      </c>
      <c r="D1622" s="2" t="s">
        <v>2238</v>
      </c>
      <c r="E1622" s="4">
        <v>34000</v>
      </c>
    </row>
    <row r="1623" spans="1:5">
      <c r="A1623" s="2" t="s">
        <v>1478</v>
      </c>
      <c r="B1623" s="2" t="str">
        <f>"010140172 9941632"</f>
        <v>010140172 9941632</v>
      </c>
      <c r="C1623" s="2" t="s">
        <v>2239</v>
      </c>
      <c r="D1623" s="2" t="s">
        <v>2240</v>
      </c>
      <c r="E1623" s="4">
        <v>49300</v>
      </c>
    </row>
    <row r="1624" spans="1:5">
      <c r="A1624" s="2" t="s">
        <v>1478</v>
      </c>
      <c r="B1624" s="2" t="str">
        <f>"090410111"</f>
        <v>090410111</v>
      </c>
      <c r="C1624" s="2" t="str">
        <f>"09410111"</f>
        <v>09410111</v>
      </c>
      <c r="D1624" s="2" t="s">
        <v>2241</v>
      </c>
      <c r="E1624" s="4">
        <v>19600</v>
      </c>
    </row>
    <row r="1625" spans="1:5">
      <c r="A1625" s="2" t="s">
        <v>1478</v>
      </c>
      <c r="B1625" s="2" t="str">
        <f>"007262"</f>
        <v>007262</v>
      </c>
      <c r="C1625" s="2" t="str">
        <f>"007262"</f>
        <v>007262</v>
      </c>
      <c r="D1625" s="2" t="s">
        <v>2242</v>
      </c>
      <c r="E1625" s="4">
        <v>29500</v>
      </c>
    </row>
    <row r="1626" spans="1:5">
      <c r="A1626" s="2" t="s">
        <v>1478</v>
      </c>
      <c r="B1626" s="2" t="str">
        <f>"090410306"</f>
        <v>090410306</v>
      </c>
      <c r="C1626" s="2" t="str">
        <f>"090410306"</f>
        <v>090410306</v>
      </c>
      <c r="D1626" s="2" t="s">
        <v>2243</v>
      </c>
      <c r="E1626" s="4">
        <v>25000</v>
      </c>
    </row>
    <row r="1627" spans="1:5">
      <c r="A1627" s="2" t="s">
        <v>1478</v>
      </c>
      <c r="B1627" s="2" t="str">
        <f>"282529"</f>
        <v>282529</v>
      </c>
      <c r="C1627" s="2" t="str">
        <f>"282529"</f>
        <v>282529</v>
      </c>
      <c r="D1627" s="2" t="s">
        <v>2244</v>
      </c>
      <c r="E1627" s="4">
        <v>52000</v>
      </c>
    </row>
    <row r="1628" spans="1:5">
      <c r="A1628" s="2" t="s">
        <v>1478</v>
      </c>
      <c r="B1628" s="2" t="str">
        <f>"283699"</f>
        <v>283699</v>
      </c>
      <c r="C1628" s="2" t="str">
        <f>"283699"</f>
        <v>283699</v>
      </c>
      <c r="D1628" s="2" t="s">
        <v>2245</v>
      </c>
      <c r="E1628" s="4">
        <v>38000</v>
      </c>
    </row>
    <row r="1629" spans="1:5">
      <c r="A1629" s="2" t="s">
        <v>1478</v>
      </c>
      <c r="B1629" s="2" t="str">
        <f>"287370"</f>
        <v>287370</v>
      </c>
      <c r="C1629" s="2" t="str">
        <f>"287370"</f>
        <v>287370</v>
      </c>
      <c r="D1629" s="2" t="s">
        <v>2246</v>
      </c>
      <c r="E1629" s="4">
        <v>43000</v>
      </c>
    </row>
    <row r="1630" spans="1:5">
      <c r="A1630" s="2" t="s">
        <v>1478</v>
      </c>
      <c r="B1630" s="2" t="str">
        <f>"5000000138333"</f>
        <v>5000000138333</v>
      </c>
      <c r="C1630" s="2" t="str">
        <f>"283342"</f>
        <v>283342</v>
      </c>
      <c r="D1630" s="2" t="s">
        <v>2247</v>
      </c>
      <c r="E1630" s="4">
        <v>19900</v>
      </c>
    </row>
    <row r="1631" spans="1:5">
      <c r="A1631" s="2" t="s">
        <v>1478</v>
      </c>
      <c r="B1631" s="2" t="str">
        <f>"090410089"</f>
        <v>090410089</v>
      </c>
      <c r="C1631" s="2" t="str">
        <f>"090410089"</f>
        <v>090410089</v>
      </c>
      <c r="D1631" s="2" t="s">
        <v>2248</v>
      </c>
      <c r="E1631" s="4">
        <v>18700</v>
      </c>
    </row>
    <row r="1632" spans="1:5">
      <c r="A1632" s="2" t="s">
        <v>1478</v>
      </c>
      <c r="B1632" s="2" t="str">
        <f>"016897"</f>
        <v>016897</v>
      </c>
      <c r="C1632" s="2" t="str">
        <f>"016897"</f>
        <v>016897</v>
      </c>
      <c r="D1632" s="2" t="s">
        <v>2249</v>
      </c>
      <c r="E1632" s="4">
        <v>18700</v>
      </c>
    </row>
    <row r="1633" spans="1:5">
      <c r="A1633" s="2" t="s">
        <v>1478</v>
      </c>
      <c r="B1633" s="2" t="str">
        <f>"016896"</f>
        <v>016896</v>
      </c>
      <c r="C1633" s="2" t="str">
        <f>"016896"</f>
        <v>016896</v>
      </c>
      <c r="D1633" s="2" t="s">
        <v>2250</v>
      </c>
      <c r="E1633" s="4">
        <v>19000</v>
      </c>
    </row>
    <row r="1634" spans="1:5">
      <c r="A1634" s="2" t="s">
        <v>1478</v>
      </c>
      <c r="B1634" s="2" t="str">
        <f>"283332"</f>
        <v>283332</v>
      </c>
      <c r="C1634" s="2" t="str">
        <f>"283332"</f>
        <v>283332</v>
      </c>
      <c r="D1634" s="2" t="s">
        <v>2251</v>
      </c>
      <c r="E1634" s="4">
        <v>21400</v>
      </c>
    </row>
    <row r="1635" spans="1:5">
      <c r="A1635" s="2" t="s">
        <v>1478</v>
      </c>
      <c r="B1635" s="2" t="str">
        <f>"7775061"</f>
        <v>7775061</v>
      </c>
      <c r="C1635" s="2" t="str">
        <f>"77775061"</f>
        <v>77775061</v>
      </c>
      <c r="D1635" s="2" t="s">
        <v>2252</v>
      </c>
      <c r="E1635" s="4">
        <v>28000</v>
      </c>
    </row>
    <row r="1636" spans="1:5">
      <c r="A1636" s="2" t="s">
        <v>1478</v>
      </c>
      <c r="B1636" s="2" t="str">
        <f>"280652"</f>
        <v>280652</v>
      </c>
      <c r="C1636" s="2" t="str">
        <f>"280652"</f>
        <v>280652</v>
      </c>
      <c r="D1636" s="2" t="s">
        <v>2253</v>
      </c>
      <c r="E1636" s="4">
        <v>34000</v>
      </c>
    </row>
    <row r="1637" spans="1:5">
      <c r="A1637" s="2" t="s">
        <v>1478</v>
      </c>
      <c r="B1637" s="2" t="str">
        <f>"9941616"</f>
        <v>9941616</v>
      </c>
      <c r="C1637" s="2" t="str">
        <f>"9941616"</f>
        <v>9941616</v>
      </c>
      <c r="D1637" s="2" t="s">
        <v>2254</v>
      </c>
      <c r="E1637" s="4">
        <v>59000</v>
      </c>
    </row>
    <row r="1638" spans="1:5">
      <c r="A1638" s="2" t="s">
        <v>1478</v>
      </c>
      <c r="B1638" s="2" t="s">
        <v>2255</v>
      </c>
      <c r="C1638" s="2" t="str">
        <f>"9951813"</f>
        <v>9951813</v>
      </c>
      <c r="D1638" s="2" t="s">
        <v>2256</v>
      </c>
      <c r="E1638" s="4">
        <v>39000</v>
      </c>
    </row>
    <row r="1639" spans="1:5">
      <c r="A1639" s="2" t="s">
        <v>1478</v>
      </c>
      <c r="B1639" s="2" t="str">
        <f>"010140036"</f>
        <v>010140036</v>
      </c>
      <c r="C1639" s="2" t="str">
        <f>"010140036"</f>
        <v>010140036</v>
      </c>
      <c r="D1639" s="2" t="s">
        <v>2257</v>
      </c>
      <c r="E1639" s="4">
        <v>16000</v>
      </c>
    </row>
    <row r="1640" spans="1:5">
      <c r="A1640" s="2" t="s">
        <v>1478</v>
      </c>
      <c r="B1640" s="2" t="str">
        <f>"016899"</f>
        <v>016899</v>
      </c>
      <c r="C1640" s="2" t="str">
        <f>"016899"</f>
        <v>016899</v>
      </c>
      <c r="D1640" s="2" t="s">
        <v>2258</v>
      </c>
      <c r="E1640" s="4">
        <v>25000</v>
      </c>
    </row>
    <row r="1641" spans="1:5">
      <c r="A1641" s="2" t="s">
        <v>1478</v>
      </c>
      <c r="B1641" s="2" t="str">
        <f>"9947355"</f>
        <v>9947355</v>
      </c>
      <c r="C1641" s="2" t="s">
        <v>2259</v>
      </c>
      <c r="D1641" s="2" t="s">
        <v>2260</v>
      </c>
      <c r="E1641" s="4">
        <v>25000</v>
      </c>
    </row>
    <row r="1642" spans="1:5">
      <c r="A1642" s="2" t="s">
        <v>1478</v>
      </c>
      <c r="B1642" s="2" t="str">
        <f>"016870"</f>
        <v>016870</v>
      </c>
      <c r="C1642" s="2" t="str">
        <f>"016870"</f>
        <v>016870</v>
      </c>
      <c r="D1642" s="2" t="s">
        <v>2260</v>
      </c>
      <c r="E1642" s="4">
        <v>16000</v>
      </c>
    </row>
    <row r="1643" spans="1:5">
      <c r="A1643" s="2" t="s">
        <v>1478</v>
      </c>
      <c r="B1643" s="2" t="str">
        <f>"9954586"</f>
        <v>9954586</v>
      </c>
      <c r="C1643" s="2" t="str">
        <f>"9954586"</f>
        <v>9954586</v>
      </c>
      <c r="D1643" s="2" t="s">
        <v>2260</v>
      </c>
      <c r="E1643" s="4">
        <v>19600</v>
      </c>
    </row>
    <row r="1644" spans="1:5">
      <c r="A1644" s="2" t="s">
        <v>1478</v>
      </c>
      <c r="B1644" s="2" t="str">
        <f>"5000000137008"</f>
        <v>5000000137008</v>
      </c>
      <c r="C1644" s="2" t="str">
        <f>"280434"</f>
        <v>280434</v>
      </c>
      <c r="D1644" s="2" t="s">
        <v>2261</v>
      </c>
      <c r="E1644" s="4">
        <v>34000</v>
      </c>
    </row>
    <row r="1645" spans="1:5">
      <c r="A1645" s="2" t="s">
        <v>1478</v>
      </c>
      <c r="B1645" s="2" t="str">
        <f>"0135590"</f>
        <v>0135590</v>
      </c>
      <c r="C1645" s="2" t="str">
        <f>"0135590"</f>
        <v>0135590</v>
      </c>
      <c r="D1645" s="2" t="s">
        <v>2262</v>
      </c>
      <c r="E1645" s="4">
        <v>18700</v>
      </c>
    </row>
    <row r="1646" spans="1:5">
      <c r="A1646" s="2" t="s">
        <v>1478</v>
      </c>
      <c r="B1646" s="2" t="str">
        <f>"0135593"</f>
        <v>0135593</v>
      </c>
      <c r="C1646" s="2" t="str">
        <f>"0135593"</f>
        <v>0135593</v>
      </c>
      <c r="D1646" s="2" t="s">
        <v>2263</v>
      </c>
      <c r="E1646" s="4">
        <v>18000</v>
      </c>
    </row>
    <row r="1647" spans="1:5">
      <c r="A1647" s="2" t="s">
        <v>1478</v>
      </c>
      <c r="B1647" s="2" t="str">
        <f>"016903"</f>
        <v>016903</v>
      </c>
      <c r="C1647" s="2" t="str">
        <f>"016903"</f>
        <v>016903</v>
      </c>
      <c r="D1647" s="2" t="s">
        <v>2264</v>
      </c>
      <c r="E1647" s="4">
        <v>28000</v>
      </c>
    </row>
    <row r="1648" spans="1:5">
      <c r="A1648" s="2" t="s">
        <v>1478</v>
      </c>
      <c r="B1648" s="2" t="str">
        <f>"170747"</f>
        <v>170747</v>
      </c>
      <c r="C1648" s="2" t="str">
        <f>"170747"</f>
        <v>170747</v>
      </c>
      <c r="D1648" s="2" t="s">
        <v>2265</v>
      </c>
      <c r="E1648" s="4">
        <v>12400</v>
      </c>
    </row>
    <row r="1649" spans="1:5">
      <c r="A1649" s="2" t="s">
        <v>1478</v>
      </c>
      <c r="B1649" s="2" t="str">
        <f>"0100917"</f>
        <v>0100917</v>
      </c>
      <c r="C1649" s="2" t="str">
        <f>"0100917"</f>
        <v>0100917</v>
      </c>
      <c r="D1649" s="2" t="s">
        <v>2266</v>
      </c>
      <c r="E1649" s="4">
        <v>12400</v>
      </c>
    </row>
    <row r="1650" spans="1:5">
      <c r="A1650" s="2" t="s">
        <v>1478</v>
      </c>
      <c r="B1650" s="2" t="str">
        <f>"010140116"</f>
        <v>010140116</v>
      </c>
      <c r="C1650" s="2" t="str">
        <f>"010140116"</f>
        <v>010140116</v>
      </c>
      <c r="D1650" s="2" t="s">
        <v>2267</v>
      </c>
      <c r="E1650" s="4">
        <v>18700</v>
      </c>
    </row>
    <row r="1651" spans="1:5">
      <c r="A1651" s="2" t="s">
        <v>1478</v>
      </c>
      <c r="B1651" s="2" t="str">
        <f>"21010-59Y00"</f>
        <v>21010-59Y00</v>
      </c>
      <c r="C1651" s="2" t="s">
        <v>2268</v>
      </c>
      <c r="D1651" s="2" t="s">
        <v>2269</v>
      </c>
      <c r="E1651" s="4">
        <v>14000</v>
      </c>
    </row>
    <row r="1652" spans="1:5">
      <c r="A1652" s="2" t="s">
        <v>1478</v>
      </c>
      <c r="B1652" s="2" t="str">
        <f>"00102N01"</f>
        <v>00102N01</v>
      </c>
      <c r="C1652" s="2" t="str">
        <f>"00102N01"</f>
        <v>00102N01</v>
      </c>
      <c r="D1652" s="2" t="s">
        <v>2270</v>
      </c>
      <c r="E1652" s="4">
        <v>15100</v>
      </c>
    </row>
    <row r="1653" spans="1:5">
      <c r="A1653" s="2" t="s">
        <v>1478</v>
      </c>
      <c r="B1653" s="2" t="str">
        <f>"00102N24"</f>
        <v>00102N24</v>
      </c>
      <c r="C1653" s="2" t="str">
        <f>"00102N24"</f>
        <v>00102N24</v>
      </c>
      <c r="D1653" s="2" t="s">
        <v>2271</v>
      </c>
      <c r="E1653" s="4">
        <v>8800</v>
      </c>
    </row>
    <row r="1654" spans="1:5">
      <c r="A1654" s="2" t="s">
        <v>1478</v>
      </c>
      <c r="B1654" s="2" t="str">
        <f>"090410069"</f>
        <v>090410069</v>
      </c>
      <c r="C1654" s="2" t="str">
        <f>"090410069"</f>
        <v>090410069</v>
      </c>
      <c r="D1654" s="2" t="s">
        <v>2272</v>
      </c>
      <c r="E1654" s="4">
        <v>10600</v>
      </c>
    </row>
    <row r="1655" spans="1:5">
      <c r="A1655" s="2" t="s">
        <v>1478</v>
      </c>
      <c r="B1655" s="2" t="str">
        <f>"090410073"</f>
        <v>090410073</v>
      </c>
      <c r="C1655" s="2" t="str">
        <f>"090410073"</f>
        <v>090410073</v>
      </c>
      <c r="D1655" s="2" t="s">
        <v>2273</v>
      </c>
      <c r="E1655" s="4">
        <v>11500</v>
      </c>
    </row>
    <row r="1656" spans="1:5">
      <c r="A1656" s="2" t="s">
        <v>1478</v>
      </c>
      <c r="B1656" s="2" t="s">
        <v>2274</v>
      </c>
      <c r="C1656" s="2" t="s">
        <v>2274</v>
      </c>
      <c r="D1656" s="2" t="s">
        <v>2275</v>
      </c>
      <c r="E1656" s="4">
        <v>9700</v>
      </c>
    </row>
    <row r="1657" spans="1:5">
      <c r="A1657" s="2" t="s">
        <v>1478</v>
      </c>
      <c r="B1657" s="2" t="str">
        <f>"234100"</f>
        <v>234100</v>
      </c>
      <c r="C1657" s="2" t="str">
        <f>"234100"</f>
        <v>234100</v>
      </c>
      <c r="D1657" s="2" t="s">
        <v>2276</v>
      </c>
      <c r="E1657" s="4">
        <v>8000</v>
      </c>
    </row>
    <row r="1658" spans="1:5">
      <c r="A1658" s="2" t="s">
        <v>1478</v>
      </c>
      <c r="B1658" s="2" t="str">
        <f>"010140039"</f>
        <v>010140039</v>
      </c>
      <c r="C1658" s="2" t="str">
        <f>"010140039"</f>
        <v>010140039</v>
      </c>
      <c r="D1658" s="2" t="s">
        <v>2277</v>
      </c>
      <c r="E1658" s="4">
        <v>19000</v>
      </c>
    </row>
    <row r="1659" spans="1:5">
      <c r="A1659" s="2" t="s">
        <v>1478</v>
      </c>
      <c r="B1659" s="2" t="str">
        <f>"016922"</f>
        <v>016922</v>
      </c>
      <c r="C1659" s="2" t="str">
        <f>"016922"</f>
        <v>016922</v>
      </c>
      <c r="D1659" s="2" t="s">
        <v>2278</v>
      </c>
      <c r="E1659" s="4">
        <v>16000</v>
      </c>
    </row>
    <row r="1660" spans="1:5">
      <c r="A1660" s="2" t="s">
        <v>1478</v>
      </c>
      <c r="B1660" s="2" t="str">
        <f>"9954620"</f>
        <v>9954620</v>
      </c>
      <c r="C1660" s="2" t="str">
        <f>"9954620"</f>
        <v>9954620</v>
      </c>
      <c r="D1660" s="2" t="s">
        <v>2279</v>
      </c>
      <c r="E1660" s="4">
        <v>48400</v>
      </c>
    </row>
    <row r="1661" spans="1:5">
      <c r="A1661" s="2" t="s">
        <v>1478</v>
      </c>
      <c r="B1661" s="2" t="str">
        <f>"050651"</f>
        <v>050651</v>
      </c>
      <c r="C1661" s="2" t="str">
        <f>"050651"</f>
        <v>050651</v>
      </c>
      <c r="D1661" s="2" t="s">
        <v>2280</v>
      </c>
      <c r="E1661" s="4">
        <v>17900</v>
      </c>
    </row>
    <row r="1662" spans="1:5">
      <c r="A1662" s="2" t="s">
        <v>1478</v>
      </c>
      <c r="B1662" s="2" t="str">
        <f>"9954587"</f>
        <v>9954587</v>
      </c>
      <c r="C1662" s="2" t="str">
        <f>"9954587"</f>
        <v>9954587</v>
      </c>
      <c r="D1662" s="2" t="s">
        <v>2281</v>
      </c>
      <c r="E1662" s="4">
        <v>48400</v>
      </c>
    </row>
    <row r="1663" spans="1:5">
      <c r="A1663" s="2" t="s">
        <v>1478</v>
      </c>
      <c r="B1663" s="2" t="str">
        <f>"287522"</f>
        <v>287522</v>
      </c>
      <c r="C1663" s="2" t="str">
        <f>"287522"</f>
        <v>287522</v>
      </c>
      <c r="D1663" s="2" t="s">
        <v>2281</v>
      </c>
      <c r="E1663" s="4">
        <v>38900</v>
      </c>
    </row>
    <row r="1664" spans="1:5">
      <c r="A1664" s="2" t="s">
        <v>1478</v>
      </c>
      <c r="B1664" s="2" t="str">
        <f>"010140265"</f>
        <v>010140265</v>
      </c>
      <c r="C1664" s="2" t="str">
        <f>"411210-5"</f>
        <v>411210-5</v>
      </c>
      <c r="D1664" s="2" t="s">
        <v>2282</v>
      </c>
      <c r="E1664" s="4">
        <v>39000</v>
      </c>
    </row>
    <row r="1665" spans="1:5">
      <c r="A1665" s="2" t="s">
        <v>1478</v>
      </c>
      <c r="B1665" s="2" t="str">
        <f>"5000000328970"</f>
        <v>5000000328970</v>
      </c>
      <c r="C1665" s="2" t="str">
        <f>"050586"</f>
        <v>050586</v>
      </c>
      <c r="D1665" s="2" t="s">
        <v>2283</v>
      </c>
      <c r="E1665" s="4">
        <v>28600</v>
      </c>
    </row>
    <row r="1666" spans="1:5">
      <c r="A1666" s="2" t="s">
        <v>1478</v>
      </c>
      <c r="B1666" s="2" t="str">
        <f>"090410525"</f>
        <v>090410525</v>
      </c>
      <c r="C1666" s="2" t="str">
        <f>"090410525"</f>
        <v>090410525</v>
      </c>
      <c r="D1666" s="2" t="s">
        <v>2284</v>
      </c>
      <c r="E1666" s="4">
        <v>19600</v>
      </c>
    </row>
    <row r="1667" spans="1:5">
      <c r="A1667" s="2" t="s">
        <v>1478</v>
      </c>
      <c r="B1667" s="2" t="str">
        <f>"9947353"</f>
        <v>9947353</v>
      </c>
      <c r="C1667" s="2" t="str">
        <f>"9947353"</f>
        <v>9947353</v>
      </c>
      <c r="D1667" s="2" t="s">
        <v>2285</v>
      </c>
      <c r="E1667" s="4">
        <v>24100</v>
      </c>
    </row>
    <row r="1668" spans="1:5">
      <c r="A1668" s="2" t="s">
        <v>1478</v>
      </c>
      <c r="B1668" s="2" t="str">
        <f>"0100913"</f>
        <v>0100913</v>
      </c>
      <c r="C1668" s="2" t="str">
        <f>"0100913"</f>
        <v>0100913</v>
      </c>
      <c r="D1668" s="2" t="s">
        <v>2286</v>
      </c>
      <c r="E1668" s="4">
        <v>12400</v>
      </c>
    </row>
    <row r="1669" spans="1:5">
      <c r="A1669" s="2" t="s">
        <v>1478</v>
      </c>
      <c r="B1669" s="2" t="str">
        <f>"090410075"</f>
        <v>090410075</v>
      </c>
      <c r="C1669" s="2" t="str">
        <f>"090410075"</f>
        <v>090410075</v>
      </c>
      <c r="D1669" s="2" t="s">
        <v>2287</v>
      </c>
      <c r="E1669" s="4">
        <v>8900</v>
      </c>
    </row>
    <row r="1670" spans="1:5">
      <c r="A1670" s="2" t="s">
        <v>1478</v>
      </c>
      <c r="B1670" s="2" t="str">
        <f>"283346"</f>
        <v>283346</v>
      </c>
      <c r="C1670" s="2" t="str">
        <f>"77771042"</f>
        <v>77771042</v>
      </c>
      <c r="D1670" s="2" t="s">
        <v>2288</v>
      </c>
      <c r="E1670" s="4">
        <v>19600</v>
      </c>
    </row>
    <row r="1671" spans="1:5">
      <c r="A1671" s="2" t="s">
        <v>1478</v>
      </c>
      <c r="B1671" s="2" t="str">
        <f>"9954588"</f>
        <v>9954588</v>
      </c>
      <c r="C1671" s="2" t="str">
        <f>"9954588"</f>
        <v>9954588</v>
      </c>
      <c r="D1671" s="2" t="s">
        <v>2289</v>
      </c>
      <c r="E1671" s="4">
        <v>18700</v>
      </c>
    </row>
    <row r="1672" spans="1:5">
      <c r="A1672" s="2" t="s">
        <v>1478</v>
      </c>
      <c r="B1672" s="2" t="str">
        <f>"313087-8"</f>
        <v>313087-8</v>
      </c>
      <c r="C1672" s="2" t="str">
        <f>"313087-8"</f>
        <v>313087-8</v>
      </c>
      <c r="D1672" s="2" t="s">
        <v>2290</v>
      </c>
      <c r="E1672" s="4">
        <v>19900</v>
      </c>
    </row>
    <row r="1673" spans="1:5">
      <c r="A1673" s="2" t="s">
        <v>1478</v>
      </c>
      <c r="B1673" s="2" t="str">
        <f>"0013940"</f>
        <v>0013940</v>
      </c>
      <c r="C1673" s="2" t="str">
        <f>"0500413 9947359"</f>
        <v>0500413 9947359</v>
      </c>
      <c r="D1673" s="2" t="s">
        <v>2291</v>
      </c>
      <c r="E1673" s="4">
        <v>28000</v>
      </c>
    </row>
    <row r="1674" spans="1:5">
      <c r="A1674" s="2" t="s">
        <v>1478</v>
      </c>
      <c r="B1674" s="2" t="str">
        <f>"9954585"</f>
        <v>9954585</v>
      </c>
      <c r="C1674" s="2" t="str">
        <f>"9954585"</f>
        <v>9954585</v>
      </c>
      <c r="D1674" s="2" t="s">
        <v>2292</v>
      </c>
      <c r="E1674" s="4">
        <v>21400</v>
      </c>
    </row>
    <row r="1675" spans="1:5">
      <c r="A1675" s="2" t="s">
        <v>1478</v>
      </c>
      <c r="B1675" s="2" t="str">
        <f>"090410393"</f>
        <v>090410393</v>
      </c>
      <c r="C1675" s="2" t="str">
        <f>"0500458"</f>
        <v>0500458</v>
      </c>
      <c r="D1675" s="2" t="s">
        <v>2293</v>
      </c>
      <c r="E1675" s="4">
        <v>18700</v>
      </c>
    </row>
    <row r="1676" spans="1:5">
      <c r="A1676" s="2" t="s">
        <v>1478</v>
      </c>
      <c r="B1676" s="2" t="str">
        <f>"00102SUB12"</f>
        <v>00102SUB12</v>
      </c>
      <c r="C1676" s="2" t="str">
        <f>"00102SUB12"</f>
        <v>00102SUB12</v>
      </c>
      <c r="D1676" s="2" t="s">
        <v>2294</v>
      </c>
      <c r="E1676" s="4">
        <v>22300</v>
      </c>
    </row>
    <row r="1677" spans="1:5">
      <c r="A1677" s="2" t="s">
        <v>1478</v>
      </c>
      <c r="B1677" s="2" t="str">
        <f>"283349"</f>
        <v>283349</v>
      </c>
      <c r="C1677" s="2" t="str">
        <f>"283349"</f>
        <v>283349</v>
      </c>
      <c r="D1677" s="2" t="s">
        <v>2295</v>
      </c>
      <c r="E1677" s="4">
        <v>18000</v>
      </c>
    </row>
    <row r="1678" spans="1:5">
      <c r="A1678" s="2" t="s">
        <v>1478</v>
      </c>
      <c r="B1678" s="2" t="str">
        <f>"287519"</f>
        <v>287519</v>
      </c>
      <c r="C1678" s="2" t="str">
        <f>"287519"</f>
        <v>287519</v>
      </c>
      <c r="D1678" s="2" t="s">
        <v>2296</v>
      </c>
      <c r="E1678" s="4">
        <v>28000</v>
      </c>
    </row>
    <row r="1679" spans="1:5">
      <c r="A1679" s="2" t="s">
        <v>1478</v>
      </c>
      <c r="B1679" s="2" t="str">
        <f>"010140079"</f>
        <v>010140079</v>
      </c>
      <c r="C1679" s="2" t="str">
        <f>"016874 Z000173"</f>
        <v>016874 Z000173</v>
      </c>
      <c r="D1679" s="2" t="s">
        <v>2297</v>
      </c>
      <c r="E1679" s="4">
        <v>14500</v>
      </c>
    </row>
    <row r="1680" spans="1:5">
      <c r="A1680" s="2" t="s">
        <v>1478</v>
      </c>
      <c r="B1680" s="2" t="str">
        <f>"0013462"</f>
        <v>0013462</v>
      </c>
      <c r="C1680" s="2" t="s">
        <v>2298</v>
      </c>
      <c r="D1680" s="2" t="s">
        <v>2299</v>
      </c>
      <c r="E1680" s="4">
        <v>18700</v>
      </c>
    </row>
    <row r="1681" spans="1:5">
      <c r="A1681" s="2" t="s">
        <v>1478</v>
      </c>
      <c r="B1681" s="2" t="str">
        <f>"090410099"</f>
        <v>090410099</v>
      </c>
      <c r="C1681" s="2" t="str">
        <f>"1712226-6"</f>
        <v>1712226-6</v>
      </c>
      <c r="D1681" s="2" t="s">
        <v>2300</v>
      </c>
      <c r="E1681" s="4">
        <v>9900</v>
      </c>
    </row>
    <row r="1682" spans="1:5">
      <c r="A1682" s="2" t="s">
        <v>1478</v>
      </c>
      <c r="B1682" s="2" t="str">
        <f>"280419"</f>
        <v>280419</v>
      </c>
      <c r="C1682" s="2" t="str">
        <f>"280419"</f>
        <v>280419</v>
      </c>
      <c r="D1682" s="2" t="s">
        <v>2301</v>
      </c>
      <c r="E1682" s="4">
        <v>38000</v>
      </c>
    </row>
    <row r="1683" spans="1:5">
      <c r="A1683" s="2" t="s">
        <v>1478</v>
      </c>
      <c r="B1683" s="2" t="s">
        <v>2302</v>
      </c>
      <c r="C1683" s="2" t="s">
        <v>2302</v>
      </c>
      <c r="D1683" s="2" t="s">
        <v>2303</v>
      </c>
      <c r="E1683" s="4">
        <v>9700</v>
      </c>
    </row>
    <row r="1684" spans="1:5">
      <c r="A1684" s="2" t="s">
        <v>1478</v>
      </c>
      <c r="B1684" s="2" t="str">
        <f>"0013552"</f>
        <v>0013552</v>
      </c>
      <c r="C1684" s="2" t="str">
        <f>"0013552"</f>
        <v>0013552</v>
      </c>
      <c r="D1684" s="2" t="s">
        <v>2304</v>
      </c>
      <c r="E1684" s="4">
        <v>16000</v>
      </c>
    </row>
    <row r="1685" spans="1:5">
      <c r="A1685" s="2" t="s">
        <v>1478</v>
      </c>
      <c r="B1685" s="2" t="str">
        <f>"190447"</f>
        <v>190447</v>
      </c>
      <c r="C1685" s="2" t="str">
        <f>"190447"</f>
        <v>190447</v>
      </c>
      <c r="D1685" s="2" t="s">
        <v>2305</v>
      </c>
      <c r="E1685" s="4">
        <v>23200</v>
      </c>
    </row>
    <row r="1686" spans="1:5">
      <c r="A1686" s="2" t="s">
        <v>1478</v>
      </c>
      <c r="B1686" s="2" t="str">
        <f>"090410336"</f>
        <v>090410336</v>
      </c>
      <c r="C1686" s="2" t="str">
        <f>"09410336"</f>
        <v>09410336</v>
      </c>
      <c r="D1686" s="2" t="s">
        <v>2306</v>
      </c>
      <c r="E1686" s="4">
        <v>14500</v>
      </c>
    </row>
    <row r="1687" spans="1:5">
      <c r="A1687" s="2" t="s">
        <v>1478</v>
      </c>
      <c r="B1687" s="2" t="str">
        <f>"010140110"</f>
        <v>010140110</v>
      </c>
      <c r="C1687" s="2" t="str">
        <f>"010140110"</f>
        <v>010140110</v>
      </c>
      <c r="D1687" s="2" t="s">
        <v>2307</v>
      </c>
      <c r="E1687" s="4">
        <v>28600</v>
      </c>
    </row>
    <row r="1688" spans="1:5">
      <c r="A1688" s="2" t="s">
        <v>1478</v>
      </c>
      <c r="B1688" s="2" t="str">
        <f>"090410109"</f>
        <v>090410109</v>
      </c>
      <c r="C1688" s="2" t="str">
        <f>"090410109 0013469"</f>
        <v>090410109 0013469</v>
      </c>
      <c r="D1688" s="2" t="s">
        <v>2308</v>
      </c>
      <c r="E1688" s="4">
        <v>14000</v>
      </c>
    </row>
    <row r="1689" spans="1:5">
      <c r="A1689" s="2" t="s">
        <v>1478</v>
      </c>
      <c r="B1689" s="2" t="str">
        <f>"090410103"</f>
        <v>090410103</v>
      </c>
      <c r="C1689" s="2" t="str">
        <f>"090410103"</f>
        <v>090410103</v>
      </c>
      <c r="D1689" s="2" t="s">
        <v>2309</v>
      </c>
      <c r="E1689" s="4">
        <v>19000</v>
      </c>
    </row>
    <row r="1690" spans="1:5">
      <c r="A1690" s="2" t="s">
        <v>1478</v>
      </c>
      <c r="B1690" s="2" t="str">
        <f>"0013470"</f>
        <v>0013470</v>
      </c>
      <c r="C1690" s="2" t="str">
        <f>"0013470"</f>
        <v>0013470</v>
      </c>
      <c r="D1690" s="2" t="s">
        <v>2310</v>
      </c>
      <c r="E1690" s="4">
        <v>22300</v>
      </c>
    </row>
    <row r="1691" spans="1:5">
      <c r="A1691" s="2" t="s">
        <v>1478</v>
      </c>
      <c r="B1691" s="2" t="str">
        <f>"090410142"</f>
        <v>090410142</v>
      </c>
      <c r="C1691" s="2" t="str">
        <f>"090410142"</f>
        <v>090410142</v>
      </c>
      <c r="D1691" s="2" t="s">
        <v>2311</v>
      </c>
      <c r="E1691" s="4">
        <v>19900</v>
      </c>
    </row>
    <row r="1692" spans="1:5">
      <c r="A1692" s="2" t="s">
        <v>1478</v>
      </c>
      <c r="B1692" s="2" t="str">
        <f>"090410343"</f>
        <v>090410343</v>
      </c>
      <c r="C1692" s="2" t="str">
        <f>"090410343"</f>
        <v>090410343</v>
      </c>
      <c r="D1692" s="2" t="s">
        <v>2312</v>
      </c>
      <c r="E1692" s="4">
        <v>23000</v>
      </c>
    </row>
    <row r="1693" spans="1:5">
      <c r="A1693" s="2" t="s">
        <v>1478</v>
      </c>
      <c r="B1693" s="2" t="s">
        <v>2313</v>
      </c>
      <c r="C1693" s="2" t="s">
        <v>2313</v>
      </c>
      <c r="D1693" s="2" t="s">
        <v>2314</v>
      </c>
      <c r="E1693" s="4">
        <v>14200</v>
      </c>
    </row>
    <row r="1694" spans="1:5">
      <c r="A1694" s="2" t="s">
        <v>1478</v>
      </c>
      <c r="B1694" s="2" t="str">
        <f>"9954634"</f>
        <v>9954634</v>
      </c>
      <c r="C1694" s="2" t="str">
        <f>"9954634"</f>
        <v>9954634</v>
      </c>
      <c r="D1694" s="2" t="s">
        <v>2315</v>
      </c>
      <c r="E1694" s="4">
        <v>34000</v>
      </c>
    </row>
    <row r="1695" spans="1:5">
      <c r="A1695" s="2" t="s">
        <v>1478</v>
      </c>
      <c r="B1695" s="2" t="str">
        <f>"090410107"</f>
        <v>090410107</v>
      </c>
      <c r="C1695" s="2" t="str">
        <f>"090410107"</f>
        <v>090410107</v>
      </c>
      <c r="D1695" s="2" t="s">
        <v>2316</v>
      </c>
      <c r="E1695" s="4">
        <v>14200</v>
      </c>
    </row>
    <row r="1696" spans="1:5">
      <c r="A1696" s="2" t="s">
        <v>1478</v>
      </c>
      <c r="B1696" s="2" t="str">
        <f>"010140113"</f>
        <v>010140113</v>
      </c>
      <c r="C1696" s="2" t="str">
        <f>"0101401123"</f>
        <v>0101401123</v>
      </c>
      <c r="D1696" s="2" t="s">
        <v>2317</v>
      </c>
      <c r="E1696" s="4">
        <v>21400</v>
      </c>
    </row>
    <row r="1697" spans="1:5">
      <c r="A1697" s="2" t="s">
        <v>1478</v>
      </c>
      <c r="B1697" s="2" t="str">
        <f>"090410391"</f>
        <v>090410391</v>
      </c>
      <c r="C1697" s="2" t="str">
        <f>"090410391"</f>
        <v>090410391</v>
      </c>
      <c r="D1697" s="2" t="s">
        <v>2318</v>
      </c>
      <c r="E1697" s="4">
        <v>22300</v>
      </c>
    </row>
    <row r="1698" spans="1:5">
      <c r="A1698" s="2" t="s">
        <v>1478</v>
      </c>
      <c r="B1698" s="2" t="str">
        <f>"0013471"</f>
        <v>0013471</v>
      </c>
      <c r="C1698" s="2" t="str">
        <f>"0013471"</f>
        <v>0013471</v>
      </c>
      <c r="D1698" s="2" t="s">
        <v>2319</v>
      </c>
      <c r="E1698" s="4">
        <v>25000</v>
      </c>
    </row>
    <row r="1699" spans="1:5">
      <c r="A1699" s="2" t="s">
        <v>1478</v>
      </c>
      <c r="B1699" s="2" t="str">
        <f>"010140089"</f>
        <v>010140089</v>
      </c>
      <c r="C1699" s="2" t="str">
        <f>"010140089"</f>
        <v>010140089</v>
      </c>
      <c r="D1699" s="2" t="s">
        <v>2320</v>
      </c>
      <c r="E1699" s="4">
        <v>17500</v>
      </c>
    </row>
    <row r="1700" spans="1:5">
      <c r="A1700" s="2" t="s">
        <v>1478</v>
      </c>
      <c r="B1700" s="2" t="str">
        <f>"017034"</f>
        <v>017034</v>
      </c>
      <c r="C1700" s="2" t="str">
        <f>"017034"</f>
        <v>017034</v>
      </c>
      <c r="D1700" s="2" t="s">
        <v>2321</v>
      </c>
      <c r="E1700" s="4">
        <v>43000</v>
      </c>
    </row>
    <row r="1701" spans="1:5">
      <c r="A1701" s="2" t="s">
        <v>1478</v>
      </c>
      <c r="B1701" s="2" t="str">
        <f>"283356"</f>
        <v>283356</v>
      </c>
      <c r="C1701" s="2" t="str">
        <f>"283356"</f>
        <v>283356</v>
      </c>
      <c r="D1701" s="2" t="s">
        <v>2322</v>
      </c>
      <c r="E1701" s="4">
        <v>16000</v>
      </c>
    </row>
    <row r="1702" spans="1:5">
      <c r="A1702" s="2" t="s">
        <v>1478</v>
      </c>
      <c r="B1702" s="2" t="str">
        <f>"5000000364336"</f>
        <v>5000000364336</v>
      </c>
      <c r="C1702" s="2" t="str">
        <f>"016879"</f>
        <v>016879</v>
      </c>
      <c r="D1702" s="2" t="s">
        <v>2323</v>
      </c>
      <c r="E1702" s="4">
        <v>14200</v>
      </c>
    </row>
    <row r="1703" spans="1:5">
      <c r="A1703" s="2" t="s">
        <v>1478</v>
      </c>
      <c r="B1703" s="2" t="str">
        <f>"090410105"</f>
        <v>090410105</v>
      </c>
      <c r="C1703" s="2" t="str">
        <f>"090410105"</f>
        <v>090410105</v>
      </c>
      <c r="D1703" s="2" t="s">
        <v>2324</v>
      </c>
      <c r="E1703" s="4">
        <v>22300</v>
      </c>
    </row>
    <row r="1704" spans="1:5">
      <c r="A1704" s="2" t="s">
        <v>1478</v>
      </c>
      <c r="B1704" s="2" t="str">
        <f>"9941603"</f>
        <v>9941603</v>
      </c>
      <c r="C1704" s="2" t="str">
        <f>"9941603"</f>
        <v>9941603</v>
      </c>
      <c r="D1704" s="2" t="s">
        <v>2325</v>
      </c>
      <c r="E1704" s="4">
        <v>28000</v>
      </c>
    </row>
    <row r="1705" spans="1:5">
      <c r="A1705" s="2" t="s">
        <v>1478</v>
      </c>
      <c r="B1705" s="2" t="str">
        <f>"009496"</f>
        <v>009496</v>
      </c>
      <c r="C1705" s="2" t="str">
        <f>"009496"</f>
        <v>009496</v>
      </c>
      <c r="D1705" s="2" t="s">
        <v>2326</v>
      </c>
      <c r="E1705" s="4">
        <v>43000</v>
      </c>
    </row>
    <row r="1706" spans="1:5">
      <c r="A1706" s="2" t="s">
        <v>1478</v>
      </c>
      <c r="B1706" s="2" t="str">
        <f>"9954600"</f>
        <v>9954600</v>
      </c>
      <c r="C1706" s="2" t="str">
        <f>"9954600"</f>
        <v>9954600</v>
      </c>
      <c r="D1706" s="2" t="s">
        <v>2327</v>
      </c>
      <c r="E1706" s="4">
        <v>43000</v>
      </c>
    </row>
    <row r="1707" spans="1:5">
      <c r="A1707" s="2" t="s">
        <v>1478</v>
      </c>
      <c r="B1707" s="2" t="s">
        <v>2328</v>
      </c>
      <c r="C1707" s="2" t="s">
        <v>2328</v>
      </c>
      <c r="D1707" s="2" t="s">
        <v>2329</v>
      </c>
      <c r="E1707" s="4">
        <v>34000</v>
      </c>
    </row>
    <row r="1708" spans="1:5">
      <c r="A1708" s="2" t="s">
        <v>1478</v>
      </c>
      <c r="B1708" s="2" t="str">
        <f>"040410344"</f>
        <v>040410344</v>
      </c>
      <c r="C1708" s="2" t="s">
        <v>2330</v>
      </c>
      <c r="D1708" s="2" t="s">
        <v>2331</v>
      </c>
      <c r="E1708" s="4">
        <v>14200</v>
      </c>
    </row>
    <row r="1709" spans="1:5">
      <c r="A1709" s="2" t="s">
        <v>1478</v>
      </c>
      <c r="B1709" s="2" t="str">
        <f>"5000000284849"</f>
        <v>5000000284849</v>
      </c>
      <c r="C1709" s="2" t="str">
        <f>"050342"</f>
        <v>050342</v>
      </c>
      <c r="D1709" s="2" t="s">
        <v>2332</v>
      </c>
      <c r="E1709" s="4">
        <v>38000</v>
      </c>
    </row>
    <row r="1710" spans="1:5">
      <c r="A1710" s="2" t="s">
        <v>1478</v>
      </c>
      <c r="B1710" s="2" t="str">
        <f>"7726472"</f>
        <v>7726472</v>
      </c>
      <c r="C1710" s="2" t="str">
        <f>"7726472"</f>
        <v>7726472</v>
      </c>
      <c r="D1710" s="2" t="s">
        <v>2333</v>
      </c>
      <c r="E1710" s="4">
        <v>28000</v>
      </c>
    </row>
    <row r="1711" spans="1:5">
      <c r="A1711" s="2" t="s">
        <v>1478</v>
      </c>
      <c r="B1711" s="2" t="str">
        <f>"3020-1827"</f>
        <v>3020-1827</v>
      </c>
      <c r="C1711" s="2" t="str">
        <f>"3020-1827"</f>
        <v>3020-1827</v>
      </c>
      <c r="D1711" s="2" t="s">
        <v>2334</v>
      </c>
      <c r="E1711" s="4">
        <v>28600</v>
      </c>
    </row>
    <row r="1712" spans="1:5">
      <c r="A1712" s="2" t="s">
        <v>1478</v>
      </c>
      <c r="B1712" s="2" t="str">
        <f>"289690"</f>
        <v>289690</v>
      </c>
      <c r="C1712" s="2" t="str">
        <f>"289690"</f>
        <v>289690</v>
      </c>
      <c r="D1712" s="2" t="s">
        <v>2335</v>
      </c>
      <c r="E1712" s="4">
        <v>28600</v>
      </c>
    </row>
    <row r="1713" spans="1:5">
      <c r="A1713" s="2" t="s">
        <v>1478</v>
      </c>
      <c r="B1713" s="2" t="str">
        <f>"3900-028-05"</f>
        <v>3900-028-05</v>
      </c>
      <c r="C1713" s="2" t="str">
        <f>"3900-028-05"</f>
        <v>3900-028-05</v>
      </c>
      <c r="D1713" s="2" t="s">
        <v>2336</v>
      </c>
      <c r="E1713" s="4">
        <v>34000</v>
      </c>
    </row>
    <row r="1714" spans="1:5">
      <c r="A1714" s="2" t="s">
        <v>1478</v>
      </c>
      <c r="B1714" s="2" t="str">
        <f>"3165143545270"</f>
        <v>3165143545270</v>
      </c>
      <c r="C1714" s="2" t="str">
        <f>"54001"</f>
        <v>54001</v>
      </c>
      <c r="D1714" s="2" t="s">
        <v>2337</v>
      </c>
      <c r="E1714" s="4">
        <v>34000</v>
      </c>
    </row>
    <row r="1715" spans="1:5">
      <c r="A1715" s="2" t="s">
        <v>1478</v>
      </c>
      <c r="B1715" s="2" t="s">
        <v>2338</v>
      </c>
      <c r="C1715" s="2" t="str">
        <f>"53481"</f>
        <v>53481</v>
      </c>
      <c r="D1715" s="2" t="s">
        <v>2339</v>
      </c>
      <c r="E1715" s="4">
        <v>43000</v>
      </c>
    </row>
    <row r="1716" spans="1:5">
      <c r="A1716" s="2" t="s">
        <v>1478</v>
      </c>
      <c r="B1716" s="2" t="str">
        <f>"3900-285-04"</f>
        <v>3900-285-04</v>
      </c>
      <c r="C1716" s="2" t="str">
        <f>"3900-285-04"</f>
        <v>3900-285-04</v>
      </c>
      <c r="D1716" s="2" t="s">
        <v>2340</v>
      </c>
      <c r="E1716" s="4">
        <v>29000</v>
      </c>
    </row>
    <row r="1717" spans="1:5">
      <c r="A1717" s="2" t="s">
        <v>1478</v>
      </c>
      <c r="B1717" s="2" t="str">
        <f>"071261"</f>
        <v>071261</v>
      </c>
      <c r="C1717" s="2" t="str">
        <f>"071261"</f>
        <v>071261</v>
      </c>
      <c r="D1717" s="2" t="s">
        <v>2341</v>
      </c>
      <c r="E1717" s="4">
        <v>52000</v>
      </c>
    </row>
    <row r="1718" spans="1:5">
      <c r="A1718" s="2" t="s">
        <v>1478</v>
      </c>
      <c r="B1718" s="2" t="s">
        <v>2342</v>
      </c>
      <c r="C1718" s="2" t="s">
        <v>2342</v>
      </c>
      <c r="D1718" s="2" t="s">
        <v>2343</v>
      </c>
      <c r="E1718" s="4">
        <v>16000</v>
      </c>
    </row>
    <row r="1719" spans="1:5">
      <c r="A1719" s="2" t="s">
        <v>1478</v>
      </c>
      <c r="B1719" s="2" t="str">
        <f>"140240"</f>
        <v>140240</v>
      </c>
      <c r="C1719" s="2" t="str">
        <f>"140240"</f>
        <v>140240</v>
      </c>
      <c r="D1719" s="2" t="s">
        <v>2344</v>
      </c>
      <c r="E1719" s="4">
        <v>9700</v>
      </c>
    </row>
    <row r="1720" spans="1:5">
      <c r="A1720" s="2" t="s">
        <v>1478</v>
      </c>
      <c r="B1720" s="2" t="str">
        <f>"289700"</f>
        <v>289700</v>
      </c>
      <c r="C1720" s="2" t="str">
        <f>"289700"</f>
        <v>289700</v>
      </c>
      <c r="D1720" s="2" t="s">
        <v>2345</v>
      </c>
      <c r="E1720" s="4">
        <v>7000</v>
      </c>
    </row>
    <row r="1721" spans="1:5">
      <c r="A1721" s="2" t="s">
        <v>1478</v>
      </c>
      <c r="B1721" s="2" t="str">
        <f>"070150113"</f>
        <v>070150113</v>
      </c>
      <c r="C1721" s="2" t="str">
        <f>"247415"</f>
        <v>247415</v>
      </c>
      <c r="D1721" s="2" t="s">
        <v>2346</v>
      </c>
      <c r="E1721" s="4">
        <v>15000</v>
      </c>
    </row>
    <row r="1722" spans="1:5">
      <c r="A1722" s="2" t="s">
        <v>1478</v>
      </c>
      <c r="B1722" s="2" t="s">
        <v>2347</v>
      </c>
      <c r="C1722" s="2" t="s">
        <v>2347</v>
      </c>
      <c r="D1722" s="2" t="s">
        <v>2348</v>
      </c>
      <c r="E1722" s="4">
        <v>28600</v>
      </c>
    </row>
    <row r="1723" spans="1:5" ht="27.6">
      <c r="A1723" s="2" t="s">
        <v>1478</v>
      </c>
      <c r="B1723" s="2" t="s">
        <v>2349</v>
      </c>
      <c r="C1723" s="2" t="s">
        <v>2349</v>
      </c>
      <c r="D1723" s="2" t="s">
        <v>2350</v>
      </c>
      <c r="E1723" s="4">
        <v>191000</v>
      </c>
    </row>
    <row r="1724" spans="1:5">
      <c r="A1724" s="2" t="s">
        <v>1478</v>
      </c>
      <c r="B1724" s="2" t="str">
        <f>"9942057"</f>
        <v>9942057</v>
      </c>
      <c r="C1724" s="2" t="str">
        <f>"9942057"</f>
        <v>9942057</v>
      </c>
      <c r="D1724" s="2" t="s">
        <v>2351</v>
      </c>
      <c r="E1724" s="4">
        <v>79000</v>
      </c>
    </row>
    <row r="1725" spans="1:5">
      <c r="A1725" s="2" t="s">
        <v>1478</v>
      </c>
      <c r="B1725" s="2" t="s">
        <v>2352</v>
      </c>
      <c r="C1725" s="2" t="s">
        <v>2352</v>
      </c>
      <c r="D1725" s="2" t="s">
        <v>2353</v>
      </c>
      <c r="E1725" s="4">
        <v>142000</v>
      </c>
    </row>
    <row r="1726" spans="1:5">
      <c r="A1726" s="2" t="s">
        <v>1478</v>
      </c>
      <c r="B1726" s="2" t="str">
        <f>"0014781"</f>
        <v>0014781</v>
      </c>
      <c r="C1726" s="2" t="str">
        <f>"1520-1869"</f>
        <v>1520-1869</v>
      </c>
      <c r="D1726" s="2" t="s">
        <v>2354</v>
      </c>
      <c r="E1726" s="4">
        <v>19600</v>
      </c>
    </row>
    <row r="1727" spans="1:5">
      <c r="A1727" s="2" t="s">
        <v>1478</v>
      </c>
      <c r="B1727" s="2" t="str">
        <f>"001121468-1"</f>
        <v>001121468-1</v>
      </c>
      <c r="C1727" s="2" t="str">
        <f>"001121468-1"</f>
        <v>001121468-1</v>
      </c>
      <c r="D1727" s="2" t="s">
        <v>2355</v>
      </c>
      <c r="E1727" s="4">
        <v>25000</v>
      </c>
    </row>
    <row r="1728" spans="1:5">
      <c r="A1728" s="2" t="s">
        <v>1478</v>
      </c>
      <c r="B1728" s="2" t="str">
        <f>"8-94222-653-2"</f>
        <v>8-94222-653-2</v>
      </c>
      <c r="C1728" s="2" t="str">
        <f>"3023100"</f>
        <v>3023100</v>
      </c>
      <c r="D1728" s="2" t="s">
        <v>2356</v>
      </c>
      <c r="E1728" s="4">
        <v>25000</v>
      </c>
    </row>
    <row r="1729" spans="1:5">
      <c r="A1729" s="2" t="s">
        <v>1478</v>
      </c>
      <c r="B1729" s="2" t="str">
        <f>"1600530"</f>
        <v>1600530</v>
      </c>
      <c r="C1729" s="2" t="str">
        <f>"1600530"</f>
        <v>1600530</v>
      </c>
      <c r="D1729" s="2" t="s">
        <v>2357</v>
      </c>
      <c r="E1729" s="4">
        <v>43000</v>
      </c>
    </row>
    <row r="1730" spans="1:5">
      <c r="A1730" s="2" t="s">
        <v>1478</v>
      </c>
      <c r="B1730" s="2" t="str">
        <f>"00460314-1"</f>
        <v>00460314-1</v>
      </c>
      <c r="C1730" s="2" t="str">
        <f>"460314-1"</f>
        <v>460314-1</v>
      </c>
      <c r="D1730" s="2" t="s">
        <v>2358</v>
      </c>
      <c r="E1730" s="4">
        <v>38500</v>
      </c>
    </row>
    <row r="1731" spans="1:5">
      <c r="A1731" s="2" t="s">
        <v>1478</v>
      </c>
      <c r="B1731" s="2" t="str">
        <f>"5991Y"</f>
        <v>5991Y</v>
      </c>
      <c r="C1731" s="2" t="str">
        <f>"5991Y"</f>
        <v>5991Y</v>
      </c>
      <c r="D1731" s="2" t="s">
        <v>2359</v>
      </c>
      <c r="E1731" s="4">
        <v>27000</v>
      </c>
    </row>
    <row r="1732" spans="1:5">
      <c r="A1732" s="2" t="s">
        <v>1478</v>
      </c>
      <c r="B1732" s="2" t="s">
        <v>2360</v>
      </c>
      <c r="C1732" s="2" t="s">
        <v>2360</v>
      </c>
      <c r="D1732" s="2" t="s">
        <v>2361</v>
      </c>
      <c r="E1732" s="4">
        <v>39000</v>
      </c>
    </row>
    <row r="1733" spans="1:5">
      <c r="A1733" s="2" t="s">
        <v>1478</v>
      </c>
      <c r="B1733" s="2" t="str">
        <f>"0000299"</f>
        <v>0000299</v>
      </c>
      <c r="C1733" s="2" t="str">
        <f>"0000299"</f>
        <v>0000299</v>
      </c>
      <c r="D1733" s="2" t="s">
        <v>2362</v>
      </c>
      <c r="E1733" s="4">
        <v>34000</v>
      </c>
    </row>
    <row r="1734" spans="1:5">
      <c r="A1734" s="2" t="s">
        <v>1478</v>
      </c>
      <c r="B1734" s="2" t="str">
        <f>"9951664"</f>
        <v>9951664</v>
      </c>
      <c r="C1734" s="2" t="str">
        <f>"9951664"</f>
        <v>9951664</v>
      </c>
      <c r="D1734" s="2" t="s">
        <v>2363</v>
      </c>
      <c r="E1734" s="4">
        <v>49000</v>
      </c>
    </row>
    <row r="1735" spans="1:5">
      <c r="A1735" s="2" t="s">
        <v>1478</v>
      </c>
      <c r="B1735" s="2" t="s">
        <v>2364</v>
      </c>
      <c r="C1735" s="2" t="s">
        <v>2364</v>
      </c>
      <c r="D1735" s="2" t="s">
        <v>2365</v>
      </c>
      <c r="E1735" s="4">
        <v>42500</v>
      </c>
    </row>
    <row r="1736" spans="1:5">
      <c r="A1736" s="2" t="s">
        <v>1478</v>
      </c>
      <c r="B1736" s="2" t="str">
        <f>"1523-1502"</f>
        <v>1523-1502</v>
      </c>
      <c r="C1736" s="2" t="str">
        <f>"1523-1502"</f>
        <v>1523-1502</v>
      </c>
      <c r="D1736" s="2" t="s">
        <v>2366</v>
      </c>
      <c r="E1736" s="4">
        <v>32200</v>
      </c>
    </row>
    <row r="1737" spans="1:5">
      <c r="A1737" s="2" t="s">
        <v>1478</v>
      </c>
      <c r="B1737" s="2" t="str">
        <f>"015598"</f>
        <v>015598</v>
      </c>
      <c r="C1737" s="2" t="str">
        <f>"015598"</f>
        <v>015598</v>
      </c>
      <c r="D1737" s="2" t="s">
        <v>2367</v>
      </c>
      <c r="E1737" s="4">
        <v>105000</v>
      </c>
    </row>
    <row r="1738" spans="1:5">
      <c r="A1738" s="2" t="s">
        <v>1478</v>
      </c>
      <c r="B1738" s="2" t="s">
        <v>2368</v>
      </c>
      <c r="C1738" s="2" t="s">
        <v>2369</v>
      </c>
      <c r="D1738" s="2" t="s">
        <v>2370</v>
      </c>
      <c r="E1738" s="4">
        <v>58000</v>
      </c>
    </row>
    <row r="1739" spans="1:5">
      <c r="A1739" s="2" t="s">
        <v>1478</v>
      </c>
      <c r="B1739" s="2" t="s">
        <v>2371</v>
      </c>
      <c r="C1739" s="2" t="s">
        <v>2372</v>
      </c>
      <c r="D1739" s="2" t="s">
        <v>2373</v>
      </c>
      <c r="E1739" s="4">
        <v>46000</v>
      </c>
    </row>
    <row r="1740" spans="1:5">
      <c r="A1740" s="2" t="s">
        <v>1478</v>
      </c>
      <c r="B1740" s="2" t="str">
        <f>"171692"</f>
        <v>171692</v>
      </c>
      <c r="C1740" s="2" t="str">
        <f>"171692"</f>
        <v>171692</v>
      </c>
      <c r="D1740" s="2" t="s">
        <v>2374</v>
      </c>
      <c r="E1740" s="4">
        <v>35000</v>
      </c>
    </row>
    <row r="1741" spans="1:5">
      <c r="A1741" s="2" t="s">
        <v>1478</v>
      </c>
      <c r="B1741" s="2" t="str">
        <f>"1010-1283"</f>
        <v>1010-1283</v>
      </c>
      <c r="C1741" s="2" t="str">
        <f>"10101283"</f>
        <v>10101283</v>
      </c>
      <c r="D1741" s="2" t="s">
        <v>2375</v>
      </c>
      <c r="E1741" s="4">
        <v>28600</v>
      </c>
    </row>
    <row r="1742" spans="1:5">
      <c r="A1742" s="2" t="s">
        <v>1478</v>
      </c>
      <c r="B1742" s="2" t="str">
        <f>"288064"</f>
        <v>288064</v>
      </c>
      <c r="C1742" s="2" t="str">
        <f>"288064"</f>
        <v>288064</v>
      </c>
      <c r="D1742" s="2" t="s">
        <v>2376</v>
      </c>
      <c r="E1742" s="4">
        <v>28600</v>
      </c>
    </row>
    <row r="1743" spans="1:5">
      <c r="A1743" s="2" t="s">
        <v>1478</v>
      </c>
      <c r="B1743" s="2" t="str">
        <f>"030350038"</f>
        <v>030350038</v>
      </c>
      <c r="C1743" s="2" t="str">
        <f>"030350038"</f>
        <v>030350038</v>
      </c>
      <c r="D1743" s="2" t="s">
        <v>2377</v>
      </c>
      <c r="E1743" s="4">
        <v>22900</v>
      </c>
    </row>
    <row r="1744" spans="1:5">
      <c r="A1744" s="2" t="s">
        <v>1478</v>
      </c>
      <c r="B1744" s="2" t="str">
        <f>"0027535"</f>
        <v>0027535</v>
      </c>
      <c r="C1744" s="2" t="str">
        <f>"0027535"</f>
        <v>0027535</v>
      </c>
      <c r="D1744" s="2" t="s">
        <v>2378</v>
      </c>
      <c r="E1744" s="4">
        <v>18700</v>
      </c>
    </row>
    <row r="1745" spans="1:5">
      <c r="A1745" s="2" t="s">
        <v>1478</v>
      </c>
      <c r="B1745" s="2" t="str">
        <f>"010150056"</f>
        <v>010150056</v>
      </c>
      <c r="C1745" s="2" t="str">
        <f>"010150056"</f>
        <v>010150056</v>
      </c>
      <c r="D1745" s="2" t="s">
        <v>2379</v>
      </c>
      <c r="E1745" s="4">
        <v>38500</v>
      </c>
    </row>
    <row r="1746" spans="1:5">
      <c r="A1746" s="2" t="s">
        <v>1478</v>
      </c>
      <c r="B1746" s="2" t="s">
        <v>2380</v>
      </c>
      <c r="C1746" s="2" t="str">
        <f>"233700"</f>
        <v>233700</v>
      </c>
      <c r="D1746" s="2" t="s">
        <v>2381</v>
      </c>
      <c r="E1746" s="4">
        <v>17800</v>
      </c>
    </row>
    <row r="1747" spans="1:5">
      <c r="A1747" s="2" t="s">
        <v>1478</v>
      </c>
      <c r="B1747" s="2" t="str">
        <f>"4047025079952"</f>
        <v>4047025079952</v>
      </c>
      <c r="C1747" s="2" t="s">
        <v>2382</v>
      </c>
      <c r="D1747" s="2" t="s">
        <v>2383</v>
      </c>
      <c r="E1747" s="4">
        <v>32000</v>
      </c>
    </row>
    <row r="1748" spans="1:5">
      <c r="A1748" s="2" t="s">
        <v>1478</v>
      </c>
      <c r="B1748" s="2" t="str">
        <f>"7 2495601557 3"</f>
        <v>7 2495601557 3</v>
      </c>
      <c r="C1748" s="2" t="str">
        <f>"3900-003"</f>
        <v>3900-003</v>
      </c>
      <c r="D1748" s="2" t="s">
        <v>2384</v>
      </c>
      <c r="E1748" s="4">
        <v>24100</v>
      </c>
    </row>
    <row r="1749" spans="1:5">
      <c r="A1749" s="2" t="s">
        <v>1478</v>
      </c>
      <c r="B1749" s="2" t="s">
        <v>2385</v>
      </c>
      <c r="C1749" s="2" t="s">
        <v>2385</v>
      </c>
      <c r="D1749" s="2" t="s">
        <v>2386</v>
      </c>
      <c r="E1749" s="4">
        <v>34000</v>
      </c>
    </row>
    <row r="1750" spans="1:5">
      <c r="A1750" s="2" t="s">
        <v>1478</v>
      </c>
      <c r="B1750" s="2" t="s">
        <v>2387</v>
      </c>
      <c r="C1750" s="2" t="s">
        <v>2387</v>
      </c>
      <c r="D1750" s="2" t="s">
        <v>2388</v>
      </c>
      <c r="E1750" s="4">
        <v>28600</v>
      </c>
    </row>
    <row r="1751" spans="1:5">
      <c r="A1751" s="2" t="s">
        <v>1478</v>
      </c>
      <c r="B1751" s="2" t="str">
        <f>"289705"</f>
        <v>289705</v>
      </c>
      <c r="C1751" s="2" t="str">
        <f>"1444427577"</f>
        <v>1444427577</v>
      </c>
      <c r="D1751" s="2" t="s">
        <v>2389</v>
      </c>
      <c r="E1751" s="4">
        <v>43500</v>
      </c>
    </row>
    <row r="1752" spans="1:5">
      <c r="A1752" s="2" t="s">
        <v>1478</v>
      </c>
      <c r="B1752" s="2" t="str">
        <f>"3900-160"</f>
        <v>3900-160</v>
      </c>
      <c r="C1752" s="2" t="str">
        <f>"3900-160"</f>
        <v>3900-160</v>
      </c>
      <c r="D1752" s="2" t="s">
        <v>2390</v>
      </c>
      <c r="E1752" s="4">
        <v>23200</v>
      </c>
    </row>
    <row r="1753" spans="1:5">
      <c r="A1753" s="2" t="s">
        <v>1478</v>
      </c>
      <c r="B1753" s="2" t="str">
        <f>"0015132"</f>
        <v>0015132</v>
      </c>
      <c r="C1753" s="2" t="str">
        <f>"0015132"</f>
        <v>0015132</v>
      </c>
      <c r="D1753" s="2" t="s">
        <v>2391</v>
      </c>
      <c r="E1753" s="4">
        <v>25000</v>
      </c>
    </row>
    <row r="1754" spans="1:5">
      <c r="A1754" s="2" t="s">
        <v>1478</v>
      </c>
      <c r="B1754" s="2" t="str">
        <f>"3900-305-04"</f>
        <v>3900-305-04</v>
      </c>
      <c r="C1754" s="2" t="str">
        <f>"3900-305-04"</f>
        <v>3900-305-04</v>
      </c>
      <c r="D1754" s="2" t="s">
        <v>2392</v>
      </c>
      <c r="E1754" s="4">
        <v>34500</v>
      </c>
    </row>
    <row r="1755" spans="1:5">
      <c r="A1755" s="2" t="s">
        <v>1478</v>
      </c>
      <c r="B1755" s="2" t="str">
        <f>"070150013"</f>
        <v>070150013</v>
      </c>
      <c r="C1755" s="2" t="str">
        <f>"070150013"</f>
        <v>070150013</v>
      </c>
      <c r="D1755" s="2" t="s">
        <v>2393</v>
      </c>
      <c r="E1755" s="4">
        <v>28600</v>
      </c>
    </row>
    <row r="1756" spans="1:5">
      <c r="A1756" s="2" t="s">
        <v>1478</v>
      </c>
      <c r="B1756" s="2" t="str">
        <f>"3900-150"</f>
        <v>3900-150</v>
      </c>
      <c r="C1756" s="2" t="str">
        <f>"3900-150"</f>
        <v>3900-150</v>
      </c>
      <c r="D1756" s="2" t="s">
        <v>2394</v>
      </c>
      <c r="E1756" s="4">
        <v>19000</v>
      </c>
    </row>
    <row r="1757" spans="1:5">
      <c r="A1757" s="2" t="s">
        <v>1478</v>
      </c>
      <c r="B1757" s="2" t="str">
        <f>"1204632"</f>
        <v>1204632</v>
      </c>
      <c r="C1757" s="2" t="str">
        <f>"1204632"</f>
        <v>1204632</v>
      </c>
      <c r="D1757" s="2" t="s">
        <v>2395</v>
      </c>
      <c r="E1757" s="4">
        <v>28000</v>
      </c>
    </row>
    <row r="1758" spans="1:5">
      <c r="A1758" s="2" t="s">
        <v>1478</v>
      </c>
      <c r="B1758" s="2" t="str">
        <f>"7726448"</f>
        <v>7726448</v>
      </c>
      <c r="C1758" s="2" t="str">
        <f>"7726448"</f>
        <v>7726448</v>
      </c>
      <c r="D1758" s="2" t="s">
        <v>2396</v>
      </c>
      <c r="E1758" s="4">
        <v>20500</v>
      </c>
    </row>
    <row r="1759" spans="1:5">
      <c r="A1759" s="2" t="s">
        <v>1478</v>
      </c>
      <c r="B1759" s="2" t="str">
        <f>"1412410-1"</f>
        <v>1412410-1</v>
      </c>
      <c r="C1759" s="2" t="str">
        <f>"1412410-1"</f>
        <v>1412410-1</v>
      </c>
      <c r="D1759" s="2" t="s">
        <v>2397</v>
      </c>
      <c r="E1759" s="4">
        <v>25000</v>
      </c>
    </row>
    <row r="1760" spans="1:5">
      <c r="A1760" s="2" t="s">
        <v>1478</v>
      </c>
      <c r="B1760" s="2" t="str">
        <f>"946101-301"</f>
        <v>946101-301</v>
      </c>
      <c r="C1760" s="2" t="str">
        <f>"3900-033-04"</f>
        <v>3900-033-04</v>
      </c>
      <c r="D1760" s="2" t="s">
        <v>2398</v>
      </c>
      <c r="E1760" s="4">
        <v>125000</v>
      </c>
    </row>
    <row r="1761" spans="1:5">
      <c r="A1761" s="2" t="s">
        <v>1478</v>
      </c>
      <c r="B1761" s="2" t="str">
        <f>"000804073-7"</f>
        <v>000804073-7</v>
      </c>
      <c r="C1761" s="2" t="str">
        <f>"000804073-7"</f>
        <v>000804073-7</v>
      </c>
      <c r="D1761" s="2" t="s">
        <v>2399</v>
      </c>
      <c r="E1761" s="4">
        <v>38000</v>
      </c>
    </row>
    <row r="1762" spans="1:5">
      <c r="A1762" s="2" t="s">
        <v>1478</v>
      </c>
      <c r="B1762" s="2" t="str">
        <f>"090920076"</f>
        <v>090920076</v>
      </c>
      <c r="C1762" s="2" t="str">
        <f>"090920076"</f>
        <v>090920076</v>
      </c>
      <c r="D1762" s="2" t="s">
        <v>2400</v>
      </c>
      <c r="E1762" s="4">
        <v>18000</v>
      </c>
    </row>
    <row r="1763" spans="1:5">
      <c r="A1763" s="2" t="s">
        <v>1478</v>
      </c>
      <c r="B1763" s="2" t="s">
        <v>2401</v>
      </c>
      <c r="C1763" s="2" t="s">
        <v>2401</v>
      </c>
      <c r="D1763" s="2" t="s">
        <v>2402</v>
      </c>
      <c r="E1763" s="4">
        <v>16000</v>
      </c>
    </row>
    <row r="1764" spans="1:5">
      <c r="A1764" s="2" t="s">
        <v>1478</v>
      </c>
      <c r="B1764" s="2" t="str">
        <f>"233710"</f>
        <v>233710</v>
      </c>
      <c r="C1764" s="2" t="str">
        <f>"233710 0569947"</f>
        <v>233710 0569947</v>
      </c>
      <c r="D1764" s="2" t="s">
        <v>2403</v>
      </c>
      <c r="E1764" s="4">
        <v>16000</v>
      </c>
    </row>
    <row r="1765" spans="1:5">
      <c r="A1765" s="2" t="s">
        <v>1478</v>
      </c>
      <c r="B1765" s="2" t="str">
        <f>"2520-1805"</f>
        <v>2520-1805</v>
      </c>
      <c r="C1765" s="2" t="str">
        <f>"2520-1805"</f>
        <v>2520-1805</v>
      </c>
      <c r="D1765" s="2" t="s">
        <v>2404</v>
      </c>
      <c r="E1765" s="4">
        <v>19900</v>
      </c>
    </row>
    <row r="1766" spans="1:5">
      <c r="A1766" s="2" t="s">
        <v>1478</v>
      </c>
      <c r="B1766" s="2" t="str">
        <f>"3900-310-04"</f>
        <v>3900-310-04</v>
      </c>
      <c r="C1766" s="2" t="str">
        <f>"3900-310-04"</f>
        <v>3900-310-04</v>
      </c>
      <c r="D1766" s="2" t="s">
        <v>2405</v>
      </c>
      <c r="E1766" s="4">
        <v>29000</v>
      </c>
    </row>
    <row r="1767" spans="1:5">
      <c r="A1767" s="2" t="s">
        <v>1478</v>
      </c>
      <c r="B1767" s="2" t="s">
        <v>2406</v>
      </c>
      <c r="C1767" s="2" t="s">
        <v>2406</v>
      </c>
      <c r="D1767" s="2" t="s">
        <v>2407</v>
      </c>
      <c r="E1767" s="4">
        <v>17800</v>
      </c>
    </row>
    <row r="1768" spans="1:5">
      <c r="A1768" s="2" t="s">
        <v>1478</v>
      </c>
      <c r="B1768" s="2" t="str">
        <f>"5 00000 135219"</f>
        <v>5 00000 135219</v>
      </c>
      <c r="C1768" s="2" t="str">
        <f>"289683"</f>
        <v>289683</v>
      </c>
      <c r="D1768" s="2" t="s">
        <v>2408</v>
      </c>
      <c r="E1768" s="4">
        <v>18700</v>
      </c>
    </row>
    <row r="1769" spans="1:5">
      <c r="A1769" s="2" t="s">
        <v>1478</v>
      </c>
      <c r="B1769" s="2" t="str">
        <f>"2020-3383"</f>
        <v>2020-3383</v>
      </c>
      <c r="C1769" s="2" t="str">
        <f>"2020-3383"</f>
        <v>2020-3383</v>
      </c>
      <c r="D1769" s="2" t="s">
        <v>2409</v>
      </c>
      <c r="E1769" s="4">
        <v>28600</v>
      </c>
    </row>
    <row r="1770" spans="1:5">
      <c r="A1770" s="2" t="s">
        <v>1478</v>
      </c>
      <c r="B1770" s="2" t="s">
        <v>2410</v>
      </c>
      <c r="C1770" s="2" t="s">
        <v>2410</v>
      </c>
      <c r="D1770" s="2" t="s">
        <v>2411</v>
      </c>
      <c r="E1770" s="4">
        <v>18000</v>
      </c>
    </row>
    <row r="1771" spans="1:5">
      <c r="A1771" s="2" t="s">
        <v>1478</v>
      </c>
      <c r="B1771" s="2" t="str">
        <f>"2020-3442"</f>
        <v>2020-3442</v>
      </c>
      <c r="C1771" s="2" t="str">
        <f>"2020-3442"</f>
        <v>2020-3442</v>
      </c>
      <c r="D1771" s="2" t="s">
        <v>2412</v>
      </c>
      <c r="E1771" s="4">
        <v>19900</v>
      </c>
    </row>
    <row r="1772" spans="1:5">
      <c r="A1772" s="2" t="s">
        <v>1478</v>
      </c>
      <c r="B1772" s="2" t="str">
        <f>"188460"</f>
        <v>188460</v>
      </c>
      <c r="C1772" s="2" t="str">
        <f>"188460"</f>
        <v>188460</v>
      </c>
      <c r="D1772" s="2" t="s">
        <v>2413</v>
      </c>
      <c r="E1772" s="4">
        <v>21900</v>
      </c>
    </row>
    <row r="1773" spans="1:5">
      <c r="A1773" s="2" t="s">
        <v>1478</v>
      </c>
      <c r="B1773" s="2" t="str">
        <f>"070150008"</f>
        <v>070150008</v>
      </c>
      <c r="C1773" s="2" t="str">
        <f>"1020-3062"</f>
        <v>1020-3062</v>
      </c>
      <c r="D1773" s="2" t="s">
        <v>2414</v>
      </c>
      <c r="E1773" s="4">
        <v>16000</v>
      </c>
    </row>
    <row r="1774" spans="1:5">
      <c r="A1774" s="2" t="s">
        <v>1478</v>
      </c>
      <c r="B1774" s="2" t="str">
        <f>"070150010"</f>
        <v>070150010</v>
      </c>
      <c r="C1774" s="2" t="str">
        <f>"3020-3167"</f>
        <v>3020-3167</v>
      </c>
      <c r="D1774" s="2" t="s">
        <v>2415</v>
      </c>
      <c r="E1774" s="4">
        <v>19600</v>
      </c>
    </row>
    <row r="1775" spans="1:5">
      <c r="A1775" s="2" t="s">
        <v>1478</v>
      </c>
      <c r="B1775" s="2" t="str">
        <f>"1020-3167"</f>
        <v>1020-3167</v>
      </c>
      <c r="C1775" s="2" t="str">
        <f>"1020-3167"</f>
        <v>1020-3167</v>
      </c>
      <c r="D1775" s="2" t="s">
        <v>2416</v>
      </c>
      <c r="E1775" s="4">
        <v>16900</v>
      </c>
    </row>
    <row r="1776" spans="1:5">
      <c r="A1776" s="2" t="s">
        <v>1478</v>
      </c>
      <c r="B1776" s="2" t="str">
        <f>"5 000000 135189"</f>
        <v>5 000000 135189</v>
      </c>
      <c r="C1776" s="2" t="str">
        <f>"289679"</f>
        <v>289679</v>
      </c>
      <c r="D1776" s="2" t="s">
        <v>2417</v>
      </c>
      <c r="E1776" s="4">
        <v>12800</v>
      </c>
    </row>
    <row r="1777" spans="1:5">
      <c r="A1777" s="2" t="s">
        <v>1478</v>
      </c>
      <c r="B1777" s="2" t="str">
        <f>"2520-1820"</f>
        <v>2520-1820</v>
      </c>
      <c r="C1777" s="2" t="str">
        <f>"000804079-6"</f>
        <v>000804079-6</v>
      </c>
      <c r="D1777" s="2" t="s">
        <v>2418</v>
      </c>
      <c r="E1777" s="4">
        <v>28600</v>
      </c>
    </row>
    <row r="1778" spans="1:5">
      <c r="A1778" s="2" t="s">
        <v>1478</v>
      </c>
      <c r="B1778" s="2" t="str">
        <f>"288402"</f>
        <v>288402</v>
      </c>
      <c r="C1778" s="2" t="str">
        <f>"1850"</f>
        <v>1850</v>
      </c>
      <c r="D1778" s="2" t="s">
        <v>2419</v>
      </c>
      <c r="E1778" s="4">
        <v>12900</v>
      </c>
    </row>
    <row r="1779" spans="1:5">
      <c r="A1779" s="2" t="s">
        <v>1478</v>
      </c>
      <c r="B1779" s="2" t="str">
        <f>"4520-1444"</f>
        <v>4520-1444</v>
      </c>
      <c r="C1779" s="2" t="str">
        <f>"4520-1444"</f>
        <v>4520-1444</v>
      </c>
      <c r="D1779" s="2" t="s">
        <v>2420</v>
      </c>
      <c r="E1779" s="4">
        <v>29500</v>
      </c>
    </row>
    <row r="1780" spans="1:5">
      <c r="A1780" s="2" t="s">
        <v>1478</v>
      </c>
      <c r="B1780" s="2" t="str">
        <f>"289674"</f>
        <v>289674</v>
      </c>
      <c r="C1780" s="2" t="str">
        <f>"289674"</f>
        <v>289674</v>
      </c>
      <c r="D1780" s="2" t="s">
        <v>2421</v>
      </c>
      <c r="E1780" s="4">
        <v>16500</v>
      </c>
    </row>
    <row r="1781" spans="1:5">
      <c r="A1781" s="2" t="s">
        <v>1478</v>
      </c>
      <c r="B1781" s="2" t="str">
        <f>"090920377"</f>
        <v>090920377</v>
      </c>
      <c r="C1781" s="2" t="str">
        <f>"090920377"</f>
        <v>090920377</v>
      </c>
      <c r="D1781" s="2" t="s">
        <v>2422</v>
      </c>
      <c r="E1781" s="4">
        <v>19600</v>
      </c>
    </row>
    <row r="1782" spans="1:5">
      <c r="A1782" s="2" t="s">
        <v>1478</v>
      </c>
      <c r="B1782" s="2" t="str">
        <f>"0014778"</f>
        <v>0014778</v>
      </c>
      <c r="C1782" s="2" t="str">
        <f>"0014778"</f>
        <v>0014778</v>
      </c>
      <c r="D1782" s="2" t="s">
        <v>2423</v>
      </c>
      <c r="E1782" s="4">
        <v>18700</v>
      </c>
    </row>
    <row r="1783" spans="1:5">
      <c r="A1783" s="2" t="s">
        <v>1478</v>
      </c>
      <c r="B1783" s="2" t="s">
        <v>2424</v>
      </c>
      <c r="C1783" s="2" t="s">
        <v>2424</v>
      </c>
      <c r="D1783" s="2" t="s">
        <v>2425</v>
      </c>
      <c r="E1783" s="4">
        <v>14900</v>
      </c>
    </row>
    <row r="1784" spans="1:5">
      <c r="A1784" s="2" t="s">
        <v>1478</v>
      </c>
      <c r="B1784" s="2" t="s">
        <v>2426</v>
      </c>
      <c r="C1784" s="2" t="s">
        <v>2426</v>
      </c>
      <c r="D1784" s="2" t="s">
        <v>2427</v>
      </c>
      <c r="E1784" s="4">
        <v>38000</v>
      </c>
    </row>
    <row r="1785" spans="1:5">
      <c r="A1785" s="2" t="s">
        <v>1478</v>
      </c>
      <c r="B1785" s="2" t="s">
        <v>2428</v>
      </c>
      <c r="C1785" s="2" t="s">
        <v>2429</v>
      </c>
      <c r="D1785" s="2" t="s">
        <v>2430</v>
      </c>
      <c r="E1785" s="4">
        <v>4500</v>
      </c>
    </row>
    <row r="1786" spans="1:5">
      <c r="A1786" s="2" t="s">
        <v>1478</v>
      </c>
      <c r="B1786" s="2" t="str">
        <f>"4420-1622"</f>
        <v>4420-1622</v>
      </c>
      <c r="C1786" s="2" t="s">
        <v>2431</v>
      </c>
      <c r="D1786" s="2" t="s">
        <v>2432</v>
      </c>
      <c r="E1786" s="4">
        <v>14000</v>
      </c>
    </row>
    <row r="1787" spans="1:5">
      <c r="A1787" s="2" t="s">
        <v>1478</v>
      </c>
      <c r="B1787" s="2" t="str">
        <f>"5 "</f>
        <v xml:space="preserve">5 </v>
      </c>
      <c r="C1787" s="2" t="str">
        <f>"289673"</f>
        <v>289673</v>
      </c>
      <c r="D1787" s="2" t="s">
        <v>2433</v>
      </c>
      <c r="E1787" s="4">
        <v>14800</v>
      </c>
    </row>
    <row r="1788" spans="1:5">
      <c r="A1788" s="2" t="s">
        <v>1478</v>
      </c>
      <c r="B1788" s="2" t="s">
        <v>2434</v>
      </c>
      <c r="C1788" s="2" t="s">
        <v>2434</v>
      </c>
      <c r="D1788" s="2" t="s">
        <v>2435</v>
      </c>
      <c r="E1788" s="4">
        <v>18700</v>
      </c>
    </row>
    <row r="1789" spans="1:5">
      <c r="A1789" s="2" t="s">
        <v>1478</v>
      </c>
      <c r="B1789" s="2" t="str">
        <f>"070150011"</f>
        <v>070150011</v>
      </c>
      <c r="C1789" s="2" t="s">
        <v>2436</v>
      </c>
      <c r="D1789" s="2" t="s">
        <v>2437</v>
      </c>
      <c r="E1789" s="4">
        <v>18700</v>
      </c>
    </row>
    <row r="1790" spans="1:5">
      <c r="A1790" s="2" t="s">
        <v>1478</v>
      </c>
      <c r="B1790" s="2" t="str">
        <f>"0205297"</f>
        <v>0205297</v>
      </c>
      <c r="C1790" s="2" t="str">
        <f>"0014777"</f>
        <v>0014777</v>
      </c>
      <c r="D1790" s="2" t="s">
        <v>2438</v>
      </c>
      <c r="E1790" s="4">
        <v>39000</v>
      </c>
    </row>
    <row r="1791" spans="1:5">
      <c r="A1791" s="2" t="s">
        <v>1478</v>
      </c>
      <c r="B1791" s="2" t="str">
        <f>"0400318"</f>
        <v>0400318</v>
      </c>
      <c r="C1791" s="2" t="str">
        <f>"0400318"</f>
        <v>0400318</v>
      </c>
      <c r="D1791" s="2" t="s">
        <v>2439</v>
      </c>
      <c r="E1791" s="4">
        <v>14200</v>
      </c>
    </row>
    <row r="1792" spans="1:5">
      <c r="A1792" s="2" t="s">
        <v>1478</v>
      </c>
      <c r="B1792" s="2" t="str">
        <f>"070150007"</f>
        <v>070150007</v>
      </c>
      <c r="C1792" s="2" t="str">
        <f>"1020-3026"</f>
        <v>1020-3026</v>
      </c>
      <c r="D1792" s="2" t="s">
        <v>2440</v>
      </c>
      <c r="E1792" s="4">
        <v>28000</v>
      </c>
    </row>
    <row r="1793" spans="1:5">
      <c r="A1793" s="2" t="s">
        <v>1478</v>
      </c>
      <c r="B1793" s="2" t="str">
        <f>"0060101"</f>
        <v>0060101</v>
      </c>
      <c r="C1793" s="2" t="str">
        <f>"0060101"</f>
        <v>0060101</v>
      </c>
      <c r="D1793" s="2" t="s">
        <v>2441</v>
      </c>
      <c r="E1793" s="4">
        <v>43400</v>
      </c>
    </row>
    <row r="1794" spans="1:5">
      <c r="A1794" s="2" t="s">
        <v>1478</v>
      </c>
      <c r="B1794" s="2" t="str">
        <f>"5 000000 135110"</f>
        <v>5 000000 135110</v>
      </c>
      <c r="C1794" s="2" t="str">
        <f>"289672"</f>
        <v>289672</v>
      </c>
      <c r="D1794" s="2" t="s">
        <v>2442</v>
      </c>
      <c r="E1794" s="4">
        <v>11500</v>
      </c>
    </row>
    <row r="1795" spans="1:5">
      <c r="A1795" s="2" t="s">
        <v>1478</v>
      </c>
      <c r="B1795" s="2" t="str">
        <f>"9958783"</f>
        <v>9958783</v>
      </c>
      <c r="C1795" s="2" t="str">
        <f>"9958783"</f>
        <v>9958783</v>
      </c>
      <c r="D1795" s="2" t="s">
        <v>2443</v>
      </c>
      <c r="E1795" s="4">
        <v>24100</v>
      </c>
    </row>
    <row r="1796" spans="1:5">
      <c r="A1796" s="2" t="s">
        <v>1478</v>
      </c>
      <c r="B1796" s="2" t="str">
        <f>"090150074"</f>
        <v>090150074</v>
      </c>
      <c r="C1796" s="2" t="str">
        <f>"090150074"</f>
        <v>090150074</v>
      </c>
      <c r="D1796" s="2" t="s">
        <v>2444</v>
      </c>
      <c r="E1796" s="4">
        <v>34000</v>
      </c>
    </row>
    <row r="1797" spans="1:5">
      <c r="A1797" s="2" t="s">
        <v>1478</v>
      </c>
      <c r="B1797" s="2" t="str">
        <f>"1020-3049"</f>
        <v>1020-3049</v>
      </c>
      <c r="C1797" s="2" t="str">
        <f>"1020-3049"</f>
        <v>1020-3049</v>
      </c>
      <c r="D1797" s="2" t="s">
        <v>2445</v>
      </c>
      <c r="E1797" s="4">
        <v>16000</v>
      </c>
    </row>
    <row r="1798" spans="1:5">
      <c r="A1798" s="2" t="s">
        <v>1478</v>
      </c>
      <c r="B1798" s="2" t="s">
        <v>2446</v>
      </c>
      <c r="C1798" s="2" t="str">
        <f>"453710"</f>
        <v>453710</v>
      </c>
      <c r="D1798" s="2" t="s">
        <v>2447</v>
      </c>
      <c r="E1798" s="4">
        <v>25000</v>
      </c>
    </row>
    <row r="1799" spans="1:5">
      <c r="A1799" s="2" t="s">
        <v>1478</v>
      </c>
      <c r="B1799" s="2" t="str">
        <f>"0014779"</f>
        <v>0014779</v>
      </c>
      <c r="C1799" s="2" t="str">
        <f>"0014779"</f>
        <v>0014779</v>
      </c>
      <c r="D1799" s="2" t="s">
        <v>2448</v>
      </c>
      <c r="E1799" s="4">
        <v>28600</v>
      </c>
    </row>
    <row r="1800" spans="1:5">
      <c r="A1800" s="2" t="s">
        <v>1478</v>
      </c>
      <c r="B1800" s="2" t="str">
        <f>"7726462"</f>
        <v>7726462</v>
      </c>
      <c r="C1800" s="2" t="str">
        <f>"7726462"</f>
        <v>7726462</v>
      </c>
      <c r="D1800" s="2" t="s">
        <v>2449</v>
      </c>
      <c r="E1800" s="4">
        <v>25000</v>
      </c>
    </row>
    <row r="1801" spans="1:5">
      <c r="A1801" s="2" t="s">
        <v>1478</v>
      </c>
      <c r="B1801" s="2" t="str">
        <f>"000304081-K"</f>
        <v>000304081-K</v>
      </c>
      <c r="C1801" s="2" t="str">
        <f>"000304081-K"</f>
        <v>000304081-K</v>
      </c>
      <c r="D1801" s="2" t="s">
        <v>2450</v>
      </c>
      <c r="E1801" s="4">
        <v>18000</v>
      </c>
    </row>
    <row r="1802" spans="1:5">
      <c r="A1802" s="2" t="s">
        <v>1478</v>
      </c>
      <c r="B1802" s="2" t="str">
        <f>"289707"</f>
        <v>289707</v>
      </c>
      <c r="C1802" s="2" t="str">
        <f>"289707"</f>
        <v>289707</v>
      </c>
      <c r="D1802" s="2" t="s">
        <v>2451</v>
      </c>
      <c r="E1802" s="4">
        <v>35600</v>
      </c>
    </row>
    <row r="1803" spans="1:5">
      <c r="A1803" s="2" t="s">
        <v>1478</v>
      </c>
      <c r="B1803" s="2" t="str">
        <f>"070150025"</f>
        <v>070150025</v>
      </c>
      <c r="C1803" s="2" t="s">
        <v>2452</v>
      </c>
      <c r="D1803" s="2" t="s">
        <v>2453</v>
      </c>
      <c r="E1803" s="4">
        <v>38500</v>
      </c>
    </row>
    <row r="1804" spans="1:5">
      <c r="A1804" s="2" t="s">
        <v>1478</v>
      </c>
      <c r="B1804" s="2" t="str">
        <f>"090150021"</f>
        <v>090150021</v>
      </c>
      <c r="C1804" s="2" t="str">
        <f>"090150021"</f>
        <v>090150021</v>
      </c>
      <c r="D1804" s="2" t="s">
        <v>2454</v>
      </c>
      <c r="E1804" s="4">
        <v>29000</v>
      </c>
    </row>
    <row r="1805" spans="1:5">
      <c r="A1805" s="2" t="s">
        <v>1478</v>
      </c>
      <c r="B1805" s="2" t="str">
        <f>"070150030"</f>
        <v>070150030</v>
      </c>
      <c r="C1805" s="2" t="s">
        <v>2455</v>
      </c>
      <c r="D1805" s="2" t="s">
        <v>2456</v>
      </c>
      <c r="E1805" s="4">
        <v>17800</v>
      </c>
    </row>
    <row r="1806" spans="1:5">
      <c r="A1806" s="2" t="s">
        <v>1478</v>
      </c>
      <c r="B1806" s="2" t="str">
        <f>"1000656"</f>
        <v>1000656</v>
      </c>
      <c r="C1806" s="2" t="str">
        <f>"1000656"</f>
        <v>1000656</v>
      </c>
      <c r="D1806" s="2" t="s">
        <v>2457</v>
      </c>
      <c r="E1806" s="4">
        <v>34000</v>
      </c>
    </row>
    <row r="1807" spans="1:5">
      <c r="A1807" s="2" t="s">
        <v>1478</v>
      </c>
      <c r="B1807" s="2" t="str">
        <f>"070150037"</f>
        <v>070150037</v>
      </c>
      <c r="C1807" s="2" t="str">
        <f>"070150037"</f>
        <v>070150037</v>
      </c>
      <c r="D1807" s="2" t="s">
        <v>2458</v>
      </c>
      <c r="E1807" s="4">
        <v>16000</v>
      </c>
    </row>
    <row r="1808" spans="1:5">
      <c r="A1808" s="2" t="s">
        <v>1478</v>
      </c>
      <c r="B1808" s="2" t="str">
        <f>"9951199"</f>
        <v>9951199</v>
      </c>
      <c r="C1808" s="2" t="str">
        <f>"9951199"</f>
        <v>9951199</v>
      </c>
      <c r="D1808" s="2" t="s">
        <v>2459</v>
      </c>
      <c r="E1808" s="4">
        <v>18700</v>
      </c>
    </row>
    <row r="1809" spans="1:5">
      <c r="A1809" s="2" t="s">
        <v>1478</v>
      </c>
      <c r="B1809" s="2" t="str">
        <f>"071262"</f>
        <v>071262</v>
      </c>
      <c r="C1809" s="2" t="str">
        <f>"071262"</f>
        <v>071262</v>
      </c>
      <c r="D1809" s="2" t="s">
        <v>2460</v>
      </c>
      <c r="E1809" s="4">
        <v>49000</v>
      </c>
    </row>
    <row r="1810" spans="1:5">
      <c r="A1810" s="2" t="s">
        <v>1478</v>
      </c>
      <c r="B1810" s="2" t="str">
        <f>"0015135"</f>
        <v>0015135</v>
      </c>
      <c r="C1810" s="2" t="str">
        <f>"0015135"</f>
        <v>0015135</v>
      </c>
      <c r="D1810" s="2" t="s">
        <v>2461</v>
      </c>
      <c r="E1810" s="4">
        <v>25000</v>
      </c>
    </row>
    <row r="1811" spans="1:5">
      <c r="A1811" s="2" t="s">
        <v>1478</v>
      </c>
      <c r="B1811" s="2" t="str">
        <f>"030350065"</f>
        <v>030350065</v>
      </c>
      <c r="C1811" s="2" t="str">
        <f>"030350065"</f>
        <v>030350065</v>
      </c>
      <c r="D1811" s="2" t="s">
        <v>2462</v>
      </c>
      <c r="E1811" s="4">
        <v>22900</v>
      </c>
    </row>
    <row r="1812" spans="1:5">
      <c r="A1812" s="2" t="s">
        <v>1478</v>
      </c>
      <c r="B1812" s="2" t="str">
        <f>"2120-6006"</f>
        <v>2120-6006</v>
      </c>
      <c r="C1812" s="2" t="str">
        <f>"2120-6006"</f>
        <v>2120-6006</v>
      </c>
      <c r="D1812" s="2" t="s">
        <v>2463</v>
      </c>
      <c r="E1812" s="4">
        <v>25000</v>
      </c>
    </row>
    <row r="1813" spans="1:5">
      <c r="A1813" s="2" t="s">
        <v>1478</v>
      </c>
      <c r="B1813" s="2" t="s">
        <v>2464</v>
      </c>
      <c r="C1813" s="2" t="s">
        <v>2464</v>
      </c>
      <c r="D1813" s="2" t="s">
        <v>2465</v>
      </c>
      <c r="E1813" s="4">
        <v>14200</v>
      </c>
    </row>
    <row r="1814" spans="1:5">
      <c r="A1814" s="2" t="s">
        <v>1478</v>
      </c>
      <c r="B1814" s="2" t="s">
        <v>2466</v>
      </c>
      <c r="C1814" s="2" t="s">
        <v>2466</v>
      </c>
      <c r="D1814" s="2" t="s">
        <v>2467</v>
      </c>
      <c r="E1814" s="4">
        <v>28600</v>
      </c>
    </row>
    <row r="1815" spans="1:5">
      <c r="A1815" s="2" t="s">
        <v>1478</v>
      </c>
      <c r="B1815" s="2" t="str">
        <f>"410351"</f>
        <v>410351</v>
      </c>
      <c r="C1815" s="2" t="str">
        <f>"410351"</f>
        <v>410351</v>
      </c>
      <c r="D1815" s="2" t="s">
        <v>2468</v>
      </c>
      <c r="E1815" s="4">
        <v>15800</v>
      </c>
    </row>
    <row r="1816" spans="1:5">
      <c r="A1816" s="2" t="s">
        <v>2076</v>
      </c>
      <c r="B1816" s="2" t="str">
        <f>"260689"</f>
        <v>260689</v>
      </c>
      <c r="C1816" s="2" t="str">
        <f>"260689"</f>
        <v>260689</v>
      </c>
      <c r="D1816" s="2" t="s">
        <v>2469</v>
      </c>
      <c r="E1816" s="4">
        <v>18700</v>
      </c>
    </row>
    <row r="1817" spans="1:5">
      <c r="A1817" s="2" t="s">
        <v>2076</v>
      </c>
      <c r="B1817" s="2" t="s">
        <v>2470</v>
      </c>
      <c r="C1817" s="2" t="s">
        <v>2470</v>
      </c>
      <c r="D1817" s="2" t="s">
        <v>2471</v>
      </c>
      <c r="E1817" s="4">
        <v>18900</v>
      </c>
    </row>
    <row r="1818" spans="1:5">
      <c r="A1818" s="2" t="s">
        <v>2076</v>
      </c>
      <c r="B1818" s="2" t="str">
        <f>"020320284"</f>
        <v>020320284</v>
      </c>
      <c r="C1818" s="2" t="str">
        <f>"020320284"</f>
        <v>020320284</v>
      </c>
      <c r="D1818" s="2" t="s">
        <v>2472</v>
      </c>
      <c r="E1818" s="4">
        <v>18700</v>
      </c>
    </row>
    <row r="1819" spans="1:5">
      <c r="A1819" s="2" t="s">
        <v>2076</v>
      </c>
      <c r="B1819" s="2" t="str">
        <f>"020320143"</f>
        <v>020320143</v>
      </c>
      <c r="C1819" s="2" t="str">
        <f>"020320143"</f>
        <v>020320143</v>
      </c>
      <c r="D1819" s="2" t="s">
        <v>2473</v>
      </c>
      <c r="E1819" s="4">
        <v>12900</v>
      </c>
    </row>
    <row r="1820" spans="1:5">
      <c r="A1820" s="2" t="s">
        <v>2076</v>
      </c>
      <c r="B1820" s="2" t="str">
        <f>"3023-2314"</f>
        <v>3023-2314</v>
      </c>
      <c r="C1820" s="2" t="str">
        <f>"3023-2314"</f>
        <v>3023-2314</v>
      </c>
      <c r="D1820" s="2" t="s">
        <v>2473</v>
      </c>
      <c r="E1820" s="4">
        <v>14200</v>
      </c>
    </row>
    <row r="1821" spans="1:5">
      <c r="A1821" s="2" t="s">
        <v>2076</v>
      </c>
      <c r="B1821" s="2" t="str">
        <f>"0008891"</f>
        <v>0008891</v>
      </c>
      <c r="C1821" s="2" t="str">
        <f>"0008891"</f>
        <v>0008891</v>
      </c>
      <c r="D1821" s="2" t="s">
        <v>2473</v>
      </c>
      <c r="E1821" s="4">
        <v>18700</v>
      </c>
    </row>
    <row r="1822" spans="1:5">
      <c r="A1822" s="2" t="s">
        <v>2076</v>
      </c>
      <c r="B1822" s="2" t="str">
        <f>"0008892"</f>
        <v>0008892</v>
      </c>
      <c r="C1822" s="2" t="str">
        <f>"0008892"</f>
        <v>0008892</v>
      </c>
      <c r="D1822" s="2" t="s">
        <v>2474</v>
      </c>
      <c r="E1822" s="4">
        <v>14200</v>
      </c>
    </row>
    <row r="1823" spans="1:5">
      <c r="A1823" s="2" t="s">
        <v>2076</v>
      </c>
      <c r="B1823" s="2" t="str">
        <f>"4655-028"</f>
        <v>4655-028</v>
      </c>
      <c r="C1823" s="2" t="str">
        <f>"4655-028"</f>
        <v>4655-028</v>
      </c>
      <c r="D1823" s="2" t="s">
        <v>2475</v>
      </c>
      <c r="E1823" s="4">
        <v>70000</v>
      </c>
    </row>
    <row r="1824" spans="1:5">
      <c r="A1824" s="2" t="s">
        <v>2076</v>
      </c>
      <c r="B1824" s="2" t="str">
        <f>"10233937"</f>
        <v>10233937</v>
      </c>
      <c r="C1824" s="2" t="str">
        <f>"10233937"</f>
        <v>10233937</v>
      </c>
      <c r="D1824" s="2" t="s">
        <v>2476</v>
      </c>
      <c r="E1824" s="4">
        <v>10500</v>
      </c>
    </row>
    <row r="1825" spans="1:5">
      <c r="A1825" s="2" t="s">
        <v>2076</v>
      </c>
      <c r="B1825" s="2" t="s">
        <v>2477</v>
      </c>
      <c r="C1825" s="2" t="s">
        <v>2477</v>
      </c>
      <c r="D1825" s="2" t="s">
        <v>2478</v>
      </c>
      <c r="E1825" s="4">
        <v>11200</v>
      </c>
    </row>
    <row r="1826" spans="1:5">
      <c r="A1826" s="2" t="s">
        <v>2076</v>
      </c>
      <c r="B1826" s="2" t="str">
        <f>"1601630"</f>
        <v>1601630</v>
      </c>
      <c r="C1826" s="2" t="str">
        <f>"1601630"</f>
        <v>1601630</v>
      </c>
      <c r="D1826" s="2" t="s">
        <v>2479</v>
      </c>
      <c r="E1826" s="4">
        <v>19600</v>
      </c>
    </row>
    <row r="1827" spans="1:5">
      <c r="A1827" s="2" t="s">
        <v>2076</v>
      </c>
      <c r="B1827" s="2" t="str">
        <f>"00701NSD"</f>
        <v>00701NSD</v>
      </c>
      <c r="C1827" s="2" t="str">
        <f>"00701NSD"</f>
        <v>00701NSD</v>
      </c>
      <c r="D1827" s="2" t="s">
        <v>2480</v>
      </c>
      <c r="E1827" s="4">
        <v>11500</v>
      </c>
    </row>
    <row r="1828" spans="1:5">
      <c r="A1828" s="2" t="s">
        <v>2076</v>
      </c>
      <c r="B1828" s="2" t="str">
        <f>"1746859"</f>
        <v>1746859</v>
      </c>
      <c r="C1828" s="2" t="str">
        <f>"1746859"</f>
        <v>1746859</v>
      </c>
      <c r="D1828" s="2" t="s">
        <v>2481</v>
      </c>
      <c r="E1828" s="4">
        <v>75200</v>
      </c>
    </row>
    <row r="1829" spans="1:5">
      <c r="A1829" s="2" t="s">
        <v>2076</v>
      </c>
      <c r="B1829" s="2" t="str">
        <f>"4655-285"</f>
        <v>4655-285</v>
      </c>
      <c r="C1829" s="2" t="str">
        <f>"4655-285"</f>
        <v>4655-285</v>
      </c>
      <c r="D1829" s="2" t="s">
        <v>2482</v>
      </c>
      <c r="E1829" s="4">
        <v>97000</v>
      </c>
    </row>
    <row r="1830" spans="1:5">
      <c r="A1830" s="2" t="s">
        <v>2076</v>
      </c>
      <c r="B1830" s="2" t="str">
        <f>"4655-282-05"</f>
        <v>4655-282-05</v>
      </c>
      <c r="C1830" s="2" t="str">
        <f>"4655-282-05"</f>
        <v>4655-282-05</v>
      </c>
      <c r="D1830" s="2" t="s">
        <v>2483</v>
      </c>
      <c r="E1830" s="4">
        <v>71000</v>
      </c>
    </row>
    <row r="1831" spans="1:5">
      <c r="A1831" s="2" t="s">
        <v>2076</v>
      </c>
      <c r="B1831" s="2" t="str">
        <f>"287745"</f>
        <v>287745</v>
      </c>
      <c r="C1831" s="2" t="str">
        <f>"287745"</f>
        <v>287745</v>
      </c>
      <c r="D1831" s="2" t="s">
        <v>2484</v>
      </c>
      <c r="E1831" s="4">
        <v>19600</v>
      </c>
    </row>
    <row r="1832" spans="1:5">
      <c r="A1832" s="2" t="s">
        <v>2076</v>
      </c>
      <c r="B1832" s="2" t="str">
        <f>"260554"</f>
        <v>260554</v>
      </c>
      <c r="C1832" s="2" t="str">
        <f>"260554"</f>
        <v>260554</v>
      </c>
      <c r="D1832" s="2" t="s">
        <v>2485</v>
      </c>
      <c r="E1832" s="4">
        <v>17800</v>
      </c>
    </row>
    <row r="1833" spans="1:5">
      <c r="A1833" s="2" t="s">
        <v>2076</v>
      </c>
      <c r="B1833" s="2" t="str">
        <f>"013999"</f>
        <v>013999</v>
      </c>
      <c r="C1833" s="2" t="str">
        <f>"013999"</f>
        <v>013999</v>
      </c>
      <c r="D1833" s="2" t="s">
        <v>2486</v>
      </c>
      <c r="E1833" s="4">
        <v>18000</v>
      </c>
    </row>
    <row r="1834" spans="1:5">
      <c r="A1834" s="2" t="s">
        <v>2076</v>
      </c>
      <c r="B1834" s="2" t="str">
        <f>"0008896"</f>
        <v>0008896</v>
      </c>
      <c r="C1834" s="2" t="str">
        <f>"0008896"</f>
        <v>0008896</v>
      </c>
      <c r="D1834" s="2" t="s">
        <v>2487</v>
      </c>
      <c r="E1834" s="4">
        <v>10600</v>
      </c>
    </row>
    <row r="1835" spans="1:5">
      <c r="A1835" s="2" t="s">
        <v>2076</v>
      </c>
      <c r="B1835" s="2" t="str">
        <f>"287789"</f>
        <v>287789</v>
      </c>
      <c r="C1835" s="2" t="str">
        <f>"287789"</f>
        <v>287789</v>
      </c>
      <c r="D1835" s="2" t="s">
        <v>2488</v>
      </c>
      <c r="E1835" s="4">
        <v>53800</v>
      </c>
    </row>
    <row r="1836" spans="1:5">
      <c r="A1836" s="2" t="s">
        <v>2076</v>
      </c>
      <c r="B1836" s="2" t="str">
        <f>"288044"</f>
        <v>288044</v>
      </c>
      <c r="C1836" s="2" t="str">
        <f>"288044"</f>
        <v>288044</v>
      </c>
      <c r="D1836" s="2" t="s">
        <v>2489</v>
      </c>
      <c r="E1836" s="4">
        <v>35800</v>
      </c>
    </row>
    <row r="1837" spans="1:5">
      <c r="A1837" s="2" t="s">
        <v>2076</v>
      </c>
      <c r="B1837" s="2" t="str">
        <f>"0008877"</f>
        <v>0008877</v>
      </c>
      <c r="C1837" s="2" t="str">
        <f>"0008877"</f>
        <v>0008877</v>
      </c>
      <c r="D1837" s="2" t="s">
        <v>2490</v>
      </c>
      <c r="E1837" s="4">
        <v>17000</v>
      </c>
    </row>
    <row r="1838" spans="1:5">
      <c r="A1838" s="2" t="s">
        <v>2076</v>
      </c>
      <c r="B1838" s="2" t="s">
        <v>2491</v>
      </c>
      <c r="C1838" s="2" t="s">
        <v>2491</v>
      </c>
      <c r="D1838" s="2" t="s">
        <v>2492</v>
      </c>
      <c r="E1838" s="4">
        <v>14000</v>
      </c>
    </row>
    <row r="1839" spans="1:5">
      <c r="A1839" s="2" t="s">
        <v>2076</v>
      </c>
      <c r="B1839" s="2" t="str">
        <f>"020320037"</f>
        <v>020320037</v>
      </c>
      <c r="C1839" s="2" t="str">
        <f>"020320037"</f>
        <v>020320037</v>
      </c>
      <c r="D1839" s="2" t="s">
        <v>2493</v>
      </c>
      <c r="E1839" s="4">
        <v>16000</v>
      </c>
    </row>
    <row r="1840" spans="1:5">
      <c r="A1840" s="2" t="s">
        <v>2076</v>
      </c>
      <c r="B1840" s="2" t="str">
        <f>"020320192"</f>
        <v>020320192</v>
      </c>
      <c r="C1840" s="2" t="str">
        <f>"020320192"</f>
        <v>020320192</v>
      </c>
      <c r="D1840" s="2" t="s">
        <v>2494</v>
      </c>
      <c r="E1840" s="4">
        <v>14200</v>
      </c>
    </row>
    <row r="1841" spans="1:5">
      <c r="A1841" s="2" t="s">
        <v>2076</v>
      </c>
      <c r="B1841" s="2" t="str">
        <f>"0008884"</f>
        <v>0008884</v>
      </c>
      <c r="C1841" s="2" t="str">
        <f>"0008884"</f>
        <v>0008884</v>
      </c>
      <c r="D1841" s="2" t="s">
        <v>2494</v>
      </c>
      <c r="E1841" s="4">
        <v>14200</v>
      </c>
    </row>
    <row r="1842" spans="1:5">
      <c r="A1842" s="2" t="s">
        <v>2076</v>
      </c>
      <c r="B1842" s="2" t="str">
        <f>"0100980"</f>
        <v>0100980</v>
      </c>
      <c r="C1842" s="2" t="str">
        <f>"0100980"</f>
        <v>0100980</v>
      </c>
      <c r="D1842" s="2" t="s">
        <v>2495</v>
      </c>
      <c r="E1842" s="4">
        <v>21400</v>
      </c>
    </row>
    <row r="1843" spans="1:5">
      <c r="A1843" s="2" t="s">
        <v>2076</v>
      </c>
      <c r="B1843" s="2" t="str">
        <f>"0011052"</f>
        <v>0011052</v>
      </c>
      <c r="C1843" s="2" t="str">
        <f>"0011052"</f>
        <v>0011052</v>
      </c>
      <c r="D1843" s="2" t="s">
        <v>2496</v>
      </c>
      <c r="E1843" s="4">
        <v>19600</v>
      </c>
    </row>
    <row r="1844" spans="1:5">
      <c r="A1844" s="2" t="s">
        <v>2076</v>
      </c>
      <c r="B1844" s="2" t="str">
        <f>"0030527"</f>
        <v>0030527</v>
      </c>
      <c r="C1844" s="2" t="str">
        <f>"0030527"</f>
        <v>0030527</v>
      </c>
      <c r="D1844" s="2" t="s">
        <v>2497</v>
      </c>
      <c r="E1844" s="4">
        <v>29500</v>
      </c>
    </row>
    <row r="1845" spans="1:5">
      <c r="A1845" s="2" t="s">
        <v>2076</v>
      </c>
      <c r="B1845" s="2" t="str">
        <f>"0014420"</f>
        <v>0014420</v>
      </c>
      <c r="C1845" s="2" t="str">
        <f>"0014420"</f>
        <v>0014420</v>
      </c>
      <c r="D1845" s="2" t="s">
        <v>2498</v>
      </c>
      <c r="E1845" s="4">
        <v>59000</v>
      </c>
    </row>
    <row r="1846" spans="1:5">
      <c r="A1846" s="2" t="s">
        <v>2076</v>
      </c>
      <c r="B1846" s="2" t="str">
        <f>"0014923"</f>
        <v>0014923</v>
      </c>
      <c r="C1846" s="2" t="s">
        <v>2499</v>
      </c>
      <c r="D1846" s="2" t="s">
        <v>2500</v>
      </c>
      <c r="E1846" s="4">
        <v>95000</v>
      </c>
    </row>
    <row r="1847" spans="1:5">
      <c r="A1847" s="2" t="s">
        <v>2076</v>
      </c>
      <c r="B1847" s="2" t="str">
        <f>"0012371"</f>
        <v>0012371</v>
      </c>
      <c r="C1847" s="2" t="str">
        <f>"0012371"</f>
        <v>0012371</v>
      </c>
      <c r="D1847" s="2" t="s">
        <v>2501</v>
      </c>
      <c r="E1847" s="4">
        <v>29500</v>
      </c>
    </row>
    <row r="1848" spans="1:5">
      <c r="A1848" s="2" t="s">
        <v>2076</v>
      </c>
      <c r="B1848" s="2" t="str">
        <f>"9953090"</f>
        <v>9953090</v>
      </c>
      <c r="C1848" s="2" t="str">
        <f>"9953090"</f>
        <v>9953090</v>
      </c>
      <c r="D1848" s="2" t="s">
        <v>2502</v>
      </c>
      <c r="E1848" s="4">
        <v>19600</v>
      </c>
    </row>
    <row r="1849" spans="1:5">
      <c r="A1849" s="2" t="s">
        <v>2076</v>
      </c>
      <c r="B1849" s="2" t="str">
        <f>"006194"</f>
        <v>006194</v>
      </c>
      <c r="C1849" s="2" t="str">
        <f>"006194"</f>
        <v>006194</v>
      </c>
      <c r="D1849" s="2" t="s">
        <v>2503</v>
      </c>
      <c r="E1849" s="4">
        <v>34000</v>
      </c>
    </row>
    <row r="1850" spans="1:5">
      <c r="A1850" s="2" t="s">
        <v>2076</v>
      </c>
      <c r="B1850" s="2" t="str">
        <f>"260624"</f>
        <v>260624</v>
      </c>
      <c r="C1850" s="2" t="str">
        <f>"260624"</f>
        <v>260624</v>
      </c>
      <c r="D1850" s="2" t="s">
        <v>2504</v>
      </c>
      <c r="E1850" s="4">
        <v>18900</v>
      </c>
    </row>
    <row r="1851" spans="1:5">
      <c r="A1851" s="2" t="s">
        <v>1478</v>
      </c>
      <c r="B1851" s="2" t="str">
        <f>"101958"</f>
        <v>101958</v>
      </c>
      <c r="C1851" s="2" t="str">
        <f>"101958"</f>
        <v>101958</v>
      </c>
      <c r="D1851" s="2" t="s">
        <v>2505</v>
      </c>
      <c r="E1851" s="4">
        <v>12700</v>
      </c>
    </row>
    <row r="1852" spans="1:5">
      <c r="A1852" s="2" t="s">
        <v>1478</v>
      </c>
      <c r="B1852" s="2" t="str">
        <f>"1169"</f>
        <v>1169</v>
      </c>
      <c r="C1852" s="2" t="str">
        <f>"1169"</f>
        <v>1169</v>
      </c>
      <c r="D1852" s="2" t="s">
        <v>2506</v>
      </c>
      <c r="E1852" s="4">
        <v>25000</v>
      </c>
    </row>
    <row r="1853" spans="1:5">
      <c r="A1853" s="2" t="s">
        <v>1478</v>
      </c>
      <c r="B1853" s="2" t="str">
        <f>"030780258"</f>
        <v>030780258</v>
      </c>
      <c r="C1853" s="2" t="str">
        <f>"0517"</f>
        <v>0517</v>
      </c>
      <c r="D1853" s="2" t="s">
        <v>2507</v>
      </c>
      <c r="E1853" s="4">
        <v>11500</v>
      </c>
    </row>
    <row r="1854" spans="1:5">
      <c r="A1854" s="2" t="s">
        <v>1478</v>
      </c>
      <c r="B1854" s="2" t="str">
        <f>"030780013"</f>
        <v>030780013</v>
      </c>
      <c r="C1854" s="2" t="str">
        <f>"101120"</f>
        <v>101120</v>
      </c>
      <c r="D1854" s="2" t="s">
        <v>2508</v>
      </c>
      <c r="E1854" s="4">
        <v>13500</v>
      </c>
    </row>
    <row r="1855" spans="1:5">
      <c r="A1855" s="2" t="s">
        <v>1478</v>
      </c>
      <c r="B1855" s="2" t="str">
        <f>"0010167"</f>
        <v>0010167</v>
      </c>
      <c r="C1855" s="2" t="str">
        <f>"0010167"</f>
        <v>0010167</v>
      </c>
      <c r="D1855" s="2" t="s">
        <v>2509</v>
      </c>
      <c r="E1855" s="4">
        <v>28000</v>
      </c>
    </row>
    <row r="1856" spans="1:5">
      <c r="A1856" s="2" t="s">
        <v>1478</v>
      </c>
      <c r="B1856" s="2" t="str">
        <f>"090810140"</f>
        <v>090810140</v>
      </c>
      <c r="C1856" s="2" t="str">
        <f>"090810140"</f>
        <v>090810140</v>
      </c>
      <c r="D1856" s="2" t="s">
        <v>2510</v>
      </c>
      <c r="E1856" s="4">
        <v>25000</v>
      </c>
    </row>
    <row r="1857" spans="1:5">
      <c r="A1857" s="2" t="s">
        <v>1478</v>
      </c>
      <c r="B1857" s="2" t="s">
        <v>2511</v>
      </c>
      <c r="C1857" s="2" t="str">
        <f>"1735908522767"</f>
        <v>1735908522767</v>
      </c>
      <c r="D1857" s="2" t="s">
        <v>2512</v>
      </c>
      <c r="E1857" s="4">
        <v>85000</v>
      </c>
    </row>
    <row r="1858" spans="1:5">
      <c r="A1858" s="2" t="s">
        <v>1478</v>
      </c>
      <c r="B1858" s="2" t="s">
        <v>2513</v>
      </c>
      <c r="C1858" s="2" t="str">
        <f>"1695737308989"</f>
        <v>1695737308989</v>
      </c>
      <c r="D1858" s="2" t="s">
        <v>2514</v>
      </c>
      <c r="E1858" s="4">
        <v>35000</v>
      </c>
    </row>
    <row r="1859" spans="1:5">
      <c r="A1859" s="2" t="s">
        <v>421</v>
      </c>
      <c r="B1859" s="2" t="str">
        <f>"9953424"</f>
        <v>9953424</v>
      </c>
      <c r="C1859" s="2" t="str">
        <f>"9953424"</f>
        <v>9953424</v>
      </c>
      <c r="D1859" s="2" t="s">
        <v>2515</v>
      </c>
      <c r="E1859" s="4">
        <v>8800</v>
      </c>
    </row>
    <row r="1860" spans="1:5">
      <c r="A1860" s="2" t="s">
        <v>421</v>
      </c>
      <c r="B1860" s="2" t="str">
        <f>"1500490"</f>
        <v>1500490</v>
      </c>
      <c r="C1860" s="2" t="str">
        <f>"1500490"</f>
        <v>1500490</v>
      </c>
      <c r="D1860" s="2" t="s">
        <v>2516</v>
      </c>
      <c r="E1860" s="4">
        <v>9700</v>
      </c>
    </row>
    <row r="1861" spans="1:5">
      <c r="A1861" s="2" t="s">
        <v>421</v>
      </c>
      <c r="B1861" s="2" t="s">
        <v>2517</v>
      </c>
      <c r="C1861" s="2" t="s">
        <v>2517</v>
      </c>
      <c r="D1861" s="2" t="s">
        <v>2518</v>
      </c>
      <c r="E1861" s="4">
        <v>8500</v>
      </c>
    </row>
    <row r="1862" spans="1:5">
      <c r="A1862" s="2" t="s">
        <v>421</v>
      </c>
      <c r="B1862" s="2" t="str">
        <f>"0196747"</f>
        <v>0196747</v>
      </c>
      <c r="C1862" s="2" t="str">
        <f>"0196747"</f>
        <v>0196747</v>
      </c>
      <c r="D1862" s="2" t="s">
        <v>2519</v>
      </c>
      <c r="E1862" s="4">
        <v>5200</v>
      </c>
    </row>
    <row r="1863" spans="1:5">
      <c r="A1863" s="2" t="s">
        <v>421</v>
      </c>
      <c r="B1863" s="2" t="str">
        <f>"0012997"</f>
        <v>0012997</v>
      </c>
      <c r="C1863" s="2" t="str">
        <f>"0012997"</f>
        <v>0012997</v>
      </c>
      <c r="D1863" s="2" t="s">
        <v>2520</v>
      </c>
      <c r="E1863" s="4">
        <v>10500</v>
      </c>
    </row>
    <row r="1864" spans="1:5">
      <c r="A1864" s="2" t="s">
        <v>421</v>
      </c>
      <c r="B1864" s="2" t="str">
        <f>"070620118"</f>
        <v>070620118</v>
      </c>
      <c r="C1864" s="2" t="str">
        <f>"070620118"</f>
        <v>070620118</v>
      </c>
      <c r="D1864" s="2" t="s">
        <v>2521</v>
      </c>
      <c r="E1864" s="4">
        <v>9700</v>
      </c>
    </row>
    <row r="1865" spans="1:5">
      <c r="A1865" s="2" t="s">
        <v>421</v>
      </c>
      <c r="B1865" s="2" t="str">
        <f>"070620117"</f>
        <v>070620117</v>
      </c>
      <c r="C1865" s="2" t="str">
        <f>"070620117"</f>
        <v>070620117</v>
      </c>
      <c r="D1865" s="2" t="s">
        <v>2522</v>
      </c>
      <c r="E1865" s="4">
        <v>9700</v>
      </c>
    </row>
    <row r="1866" spans="1:5">
      <c r="A1866" s="2" t="s">
        <v>421</v>
      </c>
      <c r="B1866" s="2" t="str">
        <f>"000907639-5"</f>
        <v>000907639-5</v>
      </c>
      <c r="C1866" s="2" t="str">
        <f>"000907639-5"</f>
        <v>000907639-5</v>
      </c>
      <c r="D1866" s="2" t="s">
        <v>2523</v>
      </c>
      <c r="E1866" s="4">
        <v>12500</v>
      </c>
    </row>
    <row r="1867" spans="1:5">
      <c r="A1867" s="2" t="s">
        <v>421</v>
      </c>
      <c r="B1867" s="2" t="str">
        <f>"000907638-7"</f>
        <v>000907638-7</v>
      </c>
      <c r="C1867" s="2" t="str">
        <f>"000907638-7"</f>
        <v>000907638-7</v>
      </c>
      <c r="D1867" s="2" t="s">
        <v>2524</v>
      </c>
      <c r="E1867" s="4">
        <v>12500</v>
      </c>
    </row>
    <row r="1868" spans="1:5">
      <c r="A1868" s="2" t="s">
        <v>421</v>
      </c>
      <c r="B1868" s="2" t="str">
        <f>"9954394"</f>
        <v>9954394</v>
      </c>
      <c r="C1868" s="2" t="str">
        <f>"9954394"</f>
        <v>9954394</v>
      </c>
      <c r="D1868" s="2" t="s">
        <v>2525</v>
      </c>
      <c r="E1868" s="4">
        <v>10600</v>
      </c>
    </row>
    <row r="1869" spans="1:5">
      <c r="A1869" s="2" t="s">
        <v>421</v>
      </c>
      <c r="B1869" s="2" t="str">
        <f>"070620285"</f>
        <v>070620285</v>
      </c>
      <c r="C1869" s="2" t="str">
        <f>"070620285"</f>
        <v>070620285</v>
      </c>
      <c r="D1869" s="2" t="s">
        <v>2526</v>
      </c>
      <c r="E1869" s="4">
        <v>9700</v>
      </c>
    </row>
    <row r="1870" spans="1:5">
      <c r="A1870" s="2" t="s">
        <v>421</v>
      </c>
      <c r="B1870" s="2" t="s">
        <v>2527</v>
      </c>
      <c r="C1870" s="2" t="s">
        <v>2527</v>
      </c>
      <c r="D1870" s="2" t="s">
        <v>2528</v>
      </c>
      <c r="E1870" s="4">
        <v>48000</v>
      </c>
    </row>
    <row r="1871" spans="1:5">
      <c r="A1871" s="2" t="s">
        <v>421</v>
      </c>
      <c r="B1871" s="2" t="str">
        <f>"0013800"</f>
        <v>0013800</v>
      </c>
      <c r="C1871" s="2" t="str">
        <f>"0013800"</f>
        <v>0013800</v>
      </c>
      <c r="D1871" s="2" t="s">
        <v>2529</v>
      </c>
      <c r="E1871" s="4">
        <v>7000</v>
      </c>
    </row>
    <row r="1872" spans="1:5">
      <c r="A1872" s="2" t="s">
        <v>421</v>
      </c>
      <c r="B1872" s="2" t="str">
        <f>"0012967"</f>
        <v>0012967</v>
      </c>
      <c r="C1872" s="2" t="str">
        <f>"0012967"</f>
        <v>0012967</v>
      </c>
      <c r="D1872" s="2" t="s">
        <v>2530</v>
      </c>
      <c r="E1872" s="4">
        <v>9700</v>
      </c>
    </row>
    <row r="1873" spans="1:5">
      <c r="A1873" s="2" t="s">
        <v>421</v>
      </c>
      <c r="B1873" s="2" t="s">
        <v>2531</v>
      </c>
      <c r="C1873" s="2" t="s">
        <v>2531</v>
      </c>
      <c r="D1873" s="2" t="s">
        <v>2532</v>
      </c>
      <c r="E1873" s="4">
        <v>9700</v>
      </c>
    </row>
    <row r="1874" spans="1:5">
      <c r="A1874" s="2" t="s">
        <v>421</v>
      </c>
      <c r="B1874" s="2" t="s">
        <v>2533</v>
      </c>
      <c r="C1874" s="2" t="s">
        <v>2533</v>
      </c>
      <c r="D1874" s="2" t="s">
        <v>2534</v>
      </c>
      <c r="E1874" s="4">
        <v>16000</v>
      </c>
    </row>
    <row r="1875" spans="1:5">
      <c r="A1875" s="2" t="s">
        <v>421</v>
      </c>
      <c r="B1875" s="2" t="str">
        <f>"0001717"</f>
        <v>0001717</v>
      </c>
      <c r="C1875" s="2" t="str">
        <f>"0001717"</f>
        <v>0001717</v>
      </c>
      <c r="D1875" s="2" t="s">
        <v>2535</v>
      </c>
      <c r="E1875" s="4">
        <v>12900</v>
      </c>
    </row>
    <row r="1876" spans="1:5">
      <c r="A1876" s="2" t="s">
        <v>421</v>
      </c>
      <c r="B1876" s="2" t="str">
        <f>"9001717"</f>
        <v>9001717</v>
      </c>
      <c r="C1876" s="2" t="str">
        <f>"9001717"</f>
        <v>9001717</v>
      </c>
      <c r="D1876" s="2" t="s">
        <v>2536</v>
      </c>
      <c r="E1876" s="4">
        <v>5200</v>
      </c>
    </row>
    <row r="1877" spans="1:5">
      <c r="A1877" s="2" t="s">
        <v>421</v>
      </c>
      <c r="B1877" s="2" t="str">
        <f>"207512-1"</f>
        <v>207512-1</v>
      </c>
      <c r="C1877" s="2" t="str">
        <f>"207512-1"</f>
        <v>207512-1</v>
      </c>
      <c r="D1877" s="2" t="s">
        <v>2537</v>
      </c>
      <c r="E1877" s="4">
        <v>9000</v>
      </c>
    </row>
    <row r="1878" spans="1:5">
      <c r="A1878" s="2" t="s">
        <v>421</v>
      </c>
      <c r="B1878" s="2" t="s">
        <v>2538</v>
      </c>
      <c r="C1878" s="2" t="s">
        <v>2538</v>
      </c>
      <c r="D1878" s="2" t="s">
        <v>2539</v>
      </c>
      <c r="E1878" s="4">
        <v>6500</v>
      </c>
    </row>
    <row r="1879" spans="1:5">
      <c r="A1879" s="2" t="s">
        <v>421</v>
      </c>
      <c r="B1879" s="2" t="str">
        <f>"9953610"</f>
        <v>9953610</v>
      </c>
      <c r="C1879" s="2" t="str">
        <f>"9953610"</f>
        <v>9953610</v>
      </c>
      <c r="D1879" s="2" t="s">
        <v>2540</v>
      </c>
      <c r="E1879" s="4">
        <v>11500</v>
      </c>
    </row>
    <row r="1880" spans="1:5">
      <c r="A1880" s="2" t="s">
        <v>2541</v>
      </c>
      <c r="B1880" s="2" t="s">
        <v>2542</v>
      </c>
      <c r="C1880" s="2" t="str">
        <f>"1708188249647"</f>
        <v>1708188249647</v>
      </c>
      <c r="D1880" s="2" t="s">
        <v>2543</v>
      </c>
      <c r="E1880" s="4">
        <v>16000</v>
      </c>
    </row>
    <row r="1881" spans="1:5">
      <c r="A1881" s="2" t="s">
        <v>2544</v>
      </c>
      <c r="B1881" s="2" t="str">
        <f>"091120062"</f>
        <v>091120062</v>
      </c>
      <c r="C1881" s="2" t="str">
        <f>"091120062"</f>
        <v>091120062</v>
      </c>
      <c r="D1881" s="2" t="s">
        <v>2545</v>
      </c>
      <c r="E1881" s="4">
        <v>25000</v>
      </c>
    </row>
    <row r="1882" spans="1:5">
      <c r="A1882" s="2" t="s">
        <v>2544</v>
      </c>
      <c r="B1882" s="2" t="str">
        <f>"005847"</f>
        <v>005847</v>
      </c>
      <c r="C1882" s="2" t="str">
        <f>"005847"</f>
        <v>005847</v>
      </c>
      <c r="D1882" s="2" t="s">
        <v>2546</v>
      </c>
      <c r="E1882" s="4">
        <v>16000</v>
      </c>
    </row>
    <row r="1883" spans="1:5">
      <c r="A1883" s="2" t="s">
        <v>2544</v>
      </c>
      <c r="B1883" s="2" t="str">
        <f>"0024824"</f>
        <v>0024824</v>
      </c>
      <c r="C1883" s="2" t="str">
        <f>"1253575"</f>
        <v>1253575</v>
      </c>
      <c r="D1883" s="2" t="s">
        <v>2547</v>
      </c>
      <c r="E1883" s="4">
        <v>34000</v>
      </c>
    </row>
    <row r="1884" spans="1:5">
      <c r="A1884" s="2" t="s">
        <v>2544</v>
      </c>
      <c r="B1884" s="2" t="str">
        <f>"0009030"</f>
        <v>0009030</v>
      </c>
      <c r="C1884" s="2" t="str">
        <f>"0009030"</f>
        <v>0009030</v>
      </c>
      <c r="D1884" s="2" t="s">
        <v>2548</v>
      </c>
      <c r="E1884" s="4">
        <v>38500</v>
      </c>
    </row>
    <row r="1885" spans="1:5">
      <c r="A1885" s="2" t="s">
        <v>2544</v>
      </c>
      <c r="B1885" s="2" t="str">
        <f>"1V00040"</f>
        <v>1V00040</v>
      </c>
      <c r="C1885" s="2" t="str">
        <f>"1V00040"</f>
        <v>1V00040</v>
      </c>
      <c r="D1885" s="2" t="s">
        <v>2549</v>
      </c>
      <c r="E1885" s="4">
        <v>25000</v>
      </c>
    </row>
    <row r="1886" spans="1:5">
      <c r="A1886" s="2" t="s">
        <v>2544</v>
      </c>
      <c r="B1886" s="2" t="str">
        <f>"1501218"</f>
        <v>1501218</v>
      </c>
      <c r="C1886" s="2" t="str">
        <f>"1501218"</f>
        <v>1501218</v>
      </c>
      <c r="D1886" s="2" t="s">
        <v>2550</v>
      </c>
      <c r="E1886" s="4">
        <v>25000</v>
      </c>
    </row>
    <row r="1887" spans="1:5">
      <c r="A1887" s="2" t="s">
        <v>2544</v>
      </c>
      <c r="B1887" s="2" t="str">
        <f>"091120045"</f>
        <v>091120045</v>
      </c>
      <c r="C1887" s="2" t="str">
        <f>"091120045"</f>
        <v>091120045</v>
      </c>
      <c r="D1887" s="2" t="s">
        <v>2551</v>
      </c>
      <c r="E1887" s="4">
        <v>29500</v>
      </c>
    </row>
    <row r="1888" spans="1:5">
      <c r="A1888" s="2" t="s">
        <v>2544</v>
      </c>
      <c r="B1888" s="2" t="str">
        <f>"090920272"</f>
        <v>090920272</v>
      </c>
      <c r="C1888" s="2" t="str">
        <f>"090920272"</f>
        <v>090920272</v>
      </c>
      <c r="D1888" s="2" t="s">
        <v>2552</v>
      </c>
      <c r="E1888" s="4">
        <v>89000</v>
      </c>
    </row>
    <row r="1889" spans="1:5">
      <c r="A1889" s="2" t="s">
        <v>2544</v>
      </c>
      <c r="B1889" s="2" t="str">
        <f>"011472"</f>
        <v>011472</v>
      </c>
      <c r="C1889" s="2" t="str">
        <f>"011472"</f>
        <v>011472</v>
      </c>
      <c r="D1889" s="2" t="s">
        <v>2553</v>
      </c>
      <c r="E1889" s="4">
        <v>25000</v>
      </c>
    </row>
    <row r="1890" spans="1:5">
      <c r="A1890" s="2" t="s">
        <v>2544</v>
      </c>
      <c r="B1890" s="2" t="str">
        <f>"011422"</f>
        <v>011422</v>
      </c>
      <c r="C1890" s="2" t="str">
        <f>"011422 1130211-4"</f>
        <v>011422 1130211-4</v>
      </c>
      <c r="D1890" s="2" t="s">
        <v>2554</v>
      </c>
      <c r="E1890" s="4">
        <v>28000</v>
      </c>
    </row>
    <row r="1891" spans="1:5">
      <c r="A1891" s="2" t="s">
        <v>2544</v>
      </c>
      <c r="B1891" s="2" t="str">
        <f>"1500165"</f>
        <v>1500165</v>
      </c>
      <c r="C1891" s="2" t="str">
        <f>"1500165"</f>
        <v>1500165</v>
      </c>
      <c r="D1891" s="2" t="s">
        <v>2555</v>
      </c>
      <c r="E1891" s="4">
        <v>28600</v>
      </c>
    </row>
    <row r="1892" spans="1:5">
      <c r="A1892" s="2" t="s">
        <v>2544</v>
      </c>
      <c r="B1892" s="2" t="str">
        <f>"090120006"</f>
        <v>090120006</v>
      </c>
      <c r="C1892" s="2" t="str">
        <f>"090120006"</f>
        <v>090120006</v>
      </c>
      <c r="D1892" s="2" t="s">
        <v>2556</v>
      </c>
      <c r="E1892" s="4">
        <v>9700</v>
      </c>
    </row>
    <row r="1893" spans="1:5">
      <c r="A1893" s="2" t="s">
        <v>2544</v>
      </c>
      <c r="B1893" s="2" t="s">
        <v>2557</v>
      </c>
      <c r="C1893" s="2" t="s">
        <v>2557</v>
      </c>
      <c r="D1893" s="2" t="s">
        <v>2558</v>
      </c>
      <c r="E1893" s="4">
        <v>14200</v>
      </c>
    </row>
    <row r="1894" spans="1:5">
      <c r="A1894" s="2" t="s">
        <v>2544</v>
      </c>
      <c r="B1894" s="2" t="str">
        <f>"1605108"</f>
        <v>1605108</v>
      </c>
      <c r="C1894" s="2" t="str">
        <f>"1605108"</f>
        <v>1605108</v>
      </c>
      <c r="D1894" s="2" t="s">
        <v>2559</v>
      </c>
      <c r="E1894" s="4">
        <v>9700</v>
      </c>
    </row>
    <row r="1895" spans="1:5">
      <c r="A1895" s="2" t="s">
        <v>2544</v>
      </c>
      <c r="B1895" s="2" t="str">
        <f>"012360"</f>
        <v>012360</v>
      </c>
      <c r="C1895" s="2" t="str">
        <f>"012360"</f>
        <v>012360</v>
      </c>
      <c r="D1895" s="2" t="s">
        <v>2560</v>
      </c>
      <c r="E1895" s="4">
        <v>16000</v>
      </c>
    </row>
    <row r="1896" spans="1:5">
      <c r="A1896" s="2" t="s">
        <v>2544</v>
      </c>
      <c r="B1896" s="2" t="str">
        <f>"1902000"</f>
        <v>1902000</v>
      </c>
      <c r="C1896" s="2" t="str">
        <f>"1902000"</f>
        <v>1902000</v>
      </c>
      <c r="D1896" s="2" t="s">
        <v>2561</v>
      </c>
      <c r="E1896" s="4">
        <v>28600</v>
      </c>
    </row>
    <row r="1897" spans="1:5">
      <c r="A1897" s="2" t="s">
        <v>2544</v>
      </c>
      <c r="B1897" s="2" t="str">
        <f>"0024809"</f>
        <v>0024809</v>
      </c>
      <c r="C1897" s="2" t="str">
        <f>"0024809"</f>
        <v>0024809</v>
      </c>
      <c r="D1897" s="2" t="s">
        <v>2562</v>
      </c>
      <c r="E1897" s="4">
        <v>25000</v>
      </c>
    </row>
    <row r="1898" spans="1:5">
      <c r="A1898" s="2" t="s">
        <v>2544</v>
      </c>
      <c r="B1898" s="2" t="str">
        <f>"0011475"</f>
        <v>0011475</v>
      </c>
      <c r="C1898" s="2" t="str">
        <f>"0011475"</f>
        <v>0011475</v>
      </c>
      <c r="D1898" s="2" t="s">
        <v>2563</v>
      </c>
      <c r="E1898" s="4">
        <v>18700</v>
      </c>
    </row>
    <row r="1899" spans="1:5">
      <c r="A1899" s="2" t="s">
        <v>2544</v>
      </c>
      <c r="B1899" s="2" t="str">
        <f>"9955677"</f>
        <v>9955677</v>
      </c>
      <c r="C1899" s="2" t="str">
        <f>"9955677"</f>
        <v>9955677</v>
      </c>
      <c r="D1899" s="2" t="s">
        <v>2564</v>
      </c>
      <c r="E1899" s="4">
        <v>19600</v>
      </c>
    </row>
    <row r="1900" spans="1:5">
      <c r="A1900" s="2" t="s">
        <v>2544</v>
      </c>
      <c r="B1900" s="2" t="str">
        <f>"091120128"</f>
        <v>091120128</v>
      </c>
      <c r="C1900" s="2" t="str">
        <f>"091120128"</f>
        <v>091120128</v>
      </c>
      <c r="D1900" s="2" t="s">
        <v>2565</v>
      </c>
      <c r="E1900" s="4">
        <v>88000</v>
      </c>
    </row>
    <row r="1901" spans="1:5">
      <c r="A1901" s="2" t="s">
        <v>2544</v>
      </c>
      <c r="B1901" s="2" t="str">
        <f>"0024811"</f>
        <v>0024811</v>
      </c>
      <c r="C1901" s="2" t="str">
        <f>"0024811"</f>
        <v>0024811</v>
      </c>
      <c r="D1901" s="2" t="s">
        <v>2566</v>
      </c>
      <c r="E1901" s="4">
        <v>82000</v>
      </c>
    </row>
    <row r="1902" spans="1:5">
      <c r="A1902" s="2" t="s">
        <v>2544</v>
      </c>
      <c r="B1902" s="2" t="str">
        <f>"8700560"</f>
        <v>8700560</v>
      </c>
      <c r="C1902" s="2" t="str">
        <f>"8700560"</f>
        <v>8700560</v>
      </c>
      <c r="D1902" s="2" t="s">
        <v>2567</v>
      </c>
      <c r="E1902" s="4">
        <v>88000</v>
      </c>
    </row>
    <row r="1903" spans="1:5">
      <c r="A1903" s="2" t="s">
        <v>2544</v>
      </c>
      <c r="B1903" s="2" t="str">
        <f>"091120044"</f>
        <v>091120044</v>
      </c>
      <c r="C1903" s="2" t="str">
        <f>"091120044"</f>
        <v>091120044</v>
      </c>
      <c r="D1903" s="2" t="s">
        <v>2568</v>
      </c>
      <c r="E1903" s="4">
        <v>28000</v>
      </c>
    </row>
    <row r="1904" spans="1:5">
      <c r="A1904" s="2" t="s">
        <v>2544</v>
      </c>
      <c r="B1904" s="2" t="str">
        <f>"070475"</f>
        <v>070475</v>
      </c>
      <c r="C1904" s="2" t="str">
        <f>"070475"</f>
        <v>070475</v>
      </c>
      <c r="D1904" s="2" t="s">
        <v>2569</v>
      </c>
      <c r="E1904" s="4">
        <v>30500</v>
      </c>
    </row>
    <row r="1905" spans="1:5">
      <c r="A1905" s="2" t="s">
        <v>2544</v>
      </c>
      <c r="B1905" s="2" t="str">
        <f>"012787"</f>
        <v>012787</v>
      </c>
      <c r="C1905" s="2" t="str">
        <f>"012787"</f>
        <v>012787</v>
      </c>
      <c r="D1905" s="2" t="s">
        <v>2570</v>
      </c>
      <c r="E1905" s="4">
        <v>25000</v>
      </c>
    </row>
    <row r="1906" spans="1:5">
      <c r="A1906" s="2" t="s">
        <v>2544</v>
      </c>
      <c r="B1906" s="2" t="str">
        <f>"091120070"</f>
        <v>091120070</v>
      </c>
      <c r="C1906" s="2" t="str">
        <f>"091120070"</f>
        <v>091120070</v>
      </c>
      <c r="D1906" s="2" t="s">
        <v>2571</v>
      </c>
      <c r="E1906" s="4">
        <v>34000</v>
      </c>
    </row>
    <row r="1907" spans="1:5">
      <c r="A1907" s="2" t="s">
        <v>2544</v>
      </c>
      <c r="B1907" s="2" t="str">
        <f>"011479"</f>
        <v>011479</v>
      </c>
      <c r="C1907" s="2" t="str">
        <f>"011479"</f>
        <v>011479</v>
      </c>
      <c r="D1907" s="2" t="s">
        <v>2572</v>
      </c>
      <c r="E1907" s="4">
        <v>34000</v>
      </c>
    </row>
    <row r="1908" spans="1:5">
      <c r="A1908" s="2" t="s">
        <v>2544</v>
      </c>
      <c r="B1908" s="2" t="str">
        <f>"5 00000 343058"</f>
        <v>5 00000 343058</v>
      </c>
      <c r="C1908" s="2" t="str">
        <f>"011456"</f>
        <v>011456</v>
      </c>
      <c r="D1908" s="2" t="s">
        <v>2573</v>
      </c>
      <c r="E1908" s="4">
        <v>38500</v>
      </c>
    </row>
    <row r="1909" spans="1:5">
      <c r="A1909" s="2" t="s">
        <v>2544</v>
      </c>
      <c r="B1909" s="2" t="str">
        <f>"9951246"</f>
        <v>9951246</v>
      </c>
      <c r="C1909" s="2" t="str">
        <f>"9951246"</f>
        <v>9951246</v>
      </c>
      <c r="D1909" s="2" t="s">
        <v>2574</v>
      </c>
      <c r="E1909" s="4">
        <v>14200</v>
      </c>
    </row>
    <row r="1910" spans="1:5">
      <c r="A1910" s="2" t="s">
        <v>2544</v>
      </c>
      <c r="B1910" s="2" t="str">
        <f>"070870546"</f>
        <v>070870546</v>
      </c>
      <c r="C1910" s="2" t="str">
        <f>"070870546"</f>
        <v>070870546</v>
      </c>
      <c r="D1910" s="2" t="s">
        <v>2575</v>
      </c>
      <c r="E1910" s="4">
        <v>28600</v>
      </c>
    </row>
    <row r="1911" spans="1:5">
      <c r="A1911" s="2" t="s">
        <v>2544</v>
      </c>
      <c r="B1911" s="2" t="str">
        <f>"0022765"</f>
        <v>0022765</v>
      </c>
      <c r="C1911" s="2" t="str">
        <f>"0031613"</f>
        <v>0031613</v>
      </c>
      <c r="D1911" s="2" t="s">
        <v>2576</v>
      </c>
      <c r="E1911" s="4">
        <v>34000</v>
      </c>
    </row>
    <row r="1912" spans="1:5">
      <c r="A1912" s="2" t="s">
        <v>2544</v>
      </c>
      <c r="B1912" s="2" t="str">
        <f>"011330"</f>
        <v>011330</v>
      </c>
      <c r="C1912" s="2" t="str">
        <f>"011330"</f>
        <v>011330</v>
      </c>
      <c r="D1912" s="2" t="s">
        <v>2577</v>
      </c>
      <c r="E1912" s="4">
        <v>18000</v>
      </c>
    </row>
    <row r="1913" spans="1:5">
      <c r="A1913" s="2" t="s">
        <v>2544</v>
      </c>
      <c r="B1913" s="2" t="str">
        <f>"011445"</f>
        <v>011445</v>
      </c>
      <c r="C1913" s="2" t="str">
        <f>"011445"</f>
        <v>011445</v>
      </c>
      <c r="D1913" s="2" t="s">
        <v>2578</v>
      </c>
      <c r="E1913" s="4">
        <v>32500</v>
      </c>
    </row>
    <row r="1914" spans="1:5">
      <c r="A1914" s="2" t="s">
        <v>2544</v>
      </c>
      <c r="B1914" s="2" t="str">
        <f>"090120056"</f>
        <v>090120056</v>
      </c>
      <c r="C1914" s="2" t="str">
        <f>"090120056"</f>
        <v>090120056</v>
      </c>
      <c r="D1914" s="2" t="s">
        <v>2579</v>
      </c>
      <c r="E1914" s="4">
        <v>11500</v>
      </c>
    </row>
    <row r="1915" spans="1:5">
      <c r="A1915" s="2" t="s">
        <v>2544</v>
      </c>
      <c r="B1915" s="2" t="str">
        <f>"002933007-7"</f>
        <v>002933007-7</v>
      </c>
      <c r="C1915" s="2" t="str">
        <f>"2933007-7"</f>
        <v>2933007-7</v>
      </c>
      <c r="D1915" s="2" t="s">
        <v>2580</v>
      </c>
      <c r="E1915" s="4">
        <v>34000</v>
      </c>
    </row>
    <row r="1916" spans="1:5">
      <c r="A1916" s="2" t="s">
        <v>2544</v>
      </c>
      <c r="B1916" s="2" t="str">
        <f>"0208755"</f>
        <v>0208755</v>
      </c>
      <c r="C1916" s="2" t="str">
        <f>"0208755"</f>
        <v>0208755</v>
      </c>
      <c r="D1916" s="2" t="s">
        <v>2581</v>
      </c>
      <c r="E1916" s="4">
        <v>16000</v>
      </c>
    </row>
    <row r="1917" spans="1:5">
      <c r="A1917" s="2" t="s">
        <v>2544</v>
      </c>
      <c r="B1917" s="2" t="str">
        <f>"028755"</f>
        <v>028755</v>
      </c>
      <c r="C1917" s="2" t="str">
        <f>"02755"</f>
        <v>02755</v>
      </c>
      <c r="D1917" s="2" t="s">
        <v>2582</v>
      </c>
      <c r="E1917" s="4">
        <v>16000</v>
      </c>
    </row>
    <row r="1918" spans="1:5">
      <c r="A1918" s="2" t="s">
        <v>2544</v>
      </c>
      <c r="B1918" s="2" t="s">
        <v>2583</v>
      </c>
      <c r="C1918" s="2" t="s">
        <v>2584</v>
      </c>
      <c r="D1918" s="2" t="s">
        <v>2585</v>
      </c>
      <c r="E1918" s="4">
        <v>25000</v>
      </c>
    </row>
    <row r="1919" spans="1:5">
      <c r="A1919" s="2" t="s">
        <v>2544</v>
      </c>
      <c r="B1919" s="2" t="str">
        <f>"0019242"</f>
        <v>0019242</v>
      </c>
      <c r="C1919" s="2" t="str">
        <f>"0019242"</f>
        <v>0019242</v>
      </c>
      <c r="D1919" s="2" t="s">
        <v>2586</v>
      </c>
      <c r="E1919" s="4">
        <v>38500</v>
      </c>
    </row>
    <row r="1920" spans="1:5">
      <c r="A1920" s="2" t="s">
        <v>2544</v>
      </c>
      <c r="B1920" s="2" t="str">
        <f>"012986"</f>
        <v>012986</v>
      </c>
      <c r="C1920" s="2" t="str">
        <f>"012986"</f>
        <v>012986</v>
      </c>
      <c r="D1920" s="2" t="s">
        <v>2587</v>
      </c>
      <c r="E1920" s="4">
        <v>28600</v>
      </c>
    </row>
    <row r="1921" spans="1:5">
      <c r="A1921" s="2" t="s">
        <v>2544</v>
      </c>
      <c r="B1921" s="2" t="str">
        <f>"011401"</f>
        <v>011401</v>
      </c>
      <c r="C1921" s="2" t="str">
        <f>"011401"</f>
        <v>011401</v>
      </c>
      <c r="D1921" s="2" t="s">
        <v>2588</v>
      </c>
      <c r="E1921" s="4">
        <v>38000</v>
      </c>
    </row>
    <row r="1922" spans="1:5">
      <c r="A1922" s="2" t="s">
        <v>2544</v>
      </c>
      <c r="B1922" s="2" t="str">
        <f>"012991"</f>
        <v>012991</v>
      </c>
      <c r="C1922" s="2" t="str">
        <f>"0108918"</f>
        <v>0108918</v>
      </c>
      <c r="D1922" s="2" t="s">
        <v>2589</v>
      </c>
      <c r="E1922" s="4">
        <v>12400</v>
      </c>
    </row>
    <row r="1923" spans="1:5">
      <c r="A1923" s="2" t="s">
        <v>2544</v>
      </c>
      <c r="B1923" s="2" t="str">
        <f>"012346"</f>
        <v>012346</v>
      </c>
      <c r="C1923" s="2" t="str">
        <f>"012346"</f>
        <v>012346</v>
      </c>
      <c r="D1923" s="2" t="s">
        <v>2590</v>
      </c>
      <c r="E1923" s="4">
        <v>8800</v>
      </c>
    </row>
    <row r="1924" spans="1:5">
      <c r="A1924" s="2" t="s">
        <v>2544</v>
      </c>
      <c r="B1924" s="2" t="str">
        <f>"0207845"</f>
        <v>0207845</v>
      </c>
      <c r="C1924" s="2" t="str">
        <f>"0207845"</f>
        <v>0207845</v>
      </c>
      <c r="D1924" s="2" t="s">
        <v>2591</v>
      </c>
      <c r="E1924" s="4">
        <v>14200</v>
      </c>
    </row>
    <row r="1925" spans="1:5">
      <c r="A1925" s="2" t="s">
        <v>2544</v>
      </c>
      <c r="B1925" s="2" t="str">
        <f>"0024849"</f>
        <v>0024849</v>
      </c>
      <c r="C1925" s="2" t="str">
        <f>"0108928"</f>
        <v>0108928</v>
      </c>
      <c r="D1925" s="2" t="s">
        <v>2592</v>
      </c>
      <c r="E1925" s="4">
        <v>13300</v>
      </c>
    </row>
    <row r="1926" spans="1:5">
      <c r="A1926" s="2" t="s">
        <v>2544</v>
      </c>
      <c r="B1926" s="2" t="s">
        <v>2593</v>
      </c>
      <c r="C1926" s="2" t="s">
        <v>2593</v>
      </c>
      <c r="D1926" s="2" t="s">
        <v>2594</v>
      </c>
      <c r="E1926" s="4">
        <v>58300</v>
      </c>
    </row>
    <row r="1927" spans="1:5">
      <c r="A1927" s="2" t="s">
        <v>2544</v>
      </c>
      <c r="B1927" s="2" t="str">
        <f>"4047024838437"</f>
        <v>4047024838437</v>
      </c>
      <c r="C1927" s="2" t="str">
        <f>"9220081039"</f>
        <v>9220081039</v>
      </c>
      <c r="D1927" s="2" t="s">
        <v>2595</v>
      </c>
      <c r="E1927" s="4">
        <v>39500</v>
      </c>
    </row>
    <row r="1928" spans="1:5">
      <c r="A1928" s="2" t="s">
        <v>2544</v>
      </c>
      <c r="B1928" s="2" t="str">
        <f>"81067"</f>
        <v>81067</v>
      </c>
      <c r="C1928" s="2" t="str">
        <f>"81067"</f>
        <v>81067</v>
      </c>
      <c r="D1928" s="2" t="s">
        <v>2596</v>
      </c>
      <c r="E1928" s="4">
        <v>39500</v>
      </c>
    </row>
    <row r="1929" spans="1:5">
      <c r="A1929" s="2" t="s">
        <v>2544</v>
      </c>
      <c r="B1929" s="2" t="str">
        <f>"0024852"</f>
        <v>0024852</v>
      </c>
      <c r="C1929" s="2" t="str">
        <f>"0024852"</f>
        <v>0024852</v>
      </c>
      <c r="D1929" s="2" t="s">
        <v>2597</v>
      </c>
      <c r="E1929" s="4">
        <v>25000</v>
      </c>
    </row>
    <row r="1930" spans="1:5">
      <c r="A1930" s="2" t="s">
        <v>2544</v>
      </c>
      <c r="B1930" s="2" t="str">
        <f>"0024854"</f>
        <v>0024854</v>
      </c>
      <c r="C1930" s="2" t="str">
        <f>"0024854"</f>
        <v>0024854</v>
      </c>
      <c r="D1930" s="2" t="s">
        <v>2598</v>
      </c>
      <c r="E1930" s="4">
        <v>18000</v>
      </c>
    </row>
    <row r="1931" spans="1:5">
      <c r="A1931" s="2" t="s">
        <v>2544</v>
      </c>
      <c r="B1931" s="2" t="str">
        <f>"0500498"</f>
        <v>0500498</v>
      </c>
      <c r="C1931" s="2" t="str">
        <f>"0500498"</f>
        <v>0500498</v>
      </c>
      <c r="D1931" s="2" t="s">
        <v>2599</v>
      </c>
      <c r="E1931" s="4">
        <v>19600</v>
      </c>
    </row>
    <row r="1932" spans="1:5">
      <c r="A1932" s="2" t="s">
        <v>2544</v>
      </c>
      <c r="B1932" s="2" t="s">
        <v>2600</v>
      </c>
      <c r="C1932" s="2" t="s">
        <v>2600</v>
      </c>
      <c r="D1932" s="2" t="s">
        <v>2601</v>
      </c>
      <c r="E1932" s="4">
        <v>14200</v>
      </c>
    </row>
    <row r="1933" spans="1:5">
      <c r="A1933" s="2" t="s">
        <v>2544</v>
      </c>
      <c r="B1933" s="2" t="str">
        <f>"090120005"</f>
        <v>090120005</v>
      </c>
      <c r="C1933" s="2" t="str">
        <f>"090120005"</f>
        <v>090120005</v>
      </c>
      <c r="D1933" s="2" t="s">
        <v>2602</v>
      </c>
      <c r="E1933" s="4">
        <v>9700</v>
      </c>
    </row>
    <row r="1934" spans="1:5">
      <c r="A1934" s="2" t="s">
        <v>2544</v>
      </c>
      <c r="B1934" s="2" t="str">
        <f>"091120095"</f>
        <v>091120095</v>
      </c>
      <c r="C1934" s="2" t="str">
        <f>"091120095"</f>
        <v>091120095</v>
      </c>
      <c r="D1934" s="2" t="s">
        <v>2603</v>
      </c>
      <c r="E1934" s="4">
        <v>29500</v>
      </c>
    </row>
    <row r="1935" spans="1:5">
      <c r="A1935" s="2" t="s">
        <v>2544</v>
      </c>
      <c r="B1935" s="2" t="s">
        <v>2604</v>
      </c>
      <c r="C1935" s="2" t="s">
        <v>2604</v>
      </c>
      <c r="D1935" s="2" t="s">
        <v>2605</v>
      </c>
      <c r="E1935" s="4">
        <v>21400</v>
      </c>
    </row>
    <row r="1936" spans="1:5">
      <c r="A1936" s="2" t="s">
        <v>2544</v>
      </c>
      <c r="B1936" s="2" t="str">
        <f>"011120001"</f>
        <v>011120001</v>
      </c>
      <c r="C1936" s="2" t="str">
        <f>"011120001"</f>
        <v>011120001</v>
      </c>
      <c r="D1936" s="2" t="s">
        <v>2606</v>
      </c>
      <c r="E1936" s="4">
        <v>38500</v>
      </c>
    </row>
    <row r="1937" spans="1:5">
      <c r="A1937" s="2" t="s">
        <v>2544</v>
      </c>
      <c r="B1937" s="2" t="s">
        <v>2607</v>
      </c>
      <c r="C1937" s="2" t="s">
        <v>2607</v>
      </c>
      <c r="D1937" s="2" t="s">
        <v>2608</v>
      </c>
      <c r="E1937" s="4">
        <v>19600</v>
      </c>
    </row>
    <row r="1938" spans="1:5">
      <c r="A1938" s="2" t="s">
        <v>2544</v>
      </c>
      <c r="B1938" s="2" t="str">
        <f>"000930255-7"</f>
        <v>000930255-7</v>
      </c>
      <c r="C1938" s="2" t="str">
        <f>"000930255-7"</f>
        <v>000930255-7</v>
      </c>
      <c r="D1938" s="2" t="s">
        <v>2609</v>
      </c>
      <c r="E1938" s="4">
        <v>34000</v>
      </c>
    </row>
    <row r="1939" spans="1:5">
      <c r="A1939" s="2" t="s">
        <v>2544</v>
      </c>
      <c r="B1939" s="2" t="str">
        <f>"0016379"</f>
        <v>0016379</v>
      </c>
      <c r="C1939" s="2" t="str">
        <f>"0016379"</f>
        <v>0016379</v>
      </c>
      <c r="D1939" s="2" t="s">
        <v>2610</v>
      </c>
      <c r="E1939" s="4">
        <v>43000</v>
      </c>
    </row>
    <row r="1940" spans="1:5">
      <c r="A1940" s="2" t="s">
        <v>2544</v>
      </c>
      <c r="B1940" s="2" t="str">
        <f>"090920553"</f>
        <v>090920553</v>
      </c>
      <c r="C1940" s="2" t="s">
        <v>2611</v>
      </c>
      <c r="D1940" s="2" t="s">
        <v>2612</v>
      </c>
      <c r="E1940" s="4">
        <v>16000</v>
      </c>
    </row>
    <row r="1941" spans="1:5">
      <c r="A1941" s="2" t="s">
        <v>2544</v>
      </c>
      <c r="B1941" s="2" t="str">
        <f>"090920316"</f>
        <v>090920316</v>
      </c>
      <c r="C1941" s="2" t="str">
        <f>"090920316"</f>
        <v>090920316</v>
      </c>
      <c r="D1941" s="2" t="s">
        <v>2613</v>
      </c>
      <c r="E1941" s="4">
        <v>16000</v>
      </c>
    </row>
    <row r="1942" spans="1:5">
      <c r="A1942" s="2" t="s">
        <v>2544</v>
      </c>
      <c r="B1942" s="2" t="str">
        <f>"012367"</f>
        <v>012367</v>
      </c>
      <c r="C1942" s="2" t="str">
        <f>"012367"</f>
        <v>012367</v>
      </c>
      <c r="D1942" s="2" t="s">
        <v>2614</v>
      </c>
      <c r="E1942" s="4">
        <v>10900</v>
      </c>
    </row>
    <row r="1943" spans="1:5">
      <c r="A1943" s="2" t="s">
        <v>2544</v>
      </c>
      <c r="B1943" s="2" t="str">
        <f>"4410198"</f>
        <v>4410198</v>
      </c>
      <c r="C1943" s="2" t="str">
        <f>"4410198"</f>
        <v>4410198</v>
      </c>
      <c r="D1943" s="2" t="s">
        <v>2615</v>
      </c>
      <c r="E1943" s="4">
        <v>19600</v>
      </c>
    </row>
    <row r="1944" spans="1:5">
      <c r="A1944" s="2" t="s">
        <v>5</v>
      </c>
      <c r="B1944" s="2" t="s">
        <v>2616</v>
      </c>
      <c r="C1944" s="2" t="s">
        <v>2616</v>
      </c>
      <c r="D1944" s="2" t="s">
        <v>2617</v>
      </c>
      <c r="E1944" s="4">
        <v>16000</v>
      </c>
    </row>
    <row r="1945" spans="1:5">
      <c r="A1945" s="2" t="s">
        <v>5</v>
      </c>
      <c r="B1945" s="2" t="str">
        <f>"050130041"</f>
        <v>050130041</v>
      </c>
      <c r="C1945" s="2" t="str">
        <f>"050130041"</f>
        <v>050130041</v>
      </c>
      <c r="D1945" s="2" t="s">
        <v>2618</v>
      </c>
      <c r="E1945" s="4">
        <v>14200</v>
      </c>
    </row>
    <row r="1946" spans="1:5">
      <c r="A1946" s="2" t="s">
        <v>5</v>
      </c>
      <c r="B1946" s="2" t="str">
        <f>"53060"</f>
        <v>53060</v>
      </c>
      <c r="C1946" s="2" t="str">
        <f>"53060"</f>
        <v>53060</v>
      </c>
      <c r="D1946" s="2" t="s">
        <v>2619</v>
      </c>
      <c r="E1946" s="4">
        <v>8800</v>
      </c>
    </row>
    <row r="1947" spans="1:5">
      <c r="A1947" s="2" t="s">
        <v>5</v>
      </c>
      <c r="B1947" s="2" t="str">
        <f>"053061"</f>
        <v>053061</v>
      </c>
      <c r="C1947" s="2" t="str">
        <f>"053061"</f>
        <v>053061</v>
      </c>
      <c r="D1947" s="2" t="s">
        <v>2620</v>
      </c>
      <c r="E1947" s="4">
        <v>7900</v>
      </c>
    </row>
    <row r="1948" spans="1:5">
      <c r="A1948" s="2" t="s">
        <v>5</v>
      </c>
      <c r="B1948" s="2" t="str">
        <f>"53077"</f>
        <v>53077</v>
      </c>
      <c r="C1948" s="2" t="str">
        <f>"53077"</f>
        <v>53077</v>
      </c>
      <c r="D1948" s="2" t="s">
        <v>2621</v>
      </c>
      <c r="E1948" s="4">
        <v>6500</v>
      </c>
    </row>
    <row r="1949" spans="1:5">
      <c r="A1949" s="2" t="s">
        <v>359</v>
      </c>
      <c r="B1949" s="2" t="s">
        <v>2622</v>
      </c>
      <c r="C1949" s="2" t="s">
        <v>2622</v>
      </c>
      <c r="D1949" s="2" t="s">
        <v>2623</v>
      </c>
      <c r="E1949" s="2">
        <v>1500</v>
      </c>
    </row>
    <row r="1950" spans="1:5">
      <c r="A1950" s="2" t="s">
        <v>359</v>
      </c>
      <c r="B1950" s="2" t="s">
        <v>2624</v>
      </c>
      <c r="C1950" s="2" t="s">
        <v>2624</v>
      </c>
      <c r="D1950" s="2" t="s">
        <v>2625</v>
      </c>
      <c r="E1950" s="4">
        <v>4000</v>
      </c>
    </row>
    <row r="1951" spans="1:5">
      <c r="A1951" s="2" t="s">
        <v>359</v>
      </c>
      <c r="B1951" s="2" t="s">
        <v>2626</v>
      </c>
      <c r="C1951" s="2" t="s">
        <v>2626</v>
      </c>
      <c r="D1951" s="2" t="s">
        <v>2627</v>
      </c>
      <c r="E1951" s="4">
        <v>2800</v>
      </c>
    </row>
    <row r="1952" spans="1:5">
      <c r="A1952" s="2" t="s">
        <v>359</v>
      </c>
      <c r="B1952" s="2" t="str">
        <f>"090980203"</f>
        <v>090980203</v>
      </c>
      <c r="C1952" s="2" t="str">
        <f>"090980203"</f>
        <v>090980203</v>
      </c>
      <c r="D1952" s="2" t="s">
        <v>2628</v>
      </c>
      <c r="E1952" s="4">
        <v>3400</v>
      </c>
    </row>
    <row r="1953" spans="1:5">
      <c r="A1953" s="2" t="s">
        <v>359</v>
      </c>
      <c r="B1953" s="2" t="str">
        <f>"51408"</f>
        <v>51408</v>
      </c>
      <c r="C1953" s="2" t="str">
        <f>"51408"</f>
        <v>51408</v>
      </c>
      <c r="D1953" s="2" t="s">
        <v>2629</v>
      </c>
      <c r="E1953" s="4">
        <v>4900</v>
      </c>
    </row>
    <row r="1954" spans="1:5">
      <c r="A1954" s="2" t="s">
        <v>359</v>
      </c>
      <c r="B1954" s="2" t="str">
        <f>"090980200"</f>
        <v>090980200</v>
      </c>
      <c r="C1954" s="2" t="s">
        <v>2630</v>
      </c>
      <c r="D1954" s="2" t="s">
        <v>2631</v>
      </c>
      <c r="E1954" s="4">
        <v>3400</v>
      </c>
    </row>
    <row r="1955" spans="1:5">
      <c r="A1955" s="2" t="s">
        <v>359</v>
      </c>
      <c r="B1955" s="2" t="str">
        <f>"040510075"</f>
        <v>040510075</v>
      </c>
      <c r="C1955" s="2" t="s">
        <v>2632</v>
      </c>
      <c r="D1955" s="2" t="s">
        <v>2633</v>
      </c>
      <c r="E1955" s="4">
        <v>3400</v>
      </c>
    </row>
    <row r="1956" spans="1:5">
      <c r="A1956" s="2" t="s">
        <v>359</v>
      </c>
      <c r="B1956" s="2" t="s">
        <v>2634</v>
      </c>
      <c r="C1956" s="2" t="s">
        <v>2634</v>
      </c>
      <c r="D1956" s="2" t="s">
        <v>2635</v>
      </c>
      <c r="E1956" s="4">
        <v>3400</v>
      </c>
    </row>
    <row r="1957" spans="1:5">
      <c r="A1957" s="2" t="s">
        <v>359</v>
      </c>
      <c r="B1957" s="2" t="s">
        <v>2636</v>
      </c>
      <c r="C1957" s="2" t="s">
        <v>2637</v>
      </c>
      <c r="D1957" s="2" t="s">
        <v>2638</v>
      </c>
      <c r="E1957" s="4">
        <v>2500</v>
      </c>
    </row>
    <row r="1958" spans="1:5">
      <c r="A1958" s="2" t="s">
        <v>359</v>
      </c>
      <c r="B1958" s="2" t="s">
        <v>2639</v>
      </c>
      <c r="C1958" s="2" t="s">
        <v>2639</v>
      </c>
      <c r="D1958" s="2" t="s">
        <v>2640</v>
      </c>
      <c r="E1958" s="4">
        <v>3900</v>
      </c>
    </row>
    <row r="1959" spans="1:5">
      <c r="A1959" s="2" t="s">
        <v>359</v>
      </c>
      <c r="B1959" s="2" t="s">
        <v>2641</v>
      </c>
      <c r="C1959" s="2" t="s">
        <v>2641</v>
      </c>
      <c r="D1959" s="2" t="s">
        <v>2642</v>
      </c>
      <c r="E1959" s="4">
        <v>4300</v>
      </c>
    </row>
    <row r="1960" spans="1:5">
      <c r="A1960" s="2" t="s">
        <v>359</v>
      </c>
      <c r="B1960" s="2" t="s">
        <v>2643</v>
      </c>
      <c r="C1960" s="2" t="s">
        <v>2643</v>
      </c>
      <c r="D1960" s="2" t="s">
        <v>2644</v>
      </c>
      <c r="E1960" s="4">
        <v>2500</v>
      </c>
    </row>
    <row r="1961" spans="1:5">
      <c r="A1961" s="2" t="s">
        <v>359</v>
      </c>
      <c r="B1961" s="2" t="s">
        <v>2645</v>
      </c>
      <c r="C1961" s="2" t="s">
        <v>2645</v>
      </c>
      <c r="D1961" s="2" t="s">
        <v>2646</v>
      </c>
      <c r="E1961" s="4">
        <v>4300</v>
      </c>
    </row>
    <row r="1962" spans="1:5">
      <c r="A1962" s="2" t="s">
        <v>5</v>
      </c>
      <c r="B1962" s="2" t="str">
        <f>"1131"</f>
        <v>1131</v>
      </c>
      <c r="C1962" s="2" t="str">
        <f>"1131"</f>
        <v>1131</v>
      </c>
      <c r="D1962" s="2" t="s">
        <v>2647</v>
      </c>
      <c r="E1962" s="4">
        <v>8800</v>
      </c>
    </row>
    <row r="1963" spans="1:5">
      <c r="A1963" s="2" t="s">
        <v>421</v>
      </c>
      <c r="B1963" s="2" t="str">
        <f>"288877"</f>
        <v>288877</v>
      </c>
      <c r="C1963" s="2" t="str">
        <f>"288877"</f>
        <v>288877</v>
      </c>
      <c r="D1963" s="2" t="s">
        <v>2648</v>
      </c>
      <c r="E1963" s="4">
        <v>16000</v>
      </c>
    </row>
    <row r="1964" spans="1:5">
      <c r="A1964" s="2" t="s">
        <v>421</v>
      </c>
      <c r="B1964" s="2" t="str">
        <f>"288489"</f>
        <v>288489</v>
      </c>
      <c r="C1964" s="2" t="str">
        <f>"288489"</f>
        <v>288489</v>
      </c>
      <c r="D1964" s="2" t="s">
        <v>2649</v>
      </c>
      <c r="E1964" s="4">
        <v>36000</v>
      </c>
    </row>
    <row r="1965" spans="1:5">
      <c r="A1965" s="2" t="s">
        <v>421</v>
      </c>
      <c r="B1965" s="2" t="str">
        <f>"288880"</f>
        <v>288880</v>
      </c>
      <c r="C1965" s="2" t="str">
        <f>"288880"</f>
        <v>288880</v>
      </c>
      <c r="D1965" s="2" t="s">
        <v>2650</v>
      </c>
      <c r="E1965" s="4">
        <v>18500</v>
      </c>
    </row>
    <row r="1966" spans="1:5">
      <c r="A1966" s="2" t="s">
        <v>421</v>
      </c>
      <c r="B1966" s="2" t="str">
        <f>"5 000000 15635 1"</f>
        <v>5 000000 15635 1</v>
      </c>
      <c r="C1966" s="2" t="str">
        <f>"288800"</f>
        <v>288800</v>
      </c>
      <c r="D1966" s="2" t="s">
        <v>2651</v>
      </c>
      <c r="E1966" s="4">
        <v>24500</v>
      </c>
    </row>
    <row r="1967" spans="1:5">
      <c r="A1967" s="2" t="s">
        <v>421</v>
      </c>
      <c r="B1967" s="2" t="str">
        <f>"004237"</f>
        <v>004237</v>
      </c>
      <c r="C1967" s="2" t="str">
        <f>"004237"</f>
        <v>004237</v>
      </c>
      <c r="D1967" s="2" t="s">
        <v>2652</v>
      </c>
      <c r="E1967" s="4">
        <v>4500</v>
      </c>
    </row>
    <row r="1968" spans="1:5">
      <c r="A1968" s="2" t="s">
        <v>2544</v>
      </c>
      <c r="B1968" s="2" t="s">
        <v>2653</v>
      </c>
      <c r="C1968" s="2" t="str">
        <f>"1516205138990"</f>
        <v>1516205138990</v>
      </c>
      <c r="D1968" s="2" t="s">
        <v>2654</v>
      </c>
      <c r="E1968" s="4">
        <v>3000</v>
      </c>
    </row>
    <row r="1969" spans="1:5">
      <c r="A1969" s="2" t="s">
        <v>2544</v>
      </c>
      <c r="B1969" s="2" t="str">
        <f>"7897707509102"</f>
        <v>7897707509102</v>
      </c>
      <c r="C1969" s="2" t="str">
        <f>"7897707509119"</f>
        <v>7897707509119</v>
      </c>
      <c r="D1969" s="2" t="s">
        <v>2655</v>
      </c>
      <c r="E1969" s="4">
        <v>2500</v>
      </c>
    </row>
    <row r="1970" spans="1:5">
      <c r="A1970" s="2" t="s">
        <v>2544</v>
      </c>
      <c r="B1970" s="2" t="s">
        <v>2656</v>
      </c>
      <c r="C1970" s="2" t="str">
        <f>"087295169629 0005322"</f>
        <v>087295169629 0005322</v>
      </c>
      <c r="D1970" s="2" t="s">
        <v>2657</v>
      </c>
      <c r="E1970" s="4">
        <v>2500</v>
      </c>
    </row>
    <row r="1971" spans="1:5">
      <c r="A1971" s="2" t="s">
        <v>2544</v>
      </c>
      <c r="B1971" s="2" t="str">
        <f>"7897707505784"</f>
        <v>7897707505784</v>
      </c>
      <c r="C1971" s="2" t="str">
        <f>"6962 0005322"</f>
        <v>6962 0005322</v>
      </c>
      <c r="D1971" s="2" t="s">
        <v>2658</v>
      </c>
      <c r="E1971" s="4">
        <v>2500</v>
      </c>
    </row>
    <row r="1972" spans="1:5">
      <c r="A1972" s="2" t="s">
        <v>2544</v>
      </c>
      <c r="B1972" s="2" t="s">
        <v>2659</v>
      </c>
      <c r="C1972" s="2" t="s">
        <v>2659</v>
      </c>
      <c r="D1972" s="2" t="s">
        <v>2660</v>
      </c>
      <c r="E1972" s="4">
        <v>1250</v>
      </c>
    </row>
    <row r="1973" spans="1:5">
      <c r="A1973" s="2" t="s">
        <v>2544</v>
      </c>
      <c r="B1973" s="2" t="str">
        <f>"3165141077186"</f>
        <v>3165141077186</v>
      </c>
      <c r="C1973" s="2" t="str">
        <f>"00602FR78X"</f>
        <v>00602FR78X</v>
      </c>
      <c r="D1973" s="2" t="s">
        <v>2661</v>
      </c>
      <c r="E1973" s="4">
        <v>17800</v>
      </c>
    </row>
    <row r="1974" spans="1:5">
      <c r="A1974" s="2" t="s">
        <v>2544</v>
      </c>
      <c r="B1974" s="2" t="str">
        <f>"300493"</f>
        <v>300493</v>
      </c>
      <c r="C1974" s="2" t="str">
        <f>"300493"</f>
        <v>300493</v>
      </c>
      <c r="D1974" s="2" t="s">
        <v>2662</v>
      </c>
      <c r="E1974" s="4">
        <v>3400</v>
      </c>
    </row>
    <row r="1975" spans="1:5">
      <c r="A1975" s="2" t="s">
        <v>2544</v>
      </c>
      <c r="B1975" s="2" t="str">
        <f>"242235767"</f>
        <v>242235767</v>
      </c>
      <c r="C1975" s="2" t="str">
        <f>"242235767"</f>
        <v>242235767</v>
      </c>
      <c r="D1975" s="2" t="s">
        <v>2663</v>
      </c>
      <c r="E1975" s="4">
        <v>7500</v>
      </c>
    </row>
    <row r="1976" spans="1:5">
      <c r="A1976" s="2" t="s">
        <v>2544</v>
      </c>
      <c r="B1976" s="2" t="s">
        <v>2664</v>
      </c>
      <c r="C1976" s="2" t="s">
        <v>2664</v>
      </c>
      <c r="D1976" s="2" t="s">
        <v>2665</v>
      </c>
      <c r="E1976" s="4">
        <v>16500</v>
      </c>
    </row>
    <row r="1977" spans="1:5">
      <c r="A1977" s="2" t="s">
        <v>2544</v>
      </c>
      <c r="B1977" s="2" t="str">
        <f>"9963278"</f>
        <v>9963278</v>
      </c>
      <c r="C1977" s="2" t="str">
        <f>"9963278"</f>
        <v>9963278</v>
      </c>
      <c r="D1977" s="2" t="s">
        <v>2666</v>
      </c>
      <c r="E1977" s="4">
        <v>2500</v>
      </c>
    </row>
    <row r="1978" spans="1:5">
      <c r="A1978" s="2" t="s">
        <v>2544</v>
      </c>
      <c r="B1978" s="2" t="str">
        <f>"4047024384354"</f>
        <v>4047024384354</v>
      </c>
      <c r="C1978" s="2" t="s">
        <v>2667</v>
      </c>
      <c r="D1978" s="2" t="s">
        <v>2668</v>
      </c>
      <c r="E1978" s="4">
        <v>7500</v>
      </c>
    </row>
    <row r="1979" spans="1:5">
      <c r="A1979" s="2" t="s">
        <v>2544</v>
      </c>
      <c r="B1979" s="2" t="str">
        <f>"242129514"</f>
        <v>242129514</v>
      </c>
      <c r="C1979" s="2" t="str">
        <f>"242129514"</f>
        <v>242129514</v>
      </c>
      <c r="D1979" s="2" t="s">
        <v>2669</v>
      </c>
      <c r="E1979" s="4">
        <v>13500</v>
      </c>
    </row>
    <row r="1980" spans="1:5">
      <c r="A1980" s="2" t="s">
        <v>2544</v>
      </c>
      <c r="B1980" s="2" t="str">
        <f>"3165141077209"</f>
        <v>3165141077209</v>
      </c>
      <c r="C1980" s="2" t="s">
        <v>2670</v>
      </c>
      <c r="D1980" s="2" t="s">
        <v>2671</v>
      </c>
      <c r="E1980" s="4">
        <v>12500</v>
      </c>
    </row>
    <row r="1981" spans="1:5">
      <c r="A1981" s="2" t="s">
        <v>2544</v>
      </c>
      <c r="B1981" s="2" t="str">
        <f>"242140514"</f>
        <v>242140514</v>
      </c>
      <c r="C1981" s="2" t="str">
        <f>"242140514"</f>
        <v>242140514</v>
      </c>
      <c r="D1981" s="2" t="s">
        <v>2672</v>
      </c>
      <c r="E1981" s="4">
        <v>10500</v>
      </c>
    </row>
    <row r="1982" spans="1:5">
      <c r="A1982" s="2" t="s">
        <v>2544</v>
      </c>
      <c r="B1982" s="2" t="str">
        <f>"7897707506286"</f>
        <v>7897707506286</v>
      </c>
      <c r="C1982" s="2" t="s">
        <v>2673</v>
      </c>
      <c r="D1982" s="2" t="s">
        <v>2674</v>
      </c>
      <c r="E1982" s="4">
        <v>2000</v>
      </c>
    </row>
    <row r="1983" spans="1:5">
      <c r="A1983" s="2" t="s">
        <v>2544</v>
      </c>
      <c r="B1983" s="2" t="s">
        <v>2675</v>
      </c>
      <c r="C1983" s="2" t="s">
        <v>2675</v>
      </c>
      <c r="D1983" s="2" t="s">
        <v>2676</v>
      </c>
      <c r="E1983" s="4">
        <v>2000</v>
      </c>
    </row>
    <row r="1984" spans="1:5">
      <c r="A1984" s="2" t="s">
        <v>2544</v>
      </c>
      <c r="B1984" s="2" t="str">
        <f>"037551137022"</f>
        <v>037551137022</v>
      </c>
      <c r="C1984" s="2" t="str">
        <f>"3401"</f>
        <v>3401</v>
      </c>
      <c r="D1984" s="2" t="s">
        <v>2677</v>
      </c>
      <c r="E1984" s="4">
        <v>5900</v>
      </c>
    </row>
    <row r="1985" spans="1:5">
      <c r="A1985" s="2" t="s">
        <v>2544</v>
      </c>
      <c r="B1985" s="2" t="str">
        <f>"7989"</f>
        <v>7989</v>
      </c>
      <c r="C1985" s="2" t="str">
        <f>"1503737850029"</f>
        <v>1503737850029</v>
      </c>
      <c r="D1985" s="2" t="s">
        <v>2678</v>
      </c>
      <c r="E1985" s="4">
        <v>19000</v>
      </c>
    </row>
    <row r="1986" spans="1:5">
      <c r="A1986" s="2" t="s">
        <v>2544</v>
      </c>
      <c r="B1986" s="2" t="str">
        <f>"037551161133"</f>
        <v>037551161133</v>
      </c>
      <c r="C1986" s="2" t="str">
        <f>"9407"</f>
        <v>9407</v>
      </c>
      <c r="D1986" s="2" t="s">
        <v>2679</v>
      </c>
      <c r="E1986" s="4">
        <v>8500</v>
      </c>
    </row>
    <row r="1987" spans="1:5">
      <c r="A1987" s="2" t="s">
        <v>2544</v>
      </c>
      <c r="B1987" s="2" t="str">
        <f>"13006-0"</f>
        <v>13006-0</v>
      </c>
      <c r="C1987" s="2" t="str">
        <f>"13006-0"</f>
        <v>13006-0</v>
      </c>
      <c r="D1987" s="2" t="s">
        <v>2680</v>
      </c>
      <c r="E1987" s="4">
        <v>10500</v>
      </c>
    </row>
    <row r="1988" spans="1:5">
      <c r="A1988" s="2" t="s">
        <v>2544</v>
      </c>
      <c r="B1988" s="2" t="str">
        <f>"17793-8"</f>
        <v>17793-8</v>
      </c>
      <c r="C1988" s="2" t="str">
        <f>"17793-8"</f>
        <v>17793-8</v>
      </c>
      <c r="D1988" s="2" t="s">
        <v>2681</v>
      </c>
      <c r="E1988" s="4">
        <v>4300</v>
      </c>
    </row>
    <row r="1989" spans="1:5">
      <c r="A1989" s="2" t="s">
        <v>2544</v>
      </c>
      <c r="B1989" s="2" t="s">
        <v>2682</v>
      </c>
      <c r="C1989" s="2" t="s">
        <v>2682</v>
      </c>
      <c r="D1989" s="2" t="s">
        <v>2683</v>
      </c>
      <c r="E1989" s="4">
        <v>1800</v>
      </c>
    </row>
    <row r="1990" spans="1:5">
      <c r="A1990" s="2" t="s">
        <v>2544</v>
      </c>
      <c r="B1990" s="2" t="str">
        <f>"037551432318"</f>
        <v>037551432318</v>
      </c>
      <c r="C1990" s="2" t="str">
        <f>"00602L87"</f>
        <v>00602L87</v>
      </c>
      <c r="D1990" s="2" t="s">
        <v>2684</v>
      </c>
      <c r="E1990" s="4">
        <v>2000</v>
      </c>
    </row>
    <row r="1991" spans="1:5">
      <c r="A1991" s="2" t="s">
        <v>2544</v>
      </c>
      <c r="B1991" s="2" t="s">
        <v>2685</v>
      </c>
      <c r="C1991" s="2" t="str">
        <f>"037551441082"</f>
        <v>037551441082</v>
      </c>
      <c r="D1991" s="2" t="s">
        <v>2686</v>
      </c>
      <c r="E1991" s="4">
        <v>1500</v>
      </c>
    </row>
    <row r="1992" spans="1:5">
      <c r="A1992" s="2" t="s">
        <v>2544</v>
      </c>
      <c r="B1992" s="2" t="str">
        <f>"037551441600"</f>
        <v>037551441600</v>
      </c>
      <c r="C1992" s="2" t="s">
        <v>2687</v>
      </c>
      <c r="D1992" s="2" t="s">
        <v>2688</v>
      </c>
      <c r="E1992" s="4">
        <v>2000</v>
      </c>
    </row>
    <row r="1993" spans="1:5">
      <c r="A1993" s="2" t="s">
        <v>2544</v>
      </c>
      <c r="B1993" s="2" t="str">
        <f>"037551151622"</f>
        <v>037551151622</v>
      </c>
      <c r="C1993" s="2" t="s">
        <v>2689</v>
      </c>
      <c r="D1993" s="2" t="s">
        <v>2690</v>
      </c>
      <c r="E1993" s="4">
        <v>2900</v>
      </c>
    </row>
    <row r="1994" spans="1:5">
      <c r="A1994" s="2" t="s">
        <v>2544</v>
      </c>
      <c r="B1994" s="2" t="str">
        <f>"3071"</f>
        <v>3071</v>
      </c>
      <c r="C1994" s="2" t="str">
        <f>"3071"</f>
        <v>3071</v>
      </c>
      <c r="D1994" s="2" t="s">
        <v>2691</v>
      </c>
      <c r="E1994" s="4">
        <v>3800</v>
      </c>
    </row>
    <row r="1995" spans="1:5">
      <c r="A1995" s="2" t="s">
        <v>2544</v>
      </c>
      <c r="B1995" s="2" t="str">
        <f>"037551137077"</f>
        <v>037551137077</v>
      </c>
      <c r="C1995" s="2" t="str">
        <f>"3034"</f>
        <v>3034</v>
      </c>
      <c r="D1995" s="2" t="s">
        <v>2692</v>
      </c>
      <c r="E1995" s="4">
        <v>3800</v>
      </c>
    </row>
    <row r="1996" spans="1:5">
      <c r="A1996" s="2" t="s">
        <v>2544</v>
      </c>
      <c r="B1996" s="2" t="str">
        <f>"037551497768"</f>
        <v>037551497768</v>
      </c>
      <c r="C1996" s="2" t="str">
        <f>"00602RC12"</f>
        <v>00602RC12</v>
      </c>
      <c r="D1996" s="2" t="s">
        <v>2693</v>
      </c>
      <c r="E1996" s="4">
        <v>2000</v>
      </c>
    </row>
    <row r="1997" spans="1:5">
      <c r="A1997" s="2" t="s">
        <v>2544</v>
      </c>
      <c r="B1997" s="2" t="str">
        <f>"037551167043"</f>
        <v>037551167043</v>
      </c>
      <c r="C1997" s="2" t="s">
        <v>2694</v>
      </c>
      <c r="D1997" s="2" t="s">
        <v>2695</v>
      </c>
      <c r="E1997" s="4">
        <v>2500</v>
      </c>
    </row>
    <row r="1998" spans="1:5">
      <c r="A1998" s="2" t="s">
        <v>2544</v>
      </c>
      <c r="B1998" s="2" t="str">
        <f>"7440"</f>
        <v>7440</v>
      </c>
      <c r="C1998" s="2" t="s">
        <v>2696</v>
      </c>
      <c r="D1998" s="2" t="s">
        <v>2697</v>
      </c>
      <c r="E1998" s="4">
        <v>8500</v>
      </c>
    </row>
    <row r="1999" spans="1:5">
      <c r="A1999" s="2" t="s">
        <v>2544</v>
      </c>
      <c r="B1999" s="2" t="str">
        <f>"10287-3"</f>
        <v>10287-3</v>
      </c>
      <c r="C1999" s="2" t="str">
        <f>"10287-3"</f>
        <v>10287-3</v>
      </c>
      <c r="D1999" s="2" t="s">
        <v>2698</v>
      </c>
      <c r="E1999" s="4">
        <v>6100</v>
      </c>
    </row>
    <row r="2000" spans="1:5">
      <c r="A2000" s="2" t="s">
        <v>2544</v>
      </c>
      <c r="B2000" s="2" t="str">
        <f>"037551160495"</f>
        <v>037551160495</v>
      </c>
      <c r="C2000" s="2" t="s">
        <v>2699</v>
      </c>
      <c r="D2000" s="2" t="s">
        <v>2700</v>
      </c>
      <c r="E2000" s="4">
        <v>2500</v>
      </c>
    </row>
    <row r="2001" spans="1:5">
      <c r="A2001" s="2" t="s">
        <v>2544</v>
      </c>
      <c r="B2001" s="2" t="str">
        <f>"037551000074"</f>
        <v>037551000074</v>
      </c>
      <c r="C2001" s="2" t="str">
        <f>"037551000074"</f>
        <v>037551000074</v>
      </c>
      <c r="D2001" s="2" t="s">
        <v>2701</v>
      </c>
      <c r="E2001" s="4">
        <v>2500</v>
      </c>
    </row>
    <row r="2002" spans="1:5">
      <c r="A2002" s="2" t="s">
        <v>2544</v>
      </c>
      <c r="B2002" s="2" t="str">
        <f>"037551441228"</f>
        <v>037551441228</v>
      </c>
      <c r="C2002" s="2" t="str">
        <f>"10391-8"</f>
        <v>10391-8</v>
      </c>
      <c r="D2002" s="2" t="s">
        <v>2702</v>
      </c>
      <c r="E2002" s="4">
        <v>2000</v>
      </c>
    </row>
    <row r="2003" spans="1:5">
      <c r="A2003" s="2" t="s">
        <v>2544</v>
      </c>
      <c r="B2003" s="2" t="str">
        <f>"415"</f>
        <v>415</v>
      </c>
      <c r="C2003" s="2" t="str">
        <f>"415"</f>
        <v>415</v>
      </c>
      <c r="D2003" s="2" t="s">
        <v>2703</v>
      </c>
      <c r="E2003" s="4">
        <v>2500</v>
      </c>
    </row>
    <row r="2004" spans="1:5">
      <c r="A2004" s="2" t="s">
        <v>2544</v>
      </c>
      <c r="B2004" s="2" t="str">
        <f>"037551441655"</f>
        <v>037551441655</v>
      </c>
      <c r="C2004" s="2" t="str">
        <f>"10390-K"</f>
        <v>10390-K</v>
      </c>
      <c r="D2004" s="2" t="s">
        <v>2704</v>
      </c>
      <c r="E2004" s="4">
        <v>2500</v>
      </c>
    </row>
    <row r="2005" spans="1:5">
      <c r="A2005" s="2" t="s">
        <v>2544</v>
      </c>
      <c r="B2005" s="2" t="s">
        <v>2705</v>
      </c>
      <c r="C2005" s="2" t="s">
        <v>2705</v>
      </c>
      <c r="D2005" s="2" t="s">
        <v>2706</v>
      </c>
      <c r="E2005" s="4">
        <v>2500</v>
      </c>
    </row>
    <row r="2006" spans="1:5">
      <c r="A2006" s="2" t="s">
        <v>2544</v>
      </c>
      <c r="B2006" s="2" t="str">
        <f>"00602V12YC"</f>
        <v>00602V12YC</v>
      </c>
      <c r="C2006" s="2" t="str">
        <f>"00602V12YC"</f>
        <v>00602V12YC</v>
      </c>
      <c r="D2006" s="2" t="s">
        <v>2707</v>
      </c>
      <c r="E2006" s="4">
        <v>2000</v>
      </c>
    </row>
    <row r="2007" spans="1:5">
      <c r="A2007" s="2" t="s">
        <v>2544</v>
      </c>
      <c r="B2007" s="2" t="str">
        <f>"00602V12"</f>
        <v>00602V12</v>
      </c>
      <c r="C2007" s="2" t="str">
        <f>"00602V12"</f>
        <v>00602V12</v>
      </c>
      <c r="D2007" s="2" t="s">
        <v>2707</v>
      </c>
      <c r="E2007" s="4">
        <v>2000</v>
      </c>
    </row>
    <row r="2008" spans="1:5">
      <c r="A2008" s="2" t="s">
        <v>2544</v>
      </c>
      <c r="B2008" s="2" t="str">
        <f>"031170019"</f>
        <v>031170019</v>
      </c>
      <c r="C2008" s="2" t="str">
        <f>"4111"</f>
        <v>4111</v>
      </c>
      <c r="D2008" s="2" t="s">
        <v>2708</v>
      </c>
      <c r="E2008" s="4">
        <v>2000</v>
      </c>
    </row>
    <row r="2009" spans="1:5">
      <c r="A2009" s="2" t="s">
        <v>2544</v>
      </c>
      <c r="B2009" s="2" t="str">
        <f>"0005700"</f>
        <v>0005700</v>
      </c>
      <c r="C2009" s="2" t="str">
        <f>"0005700"</f>
        <v>0005700</v>
      </c>
      <c r="D2009" s="2" t="s">
        <v>2709</v>
      </c>
      <c r="E2009" s="4">
        <v>4300</v>
      </c>
    </row>
    <row r="2010" spans="1:5">
      <c r="A2010" s="2" t="s">
        <v>2544</v>
      </c>
      <c r="B2010" s="2" t="str">
        <f>"0005332"</f>
        <v>0005332</v>
      </c>
      <c r="C2010" s="2" t="str">
        <f>"0005332"</f>
        <v>0005332</v>
      </c>
      <c r="D2010" s="2" t="s">
        <v>2710</v>
      </c>
      <c r="E2010" s="4">
        <v>5500</v>
      </c>
    </row>
    <row r="2011" spans="1:5">
      <c r="A2011" s="2" t="s">
        <v>2544</v>
      </c>
      <c r="B2011" s="2" t="str">
        <f>"042511530348"</f>
        <v>042511530348</v>
      </c>
      <c r="C2011" s="2" t="s">
        <v>2711</v>
      </c>
      <c r="D2011" s="2" t="s">
        <v>2712</v>
      </c>
      <c r="E2011" s="4">
        <v>9700</v>
      </c>
    </row>
    <row r="2012" spans="1:5">
      <c r="A2012" s="2" t="s">
        <v>2544</v>
      </c>
      <c r="B2012" s="2" t="str">
        <f>"042511530447"</f>
        <v>042511530447</v>
      </c>
      <c r="C2012" s="2" t="s">
        <v>2713</v>
      </c>
      <c r="D2012" s="2" t="s">
        <v>2714</v>
      </c>
      <c r="E2012" s="4">
        <v>8900</v>
      </c>
    </row>
    <row r="2013" spans="1:5">
      <c r="A2013" s="2" t="s">
        <v>2544</v>
      </c>
      <c r="B2013" s="2" t="str">
        <f>"042511534346"</f>
        <v>042511534346</v>
      </c>
      <c r="C2013" s="2" t="s">
        <v>2715</v>
      </c>
      <c r="D2013" s="2" t="s">
        <v>2716</v>
      </c>
      <c r="E2013" s="4">
        <v>6500</v>
      </c>
    </row>
    <row r="2014" spans="1:5">
      <c r="A2014" s="2" t="s">
        <v>2544</v>
      </c>
      <c r="B2014" s="2" t="s">
        <v>2717</v>
      </c>
      <c r="C2014" s="2" t="s">
        <v>2717</v>
      </c>
      <c r="D2014" s="2" t="s">
        <v>2718</v>
      </c>
      <c r="E2014" s="4">
        <v>8200</v>
      </c>
    </row>
    <row r="2015" spans="1:5">
      <c r="A2015" s="2" t="s">
        <v>2544</v>
      </c>
      <c r="B2015" s="2" t="s">
        <v>2719</v>
      </c>
      <c r="C2015" s="2" t="s">
        <v>2719</v>
      </c>
      <c r="D2015" s="2" t="s">
        <v>2720</v>
      </c>
      <c r="E2015" s="4">
        <v>28000</v>
      </c>
    </row>
    <row r="2016" spans="1:5">
      <c r="A2016" s="2" t="s">
        <v>2544</v>
      </c>
      <c r="B2016" s="2" t="s">
        <v>2721</v>
      </c>
      <c r="C2016" s="2" t="s">
        <v>2722</v>
      </c>
      <c r="D2016" s="2" t="s">
        <v>2723</v>
      </c>
      <c r="E2016" s="4">
        <v>9900</v>
      </c>
    </row>
    <row r="2017" spans="1:5">
      <c r="A2017" s="2" t="s">
        <v>2544</v>
      </c>
      <c r="B2017" s="2" t="s">
        <v>2724</v>
      </c>
      <c r="C2017" s="2" t="s">
        <v>2724</v>
      </c>
      <c r="D2017" s="2" t="s">
        <v>2725</v>
      </c>
      <c r="E2017" s="4">
        <v>7500</v>
      </c>
    </row>
    <row r="2018" spans="1:5">
      <c r="A2018" s="2" t="s">
        <v>2544</v>
      </c>
      <c r="B2018" s="2" t="s">
        <v>2726</v>
      </c>
      <c r="C2018" s="2" t="str">
        <f>"1TV20"</f>
        <v>1TV20</v>
      </c>
      <c r="D2018" s="2" t="s">
        <v>2727</v>
      </c>
      <c r="E2018" s="4">
        <v>11500</v>
      </c>
    </row>
    <row r="2019" spans="1:5">
      <c r="A2019" s="2" t="s">
        <v>2544</v>
      </c>
      <c r="B2019" s="2" t="s">
        <v>2728</v>
      </c>
      <c r="C2019" s="2" t="s">
        <v>2728</v>
      </c>
      <c r="D2019" s="2" t="s">
        <v>2729</v>
      </c>
      <c r="E2019" s="4">
        <v>13500</v>
      </c>
    </row>
    <row r="2020" spans="1:5">
      <c r="A2020" s="2" t="s">
        <v>2544</v>
      </c>
      <c r="B2020" s="2" t="s">
        <v>2730</v>
      </c>
      <c r="C2020" s="2" t="s">
        <v>2730</v>
      </c>
      <c r="D2020" s="2" t="s">
        <v>2731</v>
      </c>
      <c r="E2020" s="4">
        <v>7500</v>
      </c>
    </row>
    <row r="2021" spans="1:5">
      <c r="A2021" s="2" t="s">
        <v>2544</v>
      </c>
      <c r="B2021" s="2" t="str">
        <f>"5353"</f>
        <v>5353</v>
      </c>
      <c r="C2021" s="2" t="str">
        <f>"5353"</f>
        <v>5353</v>
      </c>
      <c r="D2021" s="2" t="s">
        <v>2732</v>
      </c>
      <c r="E2021" s="4">
        <v>12500</v>
      </c>
    </row>
    <row r="2022" spans="1:5">
      <c r="A2022" s="2" t="s">
        <v>2544</v>
      </c>
      <c r="B2022" s="2" t="s">
        <v>2733</v>
      </c>
      <c r="C2022" s="2" t="s">
        <v>2733</v>
      </c>
      <c r="D2022" s="2" t="s">
        <v>2734</v>
      </c>
      <c r="E2022" s="4">
        <v>12500</v>
      </c>
    </row>
    <row r="2023" spans="1:5">
      <c r="A2023" s="2" t="s">
        <v>2544</v>
      </c>
      <c r="B2023" s="2" t="s">
        <v>2735</v>
      </c>
      <c r="C2023" s="2" t="s">
        <v>2735</v>
      </c>
      <c r="D2023" s="2" t="s">
        <v>2736</v>
      </c>
      <c r="E2023" s="4">
        <v>12500</v>
      </c>
    </row>
    <row r="2024" spans="1:5">
      <c r="A2024" s="2" t="s">
        <v>2544</v>
      </c>
      <c r="B2024" s="2" t="s">
        <v>2737</v>
      </c>
      <c r="C2024" s="2" t="s">
        <v>2737</v>
      </c>
      <c r="D2024" s="2" t="s">
        <v>2738</v>
      </c>
      <c r="E2024" s="4">
        <v>3900</v>
      </c>
    </row>
    <row r="2025" spans="1:5">
      <c r="A2025" s="2" t="s">
        <v>2544</v>
      </c>
      <c r="B2025" s="2" t="str">
        <f>"042511313040"</f>
        <v>042511313040</v>
      </c>
      <c r="C2025" s="2" t="str">
        <f>"006023130"</f>
        <v>006023130</v>
      </c>
      <c r="D2025" s="2" t="s">
        <v>2739</v>
      </c>
      <c r="E2025" s="4">
        <v>2500</v>
      </c>
    </row>
    <row r="2026" spans="1:5">
      <c r="A2026" s="2" t="s">
        <v>2544</v>
      </c>
      <c r="B2026" s="2" t="str">
        <f>"042511319448"</f>
        <v>042511319448</v>
      </c>
      <c r="C2026" s="2" t="s">
        <v>2740</v>
      </c>
      <c r="D2026" s="2" t="s">
        <v>2741</v>
      </c>
      <c r="E2026" s="4">
        <v>3400</v>
      </c>
    </row>
    <row r="2027" spans="1:5">
      <c r="A2027" s="2" t="s">
        <v>2544</v>
      </c>
      <c r="B2027" s="2" t="str">
        <f>"042511450349"</f>
        <v>042511450349</v>
      </c>
      <c r="C2027" s="2" t="s">
        <v>2742</v>
      </c>
      <c r="D2027" s="2" t="s">
        <v>2743</v>
      </c>
      <c r="E2027" s="4">
        <v>3400</v>
      </c>
    </row>
    <row r="2028" spans="1:5">
      <c r="A2028" s="2" t="s">
        <v>2544</v>
      </c>
      <c r="B2028" s="2" t="str">
        <f>"042511450547"</f>
        <v>042511450547</v>
      </c>
      <c r="C2028" s="2" t="s">
        <v>2744</v>
      </c>
      <c r="D2028" s="2" t="s">
        <v>2745</v>
      </c>
      <c r="E2028" s="4">
        <v>4900</v>
      </c>
    </row>
    <row r="2029" spans="1:5">
      <c r="A2029" s="2" t="s">
        <v>2544</v>
      </c>
      <c r="B2029" s="2" t="s">
        <v>2746</v>
      </c>
      <c r="C2029" s="2" t="s">
        <v>2746</v>
      </c>
      <c r="D2029" s="2" t="s">
        <v>2747</v>
      </c>
      <c r="E2029" s="4">
        <v>4500</v>
      </c>
    </row>
    <row r="2030" spans="1:5">
      <c r="A2030" s="2" t="s">
        <v>2544</v>
      </c>
      <c r="B2030" s="2" t="str">
        <f>"042511450745"</f>
        <v>042511450745</v>
      </c>
      <c r="C2030" s="2" t="s">
        <v>2748</v>
      </c>
      <c r="D2030" s="2" t="s">
        <v>2749</v>
      </c>
      <c r="E2030" s="4">
        <v>4300</v>
      </c>
    </row>
    <row r="2031" spans="1:5">
      <c r="A2031" s="2" t="s">
        <v>2544</v>
      </c>
      <c r="B2031" s="2" t="str">
        <f>"0060PQ20TT"</f>
        <v>0060PQ20TT</v>
      </c>
      <c r="C2031" s="2" t="str">
        <f>"0060PQ20TT"</f>
        <v>0060PQ20TT</v>
      </c>
      <c r="D2031" s="2" t="s">
        <v>2750</v>
      </c>
      <c r="E2031" s="4">
        <v>2500</v>
      </c>
    </row>
    <row r="2032" spans="1:5">
      <c r="A2032" s="2" t="s">
        <v>2544</v>
      </c>
      <c r="B2032" s="2" t="s">
        <v>2751</v>
      </c>
      <c r="C2032" s="2" t="s">
        <v>2751</v>
      </c>
      <c r="D2032" s="2" t="s">
        <v>2752</v>
      </c>
      <c r="E2032" s="4">
        <v>3400</v>
      </c>
    </row>
    <row r="2033" spans="1:5">
      <c r="A2033" s="2" t="s">
        <v>2544</v>
      </c>
      <c r="B2033" s="2" t="str">
        <f>"042511451346"</f>
        <v>042511451346</v>
      </c>
      <c r="C2033" s="2" t="str">
        <f>"00602PTV16TT"</f>
        <v>00602PTV16TT</v>
      </c>
      <c r="D2033" s="2" t="s">
        <v>2753</v>
      </c>
      <c r="E2033" s="4">
        <v>3400</v>
      </c>
    </row>
    <row r="2034" spans="1:5">
      <c r="A2034" s="2" t="s">
        <v>2544</v>
      </c>
      <c r="B2034" s="2" t="str">
        <f>"006023444"</f>
        <v>006023444</v>
      </c>
      <c r="C2034" s="2" t="str">
        <f>"006023444"</f>
        <v>006023444</v>
      </c>
      <c r="D2034" s="2" t="s">
        <v>2754</v>
      </c>
      <c r="E2034" s="4">
        <v>10500</v>
      </c>
    </row>
    <row r="2035" spans="1:5">
      <c r="A2035" s="2" t="s">
        <v>2544</v>
      </c>
      <c r="B2035" s="2" t="str">
        <f>"042511302747"</f>
        <v>042511302747</v>
      </c>
      <c r="C2035" s="2" t="str">
        <f>"30274"</f>
        <v>30274</v>
      </c>
      <c r="D2035" s="2" t="s">
        <v>2755</v>
      </c>
      <c r="E2035" s="4">
        <v>2500</v>
      </c>
    </row>
    <row r="2036" spans="1:5">
      <c r="A2036" s="2" t="s">
        <v>2544</v>
      </c>
      <c r="B2036" s="2" t="str">
        <f>"042511303140"</f>
        <v>042511303140</v>
      </c>
      <c r="C2036" s="2" t="str">
        <f>"006023031"</f>
        <v>006023031</v>
      </c>
      <c r="D2036" s="2" t="s">
        <v>2756</v>
      </c>
      <c r="E2036" s="4">
        <v>2500</v>
      </c>
    </row>
    <row r="2037" spans="1:5">
      <c r="A2037" s="2" t="s">
        <v>2544</v>
      </c>
      <c r="B2037" s="2" t="s">
        <v>2757</v>
      </c>
      <c r="C2037" s="2" t="s">
        <v>2757</v>
      </c>
      <c r="D2037" s="2" t="s">
        <v>2758</v>
      </c>
      <c r="E2037" s="4">
        <v>3400</v>
      </c>
    </row>
    <row r="2038" spans="1:5">
      <c r="A2038" s="2" t="s">
        <v>2544</v>
      </c>
      <c r="B2038" s="2" t="s">
        <v>2759</v>
      </c>
      <c r="C2038" s="2" t="s">
        <v>2759</v>
      </c>
      <c r="D2038" s="2" t="s">
        <v>2760</v>
      </c>
      <c r="E2038" s="4">
        <v>2900</v>
      </c>
    </row>
    <row r="2039" spans="1:5">
      <c r="A2039" s="2" t="s">
        <v>2544</v>
      </c>
      <c r="B2039" s="2" t="str">
        <f>"042511331204"</f>
        <v>042511331204</v>
      </c>
      <c r="C2039" s="2" t="s">
        <v>2761</v>
      </c>
      <c r="D2039" s="2" t="s">
        <v>2762</v>
      </c>
      <c r="E2039" s="4">
        <v>3500</v>
      </c>
    </row>
    <row r="2040" spans="1:5">
      <c r="A2040" s="2" t="s">
        <v>2544</v>
      </c>
      <c r="B2040" s="2" t="s">
        <v>2763</v>
      </c>
      <c r="C2040" s="2" t="s">
        <v>2763</v>
      </c>
      <c r="D2040" s="2" t="s">
        <v>2764</v>
      </c>
      <c r="E2040" s="4">
        <v>2000</v>
      </c>
    </row>
    <row r="2041" spans="1:5">
      <c r="A2041" s="2" t="s">
        <v>2544</v>
      </c>
      <c r="B2041" s="2" t="str">
        <f>"3439"</f>
        <v>3439</v>
      </c>
      <c r="C2041" s="2" t="str">
        <f>"3439"</f>
        <v>3439</v>
      </c>
      <c r="D2041" s="2" t="s">
        <v>2765</v>
      </c>
      <c r="E2041" s="4">
        <v>10500</v>
      </c>
    </row>
    <row r="2042" spans="1:5">
      <c r="A2042" s="2" t="s">
        <v>2544</v>
      </c>
      <c r="B2042" s="2" t="str">
        <f>"4963811100542"</f>
        <v>4963811100542</v>
      </c>
      <c r="C2042" s="2" t="str">
        <f>"010170069"</f>
        <v>010170069</v>
      </c>
      <c r="D2042" s="2" t="s">
        <v>2766</v>
      </c>
      <c r="E2042" s="4">
        <v>14200</v>
      </c>
    </row>
    <row r="2043" spans="1:5">
      <c r="A2043" s="2" t="s">
        <v>2544</v>
      </c>
      <c r="B2043" s="2" t="str">
        <f>"5000000372225"</f>
        <v>5000000372225</v>
      </c>
      <c r="C2043" s="2" t="str">
        <f>"248507"</f>
        <v>248507</v>
      </c>
      <c r="D2043" s="2" t="s">
        <v>2767</v>
      </c>
      <c r="E2043" s="4">
        <v>16000</v>
      </c>
    </row>
    <row r="2044" spans="1:5">
      <c r="A2044" s="2" t="s">
        <v>2544</v>
      </c>
      <c r="B2044" s="2" t="str">
        <f>"010170068"</f>
        <v>010170068</v>
      </c>
      <c r="C2044" s="2" t="str">
        <f>"010170068"</f>
        <v>010170068</v>
      </c>
      <c r="D2044" s="2" t="s">
        <v>2768</v>
      </c>
      <c r="E2044" s="4">
        <v>11500</v>
      </c>
    </row>
    <row r="2045" spans="1:5">
      <c r="A2045" s="2" t="s">
        <v>2544</v>
      </c>
      <c r="B2045" s="2" t="str">
        <f>"010170082"</f>
        <v>010170082</v>
      </c>
      <c r="C2045" s="2" t="str">
        <f>"010170082"</f>
        <v>010170082</v>
      </c>
      <c r="D2045" s="2" t="s">
        <v>2769</v>
      </c>
      <c r="E2045" s="4">
        <v>18500</v>
      </c>
    </row>
    <row r="2046" spans="1:5">
      <c r="A2046" s="2" t="s">
        <v>2544</v>
      </c>
      <c r="B2046" s="2" t="str">
        <f>"5000000372249"</f>
        <v>5000000372249</v>
      </c>
      <c r="C2046" s="2" t="str">
        <f>"248508"</f>
        <v>248508</v>
      </c>
      <c r="D2046" s="2" t="s">
        <v>2770</v>
      </c>
      <c r="E2046" s="4">
        <v>16900</v>
      </c>
    </row>
    <row r="2047" spans="1:5">
      <c r="A2047" s="2" t="s">
        <v>2544</v>
      </c>
      <c r="B2047" s="2" t="str">
        <f>"4963811100177"</f>
        <v>4963811100177</v>
      </c>
      <c r="C2047" s="2" t="str">
        <f>"310884"</f>
        <v>310884</v>
      </c>
      <c r="D2047" s="2" t="s">
        <v>2771</v>
      </c>
      <c r="E2047" s="4">
        <v>9700</v>
      </c>
    </row>
    <row r="2048" spans="1:5">
      <c r="A2048" s="2" t="s">
        <v>2544</v>
      </c>
      <c r="B2048" s="2" t="str">
        <f>"312289"</f>
        <v>312289</v>
      </c>
      <c r="C2048" s="2" t="str">
        <f>"312289"</f>
        <v>312289</v>
      </c>
      <c r="D2048" s="2" t="s">
        <v>2772</v>
      </c>
      <c r="E2048" s="4">
        <v>14200</v>
      </c>
    </row>
    <row r="2049" spans="1:5">
      <c r="A2049" s="2" t="s">
        <v>2544</v>
      </c>
      <c r="B2049" s="2" t="str">
        <f>"071542"</f>
        <v>071542</v>
      </c>
      <c r="C2049" s="2" t="str">
        <f>"071542"</f>
        <v>071542</v>
      </c>
      <c r="D2049" s="2" t="s">
        <v>2773</v>
      </c>
      <c r="E2049" s="4">
        <v>14000</v>
      </c>
    </row>
    <row r="2050" spans="1:5">
      <c r="A2050" s="2" t="s">
        <v>2544</v>
      </c>
      <c r="B2050" s="2" t="str">
        <f>"5000000035953"</f>
        <v>5000000035953</v>
      </c>
      <c r="C2050" s="2" t="str">
        <f>"310889"</f>
        <v>310889</v>
      </c>
      <c r="D2050" s="2" t="s">
        <v>2774</v>
      </c>
      <c r="E2050" s="4">
        <v>6900</v>
      </c>
    </row>
    <row r="2051" spans="1:5">
      <c r="A2051" s="2" t="s">
        <v>2544</v>
      </c>
      <c r="B2051" s="2" t="str">
        <f>"1602080"</f>
        <v>1602080</v>
      </c>
      <c r="C2051" s="2" t="str">
        <f>"1602080"</f>
        <v>1602080</v>
      </c>
      <c r="D2051" s="2" t="s">
        <v>2775</v>
      </c>
      <c r="E2051" s="4">
        <v>5100</v>
      </c>
    </row>
    <row r="2052" spans="1:5">
      <c r="A2052" s="2" t="s">
        <v>2544</v>
      </c>
      <c r="B2052" s="2" t="str">
        <f>"5000000205233"</f>
        <v>5000000205233</v>
      </c>
      <c r="C2052" s="2" t="str">
        <f>"311489"</f>
        <v>311489</v>
      </c>
      <c r="D2052" s="2" t="s">
        <v>2776</v>
      </c>
      <c r="E2052" s="4">
        <v>18700</v>
      </c>
    </row>
    <row r="2053" spans="1:5">
      <c r="A2053" s="2" t="s">
        <v>2544</v>
      </c>
      <c r="B2053" s="2" t="str">
        <f>"4014427094937"</f>
        <v>4014427094937</v>
      </c>
      <c r="C2053" s="2" t="str">
        <f>"1431051-7"</f>
        <v>1431051-7</v>
      </c>
      <c r="D2053" s="2" t="s">
        <v>2777</v>
      </c>
      <c r="E2053" s="4">
        <v>11500</v>
      </c>
    </row>
    <row r="2054" spans="1:5">
      <c r="A2054" s="2" t="s">
        <v>2544</v>
      </c>
      <c r="B2054" s="2" t="str">
        <f>"5000000035588"</f>
        <v>5000000035588</v>
      </c>
      <c r="C2054" s="2" t="str">
        <f>"310422"</f>
        <v>310422</v>
      </c>
      <c r="D2054" s="2" t="s">
        <v>2778</v>
      </c>
      <c r="E2054" s="4">
        <v>8800</v>
      </c>
    </row>
    <row r="2055" spans="1:5">
      <c r="A2055" s="2" t="s">
        <v>2544</v>
      </c>
      <c r="B2055" s="2" t="str">
        <f>"0345341"</f>
        <v>0345341</v>
      </c>
      <c r="C2055" s="2" t="str">
        <f>"0345341"</f>
        <v>0345341</v>
      </c>
      <c r="D2055" s="2" t="s">
        <v>2779</v>
      </c>
      <c r="E2055" s="4">
        <v>14200</v>
      </c>
    </row>
    <row r="2056" spans="1:5">
      <c r="A2056" s="2" t="s">
        <v>2544</v>
      </c>
      <c r="B2056" s="2" t="str">
        <f>"5000000035861"</f>
        <v>5000000035861</v>
      </c>
      <c r="C2056" s="2" t="str">
        <f>"310880"</f>
        <v>310880</v>
      </c>
      <c r="D2056" s="2" t="s">
        <v>2780</v>
      </c>
      <c r="E2056" s="4">
        <v>17800</v>
      </c>
    </row>
    <row r="2057" spans="1:5">
      <c r="A2057" s="2" t="s">
        <v>2544</v>
      </c>
      <c r="B2057" s="2" t="str">
        <f>"310423"</f>
        <v>310423</v>
      </c>
      <c r="C2057" s="2" t="str">
        <f>"310423"</f>
        <v>310423</v>
      </c>
      <c r="D2057" s="2" t="s">
        <v>2781</v>
      </c>
      <c r="E2057" s="4">
        <v>12400</v>
      </c>
    </row>
    <row r="2058" spans="1:5">
      <c r="A2058" s="2" t="s">
        <v>2544</v>
      </c>
      <c r="B2058" s="2" t="str">
        <f>"010170059"</f>
        <v>010170059</v>
      </c>
      <c r="C2058" s="2" t="str">
        <f>"010170059"</f>
        <v>010170059</v>
      </c>
      <c r="D2058" s="2" t="s">
        <v>2782</v>
      </c>
      <c r="E2058" s="4">
        <v>18700</v>
      </c>
    </row>
    <row r="2059" spans="1:5">
      <c r="A2059" s="2" t="s">
        <v>2544</v>
      </c>
      <c r="B2059" s="2" t="str">
        <f>"248476"</f>
        <v>248476</v>
      </c>
      <c r="C2059" s="2" t="str">
        <f>"248476"</f>
        <v>248476</v>
      </c>
      <c r="D2059" s="2" t="s">
        <v>2783</v>
      </c>
      <c r="E2059" s="4">
        <v>17800</v>
      </c>
    </row>
    <row r="2060" spans="1:5">
      <c r="A2060" s="2" t="s">
        <v>2544</v>
      </c>
      <c r="B2060" s="2" t="str">
        <f>"5000000287413"</f>
        <v>5000000287413</v>
      </c>
      <c r="C2060" s="2" t="str">
        <f>"248450"</f>
        <v>248450</v>
      </c>
      <c r="D2060" s="2" t="s">
        <v>2784</v>
      </c>
      <c r="E2060" s="4">
        <v>16000</v>
      </c>
    </row>
    <row r="2061" spans="1:5">
      <c r="A2061" s="2" t="s">
        <v>2544</v>
      </c>
      <c r="B2061" s="2" t="str">
        <f>"310897"</f>
        <v>310897</v>
      </c>
      <c r="C2061" s="2" t="str">
        <f>"310897"</f>
        <v>310897</v>
      </c>
      <c r="D2061" s="2" t="s">
        <v>2785</v>
      </c>
      <c r="E2061" s="4">
        <v>6500</v>
      </c>
    </row>
    <row r="2062" spans="1:5">
      <c r="A2062" s="2" t="s">
        <v>2544</v>
      </c>
      <c r="B2062" s="2" t="str">
        <f>"311492"</f>
        <v>311492</v>
      </c>
      <c r="C2062" s="2" t="str">
        <f>"311492"</f>
        <v>311492</v>
      </c>
      <c r="D2062" s="2" t="s">
        <v>2786</v>
      </c>
      <c r="E2062" s="4">
        <v>15500</v>
      </c>
    </row>
    <row r="2063" spans="1:5">
      <c r="A2063" s="2" t="s">
        <v>2544</v>
      </c>
      <c r="B2063" s="2" t="str">
        <f>"010170022"</f>
        <v>010170022</v>
      </c>
      <c r="C2063" s="2" t="str">
        <f>"010170022"</f>
        <v>010170022</v>
      </c>
      <c r="D2063" s="2" t="s">
        <v>2787</v>
      </c>
      <c r="E2063" s="4">
        <v>6100</v>
      </c>
    </row>
    <row r="2064" spans="1:5">
      <c r="A2064" s="2" t="s">
        <v>2544</v>
      </c>
      <c r="B2064" s="2" t="str">
        <f>"0015112"</f>
        <v>0015112</v>
      </c>
      <c r="C2064" s="2" t="str">
        <f>"0015112"</f>
        <v>0015112</v>
      </c>
      <c r="D2064" s="2" t="s">
        <v>2788</v>
      </c>
      <c r="E2064" s="4">
        <v>5200</v>
      </c>
    </row>
    <row r="2065" spans="1:5">
      <c r="A2065" s="2" t="s">
        <v>2544</v>
      </c>
      <c r="B2065" s="2" t="str">
        <f>"9951114"</f>
        <v>9951114</v>
      </c>
      <c r="C2065" s="2" t="str">
        <f>"9951114"</f>
        <v>9951114</v>
      </c>
      <c r="D2065" s="2" t="s">
        <v>2789</v>
      </c>
      <c r="E2065" s="4">
        <v>25000</v>
      </c>
    </row>
    <row r="2066" spans="1:5">
      <c r="A2066" s="2" t="s">
        <v>2544</v>
      </c>
      <c r="B2066" s="2" t="str">
        <f>"248417"</f>
        <v>248417</v>
      </c>
      <c r="C2066" s="2" t="str">
        <f>"248417"</f>
        <v>248417</v>
      </c>
      <c r="D2066" s="2" t="s">
        <v>2790</v>
      </c>
      <c r="E2066" s="4">
        <v>11500</v>
      </c>
    </row>
    <row r="2067" spans="1:5">
      <c r="A2067" s="2" t="s">
        <v>2544</v>
      </c>
      <c r="B2067" s="2" t="str">
        <f>"010170071"</f>
        <v>010170071</v>
      </c>
      <c r="C2067" s="2" t="str">
        <f>"010170071"</f>
        <v>010170071</v>
      </c>
      <c r="D2067" s="2" t="s">
        <v>2791</v>
      </c>
      <c r="E2067" s="4">
        <v>9700</v>
      </c>
    </row>
    <row r="2068" spans="1:5">
      <c r="A2068" s="2" t="s">
        <v>2544</v>
      </c>
      <c r="B2068" s="2" t="str">
        <f>"071553"</f>
        <v>071553</v>
      </c>
      <c r="C2068" s="2" t="str">
        <f>"5000000396702"</f>
        <v>5000000396702</v>
      </c>
      <c r="D2068" s="2" t="s">
        <v>2792</v>
      </c>
      <c r="E2068" s="4">
        <v>17800</v>
      </c>
    </row>
    <row r="2069" spans="1:5">
      <c r="A2069" s="2" t="s">
        <v>2544</v>
      </c>
      <c r="B2069" s="2" t="str">
        <f>"010170028"</f>
        <v>010170028</v>
      </c>
      <c r="C2069" s="2" t="str">
        <f>"010170028"</f>
        <v>010170028</v>
      </c>
      <c r="D2069" s="2" t="s">
        <v>2793</v>
      </c>
      <c r="E2069" s="4">
        <v>7000</v>
      </c>
    </row>
    <row r="2070" spans="1:5">
      <c r="A2070" s="2" t="s">
        <v>2544</v>
      </c>
      <c r="B2070" s="2" t="str">
        <f>"5000000035045"</f>
        <v>5000000035045</v>
      </c>
      <c r="C2070" s="2" t="str">
        <f>"300056"</f>
        <v>300056</v>
      </c>
      <c r="D2070" s="2" t="s">
        <v>2794</v>
      </c>
      <c r="E2070" s="4">
        <v>2900</v>
      </c>
    </row>
    <row r="2071" spans="1:5">
      <c r="A2071" s="2" t="s">
        <v>2544</v>
      </c>
      <c r="B2071" s="2" t="str">
        <f>"5000000410200"</f>
        <v>5000000410200</v>
      </c>
      <c r="C2071" s="2" t="str">
        <f>"005401"</f>
        <v>005401</v>
      </c>
      <c r="D2071" s="2" t="s">
        <v>2795</v>
      </c>
      <c r="E2071" s="4">
        <v>25000</v>
      </c>
    </row>
    <row r="2072" spans="1:5">
      <c r="A2072" s="2" t="s">
        <v>2544</v>
      </c>
      <c r="B2072" s="2" t="str">
        <f>"5000000205240"</f>
        <v>5000000205240</v>
      </c>
      <c r="C2072" s="2" t="str">
        <f>"311491"</f>
        <v>311491</v>
      </c>
      <c r="D2072" s="2" t="s">
        <v>2796</v>
      </c>
      <c r="E2072" s="4">
        <v>16000</v>
      </c>
    </row>
    <row r="2073" spans="1:5">
      <c r="A2073" s="2" t="s">
        <v>2544</v>
      </c>
      <c r="B2073" s="2" t="str">
        <f>"248479"</f>
        <v>248479</v>
      </c>
      <c r="C2073" s="2" t="s">
        <v>2797</v>
      </c>
      <c r="D2073" s="2" t="s">
        <v>2798</v>
      </c>
      <c r="E2073" s="4">
        <v>4300</v>
      </c>
    </row>
    <row r="2074" spans="1:5">
      <c r="A2074" s="2" t="s">
        <v>2544</v>
      </c>
      <c r="B2074" s="2" t="str">
        <f>"060821195"</f>
        <v>060821195</v>
      </c>
      <c r="C2074" s="2" t="str">
        <f>"060821195"</f>
        <v>060821195</v>
      </c>
      <c r="D2074" s="2" t="s">
        <v>2799</v>
      </c>
      <c r="E2074" s="4">
        <v>14200</v>
      </c>
    </row>
    <row r="2075" spans="1:5">
      <c r="A2075" s="2" t="s">
        <v>2544</v>
      </c>
      <c r="B2075" s="2" t="str">
        <f>"0290678"</f>
        <v>0290678</v>
      </c>
      <c r="C2075" s="2" t="str">
        <f>"0290678"</f>
        <v>0290678</v>
      </c>
      <c r="D2075" s="2" t="s">
        <v>2800</v>
      </c>
      <c r="E2075" s="4">
        <v>4500</v>
      </c>
    </row>
    <row r="2076" spans="1:5">
      <c r="A2076" s="2" t="s">
        <v>2544</v>
      </c>
      <c r="B2076" s="2" t="str">
        <f>"010170106"</f>
        <v>010170106</v>
      </c>
      <c r="C2076" s="2" t="str">
        <f>"010170106"</f>
        <v>010170106</v>
      </c>
      <c r="D2076" s="2" t="s">
        <v>2801</v>
      </c>
      <c r="E2076" s="4">
        <v>16000</v>
      </c>
    </row>
    <row r="2077" spans="1:5">
      <c r="A2077" s="2" t="s">
        <v>2544</v>
      </c>
      <c r="B2077" s="2" t="str">
        <f>"000403130-K"</f>
        <v>000403130-K</v>
      </c>
      <c r="C2077" s="2" t="str">
        <f>"000403130-K"</f>
        <v>000403130-K</v>
      </c>
      <c r="D2077" s="2" t="s">
        <v>2802</v>
      </c>
      <c r="E2077" s="4">
        <v>25000</v>
      </c>
    </row>
    <row r="2078" spans="1:5">
      <c r="A2078" s="2" t="s">
        <v>2544</v>
      </c>
      <c r="B2078" s="2" t="str">
        <f>"5000000357420"</f>
        <v>5000000357420</v>
      </c>
      <c r="C2078" s="2" t="str">
        <f>"248475"</f>
        <v>248475</v>
      </c>
      <c r="D2078" s="2" t="s">
        <v>2803</v>
      </c>
      <c r="E2078" s="4">
        <v>17800</v>
      </c>
    </row>
    <row r="2079" spans="1:5">
      <c r="A2079" s="2" t="s">
        <v>2544</v>
      </c>
      <c r="B2079" s="2" t="str">
        <f>"310887"</f>
        <v>310887</v>
      </c>
      <c r="C2079" s="2" t="str">
        <f>"310887"</f>
        <v>310887</v>
      </c>
      <c r="D2079" s="2" t="s">
        <v>2804</v>
      </c>
      <c r="E2079" s="4">
        <v>12400</v>
      </c>
    </row>
    <row r="2080" spans="1:5">
      <c r="A2080" s="2" t="s">
        <v>2544</v>
      </c>
      <c r="B2080" s="2" t="str">
        <f>"5000000264292"</f>
        <v>5000000264292</v>
      </c>
      <c r="C2080" s="2" t="str">
        <f>"247944"</f>
        <v>247944</v>
      </c>
      <c r="D2080" s="2" t="s">
        <v>2805</v>
      </c>
      <c r="E2080" s="4">
        <v>12400</v>
      </c>
    </row>
    <row r="2081" spans="1:5">
      <c r="A2081" s="2" t="s">
        <v>2544</v>
      </c>
      <c r="B2081" s="2" t="str">
        <f>"5000000034987"</f>
        <v>5000000034987</v>
      </c>
      <c r="C2081" s="2" t="str">
        <f>"300050"</f>
        <v>300050</v>
      </c>
      <c r="D2081" s="2" t="s">
        <v>2806</v>
      </c>
      <c r="E2081" s="4">
        <v>3000</v>
      </c>
    </row>
    <row r="2082" spans="1:5">
      <c r="A2082" s="2" t="s">
        <v>2544</v>
      </c>
      <c r="B2082" s="2" t="str">
        <f>"5000000035236"</f>
        <v>5000000035236</v>
      </c>
      <c r="C2082" s="2" t="str">
        <f>"300351"</f>
        <v>300351</v>
      </c>
      <c r="D2082" s="2" t="s">
        <v>2807</v>
      </c>
      <c r="E2082" s="4">
        <v>11000</v>
      </c>
    </row>
    <row r="2083" spans="1:5">
      <c r="A2083" s="2" t="s">
        <v>2544</v>
      </c>
      <c r="B2083" s="2" t="str">
        <f>"010170038"</f>
        <v>010170038</v>
      </c>
      <c r="C2083" s="2" t="str">
        <f>"300352"</f>
        <v>300352</v>
      </c>
      <c r="D2083" s="2" t="s">
        <v>2808</v>
      </c>
      <c r="E2083" s="4">
        <v>9800</v>
      </c>
    </row>
    <row r="2084" spans="1:5">
      <c r="A2084" s="2" t="s">
        <v>2544</v>
      </c>
      <c r="B2084" s="2" t="str">
        <f>"5000000283613"</f>
        <v>5000000283613</v>
      </c>
      <c r="C2084" s="2" t="str">
        <f>"248441"</f>
        <v>248441</v>
      </c>
      <c r="D2084" s="2" t="s">
        <v>2809</v>
      </c>
      <c r="E2084" s="4">
        <v>12400</v>
      </c>
    </row>
    <row r="2085" spans="1:5">
      <c r="A2085" s="2" t="s">
        <v>2544</v>
      </c>
      <c r="B2085" s="2" t="str">
        <f>"300350"</f>
        <v>300350</v>
      </c>
      <c r="C2085" s="2" t="str">
        <f>"300350"</f>
        <v>300350</v>
      </c>
      <c r="D2085" s="2" t="s">
        <v>2810</v>
      </c>
      <c r="E2085" s="4">
        <v>6100</v>
      </c>
    </row>
    <row r="2086" spans="1:5">
      <c r="A2086" s="2" t="s">
        <v>2544</v>
      </c>
      <c r="B2086" s="2" t="str">
        <f>"5000000035960"</f>
        <v>5000000035960</v>
      </c>
      <c r="C2086" s="2" t="str">
        <f>"310890"</f>
        <v>310890</v>
      </c>
      <c r="D2086" s="2" t="s">
        <v>2811</v>
      </c>
      <c r="E2086" s="4">
        <v>5800</v>
      </c>
    </row>
    <row r="2087" spans="1:5">
      <c r="A2087" s="2" t="s">
        <v>2544</v>
      </c>
      <c r="B2087" s="2" t="str">
        <f>"310900"</f>
        <v>310900</v>
      </c>
      <c r="C2087" s="2" t="str">
        <f>"310900"</f>
        <v>310900</v>
      </c>
      <c r="D2087" s="2" t="s">
        <v>2812</v>
      </c>
      <c r="E2087" s="4">
        <v>7500</v>
      </c>
    </row>
    <row r="2088" spans="1:5">
      <c r="A2088" s="2" t="s">
        <v>2544</v>
      </c>
      <c r="B2088" s="2" t="str">
        <f>"010170040"</f>
        <v>010170040</v>
      </c>
      <c r="C2088" s="2" t="str">
        <f>"4963811135254"</f>
        <v>4963811135254</v>
      </c>
      <c r="D2088" s="2" t="s">
        <v>2813</v>
      </c>
      <c r="E2088" s="4">
        <v>9800</v>
      </c>
    </row>
    <row r="2089" spans="1:5">
      <c r="A2089" s="2" t="s">
        <v>2544</v>
      </c>
      <c r="B2089" s="2" t="str">
        <f>"5000000036080"</f>
        <v>5000000036080</v>
      </c>
      <c r="C2089" s="2" t="str">
        <f>"310980"</f>
        <v>310980</v>
      </c>
      <c r="D2089" s="2" t="s">
        <v>2814</v>
      </c>
      <c r="E2089" s="4">
        <v>14800</v>
      </c>
    </row>
    <row r="2090" spans="1:5">
      <c r="A2090" s="2" t="s">
        <v>2544</v>
      </c>
      <c r="B2090" s="2" t="str">
        <f>"010170077"</f>
        <v>010170077</v>
      </c>
      <c r="C2090" s="2" t="str">
        <f>"071544"</f>
        <v>071544</v>
      </c>
      <c r="D2090" s="2" t="s">
        <v>2815</v>
      </c>
      <c r="E2090" s="4">
        <v>14200</v>
      </c>
    </row>
    <row r="2091" spans="1:5">
      <c r="A2091" s="2" t="s">
        <v>2544</v>
      </c>
      <c r="B2091" s="2" t="str">
        <f>"5000000401000"</f>
        <v>5000000401000</v>
      </c>
      <c r="C2091" s="2" t="str">
        <f>"071550"</f>
        <v>071550</v>
      </c>
      <c r="D2091" s="2" t="s">
        <v>2816</v>
      </c>
      <c r="E2091" s="4">
        <v>25000</v>
      </c>
    </row>
    <row r="2092" spans="1:5">
      <c r="A2092" s="2" t="s">
        <v>2544</v>
      </c>
      <c r="B2092" s="2" t="str">
        <f>"9954457"</f>
        <v>9954457</v>
      </c>
      <c r="C2092" s="2" t="str">
        <f>"9954457"</f>
        <v>9954457</v>
      </c>
      <c r="D2092" s="2" t="s">
        <v>2817</v>
      </c>
      <c r="E2092" s="4">
        <v>8800</v>
      </c>
    </row>
    <row r="2093" spans="1:5">
      <c r="A2093" s="2" t="s">
        <v>2544</v>
      </c>
      <c r="B2093" s="2" t="str">
        <f>"010170042"</f>
        <v>010170042</v>
      </c>
      <c r="C2093" s="2" t="str">
        <f>"311487"</f>
        <v>311487</v>
      </c>
      <c r="D2093" s="2" t="s">
        <v>2818</v>
      </c>
      <c r="E2093" s="4">
        <v>10500</v>
      </c>
    </row>
    <row r="2094" spans="1:5">
      <c r="A2094" s="2" t="s">
        <v>2544</v>
      </c>
      <c r="B2094" s="2" t="str">
        <f>"00603PM167J"</f>
        <v>00603PM167J</v>
      </c>
      <c r="C2094" s="2" t="str">
        <f>"00603PM167J"</f>
        <v>00603PM167J</v>
      </c>
      <c r="D2094" s="2" t="s">
        <v>2819</v>
      </c>
      <c r="E2094" s="4">
        <v>8800</v>
      </c>
    </row>
    <row r="2095" spans="1:5">
      <c r="A2095" s="2" t="s">
        <v>2544</v>
      </c>
      <c r="B2095" s="2" t="str">
        <f>"312288"</f>
        <v>312288</v>
      </c>
      <c r="C2095" s="2" t="str">
        <f>"312288"</f>
        <v>312288</v>
      </c>
      <c r="D2095" s="2" t="s">
        <v>2820</v>
      </c>
      <c r="E2095" s="4">
        <v>15100</v>
      </c>
    </row>
    <row r="2096" spans="1:5">
      <c r="A2096" s="2" t="s">
        <v>2544</v>
      </c>
      <c r="B2096" s="2" t="str">
        <f>"010170088"</f>
        <v>010170088</v>
      </c>
      <c r="C2096" s="2" t="str">
        <f>"010170088"</f>
        <v>010170088</v>
      </c>
      <c r="D2096" s="2" t="s">
        <v>2821</v>
      </c>
      <c r="E2096" s="4">
        <v>16000</v>
      </c>
    </row>
    <row r="2097" spans="1:5">
      <c r="A2097" s="2" t="s">
        <v>2544</v>
      </c>
      <c r="B2097" s="2" t="str">
        <f>"300092"</f>
        <v>300092</v>
      </c>
      <c r="C2097" s="2" t="str">
        <f>"300092"</f>
        <v>300092</v>
      </c>
      <c r="D2097" s="2" t="s">
        <v>2822</v>
      </c>
      <c r="E2097" s="4">
        <v>3400</v>
      </c>
    </row>
    <row r="2098" spans="1:5">
      <c r="A2098" s="2" t="s">
        <v>2544</v>
      </c>
      <c r="B2098" s="2" t="str">
        <f>"4963811135124"</f>
        <v>4963811135124</v>
      </c>
      <c r="C2098" s="2" t="s">
        <v>2823</v>
      </c>
      <c r="D2098" s="2" t="s">
        <v>2824</v>
      </c>
      <c r="E2098" s="4">
        <v>5200</v>
      </c>
    </row>
    <row r="2099" spans="1:5">
      <c r="A2099" s="2" t="s">
        <v>2544</v>
      </c>
      <c r="B2099" s="2" t="str">
        <f>"300392"</f>
        <v>300392</v>
      </c>
      <c r="C2099" s="2" t="str">
        <f>"300392"</f>
        <v>300392</v>
      </c>
      <c r="D2099" s="2" t="s">
        <v>2825</v>
      </c>
      <c r="E2099" s="4">
        <v>7000</v>
      </c>
    </row>
    <row r="2100" spans="1:5">
      <c r="A2100" s="2" t="s">
        <v>2544</v>
      </c>
      <c r="B2100" s="2" t="str">
        <f>"300409"</f>
        <v>300409</v>
      </c>
      <c r="C2100" s="2" t="str">
        <f>"300409"</f>
        <v>300409</v>
      </c>
      <c r="D2100" s="2" t="s">
        <v>2826</v>
      </c>
      <c r="E2100" s="4">
        <v>7800</v>
      </c>
    </row>
    <row r="2101" spans="1:5">
      <c r="A2101" s="2" t="s">
        <v>2544</v>
      </c>
      <c r="B2101" s="2" t="str">
        <f>"5000000035878"</f>
        <v>5000000035878</v>
      </c>
      <c r="C2101" s="2" t="str">
        <f>"310881"</f>
        <v>310881</v>
      </c>
      <c r="D2101" s="2" t="s">
        <v>2827</v>
      </c>
      <c r="E2101" s="4">
        <v>9500</v>
      </c>
    </row>
    <row r="2102" spans="1:5">
      <c r="A2102" s="2" t="s">
        <v>2544</v>
      </c>
      <c r="B2102" s="2" t="str">
        <f>"5000000036103"</f>
        <v>5000000036103</v>
      </c>
      <c r="C2102" s="2" t="str">
        <f>"310982"</f>
        <v>310982</v>
      </c>
      <c r="D2102" s="2" t="s">
        <v>2828</v>
      </c>
      <c r="E2102" s="4">
        <v>18700</v>
      </c>
    </row>
    <row r="2103" spans="1:5">
      <c r="A2103" s="2" t="s">
        <v>2544</v>
      </c>
      <c r="B2103" s="2" t="str">
        <f>"071543"</f>
        <v>071543</v>
      </c>
      <c r="C2103" s="2" t="str">
        <f>"071543"</f>
        <v>071543</v>
      </c>
      <c r="D2103" s="2" t="s">
        <v>2829</v>
      </c>
      <c r="E2103" s="4">
        <v>18700</v>
      </c>
    </row>
    <row r="2104" spans="1:5">
      <c r="A2104" s="2" t="s">
        <v>2544</v>
      </c>
      <c r="B2104" s="2" t="str">
        <f>"310895"</f>
        <v>310895</v>
      </c>
      <c r="C2104" s="2" t="str">
        <f>"310895"</f>
        <v>310895</v>
      </c>
      <c r="D2104" s="2" t="s">
        <v>2830</v>
      </c>
      <c r="E2104" s="4">
        <v>4300</v>
      </c>
    </row>
    <row r="2105" spans="1:5">
      <c r="A2105" s="2" t="s">
        <v>2544</v>
      </c>
      <c r="B2105" s="2" t="str">
        <f>"5000000035601"</f>
        <v>5000000035601</v>
      </c>
      <c r="C2105" s="2" t="str">
        <f>"310424"</f>
        <v>310424</v>
      </c>
      <c r="D2105" s="2" t="s">
        <v>2831</v>
      </c>
      <c r="E2105" s="4">
        <v>12500</v>
      </c>
    </row>
    <row r="2106" spans="1:5">
      <c r="A2106" s="2" t="s">
        <v>2544</v>
      </c>
      <c r="B2106" s="2" t="str">
        <f>"006948"</f>
        <v>006948</v>
      </c>
      <c r="C2106" s="2" t="str">
        <f>"006948"</f>
        <v>006948</v>
      </c>
      <c r="D2106" s="2" t="s">
        <v>2832</v>
      </c>
      <c r="E2106" s="4">
        <v>18700</v>
      </c>
    </row>
    <row r="2107" spans="1:5">
      <c r="A2107" s="2" t="s">
        <v>2544</v>
      </c>
      <c r="B2107" s="2" t="s">
        <v>2833</v>
      </c>
      <c r="C2107" s="2" t="s">
        <v>2834</v>
      </c>
      <c r="D2107" s="2" t="s">
        <v>2835</v>
      </c>
      <c r="E2107" s="4">
        <v>9700</v>
      </c>
    </row>
    <row r="2108" spans="1:5">
      <c r="A2108" s="2" t="s">
        <v>2544</v>
      </c>
      <c r="B2108" s="2" t="str">
        <f>"030170044"</f>
        <v>030170044</v>
      </c>
      <c r="C2108" s="2" t="str">
        <f>"030170044"</f>
        <v>030170044</v>
      </c>
      <c r="D2108" s="2" t="s">
        <v>2836</v>
      </c>
      <c r="E2108" s="4">
        <v>11500</v>
      </c>
    </row>
    <row r="2109" spans="1:5">
      <c r="A2109" s="2" t="s">
        <v>2544</v>
      </c>
      <c r="B2109" s="2" t="str">
        <f>"070990098"</f>
        <v>070990098</v>
      </c>
      <c r="C2109" s="2" t="str">
        <f>"070990098"</f>
        <v>070990098</v>
      </c>
      <c r="D2109" s="2" t="s">
        <v>2837</v>
      </c>
      <c r="E2109" s="4">
        <v>3500</v>
      </c>
    </row>
    <row r="2110" spans="1:5">
      <c r="A2110" s="2" t="s">
        <v>2544</v>
      </c>
      <c r="B2110" s="2" t="s">
        <v>2838</v>
      </c>
      <c r="C2110" s="2" t="s">
        <v>2839</v>
      </c>
      <c r="D2110" s="2" t="s">
        <v>2840</v>
      </c>
      <c r="E2110" s="4">
        <v>9900</v>
      </c>
    </row>
    <row r="2111" spans="1:5">
      <c r="A2111" s="2" t="s">
        <v>2544</v>
      </c>
      <c r="B2111" s="2" t="str">
        <f>"5000000410170"</f>
        <v>5000000410170</v>
      </c>
      <c r="C2111" s="2" t="str">
        <f>"071552"</f>
        <v>071552</v>
      </c>
      <c r="D2111" s="2" t="s">
        <v>2841</v>
      </c>
      <c r="E2111" s="4">
        <v>21400</v>
      </c>
    </row>
    <row r="2112" spans="1:5">
      <c r="A2112" s="2" t="s">
        <v>2544</v>
      </c>
      <c r="B2112" s="2" t="s">
        <v>2842</v>
      </c>
      <c r="C2112" s="2" t="s">
        <v>2842</v>
      </c>
      <c r="D2112" s="2" t="s">
        <v>2843</v>
      </c>
      <c r="E2112" s="4">
        <v>6100</v>
      </c>
    </row>
    <row r="2113" spans="1:5">
      <c r="A2113" s="2" t="s">
        <v>2544</v>
      </c>
      <c r="B2113" s="2" t="str">
        <f>"070910078"</f>
        <v>070910078</v>
      </c>
      <c r="C2113" s="2" t="str">
        <f>"070910078"</f>
        <v>070910078</v>
      </c>
      <c r="D2113" s="2" t="s">
        <v>2844</v>
      </c>
      <c r="E2113" s="4">
        <v>4300</v>
      </c>
    </row>
    <row r="2114" spans="1:5">
      <c r="A2114" s="2" t="s">
        <v>2544</v>
      </c>
      <c r="B2114" s="2" t="s">
        <v>2845</v>
      </c>
      <c r="C2114" s="2" t="s">
        <v>2845</v>
      </c>
      <c r="D2114" s="2" t="s">
        <v>2846</v>
      </c>
      <c r="E2114" s="4">
        <v>12400</v>
      </c>
    </row>
    <row r="2115" spans="1:5">
      <c r="A2115" s="2" t="s">
        <v>2544</v>
      </c>
      <c r="B2115" s="2" t="str">
        <f>"310440"</f>
        <v>310440</v>
      </c>
      <c r="C2115" s="2" t="str">
        <f>"310440"</f>
        <v>310440</v>
      </c>
      <c r="D2115" s="2" t="s">
        <v>2847</v>
      </c>
      <c r="E2115" s="4">
        <v>8800</v>
      </c>
    </row>
    <row r="2116" spans="1:5">
      <c r="A2116" s="2" t="s">
        <v>2544</v>
      </c>
      <c r="B2116" s="2" t="str">
        <f>"248482"</f>
        <v>248482</v>
      </c>
      <c r="C2116" s="2" t="str">
        <f>"248482"</f>
        <v>248482</v>
      </c>
      <c r="D2116" s="2" t="s">
        <v>2848</v>
      </c>
      <c r="E2116" s="4">
        <v>14200</v>
      </c>
    </row>
    <row r="2117" spans="1:5">
      <c r="A2117" s="2" t="s">
        <v>2544</v>
      </c>
      <c r="B2117" s="2" t="str">
        <f>"300355"</f>
        <v>300355</v>
      </c>
      <c r="C2117" s="2" t="str">
        <f>"300355"</f>
        <v>300355</v>
      </c>
      <c r="D2117" s="2" t="s">
        <v>2849</v>
      </c>
      <c r="E2117" s="4">
        <v>6100</v>
      </c>
    </row>
    <row r="2118" spans="1:5">
      <c r="A2118" s="2" t="s">
        <v>2544</v>
      </c>
      <c r="B2118" s="2" t="str">
        <f>"5000000372171"</f>
        <v>5000000372171</v>
      </c>
      <c r="C2118" s="2" t="str">
        <f>"248505"</f>
        <v>248505</v>
      </c>
      <c r="D2118" s="2" t="s">
        <v>2850</v>
      </c>
      <c r="E2118" s="4">
        <v>9700</v>
      </c>
    </row>
    <row r="2119" spans="1:5">
      <c r="A2119" s="2" t="s">
        <v>2544</v>
      </c>
      <c r="B2119" s="2" t="str">
        <f>"1000418"</f>
        <v>1000418</v>
      </c>
      <c r="C2119" s="2" t="str">
        <f>"1000418"</f>
        <v>1000418</v>
      </c>
      <c r="D2119" s="2" t="s">
        <v>2851</v>
      </c>
      <c r="E2119" s="4">
        <v>8000</v>
      </c>
    </row>
    <row r="2120" spans="1:5">
      <c r="A2120" s="2" t="s">
        <v>2544</v>
      </c>
      <c r="B2120" s="2" t="str">
        <f>"5000000321384"</f>
        <v>5000000321384</v>
      </c>
      <c r="C2120" s="2" t="str">
        <f>"248452"</f>
        <v>248452</v>
      </c>
      <c r="D2120" s="2" t="s">
        <v>2852</v>
      </c>
      <c r="E2120" s="4">
        <v>18000</v>
      </c>
    </row>
    <row r="2121" spans="1:5">
      <c r="A2121" s="2" t="s">
        <v>2544</v>
      </c>
      <c r="B2121" s="2" t="str">
        <f>"310886"</f>
        <v>310886</v>
      </c>
      <c r="C2121" s="2" t="str">
        <f>"310886"</f>
        <v>310886</v>
      </c>
      <c r="D2121" s="2" t="s">
        <v>2853</v>
      </c>
      <c r="E2121" s="4">
        <v>10500</v>
      </c>
    </row>
    <row r="2122" spans="1:5">
      <c r="A2122" s="2" t="s">
        <v>2544</v>
      </c>
      <c r="B2122" s="2" t="str">
        <f>"248511"</f>
        <v>248511</v>
      </c>
      <c r="C2122" s="2" t="str">
        <f>"248511"</f>
        <v>248511</v>
      </c>
      <c r="D2122" s="2" t="s">
        <v>2854</v>
      </c>
      <c r="E2122" s="4">
        <v>9700</v>
      </c>
    </row>
    <row r="2123" spans="1:5">
      <c r="A2123" s="2" t="s">
        <v>2544</v>
      </c>
      <c r="B2123" s="2" t="str">
        <f>"010170034"</f>
        <v>010170034</v>
      </c>
      <c r="C2123" s="2" t="s">
        <v>2855</v>
      </c>
      <c r="D2123" s="2" t="s">
        <v>2856</v>
      </c>
      <c r="E2123" s="4">
        <v>7000</v>
      </c>
    </row>
    <row r="2124" spans="1:5">
      <c r="A2124" s="2" t="s">
        <v>2544</v>
      </c>
      <c r="B2124" s="2" t="str">
        <f>"2000000025315"</f>
        <v>2000000025315</v>
      </c>
      <c r="C2124" s="2" t="str">
        <f>"006376"</f>
        <v>006376</v>
      </c>
      <c r="D2124" s="2" t="s">
        <v>2857</v>
      </c>
      <c r="E2124" s="4">
        <v>18000</v>
      </c>
    </row>
    <row r="2125" spans="1:5">
      <c r="A2125" s="2" t="s">
        <v>2544</v>
      </c>
      <c r="B2125" s="2" t="str">
        <f>"300405"</f>
        <v>300405</v>
      </c>
      <c r="C2125" s="2" t="str">
        <f>"300405"</f>
        <v>300405</v>
      </c>
      <c r="D2125" s="2" t="s">
        <v>2858</v>
      </c>
      <c r="E2125" s="4">
        <v>12900</v>
      </c>
    </row>
    <row r="2126" spans="1:5">
      <c r="A2126" s="2" t="s">
        <v>2544</v>
      </c>
      <c r="B2126" s="2" t="str">
        <f>"5000000036073"</f>
        <v>5000000036073</v>
      </c>
      <c r="C2126" s="2" t="str">
        <f>"310902"</f>
        <v>310902</v>
      </c>
      <c r="D2126" s="2" t="s">
        <v>2859</v>
      </c>
      <c r="E2126" s="4">
        <v>7000</v>
      </c>
    </row>
    <row r="2127" spans="1:5">
      <c r="A2127" s="2" t="s">
        <v>2544</v>
      </c>
      <c r="B2127" s="2" t="str">
        <f>"5000000035311"</f>
        <v>5000000035311</v>
      </c>
      <c r="C2127" s="2" t="str">
        <f>"300390"</f>
        <v>300390</v>
      </c>
      <c r="D2127" s="2" t="s">
        <v>2860</v>
      </c>
      <c r="E2127" s="4">
        <v>8800</v>
      </c>
    </row>
    <row r="2128" spans="1:5">
      <c r="A2128" s="2" t="s">
        <v>2544</v>
      </c>
      <c r="B2128" s="2" t="str">
        <f>"042511531048"</f>
        <v>042511531048</v>
      </c>
      <c r="C2128" s="2" t="s">
        <v>2861</v>
      </c>
      <c r="D2128" s="2" t="s">
        <v>2862</v>
      </c>
      <c r="E2128" s="4">
        <v>7500</v>
      </c>
    </row>
    <row r="2129" spans="1:5">
      <c r="A2129" s="2" t="s">
        <v>2544</v>
      </c>
      <c r="B2129" s="2" t="str">
        <f>"042511531147"</f>
        <v>042511531147</v>
      </c>
      <c r="C2129" s="2" t="s">
        <v>2863</v>
      </c>
      <c r="D2129" s="2" t="s">
        <v>2864</v>
      </c>
      <c r="E2129" s="4">
        <v>7100</v>
      </c>
    </row>
    <row r="2130" spans="1:5">
      <c r="A2130" s="2" t="s">
        <v>2544</v>
      </c>
      <c r="B2130" s="2" t="str">
        <f>"042511533844"</f>
        <v>042511533844</v>
      </c>
      <c r="C2130" s="2" t="s">
        <v>2865</v>
      </c>
      <c r="D2130" s="2" t="s">
        <v>2866</v>
      </c>
      <c r="E2130" s="4">
        <v>10500</v>
      </c>
    </row>
    <row r="2131" spans="1:5">
      <c r="A2131" s="2" t="s">
        <v>2544</v>
      </c>
      <c r="B2131" s="2" t="str">
        <f>"042511530942"</f>
        <v>042511530942</v>
      </c>
      <c r="C2131" s="2" t="s">
        <v>2867</v>
      </c>
      <c r="D2131" s="2" t="s">
        <v>2868</v>
      </c>
      <c r="E2131" s="4">
        <v>8900</v>
      </c>
    </row>
    <row r="2132" spans="1:5">
      <c r="A2132" s="2" t="s">
        <v>2544</v>
      </c>
      <c r="B2132" s="2" t="s">
        <v>2869</v>
      </c>
      <c r="C2132" s="2" t="s">
        <v>2869</v>
      </c>
      <c r="D2132" s="2" t="s">
        <v>2870</v>
      </c>
      <c r="E2132" s="4">
        <v>9700</v>
      </c>
    </row>
    <row r="2133" spans="1:5">
      <c r="A2133" s="2" t="s">
        <v>2544</v>
      </c>
      <c r="B2133" s="2" t="str">
        <f>"6076"</f>
        <v>6076</v>
      </c>
      <c r="C2133" s="2" t="str">
        <f>"6076"</f>
        <v>6076</v>
      </c>
      <c r="D2133" s="2" t="s">
        <v>2871</v>
      </c>
      <c r="E2133" s="4">
        <v>3400</v>
      </c>
    </row>
    <row r="2134" spans="1:5">
      <c r="A2134" s="2" t="s">
        <v>2544</v>
      </c>
      <c r="B2134" s="2" t="str">
        <f>"087295965696"</f>
        <v>087295965696</v>
      </c>
      <c r="C2134" s="2" t="str">
        <f>"96569 0026629"</f>
        <v>96569 0026629</v>
      </c>
      <c r="D2134" s="2" t="s">
        <v>2872</v>
      </c>
      <c r="E2134" s="4">
        <v>5500</v>
      </c>
    </row>
    <row r="2135" spans="1:5" ht="27.6">
      <c r="A2135" s="2" t="s">
        <v>2544</v>
      </c>
      <c r="B2135" s="2" t="str">
        <f>"0026628"</f>
        <v>0026628</v>
      </c>
      <c r="C2135" s="2" t="str">
        <f>"0026628 18858 10090 0003935"</f>
        <v>0026628 18858 10090 0003935</v>
      </c>
      <c r="D2135" s="2" t="s">
        <v>2873</v>
      </c>
      <c r="E2135" s="4">
        <v>6100</v>
      </c>
    </row>
    <row r="2136" spans="1:5">
      <c r="A2136" s="2" t="s">
        <v>2544</v>
      </c>
      <c r="B2136" s="2" t="s">
        <v>2874</v>
      </c>
      <c r="C2136" s="2" t="s">
        <v>2874</v>
      </c>
      <c r="D2136" s="2" t="s">
        <v>2875</v>
      </c>
      <c r="E2136" s="4">
        <v>6100</v>
      </c>
    </row>
    <row r="2137" spans="1:5">
      <c r="A2137" s="2" t="s">
        <v>2544</v>
      </c>
      <c r="B2137" s="2" t="str">
        <f>"010170084"</f>
        <v>010170084</v>
      </c>
      <c r="C2137" s="2" t="str">
        <f>"010170084"</f>
        <v>010170084</v>
      </c>
      <c r="D2137" s="2" t="s">
        <v>2876</v>
      </c>
      <c r="E2137" s="4">
        <v>18700</v>
      </c>
    </row>
    <row r="2138" spans="1:5">
      <c r="A2138" s="2" t="s">
        <v>2544</v>
      </c>
      <c r="B2138" s="2" t="str">
        <f>"7897707506248"</f>
        <v>7897707506248</v>
      </c>
      <c r="C2138" s="2" t="s">
        <v>2877</v>
      </c>
      <c r="D2138" s="2" t="s">
        <v>2878</v>
      </c>
      <c r="E2138" s="4">
        <v>2500</v>
      </c>
    </row>
    <row r="2139" spans="1:5">
      <c r="A2139" s="2" t="s">
        <v>2544</v>
      </c>
      <c r="B2139" s="2" t="str">
        <f>"7897707505708"</f>
        <v>7897707505708</v>
      </c>
      <c r="C2139" s="2" t="str">
        <f>"006027938"</f>
        <v>006027938</v>
      </c>
      <c r="D2139" s="2" t="s">
        <v>2879</v>
      </c>
      <c r="E2139" s="4">
        <v>3400</v>
      </c>
    </row>
    <row r="2140" spans="1:5">
      <c r="A2140" s="2" t="s">
        <v>2544</v>
      </c>
      <c r="B2140" s="2" t="str">
        <f>"7897707511266"</f>
        <v>7897707511266</v>
      </c>
      <c r="C2140" s="2" t="str">
        <f>"3967"</f>
        <v>3967</v>
      </c>
      <c r="D2140" s="2" t="s">
        <v>2880</v>
      </c>
      <c r="E2140" s="4">
        <v>2500</v>
      </c>
    </row>
    <row r="2141" spans="1:5">
      <c r="A2141" s="2" t="s">
        <v>2544</v>
      </c>
      <c r="B2141" s="2" t="str">
        <f>"7897707509027"</f>
        <v>7897707509027</v>
      </c>
      <c r="C2141" s="2" t="str">
        <f>"2526"</f>
        <v>2526</v>
      </c>
      <c r="D2141" s="2" t="s">
        <v>2881</v>
      </c>
      <c r="E2141" s="4">
        <v>3900</v>
      </c>
    </row>
    <row r="2142" spans="1:5">
      <c r="A2142" s="2" t="s">
        <v>2544</v>
      </c>
      <c r="B2142" s="2" t="str">
        <f>"0005323"</f>
        <v>0005323</v>
      </c>
      <c r="C2142" s="2" t="str">
        <f>"0005323"</f>
        <v>0005323</v>
      </c>
      <c r="D2142" s="2" t="s">
        <v>2882</v>
      </c>
      <c r="E2142" s="4">
        <v>3800</v>
      </c>
    </row>
    <row r="2143" spans="1:5">
      <c r="A2143" s="2" t="s">
        <v>2544</v>
      </c>
      <c r="B2143" s="2" t="str">
        <f>"0008487"</f>
        <v>0008487</v>
      </c>
      <c r="C2143" s="2" t="str">
        <f>"0008487"</f>
        <v>0008487</v>
      </c>
      <c r="D2143" s="2" t="s">
        <v>2883</v>
      </c>
      <c r="E2143" s="4">
        <v>3000</v>
      </c>
    </row>
    <row r="2144" spans="1:5">
      <c r="A2144" s="2" t="s">
        <v>2544</v>
      </c>
      <c r="B2144" s="2" t="str">
        <f>"0005326"</f>
        <v>0005326</v>
      </c>
      <c r="C2144" s="2" t="str">
        <f>"0005326"</f>
        <v>0005326</v>
      </c>
      <c r="D2144" s="2" t="s">
        <v>2884</v>
      </c>
      <c r="E2144" s="4">
        <v>2000</v>
      </c>
    </row>
    <row r="2145" spans="1:5">
      <c r="A2145" s="2" t="s">
        <v>2544</v>
      </c>
      <c r="B2145" s="2" t="str">
        <f>"7897707506040"</f>
        <v>7897707506040</v>
      </c>
      <c r="C2145" s="2" t="str">
        <f>"006026511"</f>
        <v>006026511</v>
      </c>
      <c r="D2145" s="2" t="s">
        <v>2885</v>
      </c>
      <c r="E2145" s="4">
        <v>1250</v>
      </c>
    </row>
    <row r="2146" spans="1:5">
      <c r="A2146" s="2" t="s">
        <v>2544</v>
      </c>
      <c r="B2146" s="2" t="str">
        <f>"7897707509003"</f>
        <v>7897707509003</v>
      </c>
      <c r="C2146" s="2" t="s">
        <v>2886</v>
      </c>
      <c r="D2146" s="2" t="s">
        <v>2887</v>
      </c>
      <c r="E2146" s="4">
        <v>4300</v>
      </c>
    </row>
    <row r="2147" spans="1:5">
      <c r="A2147" s="2" t="s">
        <v>2544</v>
      </c>
      <c r="B2147" s="2" t="str">
        <f>"7897707508495"</f>
        <v>7897707508495</v>
      </c>
      <c r="C2147" s="2" t="s">
        <v>2888</v>
      </c>
      <c r="D2147" s="2" t="s">
        <v>2889</v>
      </c>
      <c r="E2147" s="4">
        <v>2500</v>
      </c>
    </row>
    <row r="2148" spans="1:5">
      <c r="A2148" s="2" t="s">
        <v>2544</v>
      </c>
      <c r="B2148" s="2" t="str">
        <f>"7897707506309"</f>
        <v>7897707506309</v>
      </c>
      <c r="C2148" s="2" t="str">
        <f>"006027422"</f>
        <v>006027422</v>
      </c>
      <c r="D2148" s="2" t="s">
        <v>2890</v>
      </c>
      <c r="E2148" s="4">
        <v>2500</v>
      </c>
    </row>
    <row r="2149" spans="1:5">
      <c r="A2149" s="2" t="s">
        <v>2544</v>
      </c>
      <c r="B2149" s="2" t="str">
        <f>"7897707506316"</f>
        <v>7897707506316</v>
      </c>
      <c r="C2149" s="2" t="str">
        <f>"7897707508501"</f>
        <v>7897707508501</v>
      </c>
      <c r="D2149" s="2" t="s">
        <v>2891</v>
      </c>
      <c r="E2149" s="4">
        <v>2500</v>
      </c>
    </row>
    <row r="2150" spans="1:5">
      <c r="A2150" s="2" t="s">
        <v>2544</v>
      </c>
      <c r="B2150" s="2" t="str">
        <f>"3623"</f>
        <v>3623</v>
      </c>
      <c r="C2150" s="2" t="str">
        <f>"3623"</f>
        <v>3623</v>
      </c>
      <c r="D2150" s="2" t="s">
        <v>2892</v>
      </c>
      <c r="E2150" s="4">
        <v>2500</v>
      </c>
    </row>
    <row r="2151" spans="1:5">
      <c r="A2151" s="2" t="s">
        <v>2544</v>
      </c>
      <c r="B2151" s="2" t="str">
        <f>"7897707511297"</f>
        <v>7897707511297</v>
      </c>
      <c r="C2151" s="2" t="str">
        <f>"3932"</f>
        <v>3932</v>
      </c>
      <c r="D2151" s="2" t="s">
        <v>2893</v>
      </c>
      <c r="E2151" s="4">
        <v>4300</v>
      </c>
    </row>
    <row r="2152" spans="1:5">
      <c r="A2152" s="2" t="s">
        <v>2544</v>
      </c>
      <c r="B2152" s="2" t="str">
        <f>"087295171622"</f>
        <v>087295171622</v>
      </c>
      <c r="C2152" s="2" t="str">
        <f>"00602DR8EA"</f>
        <v>00602DR8EA</v>
      </c>
      <c r="D2152" s="2" t="s">
        <v>2894</v>
      </c>
      <c r="E2152" s="4">
        <v>2000</v>
      </c>
    </row>
    <row r="2153" spans="1:5">
      <c r="A2153" s="2" t="s">
        <v>2544</v>
      </c>
      <c r="B2153" s="2" t="str">
        <f>"011170122"</f>
        <v>011170122</v>
      </c>
      <c r="C2153" s="2" t="str">
        <f>"011170122"</f>
        <v>011170122</v>
      </c>
      <c r="D2153" s="2" t="s">
        <v>2895</v>
      </c>
      <c r="E2153" s="4">
        <v>7500</v>
      </c>
    </row>
    <row r="2154" spans="1:5">
      <c r="A2154" s="2" t="s">
        <v>2544</v>
      </c>
      <c r="B2154" s="2" t="str">
        <f>"087295045893"</f>
        <v>087295045893</v>
      </c>
      <c r="C2154" s="2" t="s">
        <v>2896</v>
      </c>
      <c r="D2154" s="2" t="s">
        <v>2897</v>
      </c>
      <c r="E2154" s="4">
        <v>8500</v>
      </c>
    </row>
    <row r="2155" spans="1:5">
      <c r="A2155" s="2" t="s">
        <v>2544</v>
      </c>
      <c r="B2155" s="2" t="s">
        <v>2898</v>
      </c>
      <c r="C2155" s="2" t="s">
        <v>2898</v>
      </c>
      <c r="D2155" s="2" t="s">
        <v>2899</v>
      </c>
      <c r="E2155" s="4">
        <v>11500</v>
      </c>
    </row>
    <row r="2156" spans="1:5">
      <c r="A2156" s="2" t="s">
        <v>2544</v>
      </c>
      <c r="B2156" s="2" t="str">
        <f>"0005687"</f>
        <v>0005687</v>
      </c>
      <c r="C2156" s="2" t="str">
        <f>"0005687"</f>
        <v>0005687</v>
      </c>
      <c r="D2156" s="2" t="s">
        <v>2900</v>
      </c>
      <c r="E2156" s="4">
        <v>4300</v>
      </c>
    </row>
    <row r="2157" spans="1:5">
      <c r="A2157" s="2" t="s">
        <v>2544</v>
      </c>
      <c r="B2157" s="2" t="str">
        <f>"0005686"</f>
        <v>0005686</v>
      </c>
      <c r="C2157" s="2" t="str">
        <f>"0005686"</f>
        <v>0005686</v>
      </c>
      <c r="D2157" s="2" t="s">
        <v>2901</v>
      </c>
      <c r="E2157" s="4">
        <v>3900</v>
      </c>
    </row>
    <row r="2158" spans="1:5">
      <c r="A2158" s="2" t="s">
        <v>2544</v>
      </c>
      <c r="B2158" s="2" t="str">
        <f>"087295166772"</f>
        <v>087295166772</v>
      </c>
      <c r="C2158" s="2" t="str">
        <f>"6677"</f>
        <v>6677</v>
      </c>
      <c r="D2158" s="2" t="s">
        <v>2902</v>
      </c>
      <c r="E2158" s="4">
        <v>5500</v>
      </c>
    </row>
    <row r="2159" spans="1:5">
      <c r="A2159" s="2" t="s">
        <v>2544</v>
      </c>
      <c r="B2159" s="2" t="str">
        <f>"011170075"</f>
        <v>011170075</v>
      </c>
      <c r="C2159" s="2" t="str">
        <f>"1231030-7"</f>
        <v>1231030-7</v>
      </c>
      <c r="D2159" s="2" t="s">
        <v>2903</v>
      </c>
      <c r="E2159" s="4">
        <v>5900</v>
      </c>
    </row>
    <row r="2160" spans="1:5">
      <c r="A2160" s="2" t="s">
        <v>2544</v>
      </c>
      <c r="B2160" s="2" t="str">
        <f>"006026643"</f>
        <v>006026643</v>
      </c>
      <c r="C2160" s="2" t="str">
        <f>"006026643"</f>
        <v>006026643</v>
      </c>
      <c r="D2160" s="2" t="s">
        <v>2904</v>
      </c>
      <c r="E2160" s="4">
        <v>6500</v>
      </c>
    </row>
    <row r="2161" spans="1:5">
      <c r="A2161" s="2" t="s">
        <v>2544</v>
      </c>
      <c r="B2161" s="2" t="str">
        <f>"0012812"</f>
        <v>0012812</v>
      </c>
      <c r="C2161" s="2" t="str">
        <f>"0012812"</f>
        <v>0012812</v>
      </c>
      <c r="D2161" s="2" t="s">
        <v>2905</v>
      </c>
      <c r="E2161" s="4">
        <v>9800</v>
      </c>
    </row>
    <row r="2162" spans="1:5">
      <c r="A2162" s="2" t="s">
        <v>2544</v>
      </c>
      <c r="B2162" s="2" t="s">
        <v>2906</v>
      </c>
      <c r="C2162" s="2" t="str">
        <f>"011170009"</f>
        <v>011170009</v>
      </c>
      <c r="D2162" s="2" t="s">
        <v>2907</v>
      </c>
      <c r="E2162" s="4">
        <v>8800</v>
      </c>
    </row>
    <row r="2163" spans="1:5">
      <c r="A2163" s="2" t="s">
        <v>2544</v>
      </c>
      <c r="B2163" s="2" t="str">
        <f>"0008484"</f>
        <v>0008484</v>
      </c>
      <c r="C2163" s="2" t="str">
        <f>"0008484"</f>
        <v>0008484</v>
      </c>
      <c r="D2163" s="2" t="s">
        <v>2908</v>
      </c>
      <c r="E2163" s="4">
        <v>14500</v>
      </c>
    </row>
    <row r="2164" spans="1:5">
      <c r="A2164" s="2" t="s">
        <v>2544</v>
      </c>
      <c r="B2164" s="2" t="str">
        <f>"0005690"</f>
        <v>0005690</v>
      </c>
      <c r="C2164" s="2" t="str">
        <f>"0005690"</f>
        <v>0005690</v>
      </c>
      <c r="D2164" s="2" t="s">
        <v>2909</v>
      </c>
      <c r="E2164" s="4">
        <v>9800</v>
      </c>
    </row>
    <row r="2165" spans="1:5">
      <c r="A2165" s="2" t="s">
        <v>2544</v>
      </c>
      <c r="B2165" s="2" t="str">
        <f>"01170089"</f>
        <v>01170089</v>
      </c>
      <c r="C2165" s="2" t="s">
        <v>2910</v>
      </c>
      <c r="D2165" s="2" t="s">
        <v>2911</v>
      </c>
      <c r="E2165" s="4">
        <v>4500</v>
      </c>
    </row>
    <row r="2166" spans="1:5">
      <c r="A2166" s="2" t="s">
        <v>2544</v>
      </c>
      <c r="B2166" s="2" t="str">
        <f>"7897707509652"</f>
        <v>7897707509652</v>
      </c>
      <c r="C2166" s="2" t="str">
        <f>"4506 0005333"</f>
        <v>4506 0005333</v>
      </c>
      <c r="D2166" s="2" t="s">
        <v>2912</v>
      </c>
      <c r="E2166" s="4">
        <v>4800</v>
      </c>
    </row>
    <row r="2167" spans="1:5">
      <c r="A2167" s="2" t="s">
        <v>2544</v>
      </c>
      <c r="B2167" s="2" t="str">
        <f>"7897707509867"</f>
        <v>7897707509867</v>
      </c>
      <c r="C2167" s="2" t="str">
        <f>"00602ZFR5 0005328"</f>
        <v>00602ZFR5 0005328</v>
      </c>
      <c r="D2167" s="2" t="s">
        <v>2913</v>
      </c>
      <c r="E2167" s="4">
        <v>4300</v>
      </c>
    </row>
    <row r="2168" spans="1:5">
      <c r="A2168" s="2" t="s">
        <v>2544</v>
      </c>
      <c r="B2168" s="2" t="str">
        <f>"0005696"</f>
        <v>0005696</v>
      </c>
      <c r="C2168" s="2" t="s">
        <v>2914</v>
      </c>
      <c r="D2168" s="2" t="s">
        <v>2915</v>
      </c>
      <c r="E2168" s="4">
        <v>2900</v>
      </c>
    </row>
    <row r="2169" spans="1:5">
      <c r="A2169" s="2" t="s">
        <v>2544</v>
      </c>
      <c r="B2169" s="2" t="str">
        <f>"0007456"</f>
        <v>0007456</v>
      </c>
      <c r="C2169" s="2" t="s">
        <v>2916</v>
      </c>
      <c r="D2169" s="2" t="s">
        <v>2917</v>
      </c>
      <c r="E2169" s="4">
        <v>3800</v>
      </c>
    </row>
    <row r="2170" spans="1:5">
      <c r="A2170" s="2" t="s">
        <v>2544</v>
      </c>
      <c r="B2170" s="2" t="str">
        <f>"0021308"</f>
        <v>0021308</v>
      </c>
      <c r="C2170" s="2" t="s">
        <v>2918</v>
      </c>
      <c r="D2170" s="2" t="s">
        <v>2919</v>
      </c>
      <c r="E2170" s="4">
        <v>4800</v>
      </c>
    </row>
    <row r="2171" spans="1:5">
      <c r="A2171" s="2" t="s">
        <v>2544</v>
      </c>
      <c r="B2171" s="2" t="str">
        <f>"0005701"</f>
        <v>0005701</v>
      </c>
      <c r="C2171" s="2" t="str">
        <f>"0005701"</f>
        <v>0005701</v>
      </c>
      <c r="D2171" s="2" t="s">
        <v>2920</v>
      </c>
      <c r="E2171" s="4">
        <v>16000</v>
      </c>
    </row>
    <row r="2172" spans="1:5">
      <c r="A2172" s="2" t="s">
        <v>2544</v>
      </c>
      <c r="B2172" s="2" t="str">
        <f>"0008480"</f>
        <v>0008480</v>
      </c>
      <c r="C2172" s="2" t="str">
        <f>"0008480"</f>
        <v>0008480</v>
      </c>
      <c r="D2172" s="2" t="s">
        <v>2921</v>
      </c>
      <c r="E2172" s="4">
        <v>3900</v>
      </c>
    </row>
    <row r="2173" spans="1:5">
      <c r="A2173" s="2" t="s">
        <v>2544</v>
      </c>
      <c r="B2173" s="2" t="str">
        <f>"042511450448"</f>
        <v>042511450448</v>
      </c>
      <c r="C2173" s="2" t="s">
        <v>2922</v>
      </c>
      <c r="D2173" s="2" t="s">
        <v>2923</v>
      </c>
      <c r="E2173" s="4">
        <v>3400</v>
      </c>
    </row>
    <row r="2174" spans="1:5">
      <c r="A2174" s="2" t="s">
        <v>2544</v>
      </c>
      <c r="B2174" s="2" t="str">
        <f>"5000000035984"</f>
        <v>5000000035984</v>
      </c>
      <c r="C2174" s="2" t="str">
        <f>"310892"</f>
        <v>310892</v>
      </c>
      <c r="D2174" s="2" t="s">
        <v>2924</v>
      </c>
      <c r="E2174" s="4">
        <v>6100</v>
      </c>
    </row>
    <row r="2175" spans="1:5">
      <c r="A2175" s="2" t="s">
        <v>2544</v>
      </c>
      <c r="B2175" s="2" t="str">
        <f>"5000000035885"</f>
        <v>5000000035885</v>
      </c>
      <c r="C2175" s="2" t="str">
        <f>"310882"</f>
        <v>310882</v>
      </c>
      <c r="D2175" s="2" t="s">
        <v>2925</v>
      </c>
      <c r="E2175" s="4">
        <v>8800</v>
      </c>
    </row>
    <row r="2176" spans="1:5">
      <c r="A2176" s="2" t="s">
        <v>2544</v>
      </c>
      <c r="B2176" s="2" t="s">
        <v>2926</v>
      </c>
      <c r="C2176" s="2" t="s">
        <v>2926</v>
      </c>
      <c r="D2176" s="2" t="s">
        <v>2927</v>
      </c>
      <c r="E2176" s="4">
        <v>5900</v>
      </c>
    </row>
    <row r="2177" spans="1:5">
      <c r="A2177" s="2" t="s">
        <v>2544</v>
      </c>
      <c r="B2177" s="2" t="s">
        <v>2928</v>
      </c>
      <c r="C2177" s="2" t="s">
        <v>2928</v>
      </c>
      <c r="D2177" s="2" t="s">
        <v>2929</v>
      </c>
      <c r="E2177" s="4">
        <v>1500</v>
      </c>
    </row>
    <row r="2178" spans="1:5">
      <c r="A2178" s="2" t="s">
        <v>2544</v>
      </c>
      <c r="B2178" s="2" t="str">
        <f>"037551127894"</f>
        <v>037551127894</v>
      </c>
      <c r="C2178" s="2" t="s">
        <v>2930</v>
      </c>
      <c r="D2178" s="2" t="s">
        <v>2931</v>
      </c>
      <c r="E2178" s="4">
        <v>3500</v>
      </c>
    </row>
    <row r="2179" spans="1:5">
      <c r="A2179" s="2" t="s">
        <v>2544</v>
      </c>
      <c r="B2179" s="2" t="str">
        <f>"037551113187"</f>
        <v>037551113187</v>
      </c>
      <c r="C2179" s="2" t="s">
        <v>2932</v>
      </c>
      <c r="D2179" s="2" t="s">
        <v>2933</v>
      </c>
      <c r="E2179" s="4">
        <v>2000</v>
      </c>
    </row>
    <row r="2180" spans="1:5">
      <c r="A2180" s="2" t="s">
        <v>2544</v>
      </c>
      <c r="B2180" s="2" t="str">
        <f>"037551114108"</f>
        <v>037551114108</v>
      </c>
      <c r="C2180" s="2" t="s">
        <v>2934</v>
      </c>
      <c r="D2180" s="2" t="s">
        <v>2935</v>
      </c>
      <c r="E2180" s="4">
        <v>2500</v>
      </c>
    </row>
    <row r="2181" spans="1:5">
      <c r="A2181" s="2" t="s">
        <v>2544</v>
      </c>
      <c r="B2181" s="2" t="str">
        <f>"037551102914"</f>
        <v>037551102914</v>
      </c>
      <c r="C2181" s="2" t="s">
        <v>2936</v>
      </c>
      <c r="D2181" s="2" t="s">
        <v>2937</v>
      </c>
      <c r="E2181" s="4">
        <v>1500</v>
      </c>
    </row>
    <row r="2182" spans="1:5">
      <c r="A2182" s="2" t="s">
        <v>2544</v>
      </c>
      <c r="B2182" s="2" t="str">
        <f>"0010976"</f>
        <v>0010976</v>
      </c>
      <c r="C2182" s="2" t="str">
        <f>"0010976"</f>
        <v>0010976</v>
      </c>
      <c r="D2182" s="2" t="s">
        <v>2938</v>
      </c>
      <c r="E2182" s="4">
        <v>3900</v>
      </c>
    </row>
    <row r="2183" spans="1:5">
      <c r="A2183" s="2" t="s">
        <v>2544</v>
      </c>
      <c r="B2183" s="2" t="str">
        <f>"7897707511518"</f>
        <v>7897707511518</v>
      </c>
      <c r="C2183" s="2" t="str">
        <f>"0003868"</f>
        <v>0003868</v>
      </c>
      <c r="D2183" s="2" t="s">
        <v>2939</v>
      </c>
      <c r="E2183" s="4">
        <v>5500</v>
      </c>
    </row>
    <row r="2184" spans="1:5">
      <c r="A2184" s="2" t="s">
        <v>2544</v>
      </c>
      <c r="B2184" s="2" t="str">
        <f>"302966"</f>
        <v>302966</v>
      </c>
      <c r="C2184" s="2" t="str">
        <f>"302966"</f>
        <v>302966</v>
      </c>
      <c r="D2184" s="2" t="s">
        <v>2940</v>
      </c>
      <c r="E2184" s="4">
        <v>4300</v>
      </c>
    </row>
    <row r="2185" spans="1:5">
      <c r="A2185" s="2" t="s">
        <v>2544</v>
      </c>
      <c r="B2185" s="2" t="str">
        <f>"2262"</f>
        <v>2262</v>
      </c>
      <c r="C2185" s="2" t="str">
        <f>"031170011"</f>
        <v>031170011</v>
      </c>
      <c r="D2185" s="2" t="s">
        <v>2941</v>
      </c>
      <c r="E2185" s="4">
        <v>3900</v>
      </c>
    </row>
    <row r="2186" spans="1:5">
      <c r="A2186" s="2" t="s">
        <v>2544</v>
      </c>
      <c r="B2186" s="2" t="str">
        <f>"087295903186"</f>
        <v>087295903186</v>
      </c>
      <c r="C2186" s="2" t="s">
        <v>2942</v>
      </c>
      <c r="D2186" s="2" t="s">
        <v>2943</v>
      </c>
      <c r="E2186" s="4">
        <v>4300</v>
      </c>
    </row>
    <row r="2187" spans="1:5">
      <c r="A2187" s="2" t="s">
        <v>359</v>
      </c>
      <c r="B2187" s="2" t="s">
        <v>2944</v>
      </c>
      <c r="C2187" s="2" t="s">
        <v>2944</v>
      </c>
      <c r="D2187" s="2" t="s">
        <v>2945</v>
      </c>
      <c r="E2187" s="4">
        <v>2800</v>
      </c>
    </row>
    <row r="2188" spans="1:5">
      <c r="A2188" s="2" t="s">
        <v>359</v>
      </c>
      <c r="B2188" s="2" t="str">
        <f>"011467"</f>
        <v>011467</v>
      </c>
      <c r="C2188" s="2" t="str">
        <f>"0114467"</f>
        <v>0114467</v>
      </c>
      <c r="D2188" s="2" t="s">
        <v>2946</v>
      </c>
      <c r="E2188" s="4">
        <v>3400</v>
      </c>
    </row>
    <row r="2189" spans="1:5">
      <c r="A2189" s="2" t="s">
        <v>359</v>
      </c>
      <c r="B2189" s="2" t="str">
        <f>"1702458"</f>
        <v>1702458</v>
      </c>
      <c r="C2189" s="2" t="str">
        <f>"1702458"</f>
        <v>1702458</v>
      </c>
      <c r="D2189" s="2" t="s">
        <v>2947</v>
      </c>
      <c r="E2189" s="4">
        <v>5200</v>
      </c>
    </row>
    <row r="2190" spans="1:5">
      <c r="A2190" s="2" t="s">
        <v>359</v>
      </c>
      <c r="B2190" s="2" t="s">
        <v>2948</v>
      </c>
      <c r="C2190" s="2" t="s">
        <v>2948</v>
      </c>
      <c r="D2190" s="2" t="s">
        <v>2949</v>
      </c>
      <c r="E2190" s="4">
        <v>6100</v>
      </c>
    </row>
    <row r="2191" spans="1:5">
      <c r="A2191" s="2" t="s">
        <v>359</v>
      </c>
      <c r="B2191" s="2" t="str">
        <f>"248363"</f>
        <v>248363</v>
      </c>
      <c r="C2191" s="2" t="str">
        <f>"248363"</f>
        <v>248363</v>
      </c>
      <c r="D2191" s="2" t="s">
        <v>2950</v>
      </c>
      <c r="E2191" s="4">
        <v>4300</v>
      </c>
    </row>
    <row r="2192" spans="1:5">
      <c r="A2192" s="2" t="s">
        <v>359</v>
      </c>
      <c r="B2192" s="2" t="str">
        <f>"9941735"</f>
        <v>9941735</v>
      </c>
      <c r="C2192" s="2" t="str">
        <f>"9941735"</f>
        <v>9941735</v>
      </c>
      <c r="D2192" s="2" t="s">
        <v>2951</v>
      </c>
      <c r="E2192" s="4">
        <v>4300</v>
      </c>
    </row>
    <row r="2193" spans="1:5">
      <c r="A2193" s="2" t="s">
        <v>359</v>
      </c>
      <c r="B2193" s="2" t="str">
        <f>"005008P"</f>
        <v>005008P</v>
      </c>
      <c r="C2193" s="2" t="str">
        <f>"005008P"</f>
        <v>005008P</v>
      </c>
      <c r="D2193" s="2" t="s">
        <v>2952</v>
      </c>
      <c r="E2193" s="4">
        <v>3000</v>
      </c>
    </row>
    <row r="2194" spans="1:5">
      <c r="A2194" s="2" t="s">
        <v>359</v>
      </c>
      <c r="B2194" s="2" t="s">
        <v>2953</v>
      </c>
      <c r="C2194" s="2" t="s">
        <v>2953</v>
      </c>
      <c r="D2194" s="2" t="s">
        <v>2954</v>
      </c>
      <c r="E2194" s="4">
        <v>2900</v>
      </c>
    </row>
    <row r="2195" spans="1:5">
      <c r="A2195" s="2" t="s">
        <v>359</v>
      </c>
      <c r="B2195" s="2" t="str">
        <f>"140289"</f>
        <v>140289</v>
      </c>
      <c r="C2195" s="2" t="str">
        <f>"140289"</f>
        <v>140289</v>
      </c>
      <c r="D2195" s="2" t="s">
        <v>2955</v>
      </c>
      <c r="E2195" s="4">
        <v>5200</v>
      </c>
    </row>
    <row r="2196" spans="1:5">
      <c r="A2196" s="2" t="s">
        <v>359</v>
      </c>
      <c r="B2196" s="2" t="str">
        <f>"248398"</f>
        <v>248398</v>
      </c>
      <c r="C2196" s="2" t="str">
        <f>"248398"</f>
        <v>248398</v>
      </c>
      <c r="D2196" s="2" t="s">
        <v>2956</v>
      </c>
      <c r="E2196" s="4">
        <v>27700</v>
      </c>
    </row>
    <row r="2197" spans="1:5">
      <c r="A2197" s="2" t="s">
        <v>359</v>
      </c>
      <c r="B2197" s="2" t="str">
        <f>"012439"</f>
        <v>012439</v>
      </c>
      <c r="C2197" s="2" t="str">
        <f>"012439"</f>
        <v>012439</v>
      </c>
      <c r="D2197" s="2" t="s">
        <v>2957</v>
      </c>
      <c r="E2197" s="4">
        <v>13500</v>
      </c>
    </row>
    <row r="2198" spans="1:5">
      <c r="A2198" s="2" t="s">
        <v>359</v>
      </c>
      <c r="B2198" s="2" t="s">
        <v>2958</v>
      </c>
      <c r="C2198" s="2" t="s">
        <v>2958</v>
      </c>
      <c r="D2198" s="2" t="s">
        <v>2959</v>
      </c>
      <c r="E2198" s="4">
        <v>4300</v>
      </c>
    </row>
    <row r="2199" spans="1:5">
      <c r="A2199" s="2" t="s">
        <v>359</v>
      </c>
      <c r="B2199" s="2" t="s">
        <v>2960</v>
      </c>
      <c r="C2199" s="2" t="s">
        <v>2960</v>
      </c>
      <c r="D2199" s="2" t="s">
        <v>2961</v>
      </c>
      <c r="E2199" s="4">
        <v>4900</v>
      </c>
    </row>
    <row r="2200" spans="1:5">
      <c r="A2200" s="2" t="s">
        <v>359</v>
      </c>
      <c r="B2200" s="2" t="str">
        <f>"030760008"</f>
        <v>030760008</v>
      </c>
      <c r="C2200" s="2" t="s">
        <v>2962</v>
      </c>
      <c r="D2200" s="2" t="s">
        <v>2963</v>
      </c>
      <c r="E2200" s="4">
        <v>5900</v>
      </c>
    </row>
    <row r="2201" spans="1:5">
      <c r="A2201" s="2" t="s">
        <v>359</v>
      </c>
      <c r="B2201" s="2" t="str">
        <f>"030760004"</f>
        <v>030760004</v>
      </c>
      <c r="C2201" s="2" t="str">
        <f>"030760004"</f>
        <v>030760004</v>
      </c>
      <c r="D2201" s="2" t="s">
        <v>2964</v>
      </c>
      <c r="E2201" s="4">
        <v>7900</v>
      </c>
    </row>
    <row r="2202" spans="1:5">
      <c r="A2202" s="2" t="s">
        <v>359</v>
      </c>
      <c r="B2202" s="2" t="str">
        <f>"1300020"</f>
        <v>1300020</v>
      </c>
      <c r="C2202" s="2" t="str">
        <f>"1300020"</f>
        <v>1300020</v>
      </c>
      <c r="D2202" s="2" t="s">
        <v>2965</v>
      </c>
      <c r="E2202" s="4">
        <v>2500</v>
      </c>
    </row>
    <row r="2203" spans="1:5">
      <c r="A2203" s="2" t="s">
        <v>359</v>
      </c>
      <c r="B2203" s="2" t="str">
        <f>"14118"</f>
        <v>14118</v>
      </c>
      <c r="C2203" s="2" t="str">
        <f>"14118"</f>
        <v>14118</v>
      </c>
      <c r="D2203" s="2" t="s">
        <v>2966</v>
      </c>
      <c r="E2203" s="4">
        <v>2900</v>
      </c>
    </row>
    <row r="2204" spans="1:5">
      <c r="A2204" s="2" t="s">
        <v>359</v>
      </c>
      <c r="B2204" s="2" t="str">
        <f>"0005612"</f>
        <v>0005612</v>
      </c>
      <c r="C2204" s="2" t="str">
        <f>"0005612"</f>
        <v>0005612</v>
      </c>
      <c r="D2204" s="2" t="s">
        <v>2967</v>
      </c>
      <c r="E2204" s="4">
        <v>4300</v>
      </c>
    </row>
    <row r="2205" spans="1:5">
      <c r="A2205" s="2" t="s">
        <v>359</v>
      </c>
      <c r="B2205" s="2" t="str">
        <f>"090410438"</f>
        <v>090410438</v>
      </c>
      <c r="C2205" s="2" t="str">
        <f>"090410438"</f>
        <v>090410438</v>
      </c>
      <c r="D2205" s="2" t="s">
        <v>2968</v>
      </c>
      <c r="E2205" s="4">
        <v>2000</v>
      </c>
    </row>
    <row r="2206" spans="1:5">
      <c r="A2206" s="2" t="s">
        <v>359</v>
      </c>
      <c r="B2206" s="2" t="str">
        <f>"020760007"</f>
        <v>020760007</v>
      </c>
      <c r="C2206" s="2" t="str">
        <f>"60054"</f>
        <v>60054</v>
      </c>
      <c r="D2206" s="2" t="s">
        <v>2969</v>
      </c>
      <c r="E2206" s="4">
        <v>2500</v>
      </c>
    </row>
    <row r="2207" spans="1:5">
      <c r="A2207" s="2" t="s">
        <v>359</v>
      </c>
      <c r="B2207" s="2" t="str">
        <f>"140319"</f>
        <v>140319</v>
      </c>
      <c r="C2207" s="2" t="str">
        <f>"140319"</f>
        <v>140319</v>
      </c>
      <c r="D2207" s="2" t="s">
        <v>2970</v>
      </c>
      <c r="E2207" s="4">
        <v>13300</v>
      </c>
    </row>
    <row r="2208" spans="1:5">
      <c r="A2208" s="2" t="s">
        <v>359</v>
      </c>
      <c r="B2208" s="2" t="str">
        <f>"140318"</f>
        <v>140318</v>
      </c>
      <c r="C2208" s="2" t="str">
        <f>"140318"</f>
        <v>140318</v>
      </c>
      <c r="D2208" s="2" t="s">
        <v>2971</v>
      </c>
      <c r="E2208" s="4">
        <v>22500</v>
      </c>
    </row>
    <row r="2209" spans="1:5">
      <c r="A2209" s="2" t="s">
        <v>359</v>
      </c>
      <c r="B2209" s="2" t="str">
        <f>"0300990"</f>
        <v>0300990</v>
      </c>
      <c r="C2209" s="2" t="str">
        <f>"0300990"</f>
        <v>0300990</v>
      </c>
      <c r="D2209" s="2" t="s">
        <v>2972</v>
      </c>
      <c r="E2209" s="4">
        <v>6000</v>
      </c>
    </row>
    <row r="2210" spans="1:5">
      <c r="A2210" s="2" t="s">
        <v>359</v>
      </c>
      <c r="B2210" s="2" t="s">
        <v>2973</v>
      </c>
      <c r="C2210" s="2" t="s">
        <v>2973</v>
      </c>
      <c r="D2210" s="2" t="s">
        <v>2974</v>
      </c>
      <c r="E2210" s="4">
        <v>7000</v>
      </c>
    </row>
    <row r="2211" spans="1:5">
      <c r="A2211" s="2" t="s">
        <v>359</v>
      </c>
      <c r="B2211" s="2" t="str">
        <f>"8016128"</f>
        <v>8016128</v>
      </c>
      <c r="C2211" s="2" t="str">
        <f>"8016128"</f>
        <v>8016128</v>
      </c>
      <c r="D2211" s="2" t="s">
        <v>2975</v>
      </c>
      <c r="E2211" s="4">
        <v>2500</v>
      </c>
    </row>
    <row r="2212" spans="1:5">
      <c r="A2212" s="2" t="s">
        <v>359</v>
      </c>
      <c r="B2212" s="2" t="s">
        <v>2976</v>
      </c>
      <c r="C2212" s="2" t="str">
        <f>"1486217310508"</f>
        <v>1486217310508</v>
      </c>
      <c r="D2212" s="2" t="s">
        <v>2977</v>
      </c>
      <c r="E2212" s="4">
        <v>14000</v>
      </c>
    </row>
    <row r="2213" spans="1:5">
      <c r="A2213" s="2" t="s">
        <v>359</v>
      </c>
      <c r="B2213" s="2" t="str">
        <f>"1150001"</f>
        <v>1150001</v>
      </c>
      <c r="C2213" s="2" t="str">
        <f>"1150001"</f>
        <v>1150001</v>
      </c>
      <c r="D2213" s="2" t="s">
        <v>2978</v>
      </c>
      <c r="E2213" s="4">
        <v>8800</v>
      </c>
    </row>
    <row r="2214" spans="1:5">
      <c r="A2214" s="2" t="s">
        <v>359</v>
      </c>
      <c r="B2214" s="2" t="str">
        <f>"03642406"</f>
        <v>03642406</v>
      </c>
      <c r="C2214" s="2" t="str">
        <f>"03642406"</f>
        <v>03642406</v>
      </c>
      <c r="D2214" s="2" t="s">
        <v>2979</v>
      </c>
      <c r="E2214" s="4">
        <v>5200</v>
      </c>
    </row>
    <row r="2215" spans="1:5">
      <c r="A2215" s="2" t="s">
        <v>359</v>
      </c>
      <c r="B2215" s="2" t="str">
        <f>"1702418"</f>
        <v>1702418</v>
      </c>
      <c r="C2215" s="2" t="str">
        <f>"1702418"</f>
        <v>1702418</v>
      </c>
      <c r="D2215" s="2" t="s">
        <v>2980</v>
      </c>
      <c r="E2215" s="4">
        <v>5200</v>
      </c>
    </row>
    <row r="2216" spans="1:5">
      <c r="A2216" s="2" t="s">
        <v>359</v>
      </c>
      <c r="B2216" s="2" t="str">
        <f>"0015231"</f>
        <v>0015231</v>
      </c>
      <c r="C2216" s="2" t="str">
        <f>"0015231"</f>
        <v>0015231</v>
      </c>
      <c r="D2216" s="2" t="s">
        <v>2981</v>
      </c>
      <c r="E2216" s="4">
        <v>8800</v>
      </c>
    </row>
    <row r="2217" spans="1:5">
      <c r="A2217" s="2" t="s">
        <v>359</v>
      </c>
      <c r="B2217" s="2" t="str">
        <f>"1600318"</f>
        <v>1600318</v>
      </c>
      <c r="C2217" s="2" t="str">
        <f>"1600318"</f>
        <v>1600318</v>
      </c>
      <c r="D2217" s="2" t="s">
        <v>2982</v>
      </c>
      <c r="E2217" s="4">
        <v>4900</v>
      </c>
    </row>
    <row r="2218" spans="1:5">
      <c r="A2218" s="2" t="s">
        <v>359</v>
      </c>
      <c r="B2218" s="2" t="str">
        <f>"0011360"</f>
        <v>0011360</v>
      </c>
      <c r="C2218" s="2" t="str">
        <f>"0011360"</f>
        <v>0011360</v>
      </c>
      <c r="D2218" s="2" t="s">
        <v>2983</v>
      </c>
      <c r="E2218" s="4">
        <v>5200</v>
      </c>
    </row>
    <row r="2219" spans="1:5">
      <c r="A2219" s="2" t="s">
        <v>359</v>
      </c>
      <c r="B2219" s="2" t="str">
        <f>"0400078"</f>
        <v>0400078</v>
      </c>
      <c r="C2219" s="2" t="str">
        <f>"0400078"</f>
        <v>0400078</v>
      </c>
      <c r="D2219" s="2" t="s">
        <v>2984</v>
      </c>
      <c r="E2219" s="4">
        <v>2000</v>
      </c>
    </row>
    <row r="2220" spans="1:5">
      <c r="A2220" s="2" t="s">
        <v>359</v>
      </c>
      <c r="B2220" s="2" t="str">
        <f>"011531"</f>
        <v>011531</v>
      </c>
      <c r="C2220" s="2" t="str">
        <f>"011531"</f>
        <v>011531</v>
      </c>
      <c r="D2220" s="2" t="s">
        <v>2985</v>
      </c>
      <c r="E2220" s="4">
        <v>3800</v>
      </c>
    </row>
    <row r="2221" spans="1:5">
      <c r="A2221" s="2" t="s">
        <v>359</v>
      </c>
      <c r="B2221" s="2" t="str">
        <f>"011352"</f>
        <v>011352</v>
      </c>
      <c r="C2221" s="2" t="str">
        <f>"0115352 0011358"</f>
        <v>0115352 0011358</v>
      </c>
      <c r="D2221" s="2" t="s">
        <v>2986</v>
      </c>
      <c r="E2221" s="4">
        <v>5500</v>
      </c>
    </row>
    <row r="2222" spans="1:5">
      <c r="A2222" s="2" t="s">
        <v>359</v>
      </c>
      <c r="B2222" s="2" t="str">
        <f>"011526"</f>
        <v>011526</v>
      </c>
      <c r="C2222" s="2" t="str">
        <f>"011526"</f>
        <v>011526</v>
      </c>
      <c r="D2222" s="2" t="s">
        <v>2987</v>
      </c>
      <c r="E2222" s="4">
        <v>4300</v>
      </c>
    </row>
    <row r="2223" spans="1:5">
      <c r="A2223" s="2" t="s">
        <v>359</v>
      </c>
      <c r="B2223" s="2" t="str">
        <f>"60063"</f>
        <v>60063</v>
      </c>
      <c r="C2223" s="2" t="str">
        <f>"60063"</f>
        <v>60063</v>
      </c>
      <c r="D2223" s="2" t="s">
        <v>2988</v>
      </c>
      <c r="E2223" s="4">
        <v>2000</v>
      </c>
    </row>
    <row r="2224" spans="1:5">
      <c r="A2224" s="2" t="s">
        <v>359</v>
      </c>
      <c r="B2224" s="2" t="str">
        <f>"22630-70J00"</f>
        <v>22630-70J00</v>
      </c>
      <c r="C2224" s="2" t="str">
        <f>"22630"</f>
        <v>22630</v>
      </c>
      <c r="D2224" s="2" t="s">
        <v>2989</v>
      </c>
      <c r="E2224" s="4">
        <v>7000</v>
      </c>
    </row>
    <row r="2225" spans="1:5">
      <c r="A2225" s="2" t="s">
        <v>359</v>
      </c>
      <c r="B2225" s="2" t="str">
        <f>"0400088"</f>
        <v>0400088</v>
      </c>
      <c r="C2225" s="2" t="str">
        <f>"0400088"</f>
        <v>0400088</v>
      </c>
      <c r="D2225" s="2" t="s">
        <v>2990</v>
      </c>
      <c r="E2225" s="4">
        <v>2000</v>
      </c>
    </row>
    <row r="2226" spans="1:5">
      <c r="A2226" s="2" t="s">
        <v>359</v>
      </c>
      <c r="B2226" s="2" t="str">
        <f>"89900"</f>
        <v>89900</v>
      </c>
      <c r="C2226" s="2" t="str">
        <f>"89900"</f>
        <v>89900</v>
      </c>
      <c r="D2226" s="2" t="s">
        <v>2991</v>
      </c>
      <c r="E2226" s="4">
        <v>2800</v>
      </c>
    </row>
    <row r="2227" spans="1:5">
      <c r="A2227" s="2" t="s">
        <v>359</v>
      </c>
      <c r="B2227" s="2" t="str">
        <f>"248284"</f>
        <v>248284</v>
      </c>
      <c r="C2227" s="2" t="str">
        <f>"248284"</f>
        <v>248284</v>
      </c>
      <c r="D2227" s="2" t="s">
        <v>2992</v>
      </c>
      <c r="E2227" s="4">
        <v>7000</v>
      </c>
    </row>
    <row r="2228" spans="1:5">
      <c r="A2228" s="2" t="s">
        <v>359</v>
      </c>
      <c r="B2228" s="2" t="str">
        <f>"011406"</f>
        <v>011406</v>
      </c>
      <c r="C2228" s="2" t="str">
        <f>"011406"</f>
        <v>011406</v>
      </c>
      <c r="D2228" s="2" t="s">
        <v>2993</v>
      </c>
      <c r="E2228" s="4">
        <v>16000</v>
      </c>
    </row>
    <row r="2229" spans="1:5">
      <c r="A2229" s="2" t="s">
        <v>359</v>
      </c>
      <c r="B2229" s="2" t="str">
        <f>"011358"</f>
        <v>011358</v>
      </c>
      <c r="C2229" s="2" t="str">
        <f>"011358"</f>
        <v>011358</v>
      </c>
      <c r="D2229" s="2" t="s">
        <v>2994</v>
      </c>
      <c r="E2229" s="4">
        <v>7000</v>
      </c>
    </row>
    <row r="2230" spans="1:5">
      <c r="A2230" s="2" t="s">
        <v>359</v>
      </c>
      <c r="B2230" s="2" t="str">
        <f>"001760064-8"</f>
        <v>001760064-8</v>
      </c>
      <c r="C2230" s="2" t="str">
        <f>"001760064-8"</f>
        <v>001760064-8</v>
      </c>
      <c r="D2230" s="2" t="s">
        <v>2995</v>
      </c>
      <c r="E2230" s="4">
        <v>6100</v>
      </c>
    </row>
    <row r="2231" spans="1:5">
      <c r="A2231" s="2" t="s">
        <v>1392</v>
      </c>
      <c r="B2231" s="2" t="s">
        <v>2996</v>
      </c>
      <c r="C2231" s="2" t="s">
        <v>2996</v>
      </c>
      <c r="D2231" s="2" t="s">
        <v>2997</v>
      </c>
      <c r="E2231" s="4">
        <v>2500</v>
      </c>
    </row>
    <row r="2232" spans="1:5">
      <c r="A2232" s="2" t="s">
        <v>296</v>
      </c>
      <c r="B2232" s="2" t="str">
        <f>"317550"</f>
        <v>317550</v>
      </c>
      <c r="C2232" s="2" t="str">
        <f>"317550"</f>
        <v>317550</v>
      </c>
      <c r="D2232" s="2" t="s">
        <v>2998</v>
      </c>
      <c r="E2232" s="4">
        <v>5000</v>
      </c>
    </row>
    <row r="2233" spans="1:5">
      <c r="A2233" s="2" t="s">
        <v>296</v>
      </c>
      <c r="B2233" s="2" t="str">
        <f>"010640061"</f>
        <v>010640061</v>
      </c>
      <c r="C2233" s="2" t="str">
        <f>"010640061"</f>
        <v>010640061</v>
      </c>
      <c r="D2233" s="2" t="s">
        <v>2999</v>
      </c>
      <c r="E2233" s="4">
        <v>18700</v>
      </c>
    </row>
    <row r="2234" spans="1:5">
      <c r="A2234" s="2" t="s">
        <v>296</v>
      </c>
      <c r="B2234" s="2" t="str">
        <f>"020640032"</f>
        <v>020640032</v>
      </c>
      <c r="C2234" s="2" t="str">
        <f>"020640032"</f>
        <v>020640032</v>
      </c>
      <c r="D2234" s="2" t="s">
        <v>3000</v>
      </c>
      <c r="E2234" s="4">
        <v>8800</v>
      </c>
    </row>
    <row r="2235" spans="1:5">
      <c r="A2235" s="2" t="s">
        <v>296</v>
      </c>
      <c r="B2235" s="2" t="str">
        <f>"040640036"</f>
        <v>040640036</v>
      </c>
      <c r="C2235" s="2" t="str">
        <f>"040640036"</f>
        <v>040640036</v>
      </c>
      <c r="D2235" s="2" t="s">
        <v>3001</v>
      </c>
      <c r="E2235" s="4">
        <v>9900</v>
      </c>
    </row>
    <row r="2236" spans="1:5">
      <c r="A2236" s="2" t="s">
        <v>296</v>
      </c>
      <c r="B2236" s="2" t="str">
        <f>"040640034"</f>
        <v>040640034</v>
      </c>
      <c r="C2236" s="2" t="str">
        <f>"040640034"</f>
        <v>040640034</v>
      </c>
      <c r="D2236" s="2" t="s">
        <v>3002</v>
      </c>
      <c r="E2236" s="4">
        <v>8800</v>
      </c>
    </row>
    <row r="2237" spans="1:5">
      <c r="A2237" s="2" t="s">
        <v>296</v>
      </c>
      <c r="B2237" s="2" t="str">
        <f>"050685"</f>
        <v>050685</v>
      </c>
      <c r="C2237" s="2" t="str">
        <f>"050685"</f>
        <v>050685</v>
      </c>
      <c r="D2237" s="2" t="s">
        <v>3003</v>
      </c>
      <c r="E2237" s="4">
        <v>4900</v>
      </c>
    </row>
    <row r="2238" spans="1:5">
      <c r="A2238" s="2" t="s">
        <v>296</v>
      </c>
      <c r="B2238" s="2" t="str">
        <f>"1265115"</f>
        <v>1265115</v>
      </c>
      <c r="C2238" s="2" t="str">
        <f>"1265115"</f>
        <v>1265115</v>
      </c>
      <c r="D2238" s="2" t="s">
        <v>3004</v>
      </c>
      <c r="E2238" s="4">
        <v>5200</v>
      </c>
    </row>
    <row r="2239" spans="1:5">
      <c r="A2239" s="2" t="s">
        <v>296</v>
      </c>
      <c r="B2239" s="2" t="str">
        <f>"286654"</f>
        <v>286654</v>
      </c>
      <c r="C2239" s="2" t="str">
        <f>"286654"</f>
        <v>286654</v>
      </c>
      <c r="D2239" s="2" t="s">
        <v>3005</v>
      </c>
      <c r="E2239" s="4">
        <v>11500</v>
      </c>
    </row>
    <row r="2240" spans="1:5">
      <c r="A2240" s="2" t="s">
        <v>296</v>
      </c>
      <c r="B2240" s="2" t="str">
        <f>"286398"</f>
        <v>286398</v>
      </c>
      <c r="C2240" s="2" t="str">
        <f>"286398"</f>
        <v>286398</v>
      </c>
      <c r="D2240" s="2" t="s">
        <v>3006</v>
      </c>
      <c r="E2240" s="4">
        <v>7000</v>
      </c>
    </row>
    <row r="2241" spans="1:5">
      <c r="A2241" s="2" t="s">
        <v>296</v>
      </c>
      <c r="B2241" s="2" t="str">
        <f>"010640117"</f>
        <v>010640117</v>
      </c>
      <c r="C2241" s="2" t="str">
        <f>"010640117"</f>
        <v>010640117</v>
      </c>
      <c r="D2241" s="2" t="s">
        <v>3007</v>
      </c>
      <c r="E2241" s="4">
        <v>10472</v>
      </c>
    </row>
    <row r="2242" spans="1:5">
      <c r="A2242" s="2" t="s">
        <v>296</v>
      </c>
      <c r="B2242" s="2" t="str">
        <f>"553-2"</f>
        <v>553-2</v>
      </c>
      <c r="C2242" s="2" t="str">
        <f>"553-2"</f>
        <v>553-2</v>
      </c>
      <c r="D2242" s="2" t="s">
        <v>3008</v>
      </c>
      <c r="E2242" s="4">
        <v>4500</v>
      </c>
    </row>
    <row r="2243" spans="1:5">
      <c r="A2243" s="2" t="s">
        <v>296</v>
      </c>
      <c r="B2243" s="2" t="str">
        <f>"020640106"</f>
        <v>020640106</v>
      </c>
      <c r="C2243" s="2" t="str">
        <f>"020640106"</f>
        <v>020640106</v>
      </c>
      <c r="D2243" s="2" t="s">
        <v>3009</v>
      </c>
      <c r="E2243" s="4">
        <v>4300</v>
      </c>
    </row>
    <row r="2244" spans="1:5">
      <c r="A2244" s="2" t="s">
        <v>296</v>
      </c>
      <c r="B2244" s="2" t="str">
        <f>"1002420"</f>
        <v>1002420</v>
      </c>
      <c r="C2244" s="2" t="str">
        <f>"1002420"</f>
        <v>1002420</v>
      </c>
      <c r="D2244" s="2" t="s">
        <v>3010</v>
      </c>
      <c r="E2244" s="4">
        <v>7000</v>
      </c>
    </row>
    <row r="2245" spans="1:5">
      <c r="A2245" s="2" t="s">
        <v>296</v>
      </c>
      <c r="B2245" s="2" t="s">
        <v>3011</v>
      </c>
      <c r="C2245" s="2" t="s">
        <v>3011</v>
      </c>
      <c r="D2245" s="2" t="s">
        <v>3012</v>
      </c>
      <c r="E2245" s="4">
        <v>4500</v>
      </c>
    </row>
    <row r="2246" spans="1:5">
      <c r="A2246" s="2" t="s">
        <v>296</v>
      </c>
      <c r="B2246" s="2" t="str">
        <f>"040640031"</f>
        <v>040640031</v>
      </c>
      <c r="C2246" s="2" t="str">
        <f>"040640031"</f>
        <v>040640031</v>
      </c>
      <c r="D2246" s="2" t="s">
        <v>3013</v>
      </c>
      <c r="E2246" s="4">
        <v>4300</v>
      </c>
    </row>
    <row r="2247" spans="1:5">
      <c r="A2247" s="2" t="s">
        <v>296</v>
      </c>
      <c r="B2247" s="2" t="str">
        <f>"23W0"</f>
        <v>23W0</v>
      </c>
      <c r="C2247" s="2" t="str">
        <f>"23W0"</f>
        <v>23W0</v>
      </c>
      <c r="D2247" s="2" t="s">
        <v>3014</v>
      </c>
      <c r="E2247" s="4">
        <v>3500</v>
      </c>
    </row>
    <row r="2248" spans="1:5">
      <c r="A2248" s="2" t="s">
        <v>296</v>
      </c>
      <c r="B2248" s="2" t="str">
        <f>"18200-03W00"</f>
        <v>18200-03W00</v>
      </c>
      <c r="C2248" s="2" t="str">
        <f>"0300"</f>
        <v>0300</v>
      </c>
      <c r="D2248" s="2" t="s">
        <v>3014</v>
      </c>
      <c r="E2248" s="4">
        <v>3500</v>
      </c>
    </row>
    <row r="2249" spans="1:5">
      <c r="A2249" s="2" t="s">
        <v>296</v>
      </c>
      <c r="B2249" s="2" t="str">
        <f>"0000060"</f>
        <v>0000060</v>
      </c>
      <c r="C2249" s="2" t="str">
        <f>"0000060"</f>
        <v>0000060</v>
      </c>
      <c r="D2249" s="2" t="s">
        <v>3015</v>
      </c>
      <c r="E2249" s="4">
        <v>3500</v>
      </c>
    </row>
    <row r="2250" spans="1:5">
      <c r="A2250" s="2" t="s">
        <v>296</v>
      </c>
      <c r="B2250" s="2" t="s">
        <v>3016</v>
      </c>
      <c r="C2250" s="2" t="s">
        <v>3016</v>
      </c>
      <c r="D2250" s="2" t="s">
        <v>3017</v>
      </c>
      <c r="E2250" s="4">
        <v>4500</v>
      </c>
    </row>
    <row r="2251" spans="1:5">
      <c r="A2251" s="2" t="s">
        <v>296</v>
      </c>
      <c r="B2251" s="2" t="str">
        <f>"0406440031"</f>
        <v>0406440031</v>
      </c>
      <c r="C2251" s="2" t="str">
        <f>"0406440031"</f>
        <v>0406440031</v>
      </c>
      <c r="D2251" s="2" t="s">
        <v>3018</v>
      </c>
      <c r="E2251" s="4">
        <v>4300</v>
      </c>
    </row>
    <row r="2252" spans="1:5">
      <c r="A2252" s="2" t="s">
        <v>296</v>
      </c>
      <c r="B2252" s="2" t="str">
        <f>"13WOO"</f>
        <v>13WOO</v>
      </c>
      <c r="C2252" s="2" t="str">
        <f>"13WOO"</f>
        <v>13WOO</v>
      </c>
      <c r="D2252" s="2" t="s">
        <v>3019</v>
      </c>
      <c r="E2252" s="4">
        <v>4522</v>
      </c>
    </row>
    <row r="2253" spans="1:5">
      <c r="A2253" s="2" t="s">
        <v>296</v>
      </c>
      <c r="B2253" s="2" t="str">
        <f>"60A60"</f>
        <v>60A60</v>
      </c>
      <c r="C2253" s="2" t="str">
        <f>"60A60"</f>
        <v>60A60</v>
      </c>
      <c r="D2253" s="2" t="s">
        <v>3020</v>
      </c>
      <c r="E2253" s="4">
        <v>7735</v>
      </c>
    </row>
    <row r="2254" spans="1:5">
      <c r="A2254" s="2" t="s">
        <v>296</v>
      </c>
      <c r="B2254" s="2" t="str">
        <f>"60046"</f>
        <v>60046</v>
      </c>
      <c r="C2254" s="2" t="str">
        <f>"60046"</f>
        <v>60046</v>
      </c>
      <c r="D2254" s="2" t="s">
        <v>3021</v>
      </c>
      <c r="E2254" s="4">
        <v>5200</v>
      </c>
    </row>
    <row r="2255" spans="1:5">
      <c r="A2255" s="2" t="s">
        <v>296</v>
      </c>
      <c r="B2255" s="2" t="str">
        <f>"60A00"</f>
        <v>60A00</v>
      </c>
      <c r="C2255" s="2" t="str">
        <f>"60A00"</f>
        <v>60A00</v>
      </c>
      <c r="D2255" s="2" t="s">
        <v>3022</v>
      </c>
      <c r="E2255" s="4">
        <v>6500</v>
      </c>
    </row>
    <row r="2256" spans="1:5">
      <c r="A2256" s="2" t="s">
        <v>296</v>
      </c>
      <c r="B2256" s="2" t="str">
        <f>"04A00"</f>
        <v>04A00</v>
      </c>
      <c r="C2256" s="2" t="str">
        <f>"04A00"</f>
        <v>04A00</v>
      </c>
      <c r="D2256" s="2" t="s">
        <v>3023</v>
      </c>
      <c r="E2256" s="4">
        <v>3800</v>
      </c>
    </row>
    <row r="2257" spans="1:5">
      <c r="A2257" s="2" t="s">
        <v>296</v>
      </c>
      <c r="B2257" s="2" t="str">
        <f>"0143947"</f>
        <v>0143947</v>
      </c>
      <c r="C2257" s="2" t="str">
        <f>"0143947"</f>
        <v>0143947</v>
      </c>
      <c r="D2257" s="2" t="s">
        <v>3024</v>
      </c>
      <c r="E2257" s="4">
        <v>8330</v>
      </c>
    </row>
    <row r="2258" spans="1:5">
      <c r="A2258" s="2" t="s">
        <v>296</v>
      </c>
      <c r="B2258" s="2" t="str">
        <f>"0143647"</f>
        <v>0143647</v>
      </c>
      <c r="C2258" s="2" t="str">
        <f>"0143647"</f>
        <v>0143647</v>
      </c>
      <c r="D2258" s="2" t="s">
        <v>3025</v>
      </c>
      <c r="E2258" s="4">
        <v>5900</v>
      </c>
    </row>
    <row r="2259" spans="1:5">
      <c r="A2259" s="2" t="s">
        <v>296</v>
      </c>
      <c r="B2259" s="2" t="str">
        <f>"62Y02"</f>
        <v>62Y02</v>
      </c>
      <c r="C2259" s="2" t="str">
        <f>"62Y02"</f>
        <v>62Y02</v>
      </c>
      <c r="D2259" s="2" t="s">
        <v>3026</v>
      </c>
      <c r="E2259" s="4">
        <v>6500</v>
      </c>
    </row>
    <row r="2260" spans="1:5">
      <c r="A2260" s="2" t="s">
        <v>296</v>
      </c>
      <c r="B2260" s="2" t="str">
        <f>"302781"</f>
        <v>302781</v>
      </c>
      <c r="C2260" s="2" t="str">
        <f>"302781"</f>
        <v>302781</v>
      </c>
      <c r="D2260" s="2" t="s">
        <v>3027</v>
      </c>
      <c r="E2260" s="4">
        <v>12400</v>
      </c>
    </row>
    <row r="2261" spans="1:5">
      <c r="A2261" s="2" t="s">
        <v>296</v>
      </c>
      <c r="B2261" s="2" t="str">
        <f>"85211"</f>
        <v>85211</v>
      </c>
      <c r="C2261" s="2" t="str">
        <f>"85211"</f>
        <v>85211</v>
      </c>
      <c r="D2261" s="2" t="s">
        <v>3028</v>
      </c>
      <c r="E2261" s="4">
        <v>3500</v>
      </c>
    </row>
    <row r="2262" spans="1:5">
      <c r="A2262" s="2" t="s">
        <v>296</v>
      </c>
      <c r="B2262" s="2" t="str">
        <f>"79203"</f>
        <v>79203</v>
      </c>
      <c r="C2262" s="2" t="str">
        <f>"79203"</f>
        <v>79203</v>
      </c>
      <c r="D2262" s="2" t="s">
        <v>3029</v>
      </c>
      <c r="E2262" s="4">
        <v>3800</v>
      </c>
    </row>
    <row r="2263" spans="1:5">
      <c r="A2263" s="2" t="s">
        <v>296</v>
      </c>
      <c r="B2263" s="2" t="str">
        <f>"287408"</f>
        <v>287408</v>
      </c>
      <c r="C2263" s="2" t="str">
        <f>"287408"</f>
        <v>287408</v>
      </c>
      <c r="D2263" s="2" t="s">
        <v>3030</v>
      </c>
      <c r="E2263" s="4">
        <v>9700</v>
      </c>
    </row>
    <row r="2264" spans="1:5">
      <c r="A2264" s="2" t="s">
        <v>296</v>
      </c>
      <c r="B2264" s="2" t="str">
        <f>"287409"</f>
        <v>287409</v>
      </c>
      <c r="C2264" s="2" t="str">
        <f>"287409"</f>
        <v>287409</v>
      </c>
      <c r="D2264" s="2" t="s">
        <v>3031</v>
      </c>
      <c r="E2264" s="4">
        <v>8800</v>
      </c>
    </row>
    <row r="2265" spans="1:5">
      <c r="A2265" s="2" t="s">
        <v>296</v>
      </c>
      <c r="B2265" s="2" t="str">
        <f>"78180-35040"</f>
        <v>78180-35040</v>
      </c>
      <c r="C2265" s="2" t="str">
        <f>"35040"</f>
        <v>35040</v>
      </c>
      <c r="D2265" s="2" t="s">
        <v>3032</v>
      </c>
      <c r="E2265" s="4">
        <v>6500</v>
      </c>
    </row>
    <row r="2266" spans="1:5">
      <c r="A2266" s="2" t="s">
        <v>296</v>
      </c>
      <c r="B2266" s="2" t="str">
        <f>"287265"</f>
        <v>287265</v>
      </c>
      <c r="C2266" s="2" t="str">
        <f>"287265"</f>
        <v>287265</v>
      </c>
      <c r="D2266" s="2" t="s">
        <v>3033</v>
      </c>
      <c r="E2266" s="4">
        <v>29500</v>
      </c>
    </row>
    <row r="2267" spans="1:5">
      <c r="A2267" s="2" t="s">
        <v>296</v>
      </c>
      <c r="B2267" s="2" t="str">
        <f>"18410"</f>
        <v>18410</v>
      </c>
      <c r="C2267" s="2" t="str">
        <f>"18410"</f>
        <v>18410</v>
      </c>
      <c r="D2267" s="2" t="s">
        <v>3034</v>
      </c>
      <c r="E2267" s="4">
        <v>4500</v>
      </c>
    </row>
    <row r="2268" spans="1:5">
      <c r="A2268" s="2" t="s">
        <v>296</v>
      </c>
      <c r="B2268" s="2" t="str">
        <f>"18410-03W00"</f>
        <v>18410-03W00</v>
      </c>
      <c r="C2268" s="2" t="str">
        <f>"18410-03W00"</f>
        <v>18410-03W00</v>
      </c>
      <c r="D2268" s="2" t="s">
        <v>3035</v>
      </c>
      <c r="E2268" s="4">
        <v>4500</v>
      </c>
    </row>
    <row r="2269" spans="1:5">
      <c r="A2269" s="2" t="s">
        <v>296</v>
      </c>
      <c r="B2269" s="2" t="str">
        <f>"050570"</f>
        <v>050570</v>
      </c>
      <c r="C2269" s="2" t="str">
        <f>"050570"</f>
        <v>050570</v>
      </c>
      <c r="D2269" s="2" t="s">
        <v>3036</v>
      </c>
      <c r="E2269" s="4">
        <v>12400</v>
      </c>
    </row>
    <row r="2270" spans="1:5">
      <c r="A2270" s="2" t="s">
        <v>296</v>
      </c>
      <c r="B2270" s="2" t="s">
        <v>3037</v>
      </c>
      <c r="C2270" s="2" t="s">
        <v>3037</v>
      </c>
      <c r="D2270" s="2" t="s">
        <v>3038</v>
      </c>
      <c r="E2270" s="4">
        <v>6000</v>
      </c>
    </row>
    <row r="2271" spans="1:5">
      <c r="A2271" s="2" t="s">
        <v>296</v>
      </c>
      <c r="B2271" s="2" t="str">
        <f>"280563"</f>
        <v>280563</v>
      </c>
      <c r="C2271" s="2" t="str">
        <f>"280563"</f>
        <v>280563</v>
      </c>
      <c r="D2271" s="2" t="s">
        <v>3039</v>
      </c>
      <c r="E2271" s="4">
        <v>38000</v>
      </c>
    </row>
    <row r="2272" spans="1:5">
      <c r="A2272" s="2" t="s">
        <v>296</v>
      </c>
      <c r="B2272" s="2" t="str">
        <f>"1002430"</f>
        <v>1002430</v>
      </c>
      <c r="C2272" s="2" t="str">
        <f>"1002430"</f>
        <v>1002430</v>
      </c>
      <c r="D2272" s="2" t="s">
        <v>3040</v>
      </c>
      <c r="E2272" s="4">
        <v>45815</v>
      </c>
    </row>
    <row r="2273" spans="1:5">
      <c r="A2273" s="2" t="s">
        <v>296</v>
      </c>
      <c r="B2273" s="2" t="str">
        <f>"8038210"</f>
        <v>8038210</v>
      </c>
      <c r="C2273" s="2" t="str">
        <f>"8038210"</f>
        <v>8038210</v>
      </c>
      <c r="D2273" s="2" t="s">
        <v>3041</v>
      </c>
      <c r="E2273" s="4">
        <v>5401</v>
      </c>
    </row>
    <row r="2274" spans="1:5">
      <c r="A2274" s="2" t="s">
        <v>296</v>
      </c>
      <c r="B2274" s="2" t="str">
        <f>"8038215"</f>
        <v>8038215</v>
      </c>
      <c r="C2274" s="2" t="str">
        <f>"8038215"</f>
        <v>8038215</v>
      </c>
      <c r="D2274" s="2" t="s">
        <v>3042</v>
      </c>
      <c r="E2274" s="4">
        <v>5712</v>
      </c>
    </row>
    <row r="2275" spans="1:5">
      <c r="A2275" s="2" t="s">
        <v>296</v>
      </c>
      <c r="B2275" s="2" t="str">
        <f>"4342-051"</f>
        <v>4342-051</v>
      </c>
      <c r="C2275" s="2" t="str">
        <f>"4342-051"</f>
        <v>4342-051</v>
      </c>
      <c r="D2275" s="2" t="s">
        <v>3043</v>
      </c>
      <c r="E2275" s="4">
        <v>10591</v>
      </c>
    </row>
    <row r="2276" spans="1:5">
      <c r="A2276" s="2" t="s">
        <v>296</v>
      </c>
      <c r="B2276" s="2" t="str">
        <f>"050203"</f>
        <v>050203</v>
      </c>
      <c r="C2276" s="2" t="str">
        <f>"050203"</f>
        <v>050203</v>
      </c>
      <c r="D2276" s="2" t="s">
        <v>3044</v>
      </c>
      <c r="E2276" s="4">
        <v>4500</v>
      </c>
    </row>
    <row r="2277" spans="1:5">
      <c r="A2277" s="2" t="s">
        <v>296</v>
      </c>
      <c r="B2277" s="2" t="str">
        <f>"286482"</f>
        <v>286482</v>
      </c>
      <c r="C2277" s="2" t="str">
        <f>"286482"</f>
        <v>286482</v>
      </c>
      <c r="D2277" s="2" t="s">
        <v>3045</v>
      </c>
      <c r="E2277" s="4">
        <v>9500</v>
      </c>
    </row>
    <row r="2278" spans="1:5">
      <c r="A2278" s="2" t="s">
        <v>296</v>
      </c>
      <c r="B2278" s="2" t="s">
        <v>3046</v>
      </c>
      <c r="C2278" s="2" t="s">
        <v>3046</v>
      </c>
      <c r="D2278" s="2" t="s">
        <v>3047</v>
      </c>
      <c r="E2278" s="4">
        <v>8925</v>
      </c>
    </row>
    <row r="2279" spans="1:5">
      <c r="A2279" s="2" t="s">
        <v>296</v>
      </c>
      <c r="B2279" s="2" t="str">
        <f>"08W12"</f>
        <v>08W12</v>
      </c>
      <c r="C2279" s="2" t="str">
        <f>"08W12"</f>
        <v>08W12</v>
      </c>
      <c r="D2279" s="2" t="s">
        <v>3048</v>
      </c>
      <c r="E2279" s="4">
        <v>4500</v>
      </c>
    </row>
    <row r="2280" spans="1:5">
      <c r="A2280" s="2" t="s">
        <v>296</v>
      </c>
      <c r="B2280" s="2" t="str">
        <f>"119247"</f>
        <v>119247</v>
      </c>
      <c r="C2280" s="2" t="str">
        <f>"119247"</f>
        <v>119247</v>
      </c>
      <c r="D2280" s="2" t="s">
        <v>3049</v>
      </c>
      <c r="E2280" s="4">
        <v>134171</v>
      </c>
    </row>
    <row r="2281" spans="1:5">
      <c r="A2281" s="2" t="s">
        <v>296</v>
      </c>
      <c r="B2281" s="2" t="str">
        <f>"0150947"</f>
        <v>0150947</v>
      </c>
      <c r="C2281" s="2" t="str">
        <f>"0150947"</f>
        <v>0150947</v>
      </c>
      <c r="D2281" s="2" t="s">
        <v>3050</v>
      </c>
      <c r="E2281" s="4">
        <v>4900</v>
      </c>
    </row>
    <row r="2282" spans="1:5">
      <c r="A2282" s="2" t="s">
        <v>296</v>
      </c>
      <c r="B2282" s="2" t="str">
        <f>"0119247"</f>
        <v>0119247</v>
      </c>
      <c r="C2282" s="2" t="str">
        <f>"0119247"</f>
        <v>0119247</v>
      </c>
      <c r="D2282" s="2" t="s">
        <v>3051</v>
      </c>
      <c r="E2282" s="4">
        <v>4500</v>
      </c>
    </row>
    <row r="2283" spans="1:5">
      <c r="A2283" s="2" t="s">
        <v>296</v>
      </c>
      <c r="B2283" s="2" t="str">
        <f>"1527-2224"</f>
        <v>1527-2224</v>
      </c>
      <c r="C2283" s="2" t="str">
        <f>"1527-2224"</f>
        <v>1527-2224</v>
      </c>
      <c r="D2283" s="2" t="s">
        <v>3052</v>
      </c>
      <c r="E2283" s="4">
        <v>4800</v>
      </c>
    </row>
    <row r="2284" spans="1:5">
      <c r="A2284" s="2" t="s">
        <v>296</v>
      </c>
      <c r="B2284" s="2" t="str">
        <f>"1527-2221"</f>
        <v>1527-2221</v>
      </c>
      <c r="C2284" s="2" t="str">
        <f>"1527-2221"</f>
        <v>1527-2221</v>
      </c>
      <c r="D2284" s="2" t="s">
        <v>3053</v>
      </c>
      <c r="E2284" s="4">
        <v>4500</v>
      </c>
    </row>
    <row r="2285" spans="1:5">
      <c r="A2285" s="2" t="s">
        <v>296</v>
      </c>
      <c r="B2285" s="2" t="str">
        <f>"286737"</f>
        <v>286737</v>
      </c>
      <c r="C2285" s="2" t="str">
        <f>"286737"</f>
        <v>286737</v>
      </c>
      <c r="D2285" s="2" t="s">
        <v>3054</v>
      </c>
      <c r="E2285" s="4">
        <v>7259</v>
      </c>
    </row>
    <row r="2286" spans="1:5">
      <c r="A2286" s="2" t="s">
        <v>296</v>
      </c>
      <c r="B2286" s="2" t="str">
        <f>"286731"</f>
        <v>286731</v>
      </c>
      <c r="C2286" s="2" t="str">
        <f>"286731"</f>
        <v>286731</v>
      </c>
      <c r="D2286" s="2" t="s">
        <v>3055</v>
      </c>
      <c r="E2286" s="4">
        <v>8800</v>
      </c>
    </row>
    <row r="2287" spans="1:5">
      <c r="A2287" s="2" t="s">
        <v>296</v>
      </c>
      <c r="B2287" s="2" t="str">
        <f>"287052"</f>
        <v>287052</v>
      </c>
      <c r="C2287" s="2" t="str">
        <f>"287052"</f>
        <v>287052</v>
      </c>
      <c r="D2287" s="2" t="s">
        <v>3056</v>
      </c>
      <c r="E2287" s="4">
        <v>7500</v>
      </c>
    </row>
    <row r="2288" spans="1:5">
      <c r="A2288" s="2" t="s">
        <v>296</v>
      </c>
      <c r="B2288" s="2" t="str">
        <f>"2027-5552"</f>
        <v>2027-5552</v>
      </c>
      <c r="C2288" s="2" t="str">
        <f>"2027-5552"</f>
        <v>2027-5552</v>
      </c>
      <c r="D2288" s="2" t="s">
        <v>3057</v>
      </c>
      <c r="E2288" s="4">
        <v>4300</v>
      </c>
    </row>
    <row r="2289" spans="1:5">
      <c r="A2289" s="2" t="s">
        <v>296</v>
      </c>
      <c r="B2289" s="2" t="str">
        <f>"286736"</f>
        <v>286736</v>
      </c>
      <c r="C2289" s="2" t="str">
        <f>"286736"</f>
        <v>286736</v>
      </c>
      <c r="D2289" s="2" t="s">
        <v>3057</v>
      </c>
      <c r="E2289" s="4">
        <v>9500</v>
      </c>
    </row>
    <row r="2290" spans="1:5">
      <c r="A2290" s="2" t="s">
        <v>296</v>
      </c>
      <c r="B2290" s="2" t="str">
        <f>"172088"</f>
        <v>172088</v>
      </c>
      <c r="C2290" s="2" t="str">
        <f>"172088"</f>
        <v>172088</v>
      </c>
      <c r="D2290" s="2" t="s">
        <v>3058</v>
      </c>
      <c r="E2290" s="4">
        <v>3000</v>
      </c>
    </row>
    <row r="2291" spans="1:5">
      <c r="A2291" s="2" t="s">
        <v>296</v>
      </c>
      <c r="B2291" s="2" t="str">
        <f>"051195"</f>
        <v>051195</v>
      </c>
      <c r="C2291" s="2" t="str">
        <f>"051195"</f>
        <v>051195</v>
      </c>
      <c r="D2291" s="2" t="s">
        <v>3059</v>
      </c>
      <c r="E2291" s="2">
        <v>350</v>
      </c>
    </row>
    <row r="2292" spans="1:5">
      <c r="A2292" s="2" t="s">
        <v>296</v>
      </c>
      <c r="B2292" s="2" t="str">
        <f>"051196"</f>
        <v>051196</v>
      </c>
      <c r="C2292" s="2" t="str">
        <f>"051196"</f>
        <v>051196</v>
      </c>
      <c r="D2292" s="2" t="s">
        <v>3060</v>
      </c>
      <c r="E2292" s="2">
        <v>370</v>
      </c>
    </row>
    <row r="2293" spans="1:5">
      <c r="A2293" s="2" t="s">
        <v>296</v>
      </c>
      <c r="B2293" s="2" t="str">
        <f>"0005601"</f>
        <v>0005601</v>
      </c>
      <c r="C2293" s="2" t="str">
        <f>"0005601"</f>
        <v>0005601</v>
      </c>
      <c r="D2293" s="2" t="s">
        <v>3061</v>
      </c>
      <c r="E2293" s="4">
        <v>18700</v>
      </c>
    </row>
    <row r="2294" spans="1:5">
      <c r="A2294" s="2" t="s">
        <v>296</v>
      </c>
      <c r="B2294" s="2" t="str">
        <f>"004997"</f>
        <v>004997</v>
      </c>
      <c r="C2294" s="2" t="str">
        <f>"004997"</f>
        <v>004997</v>
      </c>
      <c r="D2294" s="2" t="s">
        <v>3062</v>
      </c>
      <c r="E2294" s="4">
        <v>5900</v>
      </c>
    </row>
    <row r="2295" spans="1:5">
      <c r="A2295" s="2" t="s">
        <v>296</v>
      </c>
      <c r="B2295" s="2" t="str">
        <f>"040640003"</f>
        <v>040640003</v>
      </c>
      <c r="C2295" s="2" t="str">
        <f>"040640003"</f>
        <v>040640003</v>
      </c>
      <c r="D2295" s="2" t="s">
        <v>3063</v>
      </c>
      <c r="E2295" s="4">
        <v>6100</v>
      </c>
    </row>
    <row r="2296" spans="1:5">
      <c r="A2296" s="2" t="s">
        <v>296</v>
      </c>
      <c r="B2296" s="2" t="str">
        <f>"01010237"</f>
        <v>01010237</v>
      </c>
      <c r="C2296" s="2" t="str">
        <f>"01010237"</f>
        <v>01010237</v>
      </c>
      <c r="D2296" s="2" t="s">
        <v>3064</v>
      </c>
      <c r="E2296" s="4">
        <v>11500</v>
      </c>
    </row>
    <row r="2297" spans="1:5">
      <c r="A2297" s="2" t="s">
        <v>296</v>
      </c>
      <c r="B2297" s="2" t="str">
        <f>"010640114"</f>
        <v>010640114</v>
      </c>
      <c r="C2297" s="2" t="str">
        <f>"010640114"</f>
        <v>010640114</v>
      </c>
      <c r="D2297" s="2" t="s">
        <v>3065</v>
      </c>
      <c r="E2297" s="4">
        <v>18700</v>
      </c>
    </row>
    <row r="2298" spans="1:5">
      <c r="A2298" s="2" t="s">
        <v>296</v>
      </c>
      <c r="B2298" s="2" t="str">
        <f>"0010237"</f>
        <v>0010237</v>
      </c>
      <c r="C2298" s="2" t="str">
        <f>"0010237"</f>
        <v>0010237</v>
      </c>
      <c r="D2298" s="2" t="s">
        <v>3066</v>
      </c>
      <c r="E2298" s="4">
        <v>16000</v>
      </c>
    </row>
    <row r="2299" spans="1:5">
      <c r="A2299" s="2" t="s">
        <v>296</v>
      </c>
      <c r="B2299" s="2" t="str">
        <f>"0018927"</f>
        <v>0018927</v>
      </c>
      <c r="C2299" s="2" t="str">
        <f>"0018927"</f>
        <v>0018927</v>
      </c>
      <c r="D2299" s="2" t="s">
        <v>3067</v>
      </c>
      <c r="E2299" s="4">
        <v>9700</v>
      </c>
    </row>
    <row r="2300" spans="1:5">
      <c r="A2300" s="2" t="s">
        <v>296</v>
      </c>
      <c r="B2300" s="2" t="str">
        <f>"020640323"</f>
        <v>020640323</v>
      </c>
      <c r="C2300" s="2" t="str">
        <f>"020640323"</f>
        <v>020640323</v>
      </c>
      <c r="D2300" s="2" t="s">
        <v>3068</v>
      </c>
      <c r="E2300" s="4">
        <v>6100</v>
      </c>
    </row>
    <row r="2301" spans="1:5">
      <c r="A2301" s="2" t="s">
        <v>296</v>
      </c>
      <c r="B2301" s="2" t="str">
        <f>"9942795"</f>
        <v>9942795</v>
      </c>
      <c r="C2301" s="2" t="str">
        <f>"9942795"</f>
        <v>9942795</v>
      </c>
      <c r="D2301" s="2" t="s">
        <v>3069</v>
      </c>
      <c r="E2301" s="4">
        <v>8800</v>
      </c>
    </row>
    <row r="2302" spans="1:5">
      <c r="A2302" s="2" t="s">
        <v>296</v>
      </c>
      <c r="B2302" s="2" t="str">
        <f>"0001175"</f>
        <v>0001175</v>
      </c>
      <c r="C2302" s="2" t="str">
        <f>"0001175"</f>
        <v>0001175</v>
      </c>
      <c r="D2302" s="2" t="s">
        <v>3070</v>
      </c>
      <c r="E2302" s="4">
        <v>18700</v>
      </c>
    </row>
    <row r="2303" spans="1:5">
      <c r="A2303" s="2" t="s">
        <v>296</v>
      </c>
      <c r="B2303" s="2" t="str">
        <f>"9953010"</f>
        <v>9953010</v>
      </c>
      <c r="C2303" s="2" t="str">
        <f>"9953010"</f>
        <v>9953010</v>
      </c>
      <c r="D2303" s="2" t="s">
        <v>3071</v>
      </c>
      <c r="E2303" s="4">
        <v>6100</v>
      </c>
    </row>
    <row r="2304" spans="1:5">
      <c r="A2304" s="2" t="s">
        <v>296</v>
      </c>
      <c r="B2304" s="2" t="str">
        <f>"0109967"</f>
        <v>0109967</v>
      </c>
      <c r="C2304" s="2" t="str">
        <f>"0109967"</f>
        <v>0109967</v>
      </c>
      <c r="D2304" s="2" t="s">
        <v>3072</v>
      </c>
      <c r="E2304" s="4">
        <v>6100</v>
      </c>
    </row>
    <row r="2305" spans="1:5">
      <c r="A2305" s="2" t="s">
        <v>296</v>
      </c>
      <c r="B2305" s="2" t="str">
        <f>"0005599"</f>
        <v>0005599</v>
      </c>
      <c r="C2305" s="2" t="str">
        <f>"0005599"</f>
        <v>0005599</v>
      </c>
      <c r="D2305" s="2" t="s">
        <v>3073</v>
      </c>
      <c r="E2305" s="4">
        <v>9900</v>
      </c>
    </row>
    <row r="2306" spans="1:5">
      <c r="A2306" s="2" t="s">
        <v>296</v>
      </c>
      <c r="B2306" s="2" t="str">
        <f>"000426015-5"</f>
        <v>000426015-5</v>
      </c>
      <c r="C2306" s="2" t="str">
        <f>"000426015-5"</f>
        <v>000426015-5</v>
      </c>
      <c r="D2306" s="2" t="s">
        <v>3074</v>
      </c>
      <c r="E2306" s="4">
        <v>18600</v>
      </c>
    </row>
    <row r="2307" spans="1:5">
      <c r="A2307" s="2" t="s">
        <v>296</v>
      </c>
      <c r="B2307" s="2" t="str">
        <f>"23710-60G20"</f>
        <v>23710-60G20</v>
      </c>
      <c r="C2307" s="2" t="str">
        <f>"020640292"</f>
        <v>020640292</v>
      </c>
      <c r="D2307" s="2" t="s">
        <v>3075</v>
      </c>
      <c r="E2307" s="4">
        <v>9900</v>
      </c>
    </row>
    <row r="2308" spans="1:5">
      <c r="A2308" s="2" t="s">
        <v>296</v>
      </c>
      <c r="B2308" s="2" t="str">
        <f>"004463"</f>
        <v>004463</v>
      </c>
      <c r="C2308" s="2" t="str">
        <f>"004463"</f>
        <v>004463</v>
      </c>
      <c r="D2308" s="2" t="s">
        <v>3076</v>
      </c>
      <c r="E2308" s="4">
        <v>8900</v>
      </c>
    </row>
    <row r="2309" spans="1:5">
      <c r="A2309" s="2" t="s">
        <v>296</v>
      </c>
      <c r="B2309" s="2" t="str">
        <f>"9953016"</f>
        <v>9953016</v>
      </c>
      <c r="C2309" s="2" t="str">
        <f>"9953016"</f>
        <v>9953016</v>
      </c>
      <c r="D2309" s="2" t="s">
        <v>3077</v>
      </c>
      <c r="E2309" s="4">
        <v>6100</v>
      </c>
    </row>
    <row r="2310" spans="1:5">
      <c r="A2310" s="2" t="s">
        <v>296</v>
      </c>
      <c r="B2310" s="2" t="str">
        <f>"050386"</f>
        <v>050386</v>
      </c>
      <c r="C2310" s="2" t="str">
        <f>"050386"</f>
        <v>050386</v>
      </c>
      <c r="D2310" s="2" t="s">
        <v>3078</v>
      </c>
      <c r="E2310" s="4">
        <v>34000</v>
      </c>
    </row>
    <row r="2311" spans="1:5">
      <c r="A2311" s="2" t="s">
        <v>296</v>
      </c>
      <c r="B2311" s="2" t="str">
        <f>"0002509"</f>
        <v>0002509</v>
      </c>
      <c r="C2311" s="2" t="str">
        <f>"0002509"</f>
        <v>0002509</v>
      </c>
      <c r="D2311" s="2" t="s">
        <v>3079</v>
      </c>
      <c r="E2311" s="4">
        <v>6100</v>
      </c>
    </row>
    <row r="2312" spans="1:5">
      <c r="A2312" s="2" t="s">
        <v>296</v>
      </c>
      <c r="B2312" s="2" t="str">
        <f>"0005206"</f>
        <v>0005206</v>
      </c>
      <c r="C2312" s="2" t="str">
        <f>"005206"</f>
        <v>005206</v>
      </c>
      <c r="D2312" s="2" t="s">
        <v>3079</v>
      </c>
      <c r="E2312" s="4">
        <v>8900</v>
      </c>
    </row>
    <row r="2313" spans="1:5">
      <c r="A2313" s="2" t="s">
        <v>296</v>
      </c>
      <c r="B2313" s="2" t="str">
        <f>"281117"</f>
        <v>281117</v>
      </c>
      <c r="C2313" s="2" t="str">
        <f>"281117"</f>
        <v>281117</v>
      </c>
      <c r="D2313" s="2" t="s">
        <v>3080</v>
      </c>
      <c r="E2313" s="4">
        <v>12900</v>
      </c>
    </row>
    <row r="2314" spans="1:5">
      <c r="A2314" s="2" t="s">
        <v>296</v>
      </c>
      <c r="B2314" s="2" t="str">
        <f>"0230301"</f>
        <v>0230301</v>
      </c>
      <c r="C2314" s="2" t="str">
        <f>"0230301"</f>
        <v>0230301</v>
      </c>
      <c r="D2314" s="2" t="s">
        <v>3081</v>
      </c>
      <c r="E2314" s="4">
        <v>14900</v>
      </c>
    </row>
    <row r="2315" spans="1:5">
      <c r="A2315" s="2" t="s">
        <v>296</v>
      </c>
      <c r="B2315" s="2" t="str">
        <f>"3027-2883"</f>
        <v>3027-2883</v>
      </c>
      <c r="C2315" s="2" t="str">
        <f>"3027-2883"</f>
        <v>3027-2883</v>
      </c>
      <c r="D2315" s="2" t="s">
        <v>3082</v>
      </c>
      <c r="E2315" s="4">
        <v>8330</v>
      </c>
    </row>
    <row r="2316" spans="1:5">
      <c r="A2316" s="2" t="s">
        <v>296</v>
      </c>
      <c r="B2316" s="2" t="str">
        <f>"020640102"</f>
        <v>020640102</v>
      </c>
      <c r="C2316" s="2" t="str">
        <f>"020640102"</f>
        <v>020640102</v>
      </c>
      <c r="D2316" s="2" t="s">
        <v>3083</v>
      </c>
      <c r="E2316" s="4">
        <v>8800</v>
      </c>
    </row>
    <row r="2317" spans="1:5">
      <c r="A2317" s="2" t="s">
        <v>296</v>
      </c>
      <c r="B2317" s="2" t="str">
        <f>"3027-2939"</f>
        <v>3027-2939</v>
      </c>
      <c r="C2317" s="2" t="str">
        <f>"3027-2939"</f>
        <v>3027-2939</v>
      </c>
      <c r="D2317" s="2" t="s">
        <v>3084</v>
      </c>
      <c r="E2317" s="4">
        <v>8330</v>
      </c>
    </row>
    <row r="2318" spans="1:5">
      <c r="A2318" s="2" t="s">
        <v>296</v>
      </c>
      <c r="B2318" s="2" t="s">
        <v>3085</v>
      </c>
      <c r="C2318" s="2" t="s">
        <v>3085</v>
      </c>
      <c r="D2318" s="2" t="s">
        <v>3084</v>
      </c>
      <c r="E2318" s="4">
        <v>9700</v>
      </c>
    </row>
    <row r="2319" spans="1:5">
      <c r="A2319" s="2" t="s">
        <v>296</v>
      </c>
      <c r="B2319" s="2" t="str">
        <f>"1000260"</f>
        <v>1000260</v>
      </c>
      <c r="C2319" s="2" t="str">
        <f>"1000260"</f>
        <v>1000260</v>
      </c>
      <c r="D2319" s="2" t="s">
        <v>3086</v>
      </c>
      <c r="E2319" s="4">
        <v>8800</v>
      </c>
    </row>
    <row r="2320" spans="1:5">
      <c r="A2320" s="2" t="s">
        <v>296</v>
      </c>
      <c r="B2320" s="2" t="str">
        <f>"1001940"</f>
        <v>1001940</v>
      </c>
      <c r="C2320" s="2" t="str">
        <f>"1001940"</f>
        <v>1001940</v>
      </c>
      <c r="D2320" s="2" t="s">
        <v>3087</v>
      </c>
      <c r="E2320" s="4">
        <v>9700</v>
      </c>
    </row>
    <row r="2321" spans="1:5">
      <c r="A2321" s="2" t="s">
        <v>296</v>
      </c>
      <c r="B2321" s="2" t="str">
        <f>"87519"</f>
        <v>87519</v>
      </c>
      <c r="C2321" s="2" t="str">
        <f>"87519"</f>
        <v>87519</v>
      </c>
      <c r="D2321" s="2" t="s">
        <v>3088</v>
      </c>
      <c r="E2321" s="4">
        <v>8925</v>
      </c>
    </row>
    <row r="2322" spans="1:5">
      <c r="A2322" s="2" t="s">
        <v>296</v>
      </c>
      <c r="B2322" s="2" t="str">
        <f>"260763"</f>
        <v>260763</v>
      </c>
      <c r="C2322" s="2" t="str">
        <f>"260763"</f>
        <v>260763</v>
      </c>
      <c r="D2322" s="2" t="s">
        <v>3089</v>
      </c>
      <c r="E2322" s="4">
        <v>7500</v>
      </c>
    </row>
    <row r="2323" spans="1:5">
      <c r="A2323" s="2" t="s">
        <v>296</v>
      </c>
      <c r="B2323" s="2" t="str">
        <f>"287489"</f>
        <v>287489</v>
      </c>
      <c r="C2323" s="2" t="str">
        <f>"287489"</f>
        <v>287489</v>
      </c>
      <c r="D2323" s="2" t="s">
        <v>3090</v>
      </c>
      <c r="E2323" s="4">
        <v>21182</v>
      </c>
    </row>
    <row r="2324" spans="1:5">
      <c r="A2324" s="2" t="s">
        <v>296</v>
      </c>
      <c r="B2324" s="2" t="str">
        <f>"005035"</f>
        <v>005035</v>
      </c>
      <c r="C2324" s="2" t="str">
        <f>"005035"</f>
        <v>005035</v>
      </c>
      <c r="D2324" s="2" t="s">
        <v>3091</v>
      </c>
      <c r="E2324" s="4">
        <v>8900</v>
      </c>
    </row>
    <row r="2325" spans="1:5">
      <c r="A2325" s="2" t="s">
        <v>296</v>
      </c>
      <c r="B2325" s="2" t="str">
        <f>"286007"</f>
        <v>286007</v>
      </c>
      <c r="C2325" s="2" t="str">
        <f>"286007"</f>
        <v>286007</v>
      </c>
      <c r="D2325" s="2" t="s">
        <v>3092</v>
      </c>
      <c r="E2325" s="4">
        <v>8300</v>
      </c>
    </row>
    <row r="2326" spans="1:5">
      <c r="A2326" s="2" t="s">
        <v>296</v>
      </c>
      <c r="B2326" s="2" t="str">
        <f>"181801"</f>
        <v>181801</v>
      </c>
      <c r="C2326" s="2" t="str">
        <f>"181801"</f>
        <v>181801</v>
      </c>
      <c r="D2326" s="2" t="s">
        <v>3093</v>
      </c>
      <c r="E2326" s="4">
        <v>1547</v>
      </c>
    </row>
    <row r="2327" spans="1:5">
      <c r="A2327" s="2" t="s">
        <v>296</v>
      </c>
      <c r="B2327" s="2" t="s">
        <v>3094</v>
      </c>
      <c r="C2327" s="2" t="s">
        <v>3094</v>
      </c>
      <c r="D2327" s="2" t="s">
        <v>3095</v>
      </c>
      <c r="E2327" s="4">
        <v>7735</v>
      </c>
    </row>
    <row r="2328" spans="1:5">
      <c r="A2328" s="2" t="s">
        <v>296</v>
      </c>
      <c r="B2328" s="2" t="s">
        <v>3096</v>
      </c>
      <c r="C2328" s="2" t="s">
        <v>3096</v>
      </c>
      <c r="D2328" s="2" t="s">
        <v>3097</v>
      </c>
      <c r="E2328" s="4">
        <v>4800</v>
      </c>
    </row>
    <row r="2329" spans="1:5">
      <c r="A2329" s="2" t="s">
        <v>296</v>
      </c>
      <c r="B2329" s="2" t="str">
        <f>"30670-05B10"</f>
        <v>30670-05B10</v>
      </c>
      <c r="C2329" s="2" t="str">
        <f>"30670-05B10"</f>
        <v>30670-05B10</v>
      </c>
      <c r="D2329" s="2" t="s">
        <v>3098</v>
      </c>
      <c r="E2329" s="4">
        <v>6800</v>
      </c>
    </row>
    <row r="2330" spans="1:5">
      <c r="A2330" s="2" t="s">
        <v>296</v>
      </c>
      <c r="B2330" s="2" t="str">
        <f>"0005600"</f>
        <v>0005600</v>
      </c>
      <c r="C2330" s="2" t="str">
        <f>"0005600"</f>
        <v>0005600</v>
      </c>
      <c r="D2330" s="2" t="s">
        <v>3099</v>
      </c>
      <c r="E2330" s="4">
        <v>7000</v>
      </c>
    </row>
    <row r="2331" spans="1:5">
      <c r="A2331" s="2" t="s">
        <v>296</v>
      </c>
      <c r="B2331" s="2" t="str">
        <f>"7502012144213"</f>
        <v>7502012144213</v>
      </c>
      <c r="C2331" s="2" t="str">
        <f>"0125347"</f>
        <v>0125347</v>
      </c>
      <c r="D2331" s="2" t="s">
        <v>3100</v>
      </c>
      <c r="E2331" s="4">
        <v>7000</v>
      </c>
    </row>
    <row r="2332" spans="1:5">
      <c r="A2332" s="2" t="s">
        <v>296</v>
      </c>
      <c r="B2332" s="2" t="s">
        <v>3101</v>
      </c>
      <c r="C2332" s="2" t="s">
        <v>3101</v>
      </c>
      <c r="D2332" s="2" t="s">
        <v>3102</v>
      </c>
      <c r="E2332" s="4">
        <v>16000</v>
      </c>
    </row>
    <row r="2333" spans="1:5">
      <c r="A2333" s="2" t="s">
        <v>296</v>
      </c>
      <c r="B2333" s="2" t="str">
        <f>"30770"</f>
        <v>30770</v>
      </c>
      <c r="C2333" s="2" t="str">
        <f>"30770"</f>
        <v>30770</v>
      </c>
      <c r="D2333" s="2" t="s">
        <v>3103</v>
      </c>
      <c r="E2333" s="4">
        <v>10600</v>
      </c>
    </row>
    <row r="2334" spans="1:5">
      <c r="A2334" s="2" t="s">
        <v>296</v>
      </c>
      <c r="B2334" s="2" t="str">
        <f>"050633"</f>
        <v>050633</v>
      </c>
      <c r="C2334" s="2" t="str">
        <f>"050633"</f>
        <v>050633</v>
      </c>
      <c r="D2334" s="2" t="s">
        <v>3104</v>
      </c>
      <c r="E2334" s="4">
        <v>11500</v>
      </c>
    </row>
    <row r="2335" spans="1:5">
      <c r="A2335" s="2" t="s">
        <v>296</v>
      </c>
      <c r="B2335" s="2" t="str">
        <f>"050603"</f>
        <v>050603</v>
      </c>
      <c r="C2335" s="2" t="str">
        <f>"050603"</f>
        <v>050603</v>
      </c>
      <c r="D2335" s="2" t="s">
        <v>3105</v>
      </c>
      <c r="E2335" s="4">
        <v>10600</v>
      </c>
    </row>
    <row r="2336" spans="1:5">
      <c r="A2336" s="2" t="s">
        <v>296</v>
      </c>
      <c r="B2336" s="2" t="str">
        <f>"23710-85232"</f>
        <v>23710-85232</v>
      </c>
      <c r="C2336" s="2" t="str">
        <f>"010640185"</f>
        <v>010640185</v>
      </c>
      <c r="D2336" s="2" t="s">
        <v>3106</v>
      </c>
      <c r="E2336" s="4">
        <v>14500</v>
      </c>
    </row>
    <row r="2337" spans="1:5">
      <c r="A2337" s="2" t="s">
        <v>296</v>
      </c>
      <c r="B2337" s="2" t="str">
        <f>"0030249"</f>
        <v>0030249</v>
      </c>
      <c r="C2337" s="2" t="str">
        <f>"23710-84161"</f>
        <v>23710-84161</v>
      </c>
      <c r="D2337" s="2" t="s">
        <v>3107</v>
      </c>
      <c r="E2337" s="4">
        <v>11500</v>
      </c>
    </row>
    <row r="2338" spans="1:5">
      <c r="A2338" s="2" t="s">
        <v>296</v>
      </c>
      <c r="B2338" s="2" t="str">
        <f>"285994"</f>
        <v>285994</v>
      </c>
      <c r="C2338" s="2" t="str">
        <f>"285994"</f>
        <v>285994</v>
      </c>
      <c r="D2338" s="2" t="s">
        <v>3108</v>
      </c>
      <c r="E2338" s="4">
        <v>28600</v>
      </c>
    </row>
    <row r="2339" spans="1:5">
      <c r="A2339" s="2" t="s">
        <v>296</v>
      </c>
      <c r="B2339" s="2" t="str">
        <f>"23710-78AD2"</f>
        <v>23710-78AD2</v>
      </c>
      <c r="C2339" s="2" t="str">
        <f>"23710-78AD2"</f>
        <v>23710-78AD2</v>
      </c>
      <c r="D2339" s="2" t="s">
        <v>3109</v>
      </c>
      <c r="E2339" s="4">
        <v>32200</v>
      </c>
    </row>
    <row r="2340" spans="1:5">
      <c r="A2340" s="2" t="s">
        <v>296</v>
      </c>
      <c r="B2340" s="2" t="str">
        <f>"010640037"</f>
        <v>010640037</v>
      </c>
      <c r="C2340" s="2" t="str">
        <f>"010640037"</f>
        <v>010640037</v>
      </c>
      <c r="D2340" s="2" t="s">
        <v>3110</v>
      </c>
      <c r="E2340" s="4">
        <v>18900</v>
      </c>
    </row>
    <row r="2341" spans="1:5">
      <c r="A2341" s="2" t="s">
        <v>296</v>
      </c>
      <c r="B2341" s="2" t="str">
        <f>"010640038"</f>
        <v>010640038</v>
      </c>
      <c r="C2341" s="2" t="str">
        <f>"010640038"</f>
        <v>010640038</v>
      </c>
      <c r="D2341" s="2" t="s">
        <v>3111</v>
      </c>
      <c r="E2341" s="4">
        <v>18700</v>
      </c>
    </row>
    <row r="2342" spans="1:5">
      <c r="A2342" s="2" t="s">
        <v>296</v>
      </c>
      <c r="B2342" s="2" t="str">
        <f>"792223"</f>
        <v>792223</v>
      </c>
      <c r="C2342" s="2" t="str">
        <f>"792223"</f>
        <v>792223</v>
      </c>
      <c r="D2342" s="2" t="s">
        <v>3112</v>
      </c>
      <c r="E2342" s="4">
        <v>8330</v>
      </c>
    </row>
    <row r="2343" spans="1:5">
      <c r="A2343" s="2" t="s">
        <v>296</v>
      </c>
      <c r="B2343" s="2" t="str">
        <f>"23710-60A10"</f>
        <v>23710-60A10</v>
      </c>
      <c r="C2343" s="2" t="str">
        <f>"23710-60A10"</f>
        <v>23710-60A10</v>
      </c>
      <c r="D2343" s="2" t="s">
        <v>3113</v>
      </c>
      <c r="E2343" s="4">
        <v>15100</v>
      </c>
    </row>
    <row r="2344" spans="1:5">
      <c r="A2344" s="2" t="s">
        <v>296</v>
      </c>
      <c r="B2344" s="2" t="str">
        <f>"0017435"</f>
        <v>0017435</v>
      </c>
      <c r="C2344" s="2" t="str">
        <f>"0017435"</f>
        <v>0017435</v>
      </c>
      <c r="D2344" s="2" t="s">
        <v>3114</v>
      </c>
      <c r="E2344" s="4">
        <v>11500</v>
      </c>
    </row>
    <row r="2345" spans="1:5">
      <c r="A2345" s="2" t="s">
        <v>296</v>
      </c>
      <c r="B2345" s="2" t="str">
        <f>"9943636"</f>
        <v>9943636</v>
      </c>
      <c r="C2345" s="2" t="str">
        <f>"9943636"</f>
        <v>9943636</v>
      </c>
      <c r="D2345" s="2" t="s">
        <v>3115</v>
      </c>
      <c r="E2345" s="4">
        <v>8800</v>
      </c>
    </row>
    <row r="2346" spans="1:5">
      <c r="A2346" s="2" t="s">
        <v>296</v>
      </c>
      <c r="B2346" s="2" t="str">
        <f>"050635"</f>
        <v>050635</v>
      </c>
      <c r="C2346" s="2" t="str">
        <f>"050635"</f>
        <v>050635</v>
      </c>
      <c r="D2346" s="2" t="s">
        <v>3116</v>
      </c>
      <c r="E2346" s="4">
        <v>28900</v>
      </c>
    </row>
    <row r="2347" spans="1:5">
      <c r="A2347" s="2" t="s">
        <v>296</v>
      </c>
      <c r="B2347" s="2" t="str">
        <f>"285359"</f>
        <v>285359</v>
      </c>
      <c r="C2347" s="2" t="str">
        <f>"285359"</f>
        <v>285359</v>
      </c>
      <c r="D2347" s="2" t="s">
        <v>3117</v>
      </c>
      <c r="E2347" s="4">
        <v>9900</v>
      </c>
    </row>
    <row r="2348" spans="1:5">
      <c r="A2348" s="2" t="s">
        <v>296</v>
      </c>
      <c r="B2348" s="2" t="str">
        <f>"31340-19197"</f>
        <v>31340-19197</v>
      </c>
      <c r="C2348" s="2" t="str">
        <f>"31340-19197"</f>
        <v>31340-19197</v>
      </c>
      <c r="D2348" s="2" t="s">
        <v>3118</v>
      </c>
      <c r="E2348" s="4">
        <v>7500</v>
      </c>
    </row>
    <row r="2349" spans="1:5">
      <c r="A2349" s="2" t="s">
        <v>296</v>
      </c>
      <c r="B2349" s="2" t="str">
        <f>"181808"</f>
        <v>181808</v>
      </c>
      <c r="C2349" s="2" t="str">
        <f>"181808"</f>
        <v>181808</v>
      </c>
      <c r="D2349" s="2" t="s">
        <v>3119</v>
      </c>
      <c r="E2349" s="4">
        <v>14875</v>
      </c>
    </row>
    <row r="2350" spans="1:5">
      <c r="A2350" s="2" t="s">
        <v>296</v>
      </c>
      <c r="B2350" s="2" t="str">
        <f>"286544"</f>
        <v>286544</v>
      </c>
      <c r="C2350" s="2" t="str">
        <f>"286544"</f>
        <v>286544</v>
      </c>
      <c r="D2350" s="2" t="s">
        <v>3120</v>
      </c>
      <c r="E2350" s="4">
        <v>45815</v>
      </c>
    </row>
    <row r="2351" spans="1:5">
      <c r="A2351" s="2" t="s">
        <v>296</v>
      </c>
      <c r="B2351" s="2" t="s">
        <v>3121</v>
      </c>
      <c r="C2351" s="2" t="s">
        <v>3121</v>
      </c>
      <c r="D2351" s="2" t="s">
        <v>3122</v>
      </c>
      <c r="E2351" s="4">
        <v>9700</v>
      </c>
    </row>
    <row r="2352" spans="1:5">
      <c r="A2352" s="2" t="s">
        <v>296</v>
      </c>
      <c r="B2352" s="2" t="str">
        <f>"286712"</f>
        <v>286712</v>
      </c>
      <c r="C2352" s="2" t="str">
        <f>"286712"</f>
        <v>286712</v>
      </c>
      <c r="D2352" s="2" t="s">
        <v>3123</v>
      </c>
      <c r="E2352" s="4">
        <v>15500</v>
      </c>
    </row>
    <row r="2353" spans="1:5">
      <c r="A2353" s="2" t="s">
        <v>296</v>
      </c>
      <c r="B2353" s="2" t="str">
        <f>"79710"</f>
        <v>79710</v>
      </c>
      <c r="C2353" s="2" t="str">
        <f>"79710"</f>
        <v>79710</v>
      </c>
      <c r="D2353" s="2" t="s">
        <v>3124</v>
      </c>
      <c r="E2353" s="4">
        <v>6500</v>
      </c>
    </row>
    <row r="2354" spans="1:5">
      <c r="A2354" s="2" t="s">
        <v>296</v>
      </c>
      <c r="B2354" s="2" t="str">
        <f>"286548"</f>
        <v>286548</v>
      </c>
      <c r="C2354" s="2" t="str">
        <f>"286548"</f>
        <v>286548</v>
      </c>
      <c r="D2354" s="2" t="s">
        <v>3125</v>
      </c>
      <c r="E2354" s="4">
        <v>18900</v>
      </c>
    </row>
    <row r="2355" spans="1:5">
      <c r="A2355" s="2" t="s">
        <v>296</v>
      </c>
      <c r="B2355" s="2" t="str">
        <f>"286545"</f>
        <v>286545</v>
      </c>
      <c r="C2355" s="2" t="str">
        <f>"286545"</f>
        <v>286545</v>
      </c>
      <c r="D2355" s="2" t="s">
        <v>3126</v>
      </c>
      <c r="E2355" s="4">
        <v>9000</v>
      </c>
    </row>
    <row r="2356" spans="1:5">
      <c r="A2356" s="2" t="s">
        <v>296</v>
      </c>
      <c r="B2356" s="2" t="str">
        <f>"281144"</f>
        <v>281144</v>
      </c>
      <c r="C2356" s="2" t="str">
        <f>"281144"</f>
        <v>281144</v>
      </c>
      <c r="D2356" s="2" t="s">
        <v>3127</v>
      </c>
      <c r="E2356" s="4">
        <v>14500</v>
      </c>
    </row>
    <row r="2357" spans="1:5">
      <c r="A2357" s="2" t="s">
        <v>296</v>
      </c>
      <c r="B2357" s="2" t="str">
        <f>"286547"</f>
        <v>286547</v>
      </c>
      <c r="C2357" s="2" t="str">
        <f>"286547"</f>
        <v>286547</v>
      </c>
      <c r="D2357" s="2" t="s">
        <v>3128</v>
      </c>
      <c r="E2357" s="4">
        <v>16065</v>
      </c>
    </row>
    <row r="2358" spans="1:5">
      <c r="A2358" s="2" t="s">
        <v>296</v>
      </c>
      <c r="B2358" s="2" t="str">
        <f>"050279"</f>
        <v>050279</v>
      </c>
      <c r="C2358" s="2" t="str">
        <f>"050279"</f>
        <v>050279</v>
      </c>
      <c r="D2358" s="2" t="s">
        <v>3129</v>
      </c>
      <c r="E2358" s="4">
        <v>8255</v>
      </c>
    </row>
    <row r="2359" spans="1:5">
      <c r="A2359" s="2" t="s">
        <v>296</v>
      </c>
      <c r="B2359" s="2" t="str">
        <f>"051843"</f>
        <v>051843</v>
      </c>
      <c r="C2359" s="2" t="str">
        <f>"051843"</f>
        <v>051843</v>
      </c>
      <c r="D2359" s="2" t="s">
        <v>3130</v>
      </c>
      <c r="E2359" s="2">
        <v>400</v>
      </c>
    </row>
    <row r="2360" spans="1:5">
      <c r="A2360" s="2" t="s">
        <v>296</v>
      </c>
      <c r="B2360" s="2" t="str">
        <f>"051844"</f>
        <v>051844</v>
      </c>
      <c r="C2360" s="2" t="str">
        <f>"051844"</f>
        <v>051844</v>
      </c>
      <c r="D2360" s="2" t="s">
        <v>3131</v>
      </c>
      <c r="E2360" s="2">
        <v>400</v>
      </c>
    </row>
    <row r="2361" spans="1:5">
      <c r="A2361" s="2" t="s">
        <v>296</v>
      </c>
      <c r="B2361" s="2" t="str">
        <f>"051841"</f>
        <v>051841</v>
      </c>
      <c r="C2361" s="2" t="str">
        <f>"051841"</f>
        <v>051841</v>
      </c>
      <c r="D2361" s="2" t="s">
        <v>3132</v>
      </c>
      <c r="E2361" s="2">
        <v>400</v>
      </c>
    </row>
    <row r="2362" spans="1:5">
      <c r="A2362" s="2" t="s">
        <v>296</v>
      </c>
      <c r="B2362" s="2" t="str">
        <f>"051842"</f>
        <v>051842</v>
      </c>
      <c r="C2362" s="2" t="str">
        <f>"051842"</f>
        <v>051842</v>
      </c>
      <c r="D2362" s="2" t="s">
        <v>3133</v>
      </c>
      <c r="E2362" s="2">
        <v>400</v>
      </c>
    </row>
    <row r="2363" spans="1:5">
      <c r="A2363" s="2" t="s">
        <v>296</v>
      </c>
      <c r="B2363" s="2" t="str">
        <f>"051889"</f>
        <v>051889</v>
      </c>
      <c r="C2363" s="2" t="str">
        <f>"051889"</f>
        <v>051889</v>
      </c>
      <c r="D2363" s="2" t="s">
        <v>3134</v>
      </c>
      <c r="E2363" s="2">
        <v>450</v>
      </c>
    </row>
    <row r="2364" spans="1:5">
      <c r="A2364" s="2" t="s">
        <v>296</v>
      </c>
      <c r="B2364" s="2" t="s">
        <v>3135</v>
      </c>
      <c r="C2364" s="2" t="str">
        <f>"51306"</f>
        <v>51306</v>
      </c>
      <c r="D2364" s="2" t="s">
        <v>3136</v>
      </c>
      <c r="E2364" s="4">
        <v>8800</v>
      </c>
    </row>
    <row r="2365" spans="1:5">
      <c r="A2365" s="2" t="s">
        <v>296</v>
      </c>
      <c r="B2365" s="2" t="s">
        <v>3137</v>
      </c>
      <c r="C2365" s="2" t="s">
        <v>3137</v>
      </c>
      <c r="D2365" s="2" t="s">
        <v>3138</v>
      </c>
      <c r="E2365" s="4">
        <v>15000</v>
      </c>
    </row>
    <row r="2366" spans="1:5">
      <c r="A2366" s="2" t="s">
        <v>296</v>
      </c>
      <c r="B2366" s="2" t="str">
        <f>"090980654"</f>
        <v>090980654</v>
      </c>
      <c r="C2366" s="2" t="str">
        <f>"090980654"</f>
        <v>090980654</v>
      </c>
      <c r="D2366" s="2" t="s">
        <v>3139</v>
      </c>
      <c r="E2366" s="4">
        <v>10600</v>
      </c>
    </row>
    <row r="2367" spans="1:5">
      <c r="A2367" s="2" t="s">
        <v>296</v>
      </c>
      <c r="B2367" s="2" t="str">
        <f>"090980768"</f>
        <v>090980768</v>
      </c>
      <c r="C2367" s="2" t="str">
        <f>"090980768"</f>
        <v>090980768</v>
      </c>
      <c r="D2367" s="2" t="s">
        <v>3140</v>
      </c>
      <c r="E2367" s="4">
        <v>16000</v>
      </c>
    </row>
    <row r="2368" spans="1:5">
      <c r="A2368" s="2" t="s">
        <v>296</v>
      </c>
      <c r="B2368" s="2" t="str">
        <f>"090980769"</f>
        <v>090980769</v>
      </c>
      <c r="C2368" s="2" t="str">
        <f>"090980769"</f>
        <v>090980769</v>
      </c>
      <c r="D2368" s="2" t="s">
        <v>3141</v>
      </c>
      <c r="E2368" s="4">
        <v>10500</v>
      </c>
    </row>
    <row r="2369" spans="1:5">
      <c r="A2369" s="2" t="s">
        <v>296</v>
      </c>
      <c r="B2369" s="2" t="str">
        <f>"0008621"</f>
        <v>0008621</v>
      </c>
      <c r="C2369" s="2" t="str">
        <f>"0008621"</f>
        <v>0008621</v>
      </c>
      <c r="D2369" s="2" t="s">
        <v>3142</v>
      </c>
      <c r="E2369" s="4">
        <v>28600</v>
      </c>
    </row>
    <row r="2370" spans="1:5">
      <c r="A2370" s="2" t="s">
        <v>296</v>
      </c>
      <c r="B2370" s="2" t="str">
        <f>"286663"</f>
        <v>286663</v>
      </c>
      <c r="C2370" s="2" t="str">
        <f>"286663"</f>
        <v>286663</v>
      </c>
      <c r="D2370" s="2" t="s">
        <v>3143</v>
      </c>
      <c r="E2370" s="4">
        <v>33915</v>
      </c>
    </row>
    <row r="2371" spans="1:5">
      <c r="A2371" s="2" t="s">
        <v>296</v>
      </c>
      <c r="B2371" s="2" t="str">
        <f>"050234"</f>
        <v>050234</v>
      </c>
      <c r="C2371" s="2" t="str">
        <f>"050234"</f>
        <v>050234</v>
      </c>
      <c r="D2371" s="2" t="s">
        <v>3144</v>
      </c>
      <c r="E2371" s="4">
        <v>39000</v>
      </c>
    </row>
    <row r="2372" spans="1:5">
      <c r="A2372" s="2" t="s">
        <v>296</v>
      </c>
      <c r="B2372" s="2" t="str">
        <f>"281334"</f>
        <v>281334</v>
      </c>
      <c r="C2372" s="2" t="str">
        <f>"281334"</f>
        <v>281334</v>
      </c>
      <c r="D2372" s="2" t="s">
        <v>3145</v>
      </c>
      <c r="E2372" s="4">
        <v>35000</v>
      </c>
    </row>
    <row r="2373" spans="1:5">
      <c r="A2373" s="2" t="s">
        <v>296</v>
      </c>
      <c r="B2373" s="2" t="str">
        <f>"269272"</f>
        <v>269272</v>
      </c>
      <c r="C2373" s="2" t="str">
        <f>"269272"</f>
        <v>269272</v>
      </c>
      <c r="D2373" s="2" t="s">
        <v>3146</v>
      </c>
      <c r="E2373" s="4">
        <v>9800</v>
      </c>
    </row>
    <row r="2374" spans="1:5">
      <c r="A2374" s="2" t="s">
        <v>296</v>
      </c>
      <c r="B2374" s="2" t="str">
        <f>"236267"</f>
        <v>236267</v>
      </c>
      <c r="C2374" s="2" t="str">
        <f>"236267"</f>
        <v>236267</v>
      </c>
      <c r="D2374" s="2" t="s">
        <v>3147</v>
      </c>
      <c r="E2374" s="4">
        <v>16800</v>
      </c>
    </row>
    <row r="2375" spans="1:5">
      <c r="A2375" s="2" t="s">
        <v>296</v>
      </c>
      <c r="B2375" s="2" t="str">
        <f>"160050"</f>
        <v>160050</v>
      </c>
      <c r="C2375" s="2" t="str">
        <f>"160050"</f>
        <v>160050</v>
      </c>
      <c r="D2375" s="2" t="s">
        <v>3148</v>
      </c>
      <c r="E2375" s="4">
        <v>5963</v>
      </c>
    </row>
    <row r="2376" spans="1:5">
      <c r="A2376" s="2" t="s">
        <v>296</v>
      </c>
      <c r="B2376" s="2" t="str">
        <f>"260268"</f>
        <v>260268</v>
      </c>
      <c r="C2376" s="2" t="str">
        <f>"260268"</f>
        <v>260268</v>
      </c>
      <c r="D2376" s="2" t="s">
        <v>3149</v>
      </c>
      <c r="E2376" s="4">
        <v>2700</v>
      </c>
    </row>
    <row r="2377" spans="1:5">
      <c r="A2377" s="2" t="s">
        <v>296</v>
      </c>
      <c r="B2377" s="2" t="str">
        <f>"269284"</f>
        <v>269284</v>
      </c>
      <c r="C2377" s="2" t="str">
        <f>"269284"</f>
        <v>269284</v>
      </c>
      <c r="D2377" s="2" t="s">
        <v>3150</v>
      </c>
      <c r="E2377" s="4">
        <v>18900</v>
      </c>
    </row>
    <row r="2378" spans="1:5">
      <c r="A2378" s="2" t="s">
        <v>296</v>
      </c>
      <c r="B2378" s="2" t="str">
        <f>"0724-080"</f>
        <v>0724-080</v>
      </c>
      <c r="C2378" s="2" t="str">
        <f>"0724-080"</f>
        <v>0724-080</v>
      </c>
      <c r="D2378" s="2" t="s">
        <v>3151</v>
      </c>
      <c r="E2378" s="4">
        <v>28000</v>
      </c>
    </row>
    <row r="2379" spans="1:5">
      <c r="A2379" s="2" t="s">
        <v>296</v>
      </c>
      <c r="B2379" s="2" t="str">
        <f>"010610168"</f>
        <v>010610168</v>
      </c>
      <c r="C2379" s="2" t="str">
        <f>"010610168"</f>
        <v>010610168</v>
      </c>
      <c r="D2379" s="2" t="s">
        <v>3152</v>
      </c>
      <c r="E2379" s="4">
        <v>9700</v>
      </c>
    </row>
    <row r="2380" spans="1:5">
      <c r="A2380" s="2" t="s">
        <v>296</v>
      </c>
      <c r="B2380" s="2" t="str">
        <f>"1021-3530"</f>
        <v>1021-3530</v>
      </c>
      <c r="C2380" s="2" t="str">
        <f>"1021-3530"</f>
        <v>1021-3530</v>
      </c>
      <c r="D2380" s="2" t="s">
        <v>3153</v>
      </c>
      <c r="E2380" s="4">
        <v>8800</v>
      </c>
    </row>
    <row r="2381" spans="1:5">
      <c r="A2381" s="2" t="s">
        <v>296</v>
      </c>
      <c r="B2381" s="2" t="s">
        <v>3154</v>
      </c>
      <c r="C2381" s="2" t="s">
        <v>3154</v>
      </c>
      <c r="D2381" s="2" t="s">
        <v>3155</v>
      </c>
      <c r="E2381" s="4">
        <v>18500</v>
      </c>
    </row>
    <row r="2382" spans="1:5">
      <c r="A2382" s="2" t="s">
        <v>296</v>
      </c>
      <c r="B2382" s="2" t="str">
        <f>"269295"</f>
        <v>269295</v>
      </c>
      <c r="C2382" s="2" t="str">
        <f>"269295"</f>
        <v>269295</v>
      </c>
      <c r="D2382" s="2" t="s">
        <v>3156</v>
      </c>
      <c r="E2382" s="4">
        <v>61000</v>
      </c>
    </row>
    <row r="2383" spans="1:5">
      <c r="A2383" s="2" t="s">
        <v>296</v>
      </c>
      <c r="B2383" s="2" t="str">
        <f>"5 000000 109296"</f>
        <v>5 000000 109296</v>
      </c>
      <c r="C2383" s="2" t="str">
        <f>"269283"</f>
        <v>269283</v>
      </c>
      <c r="D2383" s="2" t="s">
        <v>3157</v>
      </c>
      <c r="E2383" s="4">
        <v>14800</v>
      </c>
    </row>
    <row r="2384" spans="1:5">
      <c r="A2384" s="2" t="s">
        <v>296</v>
      </c>
      <c r="B2384" s="2" t="str">
        <f>"180263"</f>
        <v>180263</v>
      </c>
      <c r="C2384" s="2" t="str">
        <f>"180263"</f>
        <v>180263</v>
      </c>
      <c r="D2384" s="2" t="s">
        <v>3158</v>
      </c>
      <c r="E2384" s="4">
        <v>6500</v>
      </c>
    </row>
    <row r="2385" spans="1:5">
      <c r="A2385" s="2" t="s">
        <v>296</v>
      </c>
      <c r="B2385" s="2" t="str">
        <f>"236266"</f>
        <v>236266</v>
      </c>
      <c r="C2385" s="2" t="str">
        <f>"236266"</f>
        <v>236266</v>
      </c>
      <c r="D2385" s="2" t="s">
        <v>3159</v>
      </c>
      <c r="E2385" s="4">
        <v>24000</v>
      </c>
    </row>
    <row r="2386" spans="1:5">
      <c r="A2386" s="2" t="s">
        <v>296</v>
      </c>
      <c r="B2386" s="2" t="str">
        <f>"0002903"</f>
        <v>0002903</v>
      </c>
      <c r="C2386" s="2" t="str">
        <f>"0002903"</f>
        <v>0002903</v>
      </c>
      <c r="D2386" s="2" t="s">
        <v>3160</v>
      </c>
      <c r="E2386" s="4">
        <v>9700</v>
      </c>
    </row>
    <row r="2387" spans="1:5">
      <c r="A2387" s="2" t="s">
        <v>296</v>
      </c>
      <c r="B2387" s="2" t="str">
        <f>"1021-3524"</f>
        <v>1021-3524</v>
      </c>
      <c r="C2387" s="2" t="str">
        <f>"1021-3524"</f>
        <v>1021-3524</v>
      </c>
      <c r="D2387" s="2" t="s">
        <v>3161</v>
      </c>
      <c r="E2387" s="4">
        <v>8800</v>
      </c>
    </row>
    <row r="2388" spans="1:5">
      <c r="A2388" s="2" t="s">
        <v>296</v>
      </c>
      <c r="B2388" s="2" t="str">
        <f>"191205"</f>
        <v>191205</v>
      </c>
      <c r="C2388" s="2" t="str">
        <f>"191205"</f>
        <v>191205</v>
      </c>
      <c r="D2388" s="2" t="s">
        <v>3162</v>
      </c>
      <c r="E2388" s="4">
        <v>12100</v>
      </c>
    </row>
    <row r="2389" spans="1:5">
      <c r="A2389" s="2" t="s">
        <v>296</v>
      </c>
      <c r="B2389" s="2" t="s">
        <v>3163</v>
      </c>
      <c r="C2389" s="2" t="s">
        <v>3163</v>
      </c>
      <c r="D2389" s="2" t="s">
        <v>3164</v>
      </c>
      <c r="E2389" s="4">
        <v>8500</v>
      </c>
    </row>
    <row r="2390" spans="1:5">
      <c r="A2390" s="2" t="s">
        <v>296</v>
      </c>
      <c r="B2390" s="2" t="s">
        <v>3165</v>
      </c>
      <c r="C2390" s="2" t="s">
        <v>3165</v>
      </c>
      <c r="D2390" s="2" t="s">
        <v>3166</v>
      </c>
      <c r="E2390" s="4">
        <v>23500</v>
      </c>
    </row>
    <row r="2391" spans="1:5">
      <c r="A2391" s="2" t="s">
        <v>296</v>
      </c>
      <c r="B2391" s="2" t="str">
        <f>"0002904"</f>
        <v>0002904</v>
      </c>
      <c r="C2391" s="2" t="str">
        <f>"0002904"</f>
        <v>0002904</v>
      </c>
      <c r="D2391" s="2" t="s">
        <v>3167</v>
      </c>
      <c r="E2391" s="4">
        <v>6500</v>
      </c>
    </row>
    <row r="2392" spans="1:5">
      <c r="A2392" s="2" t="s">
        <v>1478</v>
      </c>
      <c r="B2392" s="2" t="str">
        <f>"001020D21"</f>
        <v>001020D21</v>
      </c>
      <c r="C2392" s="2" t="str">
        <f>"001020D21"</f>
        <v>001020D21</v>
      </c>
      <c r="D2392" s="2" t="s">
        <v>3168</v>
      </c>
      <c r="E2392" s="2">
        <v>1</v>
      </c>
    </row>
    <row r="2393" spans="1:5">
      <c r="A2393" s="2" t="s">
        <v>296</v>
      </c>
      <c r="B2393" s="2" t="str">
        <f>"160193"</f>
        <v>160193</v>
      </c>
      <c r="C2393" s="2" t="str">
        <f>"160193"</f>
        <v>160193</v>
      </c>
      <c r="D2393" s="2" t="s">
        <v>3169</v>
      </c>
      <c r="E2393" s="4">
        <v>43000</v>
      </c>
    </row>
    <row r="2394" spans="1:5">
      <c r="A2394" s="2" t="s">
        <v>296</v>
      </c>
      <c r="B2394" s="2" t="str">
        <f>"170511"</f>
        <v>170511</v>
      </c>
      <c r="C2394" s="2" t="str">
        <f>"170511"</f>
        <v>170511</v>
      </c>
      <c r="D2394" s="2" t="s">
        <v>3170</v>
      </c>
      <c r="E2394" s="4">
        <v>13900</v>
      </c>
    </row>
    <row r="2395" spans="1:5">
      <c r="A2395" s="2" t="s">
        <v>1478</v>
      </c>
      <c r="B2395" s="2" t="str">
        <f>"283582"</f>
        <v>283582</v>
      </c>
      <c r="C2395" s="2" t="str">
        <f>"283582"</f>
        <v>283582</v>
      </c>
      <c r="D2395" s="2" t="s">
        <v>3171</v>
      </c>
      <c r="E2395" s="4">
        <v>9800</v>
      </c>
    </row>
    <row r="2396" spans="1:5">
      <c r="A2396" s="2" t="s">
        <v>296</v>
      </c>
      <c r="B2396" s="2" t="str">
        <f>"160098"</f>
        <v>160098</v>
      </c>
      <c r="C2396" s="2" t="str">
        <f>"160098"</f>
        <v>160098</v>
      </c>
      <c r="D2396" s="2" t="s">
        <v>3172</v>
      </c>
      <c r="E2396" s="4">
        <v>25000</v>
      </c>
    </row>
    <row r="2397" spans="1:5">
      <c r="A2397" s="2" t="s">
        <v>296</v>
      </c>
      <c r="B2397" s="2" t="str">
        <f>"160097"</f>
        <v>160097</v>
      </c>
      <c r="C2397" s="2" t="str">
        <f>"160097"</f>
        <v>160097</v>
      </c>
      <c r="D2397" s="2" t="s">
        <v>3173</v>
      </c>
      <c r="E2397" s="4">
        <v>38500</v>
      </c>
    </row>
    <row r="2398" spans="1:5">
      <c r="A2398" s="2" t="s">
        <v>296</v>
      </c>
      <c r="B2398" s="2" t="str">
        <f>"170512"</f>
        <v>170512</v>
      </c>
      <c r="C2398" s="2" t="str">
        <f>"170512"</f>
        <v>170512</v>
      </c>
      <c r="D2398" s="2" t="s">
        <v>3174</v>
      </c>
      <c r="E2398" s="4">
        <v>12500</v>
      </c>
    </row>
    <row r="2399" spans="1:5">
      <c r="A2399" s="2" t="s">
        <v>296</v>
      </c>
      <c r="B2399" s="2" t="str">
        <f>"13028-40F01"</f>
        <v>13028-40F01</v>
      </c>
      <c r="C2399" s="2" t="str">
        <f>"13028-40F01"</f>
        <v>13028-40F01</v>
      </c>
      <c r="D2399" s="2" t="s">
        <v>3175</v>
      </c>
      <c r="E2399" s="4">
        <v>12400</v>
      </c>
    </row>
    <row r="2400" spans="1:5">
      <c r="A2400" s="2" t="s">
        <v>296</v>
      </c>
      <c r="B2400" s="2" t="str">
        <f>"010610167"</f>
        <v>010610167</v>
      </c>
      <c r="C2400" s="2" t="str">
        <f>"010610167"</f>
        <v>010610167</v>
      </c>
      <c r="D2400" s="2" t="s">
        <v>3176</v>
      </c>
      <c r="E2400" s="4">
        <v>13300</v>
      </c>
    </row>
    <row r="2401" spans="1:5">
      <c r="A2401" s="2" t="s">
        <v>296</v>
      </c>
      <c r="B2401" s="2" t="str">
        <f>"269269"</f>
        <v>269269</v>
      </c>
      <c r="C2401" s="2" t="str">
        <f>"269269"</f>
        <v>269269</v>
      </c>
      <c r="D2401" s="2" t="s">
        <v>3177</v>
      </c>
      <c r="E2401" s="4">
        <v>15900</v>
      </c>
    </row>
    <row r="2402" spans="1:5">
      <c r="A2402" s="2" t="s">
        <v>296</v>
      </c>
      <c r="B2402" s="2" t="str">
        <f>"8019810"</f>
        <v>8019810</v>
      </c>
      <c r="C2402" s="2" t="str">
        <f>"8019810"</f>
        <v>8019810</v>
      </c>
      <c r="D2402" s="2" t="s">
        <v>3178</v>
      </c>
      <c r="E2402" s="4">
        <v>3500</v>
      </c>
    </row>
    <row r="2403" spans="1:5">
      <c r="A2403" s="2" t="s">
        <v>296</v>
      </c>
      <c r="B2403" s="2" t="s">
        <v>3179</v>
      </c>
      <c r="C2403" s="2" t="s">
        <v>3179</v>
      </c>
      <c r="D2403" s="2" t="s">
        <v>3180</v>
      </c>
      <c r="E2403" s="4">
        <v>23200</v>
      </c>
    </row>
    <row r="2404" spans="1:5">
      <c r="A2404" s="2" t="s">
        <v>296</v>
      </c>
      <c r="B2404" s="2" t="str">
        <f>"59001"</f>
        <v>59001</v>
      </c>
      <c r="C2404" s="2" t="s">
        <v>3181</v>
      </c>
      <c r="D2404" s="2" t="s">
        <v>3182</v>
      </c>
      <c r="E2404" s="4">
        <v>12400</v>
      </c>
    </row>
    <row r="2405" spans="1:5">
      <c r="A2405" s="2" t="s">
        <v>296</v>
      </c>
      <c r="B2405" s="2" t="str">
        <f>"012831"</f>
        <v>012831</v>
      </c>
      <c r="C2405" s="2" t="str">
        <f>"012831"</f>
        <v>012831</v>
      </c>
      <c r="D2405" s="2" t="s">
        <v>3183</v>
      </c>
      <c r="E2405" s="4">
        <v>8800</v>
      </c>
    </row>
    <row r="2406" spans="1:5">
      <c r="A2406" s="2" t="s">
        <v>359</v>
      </c>
      <c r="B2406" s="2" t="str">
        <f>"4047025069649"</f>
        <v>4047025069649</v>
      </c>
      <c r="C2406" s="2" t="str">
        <f>"67003"</f>
        <v>67003</v>
      </c>
      <c r="D2406" s="2" t="s">
        <v>3184</v>
      </c>
      <c r="E2406" s="4">
        <v>25000</v>
      </c>
    </row>
    <row r="2407" spans="1:5">
      <c r="A2407" s="2" t="s">
        <v>296</v>
      </c>
      <c r="B2407" s="2" t="str">
        <f>"609843059802"</f>
        <v>609843059802</v>
      </c>
      <c r="C2407" s="2" t="s">
        <v>3185</v>
      </c>
      <c r="D2407" s="2" t="s">
        <v>3186</v>
      </c>
      <c r="E2407" s="4">
        <v>8800</v>
      </c>
    </row>
    <row r="2408" spans="1:5">
      <c r="A2408" s="2" t="s">
        <v>296</v>
      </c>
      <c r="B2408" s="2" t="str">
        <f>"012906"</f>
        <v>012906</v>
      </c>
      <c r="C2408" s="2" t="str">
        <f>"012906"</f>
        <v>012906</v>
      </c>
      <c r="D2408" s="2" t="s">
        <v>3187</v>
      </c>
      <c r="E2408" s="4">
        <v>22300</v>
      </c>
    </row>
    <row r="2409" spans="1:5">
      <c r="A2409" s="2" t="s">
        <v>296</v>
      </c>
      <c r="B2409" s="2" t="str">
        <f>"012902"</f>
        <v>012902</v>
      </c>
      <c r="C2409" s="2" t="str">
        <f>"012902"</f>
        <v>012902</v>
      </c>
      <c r="D2409" s="2" t="s">
        <v>3188</v>
      </c>
      <c r="E2409" s="4">
        <v>34000</v>
      </c>
    </row>
    <row r="2410" spans="1:5">
      <c r="A2410" s="2" t="s">
        <v>296</v>
      </c>
      <c r="B2410" s="2" t="str">
        <f>"012907"</f>
        <v>012907</v>
      </c>
      <c r="C2410" s="2" t="str">
        <f>"012907"</f>
        <v>012907</v>
      </c>
      <c r="D2410" s="2" t="s">
        <v>3189</v>
      </c>
      <c r="E2410" s="4">
        <v>38000</v>
      </c>
    </row>
    <row r="2411" spans="1:5">
      <c r="A2411" s="2" t="s">
        <v>296</v>
      </c>
      <c r="B2411" s="2" t="str">
        <f>"0014380"</f>
        <v>0014380</v>
      </c>
      <c r="C2411" s="2" t="str">
        <f>"0014380"</f>
        <v>0014380</v>
      </c>
      <c r="D2411" s="2" t="s">
        <v>3190</v>
      </c>
      <c r="E2411" s="4">
        <v>9700</v>
      </c>
    </row>
    <row r="2412" spans="1:5">
      <c r="A2412" s="2" t="s">
        <v>296</v>
      </c>
      <c r="B2412" s="2" t="str">
        <f>"0005938"</f>
        <v>0005938</v>
      </c>
      <c r="C2412" s="2" t="str">
        <f>"0005938"</f>
        <v>0005938</v>
      </c>
      <c r="D2412" s="2" t="s">
        <v>3191</v>
      </c>
      <c r="E2412" s="4">
        <v>7000</v>
      </c>
    </row>
    <row r="2413" spans="1:5">
      <c r="A2413" s="2" t="s">
        <v>296</v>
      </c>
      <c r="B2413" s="2" t="str">
        <f>"010660016"</f>
        <v>010660016</v>
      </c>
      <c r="C2413" s="2" t="str">
        <f>"010660016"</f>
        <v>010660016</v>
      </c>
      <c r="D2413" s="2" t="s">
        <v>3192</v>
      </c>
      <c r="E2413" s="4">
        <v>16000</v>
      </c>
    </row>
    <row r="2414" spans="1:5">
      <c r="A2414" s="2" t="s">
        <v>296</v>
      </c>
      <c r="B2414" s="2" t="str">
        <f>"010660017"</f>
        <v>010660017</v>
      </c>
      <c r="C2414" s="2" t="s">
        <v>3193</v>
      </c>
      <c r="D2414" s="2" t="s">
        <v>3194</v>
      </c>
      <c r="E2414" s="4">
        <v>19600</v>
      </c>
    </row>
    <row r="2415" spans="1:5">
      <c r="A2415" s="2" t="s">
        <v>296</v>
      </c>
      <c r="B2415" s="2" t="str">
        <f>"011022"</f>
        <v>011022</v>
      </c>
      <c r="C2415" s="2" t="str">
        <f>"011022"</f>
        <v>011022</v>
      </c>
      <c r="D2415" s="2" t="s">
        <v>3195</v>
      </c>
      <c r="E2415" s="4">
        <v>61000</v>
      </c>
    </row>
    <row r="2416" spans="1:5">
      <c r="A2416" s="2" t="s">
        <v>2076</v>
      </c>
      <c r="B2416" s="2" t="str">
        <f>"0014424"</f>
        <v>0014424</v>
      </c>
      <c r="C2416" s="2" t="str">
        <f>"0014424"</f>
        <v>0014424</v>
      </c>
      <c r="D2416" s="2" t="s">
        <v>3196</v>
      </c>
      <c r="E2416" s="4">
        <v>16000</v>
      </c>
    </row>
    <row r="2417" spans="1:5">
      <c r="A2417" s="2" t="s">
        <v>2541</v>
      </c>
      <c r="B2417" s="2" t="s">
        <v>3197</v>
      </c>
      <c r="C2417" s="2" t="s">
        <v>3197</v>
      </c>
      <c r="D2417" s="2" t="s">
        <v>3198</v>
      </c>
      <c r="E2417" s="4">
        <v>160000</v>
      </c>
    </row>
    <row r="2418" spans="1:5">
      <c r="A2418" s="2" t="s">
        <v>2541</v>
      </c>
      <c r="B2418" s="2" t="str">
        <f>"1492140-0"</f>
        <v>1492140-0</v>
      </c>
      <c r="C2418" s="2" t="str">
        <f>"001492140-0"</f>
        <v>001492140-0</v>
      </c>
      <c r="D2418" s="2" t="s">
        <v>3199</v>
      </c>
      <c r="E2418" s="4">
        <v>97000</v>
      </c>
    </row>
    <row r="2419" spans="1:5">
      <c r="A2419" s="2" t="s">
        <v>2541</v>
      </c>
      <c r="B2419" s="2" t="str">
        <f>"090440001"</f>
        <v>090440001</v>
      </c>
      <c r="C2419" s="2" t="str">
        <f>"090440001"</f>
        <v>090440001</v>
      </c>
      <c r="D2419" s="2" t="s">
        <v>3200</v>
      </c>
      <c r="E2419" s="4">
        <v>133000</v>
      </c>
    </row>
    <row r="2420" spans="1:5">
      <c r="A2420" s="2" t="s">
        <v>2541</v>
      </c>
      <c r="B2420" s="2" t="str">
        <f>"090440266"</f>
        <v>090440266</v>
      </c>
      <c r="C2420" s="2" t="str">
        <f>"090440266"</f>
        <v>090440266</v>
      </c>
      <c r="D2420" s="2" t="s">
        <v>3201</v>
      </c>
      <c r="E2420" s="4">
        <v>160000</v>
      </c>
    </row>
    <row r="2421" spans="1:5">
      <c r="A2421" s="2" t="s">
        <v>2541</v>
      </c>
      <c r="B2421" s="2" t="s">
        <v>3202</v>
      </c>
      <c r="C2421" s="2" t="s">
        <v>3202</v>
      </c>
      <c r="D2421" s="2" t="s">
        <v>3203</v>
      </c>
      <c r="E2421" s="4">
        <v>160000</v>
      </c>
    </row>
    <row r="2422" spans="1:5">
      <c r="A2422" s="2" t="s">
        <v>2541</v>
      </c>
      <c r="B2422" s="2" t="s">
        <v>3204</v>
      </c>
      <c r="C2422" s="2" t="s">
        <v>3204</v>
      </c>
      <c r="D2422" s="2" t="s">
        <v>3205</v>
      </c>
      <c r="E2422" s="4">
        <v>67000</v>
      </c>
    </row>
    <row r="2423" spans="1:5">
      <c r="A2423" s="2" t="s">
        <v>2541</v>
      </c>
      <c r="B2423" s="2" t="str">
        <f>"1500697"</f>
        <v>1500697</v>
      </c>
      <c r="C2423" s="2" t="str">
        <f>"1500697"</f>
        <v>1500697</v>
      </c>
      <c r="D2423" s="2" t="s">
        <v>3206</v>
      </c>
      <c r="E2423" s="2">
        <v>0</v>
      </c>
    </row>
    <row r="2424" spans="1:5">
      <c r="A2424" s="2" t="s">
        <v>2541</v>
      </c>
      <c r="B2424" s="2" t="str">
        <f>"001292144-6"</f>
        <v>001292144-6</v>
      </c>
      <c r="C2424" s="2" t="str">
        <f>"001292144-6"</f>
        <v>001292144-6</v>
      </c>
      <c r="D2424" s="2" t="s">
        <v>3207</v>
      </c>
      <c r="E2424" s="4">
        <v>92000</v>
      </c>
    </row>
    <row r="2425" spans="1:5">
      <c r="A2425" s="2" t="s">
        <v>2541</v>
      </c>
      <c r="B2425" s="2" t="str">
        <f>"020220318"</f>
        <v>020220318</v>
      </c>
      <c r="C2425" s="2" t="str">
        <f>"020220318"</f>
        <v>020220318</v>
      </c>
      <c r="D2425" s="2" t="s">
        <v>3208</v>
      </c>
      <c r="E2425" s="4">
        <v>89000</v>
      </c>
    </row>
    <row r="2426" spans="1:5">
      <c r="A2426" s="2" t="s">
        <v>2541</v>
      </c>
      <c r="B2426" s="2" t="str">
        <f>"001292105-5"</f>
        <v>001292105-5</v>
      </c>
      <c r="C2426" s="2" t="str">
        <f>"001292105-5"</f>
        <v>001292105-5</v>
      </c>
      <c r="D2426" s="2" t="s">
        <v>3209</v>
      </c>
      <c r="E2426" s="4">
        <v>87000</v>
      </c>
    </row>
    <row r="2427" spans="1:5">
      <c r="A2427" s="2" t="s">
        <v>2541</v>
      </c>
      <c r="B2427" s="2" t="s">
        <v>3210</v>
      </c>
      <c r="C2427" s="2" t="str">
        <f>"1688400023000"</f>
        <v>1688400023000</v>
      </c>
      <c r="D2427" s="2" t="s">
        <v>3211</v>
      </c>
      <c r="E2427" s="4">
        <v>190000</v>
      </c>
    </row>
    <row r="2428" spans="1:5">
      <c r="A2428" s="2" t="s">
        <v>2541</v>
      </c>
      <c r="B2428" s="2" t="str">
        <f>"000300780"</f>
        <v>000300780</v>
      </c>
      <c r="C2428" s="2" t="str">
        <f>"000300780"</f>
        <v>000300780</v>
      </c>
      <c r="D2428" s="2" t="s">
        <v>3212</v>
      </c>
      <c r="E2428" s="4">
        <v>65000</v>
      </c>
    </row>
    <row r="2429" spans="1:5">
      <c r="A2429" s="2" t="s">
        <v>2541</v>
      </c>
      <c r="B2429" s="2" t="str">
        <f>"000491021-4"</f>
        <v>000491021-4</v>
      </c>
      <c r="C2429" s="2" t="s">
        <v>3213</v>
      </c>
      <c r="D2429" s="2" t="s">
        <v>3214</v>
      </c>
      <c r="E2429" s="4">
        <v>134000</v>
      </c>
    </row>
    <row r="2430" spans="1:5">
      <c r="A2430" s="2" t="s">
        <v>2541</v>
      </c>
      <c r="B2430" s="2" t="s">
        <v>3215</v>
      </c>
      <c r="C2430" s="2" t="s">
        <v>3216</v>
      </c>
      <c r="D2430" s="2" t="s">
        <v>3217</v>
      </c>
      <c r="E2430" s="4">
        <v>59000</v>
      </c>
    </row>
    <row r="2431" spans="1:5">
      <c r="A2431" s="2" t="s">
        <v>2541</v>
      </c>
      <c r="B2431" s="2" t="str">
        <f>"1792120"</f>
        <v>1792120</v>
      </c>
      <c r="C2431" s="2" t="str">
        <f>"1792120"</f>
        <v>1792120</v>
      </c>
      <c r="D2431" s="2" t="s">
        <v>3218</v>
      </c>
      <c r="E2431" s="2">
        <v>0</v>
      </c>
    </row>
    <row r="2432" spans="1:5">
      <c r="A2432" s="2" t="s">
        <v>2541</v>
      </c>
      <c r="B2432" s="2" t="str">
        <f>"180301"</f>
        <v>180301</v>
      </c>
      <c r="C2432" s="2" t="str">
        <f>"180301"</f>
        <v>180301</v>
      </c>
      <c r="D2432" s="2" t="s">
        <v>3219</v>
      </c>
      <c r="E2432" s="4">
        <v>97000</v>
      </c>
    </row>
    <row r="2433" spans="1:5">
      <c r="A2433" s="2" t="s">
        <v>2541</v>
      </c>
      <c r="B2433" s="2" t="s">
        <v>3220</v>
      </c>
      <c r="C2433" s="2" t="s">
        <v>3221</v>
      </c>
      <c r="D2433" s="2" t="s">
        <v>3222</v>
      </c>
      <c r="E2433" s="4">
        <v>69000</v>
      </c>
    </row>
    <row r="2434" spans="1:5">
      <c r="A2434" s="2" t="s">
        <v>2541</v>
      </c>
      <c r="B2434" s="2" t="s">
        <v>3223</v>
      </c>
      <c r="C2434" s="2" t="str">
        <f>"1708188197004"</f>
        <v>1708188197004</v>
      </c>
      <c r="D2434" s="2" t="s">
        <v>3224</v>
      </c>
      <c r="E2434" s="4">
        <v>96000</v>
      </c>
    </row>
    <row r="2435" spans="1:5">
      <c r="A2435" s="2" t="s">
        <v>365</v>
      </c>
      <c r="B2435" s="2" t="s">
        <v>3225</v>
      </c>
      <c r="C2435" s="2" t="str">
        <f>"1689699117741"</f>
        <v>1689699117741</v>
      </c>
      <c r="D2435" s="2" t="s">
        <v>3226</v>
      </c>
      <c r="E2435" s="4">
        <v>3500</v>
      </c>
    </row>
    <row r="2436" spans="1:5">
      <c r="A2436" s="2" t="s">
        <v>3227</v>
      </c>
      <c r="B2436" s="2" t="s">
        <v>3228</v>
      </c>
      <c r="C2436" s="2" t="s">
        <v>3229</v>
      </c>
      <c r="D2436" s="2" t="s">
        <v>3230</v>
      </c>
      <c r="E2436" s="4">
        <v>89000</v>
      </c>
    </row>
    <row r="2437" spans="1:5">
      <c r="A2437" s="2" t="s">
        <v>1478</v>
      </c>
      <c r="B2437" s="2" t="str">
        <f>"090440087"</f>
        <v>090440087</v>
      </c>
      <c r="C2437" s="2" t="str">
        <f>"090440087"</f>
        <v>090440087</v>
      </c>
      <c r="D2437" s="2" t="s">
        <v>3231</v>
      </c>
      <c r="E2437" s="4">
        <v>59200</v>
      </c>
    </row>
    <row r="2438" spans="1:5">
      <c r="A2438" s="2" t="s">
        <v>1478</v>
      </c>
      <c r="B2438" s="2" t="str">
        <f>"091440006"</f>
        <v>091440006</v>
      </c>
      <c r="C2438" s="2" t="str">
        <f>"091440006"</f>
        <v>091440006</v>
      </c>
      <c r="D2438" s="2" t="s">
        <v>3232</v>
      </c>
      <c r="E2438" s="4">
        <v>61000</v>
      </c>
    </row>
    <row r="2439" spans="1:5">
      <c r="A2439" s="2" t="s">
        <v>1478</v>
      </c>
      <c r="B2439" s="2" t="str">
        <f>"0011371"</f>
        <v>0011371</v>
      </c>
      <c r="C2439" s="2" t="str">
        <f>"0011371"</f>
        <v>0011371</v>
      </c>
      <c r="D2439" s="2" t="s">
        <v>3233</v>
      </c>
      <c r="E2439" s="4">
        <v>58000</v>
      </c>
    </row>
    <row r="2440" spans="1:5">
      <c r="A2440" s="2" t="s">
        <v>1478</v>
      </c>
      <c r="B2440" s="2" t="str">
        <f>"71952-8"</f>
        <v>71952-8</v>
      </c>
      <c r="C2440" s="2" t="str">
        <f>"71925-8"</f>
        <v>71925-8</v>
      </c>
      <c r="D2440" s="2" t="s">
        <v>3234</v>
      </c>
      <c r="E2440" s="4">
        <v>39000</v>
      </c>
    </row>
    <row r="2441" spans="1:5">
      <c r="A2441" s="2" t="s">
        <v>1478</v>
      </c>
      <c r="B2441" s="2" t="str">
        <f>"71176-4"</f>
        <v>71176-4</v>
      </c>
      <c r="C2441" s="2" t="str">
        <f>"71176-4"</f>
        <v>71176-4</v>
      </c>
      <c r="D2441" s="2" t="s">
        <v>3235</v>
      </c>
      <c r="E2441" s="4">
        <v>44800</v>
      </c>
    </row>
    <row r="2442" spans="1:5">
      <c r="A2442" s="2" t="s">
        <v>1478</v>
      </c>
      <c r="B2442" s="2" t="str">
        <f>"7600001"</f>
        <v>7600001</v>
      </c>
      <c r="C2442" s="2" t="str">
        <f>"7600001"</f>
        <v>7600001</v>
      </c>
      <c r="D2442" s="2" t="s">
        <v>3236</v>
      </c>
      <c r="E2442" s="4">
        <v>59000</v>
      </c>
    </row>
    <row r="2443" spans="1:5">
      <c r="A2443" s="2" t="s">
        <v>1478</v>
      </c>
      <c r="B2443" s="2" t="str">
        <f>"0015008"</f>
        <v>0015008</v>
      </c>
      <c r="C2443" s="2" t="str">
        <f>"0015008"</f>
        <v>0015008</v>
      </c>
      <c r="D2443" s="2" t="s">
        <v>3237</v>
      </c>
      <c r="E2443" s="4">
        <v>43000</v>
      </c>
    </row>
    <row r="2444" spans="1:5">
      <c r="A2444" s="2" t="s">
        <v>1478</v>
      </c>
      <c r="B2444" s="2" t="str">
        <f>"71461-5"</f>
        <v>71461-5</v>
      </c>
      <c r="C2444" s="2" t="str">
        <f>"71461-5"</f>
        <v>71461-5</v>
      </c>
      <c r="D2444" s="2" t="s">
        <v>3238</v>
      </c>
      <c r="E2444" s="4">
        <v>52000</v>
      </c>
    </row>
    <row r="2445" spans="1:5">
      <c r="A2445" s="2" t="s">
        <v>1478</v>
      </c>
      <c r="B2445" s="2" t="str">
        <f>"7600004"</f>
        <v>7600004</v>
      </c>
      <c r="C2445" s="2" t="str">
        <f>"7600004"</f>
        <v>7600004</v>
      </c>
      <c r="D2445" s="2" t="s">
        <v>3239</v>
      </c>
      <c r="E2445" s="4">
        <v>43000</v>
      </c>
    </row>
    <row r="2446" spans="1:5">
      <c r="A2446" s="2" t="s">
        <v>1478</v>
      </c>
      <c r="B2446" s="2" t="str">
        <f>"75000305"</f>
        <v>75000305</v>
      </c>
      <c r="C2446" s="2" t="str">
        <f>"7500305"</f>
        <v>7500305</v>
      </c>
      <c r="D2446" s="2" t="s">
        <v>3240</v>
      </c>
      <c r="E2446" s="4">
        <v>45000</v>
      </c>
    </row>
    <row r="2447" spans="1:5">
      <c r="A2447" s="2" t="s">
        <v>296</v>
      </c>
      <c r="B2447" s="2" t="str">
        <f>"0014909"</f>
        <v>0014909</v>
      </c>
      <c r="C2447" s="2" t="s">
        <v>3241</v>
      </c>
      <c r="D2447" s="2" t="s">
        <v>3242</v>
      </c>
      <c r="E2447" s="4">
        <v>45000</v>
      </c>
    </row>
    <row r="2448" spans="1:5">
      <c r="A2448" s="2" t="s">
        <v>296</v>
      </c>
      <c r="B2448" s="2" t="str">
        <f>"7500204"</f>
        <v>7500204</v>
      </c>
      <c r="C2448" s="2" t="str">
        <f>"7500204"</f>
        <v>7500204</v>
      </c>
      <c r="D2448" s="2" t="s">
        <v>3243</v>
      </c>
      <c r="E2448" s="4">
        <v>48000</v>
      </c>
    </row>
    <row r="2449" spans="1:5">
      <c r="A2449" s="2" t="s">
        <v>296</v>
      </c>
      <c r="B2449" s="2" t="str">
        <f>"7600013"</f>
        <v>7600013</v>
      </c>
      <c r="C2449" s="2" t="str">
        <f>"7600013"</f>
        <v>7600013</v>
      </c>
      <c r="D2449" s="2" t="s">
        <v>3244</v>
      </c>
      <c r="E2449" s="4">
        <v>49000</v>
      </c>
    </row>
    <row r="2450" spans="1:5">
      <c r="A2450" s="2" t="s">
        <v>421</v>
      </c>
      <c r="B2450" s="2" t="str">
        <f>"1900570"</f>
        <v>1900570</v>
      </c>
      <c r="C2450" s="2" t="str">
        <f>"1900570"</f>
        <v>1900570</v>
      </c>
      <c r="D2450" s="2" t="s">
        <v>3245</v>
      </c>
      <c r="E2450" s="4">
        <v>8800</v>
      </c>
    </row>
    <row r="2451" spans="1:5">
      <c r="A2451" s="2" t="s">
        <v>421</v>
      </c>
      <c r="B2451" s="2" t="str">
        <f>"0014232"</f>
        <v>0014232</v>
      </c>
      <c r="C2451" s="2" t="str">
        <f>"0014232"</f>
        <v>0014232</v>
      </c>
      <c r="D2451" s="2" t="s">
        <v>3246</v>
      </c>
      <c r="E2451" s="4">
        <v>5200</v>
      </c>
    </row>
    <row r="2452" spans="1:5">
      <c r="A2452" s="2" t="s">
        <v>421</v>
      </c>
      <c r="B2452" s="2" t="str">
        <f>"0017804"</f>
        <v>0017804</v>
      </c>
      <c r="C2452" s="2" t="str">
        <f>"0017804"</f>
        <v>0017804</v>
      </c>
      <c r="D2452" s="2" t="s">
        <v>3247</v>
      </c>
      <c r="E2452" s="4">
        <v>7000</v>
      </c>
    </row>
    <row r="2453" spans="1:5">
      <c r="A2453" s="2" t="s">
        <v>421</v>
      </c>
      <c r="B2453" s="2" t="str">
        <f>"0001807"</f>
        <v>0001807</v>
      </c>
      <c r="C2453" s="2" t="str">
        <f>"0001807"</f>
        <v>0001807</v>
      </c>
      <c r="D2453" s="2" t="s">
        <v>3248</v>
      </c>
      <c r="E2453" s="4">
        <v>18700</v>
      </c>
    </row>
    <row r="2454" spans="1:5">
      <c r="A2454" s="2" t="s">
        <v>421</v>
      </c>
      <c r="B2454" s="2" t="str">
        <f>"0001808"</f>
        <v>0001808</v>
      </c>
      <c r="C2454" s="2" t="str">
        <f>"0001808"</f>
        <v>0001808</v>
      </c>
      <c r="D2454" s="2" t="s">
        <v>3249</v>
      </c>
      <c r="E2454" s="4">
        <v>18000</v>
      </c>
    </row>
    <row r="2455" spans="1:5">
      <c r="A2455" s="2" t="s">
        <v>421</v>
      </c>
      <c r="B2455" s="2" t="str">
        <f>"003786"</f>
        <v>003786</v>
      </c>
      <c r="C2455" s="2" t="str">
        <f>"003786"</f>
        <v>003786</v>
      </c>
      <c r="D2455" s="2" t="s">
        <v>3250</v>
      </c>
      <c r="E2455" s="4">
        <v>19900</v>
      </c>
    </row>
    <row r="2456" spans="1:5">
      <c r="A2456" s="2" t="s">
        <v>421</v>
      </c>
      <c r="B2456" s="2" t="s">
        <v>3251</v>
      </c>
      <c r="C2456" s="2" t="s">
        <v>3251</v>
      </c>
      <c r="D2456" s="2" t="s">
        <v>3252</v>
      </c>
      <c r="E2456" s="4">
        <v>11900</v>
      </c>
    </row>
    <row r="2457" spans="1:5">
      <c r="A2457" s="2" t="s">
        <v>421</v>
      </c>
      <c r="B2457" s="2" t="s">
        <v>3253</v>
      </c>
      <c r="C2457" s="2" t="s">
        <v>3254</v>
      </c>
      <c r="D2457" s="2" t="s">
        <v>3255</v>
      </c>
      <c r="E2457" s="4">
        <v>12000</v>
      </c>
    </row>
    <row r="2458" spans="1:5">
      <c r="A2458" s="2" t="s">
        <v>421</v>
      </c>
      <c r="B2458" s="2" t="str">
        <f>"289844"</f>
        <v>289844</v>
      </c>
      <c r="C2458" s="2" t="str">
        <f>"289844"</f>
        <v>289844</v>
      </c>
      <c r="D2458" s="2" t="s">
        <v>3256</v>
      </c>
      <c r="E2458" s="4">
        <v>14000</v>
      </c>
    </row>
    <row r="2459" spans="1:5">
      <c r="A2459" s="2" t="s">
        <v>421</v>
      </c>
      <c r="B2459" s="2" t="s">
        <v>3257</v>
      </c>
      <c r="C2459" s="2" t="s">
        <v>3258</v>
      </c>
      <c r="D2459" s="2" t="s">
        <v>3259</v>
      </c>
      <c r="E2459" s="4">
        <v>11500</v>
      </c>
    </row>
    <row r="2460" spans="1:5">
      <c r="A2460" s="2" t="s">
        <v>421</v>
      </c>
      <c r="B2460" s="2" t="str">
        <f>"9952516"</f>
        <v>9952516</v>
      </c>
      <c r="C2460" s="2" t="str">
        <f>"9952516"</f>
        <v>9952516</v>
      </c>
      <c r="D2460" s="2" t="s">
        <v>3260</v>
      </c>
      <c r="E2460" s="4">
        <v>9700</v>
      </c>
    </row>
    <row r="2461" spans="1:5">
      <c r="A2461" s="2" t="s">
        <v>421</v>
      </c>
      <c r="B2461" s="2" t="str">
        <f>"0004527"</f>
        <v>0004527</v>
      </c>
      <c r="C2461" s="2" t="str">
        <f>"0004527"</f>
        <v>0004527</v>
      </c>
      <c r="D2461" s="2" t="s">
        <v>3261</v>
      </c>
      <c r="E2461" s="4">
        <v>14200</v>
      </c>
    </row>
    <row r="2462" spans="1:5">
      <c r="A2462" s="2" t="s">
        <v>421</v>
      </c>
      <c r="B2462" s="2" t="str">
        <f>"0019875"</f>
        <v>0019875</v>
      </c>
      <c r="C2462" s="2" t="str">
        <f>"0019875"</f>
        <v>0019875</v>
      </c>
      <c r="D2462" s="2" t="s">
        <v>3262</v>
      </c>
      <c r="E2462" s="4">
        <v>19600</v>
      </c>
    </row>
    <row r="2463" spans="1:5">
      <c r="A2463" s="2" t="s">
        <v>421</v>
      </c>
      <c r="B2463" s="2" t="str">
        <f>"0019877"</f>
        <v>0019877</v>
      </c>
      <c r="C2463" s="2" t="str">
        <f>"0019877"</f>
        <v>0019877</v>
      </c>
      <c r="D2463" s="2" t="s">
        <v>3263</v>
      </c>
      <c r="E2463" s="4">
        <v>19600</v>
      </c>
    </row>
    <row r="2464" spans="1:5">
      <c r="A2464" s="2" t="s">
        <v>421</v>
      </c>
      <c r="B2464" s="2" t="str">
        <f>"0004528"</f>
        <v>0004528</v>
      </c>
      <c r="C2464" s="2" t="str">
        <f>"0004528"</f>
        <v>0004528</v>
      </c>
      <c r="D2464" s="2" t="s">
        <v>3264</v>
      </c>
      <c r="E2464" s="4">
        <v>16000</v>
      </c>
    </row>
    <row r="2465" spans="1:5">
      <c r="A2465" s="2" t="s">
        <v>421</v>
      </c>
      <c r="B2465" s="2" t="str">
        <f>"0500248"</f>
        <v>0500248</v>
      </c>
      <c r="C2465" s="2" t="str">
        <f>"0500248"</f>
        <v>0500248</v>
      </c>
      <c r="D2465" s="2" t="s">
        <v>3265</v>
      </c>
      <c r="E2465" s="4">
        <v>9700</v>
      </c>
    </row>
    <row r="2466" spans="1:5">
      <c r="A2466" s="2" t="s">
        <v>421</v>
      </c>
      <c r="B2466" s="2" t="str">
        <f>"0019871"</f>
        <v>0019871</v>
      </c>
      <c r="C2466" s="2" t="str">
        <f>"0019871"</f>
        <v>0019871</v>
      </c>
      <c r="D2466" s="2" t="s">
        <v>3266</v>
      </c>
      <c r="E2466" s="4">
        <v>18700</v>
      </c>
    </row>
    <row r="2467" spans="1:5">
      <c r="A2467" s="2" t="s">
        <v>421</v>
      </c>
      <c r="B2467" s="2" t="str">
        <f>"5 00000 23120"</f>
        <v>5 00000 23120</v>
      </c>
      <c r="C2467" s="2" t="str">
        <f>"312502"</f>
        <v>312502</v>
      </c>
      <c r="D2467" s="2" t="s">
        <v>3267</v>
      </c>
      <c r="E2467" s="4">
        <v>18500</v>
      </c>
    </row>
    <row r="2468" spans="1:5">
      <c r="A2468" s="2" t="s">
        <v>421</v>
      </c>
      <c r="B2468" s="2" t="str">
        <f>"9952536"</f>
        <v>9952536</v>
      </c>
      <c r="C2468" s="2" t="str">
        <f>"9952536"</f>
        <v>9952536</v>
      </c>
      <c r="D2468" s="2" t="s">
        <v>3268</v>
      </c>
      <c r="E2468" s="4">
        <v>7000</v>
      </c>
    </row>
    <row r="2469" spans="1:5">
      <c r="A2469" s="2" t="s">
        <v>421</v>
      </c>
      <c r="B2469" s="2" t="str">
        <f>"0129147"</f>
        <v>0129147</v>
      </c>
      <c r="C2469" s="2" t="str">
        <f>"0129147"</f>
        <v>0129147</v>
      </c>
      <c r="D2469" s="2" t="s">
        <v>3269</v>
      </c>
      <c r="E2469" s="4">
        <v>8800</v>
      </c>
    </row>
    <row r="2470" spans="1:5">
      <c r="A2470" s="2" t="s">
        <v>296</v>
      </c>
      <c r="B2470" s="2" t="str">
        <f>"287617"</f>
        <v>287617</v>
      </c>
      <c r="C2470" s="2" t="str">
        <f>"287617"</f>
        <v>287617</v>
      </c>
      <c r="D2470" s="2" t="s">
        <v>3270</v>
      </c>
      <c r="E2470" s="4">
        <v>9700</v>
      </c>
    </row>
    <row r="2471" spans="1:5">
      <c r="A2471" s="2" t="s">
        <v>296</v>
      </c>
      <c r="B2471" s="2" t="str">
        <f>"010640186"</f>
        <v>010640186</v>
      </c>
      <c r="C2471" s="2" t="str">
        <f>"010640186"</f>
        <v>010640186</v>
      </c>
      <c r="D2471" s="2" t="s">
        <v>3271</v>
      </c>
      <c r="E2471" s="4">
        <v>15100</v>
      </c>
    </row>
    <row r="2472" spans="1:5">
      <c r="A2472" s="2" t="s">
        <v>296</v>
      </c>
      <c r="B2472" s="2" t="s">
        <v>3272</v>
      </c>
      <c r="C2472" s="2" t="s">
        <v>3272</v>
      </c>
      <c r="D2472" s="2" t="s">
        <v>3273</v>
      </c>
      <c r="E2472" s="2">
        <v>1</v>
      </c>
    </row>
    <row r="2473" spans="1:5">
      <c r="A2473" s="2" t="s">
        <v>3274</v>
      </c>
      <c r="B2473" s="2" t="str">
        <f>"0004529"</f>
        <v>0004529</v>
      </c>
      <c r="C2473" s="2" t="str">
        <f>"1448976122"</f>
        <v>1448976122</v>
      </c>
      <c r="D2473" s="2" t="s">
        <v>3275</v>
      </c>
      <c r="E2473" s="4">
        <v>4529</v>
      </c>
    </row>
    <row r="2474" spans="1:5">
      <c r="A2474" s="2" t="s">
        <v>3274</v>
      </c>
      <c r="B2474" s="2" t="str">
        <f>"090150092"</f>
        <v>090150092</v>
      </c>
      <c r="C2474" s="2" t="str">
        <f>"090150092"</f>
        <v>090150092</v>
      </c>
      <c r="D2474" s="2" t="s">
        <v>3276</v>
      </c>
      <c r="E2474" s="4">
        <v>15000</v>
      </c>
    </row>
    <row r="2475" spans="1:5">
      <c r="A2475" s="2" t="s">
        <v>3274</v>
      </c>
      <c r="B2475" s="2" t="str">
        <f>"070150075"</f>
        <v>070150075</v>
      </c>
      <c r="C2475" s="2" t="str">
        <f>"070150075"</f>
        <v>070150075</v>
      </c>
      <c r="D2475" s="2" t="s">
        <v>3277</v>
      </c>
      <c r="E2475" s="4">
        <v>9700</v>
      </c>
    </row>
    <row r="2476" spans="1:5">
      <c r="A2476" s="2" t="s">
        <v>3274</v>
      </c>
      <c r="B2476" s="2" t="str">
        <f>"060821509"</f>
        <v>060821509</v>
      </c>
      <c r="C2476" s="2" t="str">
        <f>"060821509"</f>
        <v>060821509</v>
      </c>
      <c r="D2476" s="2" t="s">
        <v>3278</v>
      </c>
      <c r="E2476" s="4">
        <v>21400</v>
      </c>
    </row>
    <row r="2477" spans="1:5">
      <c r="A2477" s="2" t="s">
        <v>3274</v>
      </c>
      <c r="B2477" s="2" t="str">
        <f>"070150114"</f>
        <v>070150114</v>
      </c>
      <c r="C2477" s="2" t="str">
        <f>"070150114"</f>
        <v>070150114</v>
      </c>
      <c r="D2477" s="2" t="s">
        <v>3279</v>
      </c>
      <c r="E2477" s="4">
        <v>25000</v>
      </c>
    </row>
    <row r="2478" spans="1:5">
      <c r="A2478" s="2" t="s">
        <v>3274</v>
      </c>
      <c r="B2478" s="2" t="str">
        <f>"070150115"</f>
        <v>070150115</v>
      </c>
      <c r="C2478" s="2" t="str">
        <f>"070150115"</f>
        <v>070150115</v>
      </c>
      <c r="D2478" s="2" t="s">
        <v>3280</v>
      </c>
      <c r="E2478" s="4">
        <v>25000</v>
      </c>
    </row>
    <row r="2479" spans="1:5">
      <c r="A2479" s="2" t="s">
        <v>165</v>
      </c>
      <c r="B2479" s="2" t="str">
        <f>"100046"</f>
        <v>100046</v>
      </c>
      <c r="C2479" s="2" t="str">
        <f>"100046"</f>
        <v>100046</v>
      </c>
      <c r="D2479" s="2" t="s">
        <v>3281</v>
      </c>
      <c r="E2479" s="4">
        <v>3400</v>
      </c>
    </row>
    <row r="2480" spans="1:5">
      <c r="A2480" s="2" t="s">
        <v>1478</v>
      </c>
      <c r="B2480" s="2" t="str">
        <f>"283865"</f>
        <v>283865</v>
      </c>
      <c r="C2480" s="2" t="str">
        <f>"283865"</f>
        <v>283865</v>
      </c>
      <c r="D2480" s="2" t="s">
        <v>3282</v>
      </c>
      <c r="E2480" s="4">
        <v>29500</v>
      </c>
    </row>
    <row r="2481" spans="1:5">
      <c r="A2481" s="2" t="s">
        <v>1478</v>
      </c>
      <c r="B2481" s="2" t="s">
        <v>3283</v>
      </c>
      <c r="C2481" s="2" t="s">
        <v>3283</v>
      </c>
      <c r="D2481" s="2" t="s">
        <v>3282</v>
      </c>
      <c r="E2481" s="4">
        <v>38500</v>
      </c>
    </row>
    <row r="2482" spans="1:5">
      <c r="A2482" s="2" t="s">
        <v>1478</v>
      </c>
      <c r="B2482" s="2" t="str">
        <f>"283866"</f>
        <v>283866</v>
      </c>
      <c r="C2482" s="2" t="str">
        <f>"1443780945"</f>
        <v>1443780945</v>
      </c>
      <c r="D2482" s="2" t="s">
        <v>3284</v>
      </c>
      <c r="E2482" s="4">
        <v>38000</v>
      </c>
    </row>
    <row r="2483" spans="1:5">
      <c r="A2483" s="2" t="s">
        <v>1478</v>
      </c>
      <c r="B2483" s="2" t="str">
        <f>"001113562-5"</f>
        <v>001113562-5</v>
      </c>
      <c r="C2483" s="2" t="str">
        <f>"001113562-5"</f>
        <v>001113562-5</v>
      </c>
      <c r="D2483" s="2" t="s">
        <v>3285</v>
      </c>
      <c r="E2483" s="4">
        <v>78000</v>
      </c>
    </row>
    <row r="2484" spans="1:5">
      <c r="A2484" s="2" t="s">
        <v>1478</v>
      </c>
      <c r="B2484" s="2" t="str">
        <f>"017521"</f>
        <v>017521</v>
      </c>
      <c r="C2484" s="2" t="str">
        <f>"017521"</f>
        <v>017521</v>
      </c>
      <c r="D2484" s="2" t="s">
        <v>3286</v>
      </c>
      <c r="E2484" s="4">
        <v>64000</v>
      </c>
    </row>
    <row r="2485" spans="1:5">
      <c r="A2485" s="2" t="s">
        <v>1478</v>
      </c>
      <c r="B2485" s="2" t="str">
        <f>"017043"</f>
        <v>017043</v>
      </c>
      <c r="C2485" s="2" t="str">
        <f>"017043"</f>
        <v>017043</v>
      </c>
      <c r="D2485" s="2" t="s">
        <v>3287</v>
      </c>
      <c r="E2485" s="4">
        <v>170000</v>
      </c>
    </row>
    <row r="2486" spans="1:5">
      <c r="A2486" s="2" t="s">
        <v>1478</v>
      </c>
      <c r="B2486" s="2" t="str">
        <f>"091250020"</f>
        <v>091250020</v>
      </c>
      <c r="C2486" s="2" t="str">
        <f>"091250020"</f>
        <v>091250020</v>
      </c>
      <c r="D2486" s="2" t="s">
        <v>3288</v>
      </c>
      <c r="E2486" s="4">
        <v>28600</v>
      </c>
    </row>
    <row r="2487" spans="1:5">
      <c r="A2487" s="2" t="s">
        <v>1478</v>
      </c>
      <c r="B2487" s="2" t="str">
        <f>"283868"</f>
        <v>283868</v>
      </c>
      <c r="C2487" s="2" t="str">
        <f>"283868"</f>
        <v>283868</v>
      </c>
      <c r="D2487" s="2" t="s">
        <v>3289</v>
      </c>
      <c r="E2487" s="4">
        <v>48000</v>
      </c>
    </row>
    <row r="2488" spans="1:5">
      <c r="A2488" s="2" t="s">
        <v>1478</v>
      </c>
      <c r="B2488" s="2" t="str">
        <f>"017042"</f>
        <v>017042</v>
      </c>
      <c r="C2488" s="2" t="str">
        <f>"017042"</f>
        <v>017042</v>
      </c>
      <c r="D2488" s="2" t="s">
        <v>3290</v>
      </c>
      <c r="E2488" s="4">
        <v>105000</v>
      </c>
    </row>
    <row r="2489" spans="1:5">
      <c r="A2489" s="2" t="s">
        <v>1478</v>
      </c>
      <c r="B2489" s="2" t="str">
        <f>"0301010"</f>
        <v>0301010</v>
      </c>
      <c r="C2489" s="2" t="str">
        <f>"0301010"</f>
        <v>0301010</v>
      </c>
      <c r="D2489" s="2" t="s">
        <v>3291</v>
      </c>
      <c r="E2489" s="4">
        <v>34000</v>
      </c>
    </row>
    <row r="2490" spans="1:5">
      <c r="A2490" s="2" t="s">
        <v>1478</v>
      </c>
      <c r="B2490" s="2" t="str">
        <f>"0135618"</f>
        <v>0135618</v>
      </c>
      <c r="C2490" s="2" t="str">
        <f>"0135618"</f>
        <v>0135618</v>
      </c>
      <c r="D2490" s="2" t="s">
        <v>3292</v>
      </c>
      <c r="E2490" s="4">
        <v>34000</v>
      </c>
    </row>
    <row r="2491" spans="1:5">
      <c r="A2491" s="2" t="s">
        <v>1478</v>
      </c>
      <c r="B2491" s="2" t="str">
        <f>"287725"</f>
        <v>287725</v>
      </c>
      <c r="C2491" s="2" t="str">
        <f>"287725"</f>
        <v>287725</v>
      </c>
      <c r="D2491" s="2" t="s">
        <v>3293</v>
      </c>
      <c r="E2491" s="4">
        <v>45000</v>
      </c>
    </row>
    <row r="2492" spans="1:5">
      <c r="A2492" s="2" t="s">
        <v>1478</v>
      </c>
      <c r="B2492" s="2" t="str">
        <f>"050657"</f>
        <v>050657</v>
      </c>
      <c r="C2492" s="2" t="str">
        <f>"050657"</f>
        <v>050657</v>
      </c>
      <c r="D2492" s="2" t="s">
        <v>3294</v>
      </c>
      <c r="E2492" s="4">
        <v>66000</v>
      </c>
    </row>
    <row r="2493" spans="1:5">
      <c r="A2493" s="2" t="s">
        <v>165</v>
      </c>
      <c r="B2493" s="2" t="str">
        <f>"030980052"</f>
        <v>030980052</v>
      </c>
      <c r="C2493" s="2" t="str">
        <f>"030980052"</f>
        <v>030980052</v>
      </c>
      <c r="D2493" s="2" t="s">
        <v>3295</v>
      </c>
      <c r="E2493" s="4">
        <v>4300</v>
      </c>
    </row>
    <row r="2494" spans="1:5">
      <c r="A2494" s="2" t="s">
        <v>165</v>
      </c>
      <c r="B2494" s="2" t="str">
        <f>"070612785367"</f>
        <v>070612785367</v>
      </c>
      <c r="C2494" s="2" t="s">
        <v>3296</v>
      </c>
      <c r="D2494" s="2" t="s">
        <v>3297</v>
      </c>
      <c r="E2494" s="4">
        <v>10500</v>
      </c>
    </row>
    <row r="2495" spans="1:5">
      <c r="A2495" s="2" t="s">
        <v>165</v>
      </c>
      <c r="B2495" s="2" t="str">
        <f>"7702763004518"</f>
        <v>7702763004518</v>
      </c>
      <c r="C2495" s="2" t="str">
        <f>"030980082 F15/12/16"</f>
        <v>030980082 F15/12/16</v>
      </c>
      <c r="D2495" s="2" t="s">
        <v>3298</v>
      </c>
      <c r="E2495" s="4">
        <v>4300</v>
      </c>
    </row>
    <row r="2496" spans="1:5">
      <c r="A2496" s="2" t="s">
        <v>165</v>
      </c>
      <c r="B2496" s="2" t="str">
        <f>"4064700296008"</f>
        <v>4064700296008</v>
      </c>
      <c r="C2496" s="2" t="str">
        <f>"4064700296008"</f>
        <v>4064700296008</v>
      </c>
      <c r="D2496" s="2" t="s">
        <v>3299</v>
      </c>
      <c r="E2496" s="4">
        <v>5500</v>
      </c>
    </row>
    <row r="2497" spans="1:5">
      <c r="A2497" s="2" t="s">
        <v>165</v>
      </c>
      <c r="B2497" s="2" t="str">
        <f>"7751851026635"</f>
        <v>7751851026635</v>
      </c>
      <c r="C2497" s="2" t="str">
        <f>"7751851026635"</f>
        <v>7751851026635</v>
      </c>
      <c r="D2497" s="2" t="s">
        <v>3300</v>
      </c>
      <c r="E2497" s="4">
        <v>3500</v>
      </c>
    </row>
    <row r="2498" spans="1:5">
      <c r="A2498" s="2" t="s">
        <v>2541</v>
      </c>
      <c r="B2498" s="2" t="str">
        <f>"83000"</f>
        <v>83000</v>
      </c>
      <c r="C2498" s="2" t="str">
        <f>"83000"</f>
        <v>83000</v>
      </c>
      <c r="D2498" s="2" t="s">
        <v>3301</v>
      </c>
      <c r="E2498" s="4">
        <v>17500</v>
      </c>
    </row>
    <row r="2499" spans="1:5">
      <c r="A2499" s="2" t="s">
        <v>2541</v>
      </c>
      <c r="B2499" s="2" t="str">
        <f>"25362303"</f>
        <v>25362303</v>
      </c>
      <c r="C2499" s="2" t="str">
        <f>"25362303"</f>
        <v>25362303</v>
      </c>
      <c r="D2499" s="2" t="s">
        <v>3302</v>
      </c>
      <c r="E2499" s="4">
        <v>16500</v>
      </c>
    </row>
    <row r="2500" spans="1:5">
      <c r="A2500" s="2" t="s">
        <v>2541</v>
      </c>
      <c r="B2500" s="2" t="str">
        <f>"23212-41000"</f>
        <v>23212-41000</v>
      </c>
      <c r="C2500" s="2" t="str">
        <f>"50364002"</f>
        <v>50364002</v>
      </c>
      <c r="D2500" s="2" t="s">
        <v>3303</v>
      </c>
      <c r="E2500" s="4">
        <v>15900</v>
      </c>
    </row>
    <row r="2501" spans="1:5">
      <c r="A2501" s="2" t="s">
        <v>2541</v>
      </c>
      <c r="B2501" s="2" t="str">
        <f>"8-94020-365-0"</f>
        <v>8-94020-365-0</v>
      </c>
      <c r="C2501" s="2" t="str">
        <f>"8-94020-365-0"</f>
        <v>8-94020-365-0</v>
      </c>
      <c r="D2501" s="2" t="s">
        <v>3304</v>
      </c>
      <c r="E2501" s="4">
        <v>18500</v>
      </c>
    </row>
    <row r="2502" spans="1:5">
      <c r="A2502" s="2" t="s">
        <v>2541</v>
      </c>
      <c r="B2502" s="2" t="str">
        <f>"10367705"</f>
        <v>10367705</v>
      </c>
      <c r="C2502" s="2" t="str">
        <f>"1036-7705"</f>
        <v>1036-7705</v>
      </c>
      <c r="D2502" s="2" t="s">
        <v>3305</v>
      </c>
      <c r="E2502" s="4">
        <v>22300</v>
      </c>
    </row>
    <row r="2503" spans="1:5">
      <c r="A2503" s="2" t="s">
        <v>2541</v>
      </c>
      <c r="B2503" s="2" t="str">
        <f>"58361202"</f>
        <v>58361202</v>
      </c>
      <c r="C2503" s="2" t="str">
        <f>"58361202"</f>
        <v>58361202</v>
      </c>
      <c r="D2503" s="2" t="s">
        <v>3306</v>
      </c>
      <c r="E2503" s="4">
        <v>25000</v>
      </c>
    </row>
    <row r="2504" spans="1:5">
      <c r="A2504" s="2" t="s">
        <v>2541</v>
      </c>
      <c r="B2504" s="2" t="str">
        <f>"10367707"</f>
        <v>10367707</v>
      </c>
      <c r="C2504" s="2" t="str">
        <f>"1036-7707"</f>
        <v>1036-7707</v>
      </c>
      <c r="D2504" s="2" t="s">
        <v>3307</v>
      </c>
      <c r="E2504" s="4">
        <v>16500</v>
      </c>
    </row>
    <row r="2505" spans="1:5">
      <c r="A2505" s="2" t="s">
        <v>5</v>
      </c>
      <c r="B2505" s="2" t="str">
        <f>"4921-L"</f>
        <v>4921-L</v>
      </c>
      <c r="C2505" s="2" t="str">
        <f>"4921-L"</f>
        <v>4921-L</v>
      </c>
      <c r="D2505" s="2" t="s">
        <v>3308</v>
      </c>
      <c r="E2505" s="4">
        <v>3500</v>
      </c>
    </row>
    <row r="2506" spans="1:5">
      <c r="A2506" s="2" t="s">
        <v>5</v>
      </c>
      <c r="B2506" s="2" t="str">
        <f>"4921-M"</f>
        <v>4921-M</v>
      </c>
      <c r="C2506" s="2" t="str">
        <f>"4921-M"</f>
        <v>4921-M</v>
      </c>
      <c r="D2506" s="2" t="s">
        <v>3309</v>
      </c>
      <c r="E2506" s="4">
        <v>3500</v>
      </c>
    </row>
    <row r="2507" spans="1:5">
      <c r="A2507" s="2" t="s">
        <v>5</v>
      </c>
      <c r="B2507" s="2" t="str">
        <f>"4921-XL"</f>
        <v>4921-XL</v>
      </c>
      <c r="C2507" s="2" t="str">
        <f>"4921-XL"</f>
        <v>4921-XL</v>
      </c>
      <c r="D2507" s="2" t="s">
        <v>3310</v>
      </c>
      <c r="E2507" s="4">
        <v>3500</v>
      </c>
    </row>
    <row r="2508" spans="1:5">
      <c r="A2508" s="2" t="s">
        <v>365</v>
      </c>
      <c r="B2508" s="2" t="str">
        <f>"59012"</f>
        <v>59012</v>
      </c>
      <c r="C2508" s="2" t="s">
        <v>3311</v>
      </c>
      <c r="D2508" s="2" t="s">
        <v>3312</v>
      </c>
      <c r="E2508" s="4">
        <v>7000</v>
      </c>
    </row>
    <row r="2509" spans="1:5">
      <c r="A2509" s="2" t="s">
        <v>359</v>
      </c>
      <c r="B2509" s="2" t="str">
        <f>"61102"</f>
        <v>61102</v>
      </c>
      <c r="C2509" s="2" t="str">
        <f>"61102"</f>
        <v>61102</v>
      </c>
      <c r="D2509" s="2" t="s">
        <v>3313</v>
      </c>
      <c r="E2509" s="4">
        <v>16000</v>
      </c>
    </row>
    <row r="2510" spans="1:5">
      <c r="A2510" s="2" t="s">
        <v>359</v>
      </c>
      <c r="B2510" s="2" t="str">
        <f>"10LD003"</f>
        <v>10LD003</v>
      </c>
      <c r="C2510" s="2" t="str">
        <f>"10LD003"</f>
        <v>10LD003</v>
      </c>
      <c r="D2510" s="2" t="s">
        <v>3313</v>
      </c>
      <c r="E2510" s="4">
        <v>14000</v>
      </c>
    </row>
    <row r="2511" spans="1:5">
      <c r="A2511" s="2" t="s">
        <v>359</v>
      </c>
      <c r="B2511" s="2" t="str">
        <f>"0100440"</f>
        <v>0100440</v>
      </c>
      <c r="C2511" s="2" t="str">
        <f>"0100440"</f>
        <v>0100440</v>
      </c>
      <c r="D2511" s="2" t="s">
        <v>3314</v>
      </c>
      <c r="E2511" s="4">
        <v>4900</v>
      </c>
    </row>
    <row r="2512" spans="1:5">
      <c r="A2512" s="2" t="s">
        <v>359</v>
      </c>
      <c r="B2512" s="2" t="str">
        <f>"0100450"</f>
        <v>0100450</v>
      </c>
      <c r="C2512" s="2" t="str">
        <f>"0100450"</f>
        <v>0100450</v>
      </c>
      <c r="D2512" s="2" t="s">
        <v>3315</v>
      </c>
      <c r="E2512" s="4">
        <v>5900</v>
      </c>
    </row>
    <row r="2513" spans="1:5">
      <c r="A2513" s="2" t="s">
        <v>359</v>
      </c>
      <c r="B2513" s="2" t="s">
        <v>3316</v>
      </c>
      <c r="C2513" s="2" t="s">
        <v>3316</v>
      </c>
      <c r="D2513" s="2" t="s">
        <v>3317</v>
      </c>
      <c r="E2513" s="4">
        <v>9700</v>
      </c>
    </row>
    <row r="2514" spans="1:5">
      <c r="A2514" s="2" t="s">
        <v>359</v>
      </c>
      <c r="B2514" s="2" t="str">
        <f>"090410466"</f>
        <v>090410466</v>
      </c>
      <c r="C2514" s="2" t="s">
        <v>3318</v>
      </c>
      <c r="D2514" s="2" t="s">
        <v>3319</v>
      </c>
      <c r="E2514" s="4">
        <v>18700</v>
      </c>
    </row>
    <row r="2515" spans="1:5">
      <c r="A2515" s="2" t="s">
        <v>359</v>
      </c>
      <c r="B2515" s="2" t="str">
        <f>"0104627"</f>
        <v>0104627</v>
      </c>
      <c r="C2515" s="2" t="str">
        <f>"0104627"</f>
        <v>0104627</v>
      </c>
      <c r="D2515" s="2" t="s">
        <v>3320</v>
      </c>
      <c r="E2515" s="4">
        <v>16000</v>
      </c>
    </row>
    <row r="2516" spans="1:5">
      <c r="A2516" s="2" t="s">
        <v>359</v>
      </c>
      <c r="B2516" s="2" t="str">
        <f>"0150070"</f>
        <v>0150070</v>
      </c>
      <c r="C2516" s="2" t="str">
        <f>"0150070"</f>
        <v>0150070</v>
      </c>
      <c r="D2516" s="2" t="s">
        <v>3321</v>
      </c>
      <c r="E2516" s="4">
        <v>19600</v>
      </c>
    </row>
    <row r="2517" spans="1:5">
      <c r="A2517" s="2" t="s">
        <v>359</v>
      </c>
      <c r="B2517" s="2" t="str">
        <f>"0300578"</f>
        <v>0300578</v>
      </c>
      <c r="C2517" s="2" t="str">
        <f>"0300578"</f>
        <v>0300578</v>
      </c>
      <c r="D2517" s="2" t="s">
        <v>3322</v>
      </c>
      <c r="E2517" s="4">
        <v>27000</v>
      </c>
    </row>
    <row r="2518" spans="1:5">
      <c r="A2518" s="2" t="s">
        <v>359</v>
      </c>
      <c r="B2518" s="2" t="str">
        <f>"0150080 099350074"</f>
        <v>0150080 099350074</v>
      </c>
      <c r="C2518" s="2" t="str">
        <f>"0150080 099350077"</f>
        <v>0150080 099350077</v>
      </c>
      <c r="D2518" s="2" t="s">
        <v>3323</v>
      </c>
      <c r="E2518" s="4">
        <v>19500</v>
      </c>
    </row>
    <row r="2519" spans="1:5">
      <c r="A2519" s="2" t="s">
        <v>359</v>
      </c>
      <c r="B2519" s="2" t="str">
        <f>"0014235"</f>
        <v>0014235</v>
      </c>
      <c r="C2519" s="2" t="str">
        <f>"0014235"</f>
        <v>0014235</v>
      </c>
      <c r="D2519" s="2" t="s">
        <v>3324</v>
      </c>
      <c r="E2519" s="4">
        <v>9000</v>
      </c>
    </row>
    <row r="2520" spans="1:5">
      <c r="A2520" s="2" t="s">
        <v>359</v>
      </c>
      <c r="B2520" s="2" t="str">
        <f>"0008095"</f>
        <v>0008095</v>
      </c>
      <c r="C2520" s="2" t="str">
        <f>"0008095"</f>
        <v>0008095</v>
      </c>
      <c r="D2520" s="2" t="s">
        <v>3325</v>
      </c>
      <c r="E2520" s="4">
        <v>11900</v>
      </c>
    </row>
    <row r="2521" spans="1:5">
      <c r="A2521" s="2" t="s">
        <v>359</v>
      </c>
      <c r="B2521" s="2" t="str">
        <f>"0008141"</f>
        <v>0008141</v>
      </c>
      <c r="C2521" s="2" t="str">
        <f>"0008141"</f>
        <v>0008141</v>
      </c>
      <c r="D2521" s="2" t="s">
        <v>3326</v>
      </c>
      <c r="E2521" s="4">
        <v>11500</v>
      </c>
    </row>
    <row r="2522" spans="1:5">
      <c r="A2522" s="2" t="s">
        <v>359</v>
      </c>
      <c r="B2522" s="2" t="s">
        <v>3327</v>
      </c>
      <c r="C2522" s="2" t="s">
        <v>3327</v>
      </c>
      <c r="D2522" s="2" t="s">
        <v>3328</v>
      </c>
      <c r="E2522" s="4">
        <v>10600</v>
      </c>
    </row>
    <row r="2523" spans="1:5">
      <c r="A2523" s="2" t="s">
        <v>359</v>
      </c>
      <c r="B2523" s="2" t="str">
        <f>"0001809"</f>
        <v>0001809</v>
      </c>
      <c r="C2523" s="2" t="str">
        <f>"0001809"</f>
        <v>0001809</v>
      </c>
      <c r="D2523" s="2" t="s">
        <v>3329</v>
      </c>
      <c r="E2523" s="4">
        <v>16900</v>
      </c>
    </row>
    <row r="2524" spans="1:5">
      <c r="A2524" s="2" t="s">
        <v>359</v>
      </c>
      <c r="B2524" s="2" t="s">
        <v>3330</v>
      </c>
      <c r="C2524" s="2" t="s">
        <v>3330</v>
      </c>
      <c r="D2524" s="2" t="s">
        <v>3331</v>
      </c>
      <c r="E2524" s="4">
        <v>16000</v>
      </c>
    </row>
    <row r="2525" spans="1:5">
      <c r="A2525" s="2">
        <v>0</v>
      </c>
      <c r="B2525" s="2" t="str">
        <f>"0150080"</f>
        <v>0150080</v>
      </c>
      <c r="C2525" s="2" t="str">
        <f>"0150080"</f>
        <v>0150080</v>
      </c>
      <c r="D2525" s="2" t="s">
        <v>3323</v>
      </c>
      <c r="E2525" s="4">
        <v>19500</v>
      </c>
    </row>
    <row r="2526" spans="1:5">
      <c r="A2526" s="2" t="s">
        <v>1478</v>
      </c>
      <c r="B2526" s="2" t="s">
        <v>3332</v>
      </c>
      <c r="C2526" s="2" t="s">
        <v>3332</v>
      </c>
      <c r="D2526" s="2" t="s">
        <v>3333</v>
      </c>
      <c r="E2526" s="4">
        <v>1000</v>
      </c>
    </row>
    <row r="2527" spans="1:5">
      <c r="A2527" s="2" t="s">
        <v>1478</v>
      </c>
      <c r="B2527" s="2" t="s">
        <v>3334</v>
      </c>
      <c r="C2527" s="2" t="s">
        <v>3334</v>
      </c>
      <c r="D2527" s="2" t="s">
        <v>3335</v>
      </c>
      <c r="E2527" s="4">
        <v>1000</v>
      </c>
    </row>
    <row r="2528" spans="1:5">
      <c r="A2528" s="2" t="s">
        <v>1478</v>
      </c>
      <c r="B2528" s="2" t="s">
        <v>3336</v>
      </c>
      <c r="C2528" s="2" t="s">
        <v>3336</v>
      </c>
      <c r="D2528" s="2" t="s">
        <v>3337</v>
      </c>
      <c r="E2528" s="4">
        <v>1000</v>
      </c>
    </row>
    <row r="2529" spans="1:5">
      <c r="A2529" s="2" t="s">
        <v>1478</v>
      </c>
      <c r="B2529" s="2" t="s">
        <v>3338</v>
      </c>
      <c r="C2529" s="2" t="s">
        <v>3338</v>
      </c>
      <c r="D2529" s="2" t="s">
        <v>3339</v>
      </c>
      <c r="E2529" s="4">
        <v>1000</v>
      </c>
    </row>
    <row r="2530" spans="1:5">
      <c r="A2530" s="2" t="s">
        <v>1478</v>
      </c>
      <c r="B2530" s="2" t="s">
        <v>3340</v>
      </c>
      <c r="C2530" s="2" t="s">
        <v>3340</v>
      </c>
      <c r="D2530" s="2" t="s">
        <v>3341</v>
      </c>
      <c r="E2530" s="4">
        <v>1000</v>
      </c>
    </row>
    <row r="2531" spans="1:5">
      <c r="A2531" s="2" t="s">
        <v>1478</v>
      </c>
      <c r="B2531" s="2" t="s">
        <v>3342</v>
      </c>
      <c r="C2531" s="2" t="s">
        <v>3342</v>
      </c>
      <c r="D2531" s="2" t="s">
        <v>3343</v>
      </c>
      <c r="E2531" s="4">
        <v>1000</v>
      </c>
    </row>
    <row r="2532" spans="1:5">
      <c r="A2532" s="2" t="s">
        <v>1478</v>
      </c>
      <c r="B2532" s="2" t="s">
        <v>3344</v>
      </c>
      <c r="C2532" s="2" t="s">
        <v>3344</v>
      </c>
      <c r="D2532" s="2" t="s">
        <v>3345</v>
      </c>
      <c r="E2532" s="4">
        <v>1000</v>
      </c>
    </row>
    <row r="2533" spans="1:5">
      <c r="A2533" s="2" t="s">
        <v>1478</v>
      </c>
      <c r="B2533" s="2" t="s">
        <v>3346</v>
      </c>
      <c r="C2533" s="2" t="s">
        <v>3346</v>
      </c>
      <c r="D2533" s="2" t="s">
        <v>3347</v>
      </c>
      <c r="E2533" s="4">
        <v>1000</v>
      </c>
    </row>
    <row r="2534" spans="1:5">
      <c r="A2534" s="2" t="s">
        <v>1478</v>
      </c>
      <c r="B2534" s="2" t="s">
        <v>3348</v>
      </c>
      <c r="C2534" s="2" t="s">
        <v>3348</v>
      </c>
      <c r="D2534" s="2" t="s">
        <v>3349</v>
      </c>
      <c r="E2534" s="4">
        <v>1000</v>
      </c>
    </row>
    <row r="2535" spans="1:5">
      <c r="A2535" s="2" t="s">
        <v>1478</v>
      </c>
      <c r="B2535" s="2" t="s">
        <v>3350</v>
      </c>
      <c r="C2535" s="2" t="s">
        <v>3350</v>
      </c>
      <c r="D2535" s="2" t="s">
        <v>3351</v>
      </c>
      <c r="E2535" s="4">
        <v>1000</v>
      </c>
    </row>
    <row r="2536" spans="1:5">
      <c r="A2536" s="2" t="s">
        <v>1478</v>
      </c>
      <c r="B2536" s="2" t="s">
        <v>3352</v>
      </c>
      <c r="C2536" s="2" t="s">
        <v>3352</v>
      </c>
      <c r="D2536" s="2" t="s">
        <v>3353</v>
      </c>
      <c r="E2536" s="4">
        <v>1000</v>
      </c>
    </row>
    <row r="2537" spans="1:5">
      <c r="A2537" s="2" t="s">
        <v>1478</v>
      </c>
      <c r="B2537" s="2" t="s">
        <v>3354</v>
      </c>
      <c r="C2537" s="2" t="s">
        <v>3354</v>
      </c>
      <c r="D2537" s="2" t="s">
        <v>3355</v>
      </c>
      <c r="E2537" s="4">
        <v>1000</v>
      </c>
    </row>
    <row r="2538" spans="1:5">
      <c r="A2538" s="2" t="s">
        <v>1478</v>
      </c>
      <c r="B2538" s="2" t="s">
        <v>3356</v>
      </c>
      <c r="C2538" s="2" t="s">
        <v>3356</v>
      </c>
      <c r="D2538" s="2" t="s">
        <v>3357</v>
      </c>
      <c r="E2538" s="4">
        <v>1000</v>
      </c>
    </row>
    <row r="2539" spans="1:5">
      <c r="A2539" s="2" t="s">
        <v>1478</v>
      </c>
      <c r="B2539" s="2" t="s">
        <v>3358</v>
      </c>
      <c r="C2539" s="2" t="s">
        <v>3358</v>
      </c>
      <c r="D2539" s="2" t="s">
        <v>3359</v>
      </c>
      <c r="E2539" s="4">
        <v>1000</v>
      </c>
    </row>
    <row r="2540" spans="1:5">
      <c r="A2540" s="2" t="s">
        <v>1478</v>
      </c>
      <c r="B2540" s="2" t="s">
        <v>3360</v>
      </c>
      <c r="C2540" s="2" t="s">
        <v>3360</v>
      </c>
      <c r="D2540" s="2" t="s">
        <v>3361</v>
      </c>
      <c r="E2540" s="4">
        <v>1000</v>
      </c>
    </row>
    <row r="2541" spans="1:5">
      <c r="A2541" s="2" t="s">
        <v>1478</v>
      </c>
      <c r="B2541" s="2" t="s">
        <v>3362</v>
      </c>
      <c r="C2541" s="2" t="s">
        <v>3362</v>
      </c>
      <c r="D2541" s="2" t="s">
        <v>3363</v>
      </c>
      <c r="E2541" s="4">
        <v>1000</v>
      </c>
    </row>
    <row r="2542" spans="1:5">
      <c r="A2542" s="2" t="s">
        <v>1478</v>
      </c>
      <c r="B2542" s="2" t="s">
        <v>3364</v>
      </c>
      <c r="C2542" s="2" t="s">
        <v>3364</v>
      </c>
      <c r="D2542" s="2" t="s">
        <v>3365</v>
      </c>
      <c r="E2542" s="4">
        <v>1000</v>
      </c>
    </row>
    <row r="2543" spans="1:5">
      <c r="A2543" s="2" t="s">
        <v>1478</v>
      </c>
      <c r="B2543" s="2" t="str">
        <f>"71071"</f>
        <v>71071</v>
      </c>
      <c r="C2543" s="2" t="str">
        <f>"71071"</f>
        <v>71071</v>
      </c>
      <c r="D2543" s="2" t="s">
        <v>3366</v>
      </c>
      <c r="E2543" s="4">
        <v>6500</v>
      </c>
    </row>
    <row r="2544" spans="1:5">
      <c r="A2544" s="2" t="s">
        <v>1478</v>
      </c>
      <c r="B2544" s="2" t="str">
        <f>"0014122"</f>
        <v>0014122</v>
      </c>
      <c r="C2544" s="2" t="str">
        <f>"0014122"</f>
        <v>0014122</v>
      </c>
      <c r="D2544" s="2" t="s">
        <v>3367</v>
      </c>
      <c r="E2544" s="4">
        <v>115000</v>
      </c>
    </row>
    <row r="2545" spans="1:5">
      <c r="A2545" s="2" t="s">
        <v>1478</v>
      </c>
      <c r="B2545" s="2" t="str">
        <f>"0014712"</f>
        <v>0014712</v>
      </c>
      <c r="C2545" s="2" t="str">
        <f>"0014712"</f>
        <v>0014712</v>
      </c>
      <c r="D2545" s="2" t="s">
        <v>3368</v>
      </c>
      <c r="E2545" s="4">
        <v>97000</v>
      </c>
    </row>
    <row r="2546" spans="1:5">
      <c r="A2546" s="2" t="s">
        <v>296</v>
      </c>
      <c r="B2546" s="2" t="str">
        <f>"015000"</f>
        <v>015000</v>
      </c>
      <c r="C2546" s="2" t="str">
        <f>"015000"</f>
        <v>015000</v>
      </c>
      <c r="D2546" s="2" t="s">
        <v>3369</v>
      </c>
      <c r="E2546" s="4">
        <v>38500</v>
      </c>
    </row>
    <row r="2547" spans="1:5">
      <c r="A2547" s="2" t="s">
        <v>296</v>
      </c>
      <c r="B2547" s="2" t="str">
        <f>"260691"</f>
        <v>260691</v>
      </c>
      <c r="C2547" s="2" t="str">
        <f>"260691"</f>
        <v>260691</v>
      </c>
      <c r="D2547" s="2" t="s">
        <v>3370</v>
      </c>
      <c r="E2547" s="4">
        <v>11500</v>
      </c>
    </row>
    <row r="2548" spans="1:5">
      <c r="A2548" s="2" t="s">
        <v>296</v>
      </c>
      <c r="B2548" s="2" t="s">
        <v>3371</v>
      </c>
      <c r="C2548" s="2" t="s">
        <v>3371</v>
      </c>
      <c r="D2548" s="2" t="s">
        <v>3372</v>
      </c>
      <c r="E2548" s="4">
        <v>5200</v>
      </c>
    </row>
    <row r="2549" spans="1:5">
      <c r="A2549" s="2" t="s">
        <v>296</v>
      </c>
      <c r="B2549" s="2" t="str">
        <f>"287788"</f>
        <v>287788</v>
      </c>
      <c r="C2549" s="2" t="str">
        <f>"287788"</f>
        <v>287788</v>
      </c>
      <c r="D2549" s="2" t="s">
        <v>3373</v>
      </c>
      <c r="E2549" s="4">
        <v>38000</v>
      </c>
    </row>
    <row r="2550" spans="1:5">
      <c r="A2550" s="2" t="s">
        <v>296</v>
      </c>
      <c r="B2550" s="2" t="str">
        <f>"170718"</f>
        <v>170718</v>
      </c>
      <c r="C2550" s="2" t="str">
        <f>"170718"</f>
        <v>170718</v>
      </c>
      <c r="D2550" s="2" t="s">
        <v>3374</v>
      </c>
      <c r="E2550" s="4">
        <v>8500</v>
      </c>
    </row>
    <row r="2551" spans="1:5">
      <c r="A2551" s="2" t="s">
        <v>296</v>
      </c>
      <c r="B2551" s="2" t="str">
        <f>"260622"</f>
        <v>260622</v>
      </c>
      <c r="C2551" s="2" t="str">
        <f>"260622"</f>
        <v>260622</v>
      </c>
      <c r="D2551" s="2" t="s">
        <v>3375</v>
      </c>
      <c r="E2551" s="4">
        <v>6783</v>
      </c>
    </row>
    <row r="2552" spans="1:5">
      <c r="A2552" s="2" t="s">
        <v>296</v>
      </c>
      <c r="B2552" s="2" t="s">
        <v>3376</v>
      </c>
      <c r="C2552" s="2" t="s">
        <v>3376</v>
      </c>
      <c r="D2552" s="2" t="s">
        <v>3377</v>
      </c>
      <c r="E2552" s="4">
        <v>4800</v>
      </c>
    </row>
    <row r="2553" spans="1:5">
      <c r="A2553" s="2" t="s">
        <v>296</v>
      </c>
      <c r="B2553" s="2" t="s">
        <v>3378</v>
      </c>
      <c r="C2553" s="2" t="s">
        <v>3378</v>
      </c>
      <c r="D2553" s="2" t="s">
        <v>3379</v>
      </c>
      <c r="E2553" s="4">
        <v>4800</v>
      </c>
    </row>
    <row r="2554" spans="1:5">
      <c r="A2554" s="2" t="s">
        <v>296</v>
      </c>
      <c r="B2554" s="2" t="s">
        <v>3380</v>
      </c>
      <c r="C2554" s="2" t="s">
        <v>3380</v>
      </c>
      <c r="D2554" s="2" t="s">
        <v>3381</v>
      </c>
      <c r="E2554" s="4">
        <v>4800</v>
      </c>
    </row>
    <row r="2555" spans="1:5">
      <c r="A2555" s="2" t="s">
        <v>296</v>
      </c>
      <c r="B2555" s="2" t="str">
        <f>"0300568"</f>
        <v>0300568</v>
      </c>
      <c r="C2555" s="2" t="str">
        <f>"0300568"</f>
        <v>0300568</v>
      </c>
      <c r="D2555" s="2" t="s">
        <v>3382</v>
      </c>
      <c r="E2555" s="4">
        <v>9700</v>
      </c>
    </row>
    <row r="2556" spans="1:5">
      <c r="A2556" s="2" t="s">
        <v>296</v>
      </c>
      <c r="B2556" s="2" t="s">
        <v>3383</v>
      </c>
      <c r="C2556" s="2" t="s">
        <v>3383</v>
      </c>
      <c r="D2556" s="2" t="s">
        <v>3384</v>
      </c>
      <c r="E2556" s="4">
        <v>25000</v>
      </c>
    </row>
    <row r="2557" spans="1:5">
      <c r="A2557" s="2" t="s">
        <v>1478</v>
      </c>
      <c r="B2557" s="2" t="str">
        <f>"260533"</f>
        <v>260533</v>
      </c>
      <c r="C2557" s="2" t="str">
        <f>"260533"</f>
        <v>260533</v>
      </c>
      <c r="D2557" s="2" t="s">
        <v>3385</v>
      </c>
      <c r="E2557" s="4">
        <v>15500</v>
      </c>
    </row>
    <row r="2558" spans="1:5">
      <c r="A2558" s="2" t="s">
        <v>1478</v>
      </c>
      <c r="B2558" s="2" t="s">
        <v>3386</v>
      </c>
      <c r="C2558" s="2" t="s">
        <v>3386</v>
      </c>
      <c r="D2558" s="2" t="s">
        <v>3387</v>
      </c>
      <c r="E2558" s="4">
        <v>9700</v>
      </c>
    </row>
    <row r="2559" spans="1:5">
      <c r="A2559" s="2" t="s">
        <v>1478</v>
      </c>
      <c r="B2559" s="2" t="str">
        <f>"1601650"</f>
        <v>1601650</v>
      </c>
      <c r="C2559" s="2" t="str">
        <f>"1601650"</f>
        <v>1601650</v>
      </c>
      <c r="D2559" s="2" t="s">
        <v>3388</v>
      </c>
      <c r="E2559" s="4">
        <v>12400</v>
      </c>
    </row>
    <row r="2560" spans="1:5">
      <c r="A2560" s="2" t="s">
        <v>1478</v>
      </c>
      <c r="B2560" s="2" t="str">
        <f>"020320283"</f>
        <v>020320283</v>
      </c>
      <c r="C2560" s="2" t="str">
        <f>"7500"</f>
        <v>7500</v>
      </c>
      <c r="D2560" s="2" t="s">
        <v>3388</v>
      </c>
      <c r="E2560" s="4">
        <v>7500</v>
      </c>
    </row>
    <row r="2561" spans="1:5">
      <c r="A2561" s="2" t="s">
        <v>1478</v>
      </c>
      <c r="B2561" s="2" t="str">
        <f>"0008915"</f>
        <v>0008915</v>
      </c>
      <c r="C2561" s="2" t="str">
        <f>"0008915"</f>
        <v>0008915</v>
      </c>
      <c r="D2561" s="2" t="s">
        <v>3389</v>
      </c>
      <c r="E2561" s="4">
        <v>10600</v>
      </c>
    </row>
    <row r="2562" spans="1:5">
      <c r="A2562" s="2" t="s">
        <v>1478</v>
      </c>
      <c r="B2562" s="2" t="s">
        <v>3390</v>
      </c>
      <c r="C2562" s="2" t="s">
        <v>3390</v>
      </c>
      <c r="D2562" s="2" t="s">
        <v>3391</v>
      </c>
      <c r="E2562" s="4">
        <v>10600</v>
      </c>
    </row>
    <row r="2563" spans="1:5">
      <c r="A2563" s="2" t="s">
        <v>1478</v>
      </c>
      <c r="B2563" s="2" t="str">
        <f>"1601660"</f>
        <v>1601660</v>
      </c>
      <c r="C2563" s="2" t="str">
        <f>"0008914"</f>
        <v>0008914</v>
      </c>
      <c r="D2563" s="2" t="s">
        <v>3392</v>
      </c>
      <c r="E2563" s="4">
        <v>13300</v>
      </c>
    </row>
    <row r="2564" spans="1:5">
      <c r="A2564" s="2" t="s">
        <v>1478</v>
      </c>
      <c r="B2564" s="2" t="str">
        <f>"020320144"</f>
        <v>020320144</v>
      </c>
      <c r="C2564" s="2" t="str">
        <f>"020320144"</f>
        <v>020320144</v>
      </c>
      <c r="D2564" s="2" t="s">
        <v>3393</v>
      </c>
      <c r="E2564" s="4">
        <v>8800</v>
      </c>
    </row>
    <row r="2565" spans="1:5">
      <c r="A2565" s="2" t="s">
        <v>1478</v>
      </c>
      <c r="B2565" s="2" t="str">
        <f>"0780-027"</f>
        <v>0780-027</v>
      </c>
      <c r="C2565" s="2" t="str">
        <f>"0780-027"</f>
        <v>0780-027</v>
      </c>
      <c r="D2565" s="2" t="s">
        <v>3394</v>
      </c>
      <c r="E2565" s="4">
        <v>79000</v>
      </c>
    </row>
    <row r="2566" spans="1:5">
      <c r="A2566" s="2" t="s">
        <v>1478</v>
      </c>
      <c r="B2566" s="2" t="str">
        <f>"678978018848"</f>
        <v>678978018848</v>
      </c>
      <c r="C2566" s="2" t="str">
        <f>"0780-030"</f>
        <v>0780-030</v>
      </c>
      <c r="D2566" s="2" t="s">
        <v>3395</v>
      </c>
      <c r="E2566" s="4">
        <v>79000</v>
      </c>
    </row>
    <row r="2567" spans="1:5">
      <c r="A2567" s="2" t="s">
        <v>1478</v>
      </c>
      <c r="B2567" s="2" t="s">
        <v>3396</v>
      </c>
      <c r="C2567" s="2" t="s">
        <v>3396</v>
      </c>
      <c r="D2567" s="2" t="s">
        <v>3397</v>
      </c>
      <c r="E2567" s="4">
        <v>7000</v>
      </c>
    </row>
    <row r="2568" spans="1:5">
      <c r="A2568" s="2" t="s">
        <v>1478</v>
      </c>
      <c r="B2568" s="2" t="s">
        <v>3398</v>
      </c>
      <c r="C2568" s="2" t="s">
        <v>3398</v>
      </c>
      <c r="D2568" s="2" t="s">
        <v>3399</v>
      </c>
      <c r="E2568" s="4">
        <v>8800</v>
      </c>
    </row>
    <row r="2569" spans="1:5">
      <c r="A2569" s="2" t="s">
        <v>1478</v>
      </c>
      <c r="B2569" s="2" t="str">
        <f>"070310111"</f>
        <v>070310111</v>
      </c>
      <c r="C2569" s="2" t="str">
        <f>"070310111"</f>
        <v>070310111</v>
      </c>
      <c r="D2569" s="2" t="s">
        <v>3400</v>
      </c>
      <c r="E2569" s="4">
        <v>25000</v>
      </c>
    </row>
    <row r="2570" spans="1:5">
      <c r="A2570" s="2" t="s">
        <v>1478</v>
      </c>
      <c r="B2570" s="2" t="str">
        <f>"287582"</f>
        <v>287582</v>
      </c>
      <c r="C2570" s="2" t="str">
        <f>"287582"</f>
        <v>287582</v>
      </c>
      <c r="D2570" s="2" t="s">
        <v>3401</v>
      </c>
      <c r="E2570" s="4">
        <v>18700</v>
      </c>
    </row>
    <row r="2571" spans="1:5">
      <c r="A2571" s="2" t="s">
        <v>1478</v>
      </c>
      <c r="B2571" s="2" t="str">
        <f>"8-97184-993"</f>
        <v>8-97184-993</v>
      </c>
      <c r="C2571" s="2" t="str">
        <f>"8-97184-993"</f>
        <v>8-97184-993</v>
      </c>
      <c r="D2571" s="2" t="s">
        <v>3402</v>
      </c>
      <c r="E2571" s="4">
        <v>8800</v>
      </c>
    </row>
    <row r="2572" spans="1:5">
      <c r="A2572" s="2" t="s">
        <v>1478</v>
      </c>
      <c r="B2572" s="2" t="s">
        <v>3403</v>
      </c>
      <c r="C2572" s="2" t="s">
        <v>3403</v>
      </c>
      <c r="D2572" s="2" t="s">
        <v>3404</v>
      </c>
      <c r="E2572" s="4">
        <v>9500</v>
      </c>
    </row>
    <row r="2573" spans="1:5">
      <c r="A2573" s="2" t="s">
        <v>1478</v>
      </c>
      <c r="B2573" s="2" t="s">
        <v>3405</v>
      </c>
      <c r="C2573" s="2" t="s">
        <v>3406</v>
      </c>
      <c r="D2573" s="2" t="s">
        <v>3407</v>
      </c>
      <c r="E2573" s="4">
        <v>9700</v>
      </c>
    </row>
    <row r="2574" spans="1:5">
      <c r="A2574" s="2" t="s">
        <v>1478</v>
      </c>
      <c r="B2574" s="2" t="str">
        <f>"020320197"</f>
        <v>020320197</v>
      </c>
      <c r="C2574" s="2" t="str">
        <f>"020320197"</f>
        <v>020320197</v>
      </c>
      <c r="D2574" s="2" t="s">
        <v>3408</v>
      </c>
      <c r="E2574" s="4">
        <v>6700</v>
      </c>
    </row>
    <row r="2575" spans="1:5">
      <c r="A2575" s="2" t="s">
        <v>1478</v>
      </c>
      <c r="B2575" s="2" t="str">
        <f>"020320038"</f>
        <v>020320038</v>
      </c>
      <c r="C2575" s="2" t="str">
        <f>"020320038"</f>
        <v>020320038</v>
      </c>
      <c r="D2575" s="2" t="s">
        <v>3409</v>
      </c>
      <c r="E2575" s="4">
        <v>9700</v>
      </c>
    </row>
    <row r="2576" spans="1:5">
      <c r="A2576" s="2" t="s">
        <v>1478</v>
      </c>
      <c r="B2576" s="2" t="s">
        <v>3410</v>
      </c>
      <c r="C2576" s="2" t="str">
        <f>"0008899"</f>
        <v>0008899</v>
      </c>
      <c r="D2576" s="2" t="s">
        <v>3411</v>
      </c>
      <c r="E2576" s="4">
        <v>11500</v>
      </c>
    </row>
    <row r="2577" spans="1:5">
      <c r="A2577" s="2" t="s">
        <v>1478</v>
      </c>
      <c r="B2577" s="2" t="str">
        <f>"016624"</f>
        <v>016624</v>
      </c>
      <c r="C2577" s="2" t="str">
        <f>"016624"</f>
        <v>016624</v>
      </c>
      <c r="D2577" s="2" t="s">
        <v>3411</v>
      </c>
      <c r="E2577" s="4">
        <v>15000</v>
      </c>
    </row>
    <row r="2578" spans="1:5">
      <c r="A2578" s="2" t="s">
        <v>1478</v>
      </c>
      <c r="B2578" s="2" t="str">
        <f>"0001718"</f>
        <v>0001718</v>
      </c>
      <c r="C2578" s="2" t="str">
        <f>"0001718"</f>
        <v>0001718</v>
      </c>
      <c r="D2578" s="2" t="s">
        <v>3411</v>
      </c>
      <c r="E2578" s="4">
        <v>16000</v>
      </c>
    </row>
    <row r="2579" spans="1:5">
      <c r="A2579" s="2" t="s">
        <v>1478</v>
      </c>
      <c r="B2579" s="2" t="str">
        <f>"0400660"</f>
        <v>0400660</v>
      </c>
      <c r="C2579" s="2" t="str">
        <f>"0400660"</f>
        <v>0400660</v>
      </c>
      <c r="D2579" s="2" t="s">
        <v>3411</v>
      </c>
      <c r="E2579" s="4">
        <v>14200</v>
      </c>
    </row>
    <row r="2580" spans="1:5">
      <c r="A2580" s="2" t="s">
        <v>1478</v>
      </c>
      <c r="B2580" s="2" t="str">
        <f>"287292"</f>
        <v>287292</v>
      </c>
      <c r="C2580" s="2" t="str">
        <f>"287292"</f>
        <v>287292</v>
      </c>
      <c r="D2580" s="2" t="s">
        <v>3412</v>
      </c>
      <c r="E2580" s="4">
        <v>18000</v>
      </c>
    </row>
    <row r="2581" spans="1:5">
      <c r="A2581" s="2" t="s">
        <v>1478</v>
      </c>
      <c r="B2581" s="2" t="str">
        <f>"1221454-5"</f>
        <v>1221454-5</v>
      </c>
      <c r="C2581" s="2" t="str">
        <f>"1221454-5"</f>
        <v>1221454-5</v>
      </c>
      <c r="D2581" s="2" t="s">
        <v>3413</v>
      </c>
      <c r="E2581" s="4">
        <v>24000</v>
      </c>
    </row>
    <row r="2582" spans="1:5">
      <c r="A2582" s="2" t="s">
        <v>1478</v>
      </c>
      <c r="B2582" s="2" t="str">
        <f>"014759"</f>
        <v>014759</v>
      </c>
      <c r="C2582" s="2" t="str">
        <f>"014759"</f>
        <v>014759</v>
      </c>
      <c r="D2582" s="2" t="s">
        <v>3414</v>
      </c>
      <c r="E2582" s="4">
        <v>14200</v>
      </c>
    </row>
    <row r="2583" spans="1:5">
      <c r="A2583" s="2" t="s">
        <v>1478</v>
      </c>
      <c r="B2583" s="2" t="str">
        <f>"0030537"</f>
        <v>0030537</v>
      </c>
      <c r="C2583" s="2" t="str">
        <f>"0030537"</f>
        <v>0030537</v>
      </c>
      <c r="D2583" s="2" t="s">
        <v>3415</v>
      </c>
      <c r="E2583" s="4">
        <v>11500</v>
      </c>
    </row>
    <row r="2584" spans="1:5">
      <c r="A2584" s="2" t="s">
        <v>296</v>
      </c>
      <c r="B2584" s="2" t="str">
        <f>"020980581"</f>
        <v>020980581</v>
      </c>
      <c r="C2584" s="2" t="str">
        <f>"020980581"</f>
        <v>020980581</v>
      </c>
      <c r="D2584" s="2" t="s">
        <v>3416</v>
      </c>
      <c r="E2584" s="4">
        <v>4300</v>
      </c>
    </row>
    <row r="2585" spans="1:5">
      <c r="A2585" s="2" t="s">
        <v>296</v>
      </c>
      <c r="B2585" s="2" t="str">
        <f>"020980579"</f>
        <v>020980579</v>
      </c>
      <c r="C2585" s="2" t="str">
        <f>"020980579"</f>
        <v>020980579</v>
      </c>
      <c r="D2585" s="2" t="s">
        <v>3417</v>
      </c>
      <c r="E2585" s="4">
        <v>25000</v>
      </c>
    </row>
    <row r="2586" spans="1:5">
      <c r="A2586" s="2" t="s">
        <v>296</v>
      </c>
      <c r="B2586" s="2" t="str">
        <f>"020980584"</f>
        <v>020980584</v>
      </c>
      <c r="C2586" s="2" t="str">
        <f>"020980584"</f>
        <v>020980584</v>
      </c>
      <c r="D2586" s="2" t="s">
        <v>3418</v>
      </c>
      <c r="E2586" s="4">
        <v>4300</v>
      </c>
    </row>
    <row r="2587" spans="1:5">
      <c r="A2587" s="2" t="s">
        <v>296</v>
      </c>
      <c r="B2587" s="2" t="str">
        <f>"062040"</f>
        <v>062040</v>
      </c>
      <c r="C2587" s="2" t="str">
        <f>"062040"</f>
        <v>062040</v>
      </c>
      <c r="D2587" s="2" t="s">
        <v>3419</v>
      </c>
      <c r="E2587" s="4">
        <v>45900</v>
      </c>
    </row>
    <row r="2588" spans="1:5">
      <c r="A2588" s="2" t="s">
        <v>365</v>
      </c>
      <c r="B2588" s="2" t="s">
        <v>3420</v>
      </c>
      <c r="C2588" s="2" t="s">
        <v>3420</v>
      </c>
      <c r="D2588" s="2" t="s">
        <v>3421</v>
      </c>
      <c r="E2588" s="4">
        <v>101150</v>
      </c>
    </row>
    <row r="2589" spans="1:5">
      <c r="A2589" s="2" t="s">
        <v>2544</v>
      </c>
      <c r="B2589" s="2" t="str">
        <f>"011696"</f>
        <v>011696</v>
      </c>
      <c r="C2589" s="2" t="str">
        <f>"011696"</f>
        <v>011696</v>
      </c>
      <c r="D2589" s="2" t="s">
        <v>3422</v>
      </c>
      <c r="E2589" s="4">
        <v>2300</v>
      </c>
    </row>
    <row r="2590" spans="1:5">
      <c r="A2590" s="2" t="s">
        <v>2544</v>
      </c>
      <c r="B2590" s="2" t="str">
        <f>"011701"</f>
        <v>011701</v>
      </c>
      <c r="C2590" s="2" t="str">
        <f>"011701"</f>
        <v>011701</v>
      </c>
      <c r="D2590" s="2" t="s">
        <v>3423</v>
      </c>
      <c r="E2590" s="4">
        <v>2500</v>
      </c>
    </row>
    <row r="2591" spans="1:5">
      <c r="A2591" s="2" t="s">
        <v>2544</v>
      </c>
      <c r="B2591" s="2" t="str">
        <f>"011698"</f>
        <v>011698</v>
      </c>
      <c r="C2591" s="2" t="str">
        <f>"011698"</f>
        <v>011698</v>
      </c>
      <c r="D2591" s="2" t="s">
        <v>3424</v>
      </c>
      <c r="E2591" s="4">
        <v>2000</v>
      </c>
    </row>
    <row r="2592" spans="1:5">
      <c r="A2592" s="2" t="s">
        <v>2544</v>
      </c>
      <c r="B2592" s="2" t="str">
        <f>"22-311"</f>
        <v>22-311</v>
      </c>
      <c r="C2592" s="2" t="str">
        <f>"22 311"</f>
        <v>22 311</v>
      </c>
      <c r="D2592" s="2" t="s">
        <v>3425</v>
      </c>
      <c r="E2592" s="4">
        <v>3400</v>
      </c>
    </row>
    <row r="2593" spans="1:5">
      <c r="A2593" s="2" t="s">
        <v>2544</v>
      </c>
      <c r="B2593" s="2" t="str">
        <f>"011712"</f>
        <v>011712</v>
      </c>
      <c r="C2593" s="2" t="str">
        <f>"011712"</f>
        <v>011712</v>
      </c>
      <c r="D2593" s="2" t="s">
        <v>3426</v>
      </c>
      <c r="E2593" s="4">
        <v>3900</v>
      </c>
    </row>
    <row r="2594" spans="1:5">
      <c r="A2594" s="2" t="s">
        <v>2544</v>
      </c>
      <c r="B2594" s="2" t="str">
        <f>"2393-205"</f>
        <v>2393-205</v>
      </c>
      <c r="C2594" s="2" t="str">
        <f>"2393-205"</f>
        <v>2393-205</v>
      </c>
      <c r="D2594" s="2" t="s">
        <v>3427</v>
      </c>
      <c r="E2594" s="4">
        <v>2500</v>
      </c>
    </row>
    <row r="2595" spans="1:5">
      <c r="A2595" s="2" t="s">
        <v>2544</v>
      </c>
      <c r="B2595" s="2" t="str">
        <f>"22-465"</f>
        <v>22-465</v>
      </c>
      <c r="C2595" s="2" t="str">
        <f>"22 465"</f>
        <v>22 465</v>
      </c>
      <c r="D2595" s="2" t="s">
        <v>3428</v>
      </c>
      <c r="E2595" s="4">
        <v>2500</v>
      </c>
    </row>
    <row r="2596" spans="1:5">
      <c r="A2596" s="2" t="s">
        <v>2544</v>
      </c>
      <c r="B2596" s="2" t="str">
        <f>"011710"</f>
        <v>011710</v>
      </c>
      <c r="C2596" s="2" t="str">
        <f>"011710"</f>
        <v>011710</v>
      </c>
      <c r="D2596" s="2" t="s">
        <v>3429</v>
      </c>
      <c r="E2596" s="4">
        <v>3900</v>
      </c>
    </row>
    <row r="2597" spans="1:5">
      <c r="A2597" s="2" t="s">
        <v>2544</v>
      </c>
      <c r="B2597" s="2" t="str">
        <f>"011708"</f>
        <v>011708</v>
      </c>
      <c r="C2597" s="2" t="str">
        <f>"011708"</f>
        <v>011708</v>
      </c>
      <c r="D2597" s="2" t="s">
        <v>3430</v>
      </c>
      <c r="E2597" s="4">
        <v>3500</v>
      </c>
    </row>
    <row r="2598" spans="1:5">
      <c r="A2598" s="2" t="s">
        <v>2544</v>
      </c>
      <c r="B2598" s="2" t="str">
        <f>"403212-8"</f>
        <v>403212-8</v>
      </c>
      <c r="C2598" s="2" t="str">
        <f>"011700"</f>
        <v>011700</v>
      </c>
      <c r="D2598" s="2" t="s">
        <v>3431</v>
      </c>
      <c r="E2598" s="4">
        <v>3500</v>
      </c>
    </row>
    <row r="2599" spans="1:5">
      <c r="A2599" s="2" t="s">
        <v>2544</v>
      </c>
      <c r="B2599" s="2" t="str">
        <f>"011681"</f>
        <v>011681</v>
      </c>
      <c r="C2599" s="2" t="str">
        <f>"011681"</f>
        <v>011681</v>
      </c>
      <c r="D2599" s="2" t="s">
        <v>3432</v>
      </c>
      <c r="E2599" s="4">
        <v>2800</v>
      </c>
    </row>
    <row r="2600" spans="1:5">
      <c r="A2600" s="2" t="s">
        <v>2544</v>
      </c>
      <c r="B2600" s="2" t="s">
        <v>3433</v>
      </c>
      <c r="C2600" s="2" t="s">
        <v>3434</v>
      </c>
      <c r="D2600" s="2" t="s">
        <v>3432</v>
      </c>
      <c r="E2600" s="4">
        <v>2800</v>
      </c>
    </row>
    <row r="2601" spans="1:5">
      <c r="A2601" s="2" t="s">
        <v>2544</v>
      </c>
      <c r="B2601" s="2" t="str">
        <f>"22662"</f>
        <v>22662</v>
      </c>
      <c r="C2601" s="2" t="str">
        <f>"22662"</f>
        <v>22662</v>
      </c>
      <c r="D2601" s="2" t="s">
        <v>3432</v>
      </c>
      <c r="E2601" s="4">
        <v>1500</v>
      </c>
    </row>
    <row r="2602" spans="1:5">
      <c r="A2602" s="2" t="s">
        <v>365</v>
      </c>
      <c r="B2602" s="2" t="str">
        <f>"48750"</f>
        <v>48750</v>
      </c>
      <c r="C2602" s="2" t="str">
        <f>"48750"</f>
        <v>48750</v>
      </c>
      <c r="D2602" s="2" t="s">
        <v>3435</v>
      </c>
      <c r="E2602" s="4">
        <v>3500</v>
      </c>
    </row>
    <row r="2603" spans="1:5">
      <c r="A2603" s="2" t="s">
        <v>296</v>
      </c>
      <c r="B2603" s="2" t="s">
        <v>3436</v>
      </c>
      <c r="C2603" s="2" t="s">
        <v>3436</v>
      </c>
      <c r="D2603" s="2" t="s">
        <v>3437</v>
      </c>
      <c r="E2603" s="4">
        <v>8000</v>
      </c>
    </row>
    <row r="2604" spans="1:5">
      <c r="A2604" s="2" t="s">
        <v>296</v>
      </c>
      <c r="B2604" s="2" t="s">
        <v>3438</v>
      </c>
      <c r="C2604" s="2" t="s">
        <v>3438</v>
      </c>
      <c r="D2604" s="2" t="s">
        <v>3439</v>
      </c>
      <c r="E2604" s="4">
        <v>9000</v>
      </c>
    </row>
    <row r="2605" spans="1:5">
      <c r="A2605" s="2" t="s">
        <v>296</v>
      </c>
      <c r="B2605" s="2" t="s">
        <v>3440</v>
      </c>
      <c r="C2605" s="2" t="s">
        <v>3440</v>
      </c>
      <c r="D2605" s="2" t="s">
        <v>3441</v>
      </c>
      <c r="E2605" s="4">
        <v>10000</v>
      </c>
    </row>
    <row r="2606" spans="1:5">
      <c r="A2606" s="2" t="s">
        <v>3442</v>
      </c>
      <c r="B2606" s="2" t="str">
        <f>"319010"</f>
        <v>319010</v>
      </c>
      <c r="C2606" s="2" t="str">
        <f>"319010"</f>
        <v>319010</v>
      </c>
      <c r="D2606" s="2" t="s">
        <v>3443</v>
      </c>
      <c r="E2606" s="4">
        <v>3000</v>
      </c>
    </row>
    <row r="2607" spans="1:5">
      <c r="A2607" s="2" t="s">
        <v>3442</v>
      </c>
      <c r="B2607" s="2" t="str">
        <f>"319026"</f>
        <v>319026</v>
      </c>
      <c r="C2607" s="2" t="str">
        <f>"319026"</f>
        <v>319026</v>
      </c>
      <c r="D2607" s="2" t="s">
        <v>3444</v>
      </c>
      <c r="E2607" s="4">
        <v>3500</v>
      </c>
    </row>
    <row r="2608" spans="1:5">
      <c r="A2608" s="2" t="s">
        <v>3442</v>
      </c>
      <c r="B2608" s="2" t="str">
        <f>"070250364"</f>
        <v>070250364</v>
      </c>
      <c r="C2608" s="2" t="str">
        <f>"070250364"</f>
        <v>070250364</v>
      </c>
      <c r="D2608" s="2" t="s">
        <v>3445</v>
      </c>
      <c r="E2608" s="4">
        <v>3300</v>
      </c>
    </row>
    <row r="2609" spans="1:5">
      <c r="A2609" s="2" t="s">
        <v>3442</v>
      </c>
      <c r="B2609" s="2" t="str">
        <f>"010250761"</f>
        <v>010250761</v>
      </c>
      <c r="C2609" s="2" t="str">
        <f>"010250761"</f>
        <v>010250761</v>
      </c>
      <c r="D2609" s="2" t="s">
        <v>3446</v>
      </c>
      <c r="E2609" s="4">
        <v>4000</v>
      </c>
    </row>
    <row r="2610" spans="1:5">
      <c r="A2610" s="2" t="s">
        <v>3442</v>
      </c>
      <c r="B2610" s="2" t="str">
        <f>"4443-1067"</f>
        <v>4443-1067</v>
      </c>
      <c r="C2610" s="2" t="str">
        <f>"4443-1067"</f>
        <v>4443-1067</v>
      </c>
      <c r="D2610" s="2" t="s">
        <v>3447</v>
      </c>
      <c r="E2610" s="4">
        <v>3000</v>
      </c>
    </row>
    <row r="2611" spans="1:5">
      <c r="A2611" s="2" t="s">
        <v>3442</v>
      </c>
      <c r="B2611" s="2" t="str">
        <f>"284932"</f>
        <v>284932</v>
      </c>
      <c r="C2611" s="2" t="str">
        <f>"284932"</f>
        <v>284932</v>
      </c>
      <c r="D2611" s="2" t="s">
        <v>3448</v>
      </c>
      <c r="E2611" s="4">
        <v>4700</v>
      </c>
    </row>
    <row r="2612" spans="1:5">
      <c r="A2612" s="2" t="s">
        <v>3442</v>
      </c>
      <c r="B2612" s="2" t="str">
        <f>"9950521"</f>
        <v>9950521</v>
      </c>
      <c r="C2612" s="2" t="str">
        <f>"9950521"</f>
        <v>9950521</v>
      </c>
      <c r="D2612" s="2" t="s">
        <v>3449</v>
      </c>
      <c r="E2612" s="4">
        <v>7000</v>
      </c>
    </row>
    <row r="2613" spans="1:5">
      <c r="A2613" s="2" t="s">
        <v>3442</v>
      </c>
      <c r="B2613" s="2" t="str">
        <f>"325432"</f>
        <v>325432</v>
      </c>
      <c r="C2613" s="2" t="str">
        <f>"325432"</f>
        <v>325432</v>
      </c>
      <c r="D2613" s="2" t="s">
        <v>3450</v>
      </c>
      <c r="E2613" s="4">
        <v>4500</v>
      </c>
    </row>
    <row r="2614" spans="1:5">
      <c r="A2614" s="2" t="s">
        <v>3442</v>
      </c>
      <c r="B2614" s="2" t="str">
        <f>"070250365"</f>
        <v>070250365</v>
      </c>
      <c r="C2614" s="2" t="str">
        <f>"070250365"</f>
        <v>070250365</v>
      </c>
      <c r="D2614" s="2" t="s">
        <v>3451</v>
      </c>
      <c r="E2614" s="4">
        <v>3000</v>
      </c>
    </row>
    <row r="2615" spans="1:5">
      <c r="A2615" s="2" t="s">
        <v>3442</v>
      </c>
      <c r="B2615" s="2" t="str">
        <f>"319416"</f>
        <v>319416</v>
      </c>
      <c r="C2615" s="2" t="str">
        <f>"319416"</f>
        <v>319416</v>
      </c>
      <c r="D2615" s="2" t="s">
        <v>3452</v>
      </c>
      <c r="E2615" s="4">
        <v>8200</v>
      </c>
    </row>
    <row r="2616" spans="1:5">
      <c r="A2616" s="2" t="s">
        <v>3442</v>
      </c>
      <c r="B2616" s="2" t="str">
        <f>"070250121"</f>
        <v>070250121</v>
      </c>
      <c r="C2616" s="2" t="str">
        <f>"070250121"</f>
        <v>070250121</v>
      </c>
      <c r="D2616" s="2" t="s">
        <v>3453</v>
      </c>
      <c r="E2616" s="4">
        <v>4300</v>
      </c>
    </row>
    <row r="2617" spans="1:5">
      <c r="A2617" s="2" t="s">
        <v>3442</v>
      </c>
      <c r="B2617" s="2" t="str">
        <f>"070250123"</f>
        <v>070250123</v>
      </c>
      <c r="C2617" s="2" t="str">
        <f>"070250123"</f>
        <v>070250123</v>
      </c>
      <c r="D2617" s="2" t="s">
        <v>3454</v>
      </c>
      <c r="E2617" s="4">
        <v>5200</v>
      </c>
    </row>
    <row r="2618" spans="1:5">
      <c r="A2618" s="2" t="s">
        <v>3442</v>
      </c>
      <c r="B2618" s="2" t="str">
        <f>"070250125"</f>
        <v>070250125</v>
      </c>
      <c r="C2618" s="2" t="str">
        <f>"070250125"</f>
        <v>070250125</v>
      </c>
      <c r="D2618" s="2" t="s">
        <v>3455</v>
      </c>
      <c r="E2618" s="4">
        <v>4000</v>
      </c>
    </row>
    <row r="2619" spans="1:5">
      <c r="A2619" s="2" t="s">
        <v>3442</v>
      </c>
      <c r="B2619" s="2" t="str">
        <f>"070250127"</f>
        <v>070250127</v>
      </c>
      <c r="C2619" s="2" t="str">
        <f>"070250127"</f>
        <v>070250127</v>
      </c>
      <c r="D2619" s="2" t="s">
        <v>3456</v>
      </c>
      <c r="E2619" s="4">
        <v>4000</v>
      </c>
    </row>
    <row r="2620" spans="1:5">
      <c r="A2620" s="2" t="s">
        <v>3442</v>
      </c>
      <c r="B2620" s="2" t="str">
        <f>"070250129"</f>
        <v>070250129</v>
      </c>
      <c r="C2620" s="2" t="str">
        <f>"070250129"</f>
        <v>070250129</v>
      </c>
      <c r="D2620" s="2" t="s">
        <v>3457</v>
      </c>
      <c r="E2620" s="4">
        <v>3400</v>
      </c>
    </row>
    <row r="2621" spans="1:5">
      <c r="A2621" s="2" t="s">
        <v>3442</v>
      </c>
      <c r="B2621" s="2" t="str">
        <f>"2345420"</f>
        <v>2345420</v>
      </c>
      <c r="C2621" s="2" t="str">
        <f>"2345420"</f>
        <v>2345420</v>
      </c>
      <c r="D2621" s="2" t="s">
        <v>3458</v>
      </c>
      <c r="E2621" s="4">
        <v>3000</v>
      </c>
    </row>
    <row r="2622" spans="1:5">
      <c r="A2622" s="2" t="s">
        <v>3442</v>
      </c>
      <c r="B2622" s="2" t="str">
        <f>"319408"</f>
        <v>319408</v>
      </c>
      <c r="C2622" s="2" t="str">
        <f>"319408"</f>
        <v>319408</v>
      </c>
      <c r="D2622" s="2" t="s">
        <v>3459</v>
      </c>
      <c r="E2622" s="4">
        <v>6100</v>
      </c>
    </row>
    <row r="2623" spans="1:5">
      <c r="A2623" s="2" t="s">
        <v>3442</v>
      </c>
      <c r="B2623" s="2" t="str">
        <f>"070250128"</f>
        <v>070250128</v>
      </c>
      <c r="C2623" s="2" t="str">
        <f>"070250128"</f>
        <v>070250128</v>
      </c>
      <c r="D2623" s="2" t="s">
        <v>3460</v>
      </c>
      <c r="E2623" s="4">
        <v>4300</v>
      </c>
    </row>
    <row r="2624" spans="1:5">
      <c r="A2624" s="2" t="s">
        <v>3442</v>
      </c>
      <c r="B2624" s="2" t="str">
        <f>"319412M"</f>
        <v>319412M</v>
      </c>
      <c r="C2624" s="2" t="str">
        <f>"319412M"</f>
        <v>319412M</v>
      </c>
      <c r="D2624" s="2" t="s">
        <v>3461</v>
      </c>
      <c r="E2624" s="4">
        <v>7900</v>
      </c>
    </row>
    <row r="2625" spans="1:5">
      <c r="A2625" s="2" t="s">
        <v>3442</v>
      </c>
      <c r="B2625" s="2" t="str">
        <f>"010250066"</f>
        <v>010250066</v>
      </c>
      <c r="C2625" s="2" t="str">
        <f>"010250066"</f>
        <v>010250066</v>
      </c>
      <c r="D2625" s="2" t="s">
        <v>3462</v>
      </c>
      <c r="E2625" s="4">
        <v>8900</v>
      </c>
    </row>
    <row r="2626" spans="1:5">
      <c r="A2626" s="2" t="s">
        <v>3442</v>
      </c>
      <c r="B2626" s="2" t="str">
        <f>"070250133"</f>
        <v>070250133</v>
      </c>
      <c r="C2626" s="2" t="str">
        <f>"070250133"</f>
        <v>070250133</v>
      </c>
      <c r="D2626" s="2" t="s">
        <v>3463</v>
      </c>
      <c r="E2626" s="4">
        <v>4300</v>
      </c>
    </row>
    <row r="2627" spans="1:5">
      <c r="A2627" s="2" t="s">
        <v>3442</v>
      </c>
      <c r="B2627" s="2" t="str">
        <f>"4443-2225"</f>
        <v>4443-2225</v>
      </c>
      <c r="C2627" s="2" t="str">
        <f>"4443-2225"</f>
        <v>4443-2225</v>
      </c>
      <c r="D2627" s="2" t="s">
        <v>3464</v>
      </c>
      <c r="E2627" s="4">
        <v>4000</v>
      </c>
    </row>
    <row r="2628" spans="1:5">
      <c r="A2628" s="2" t="s">
        <v>3442</v>
      </c>
      <c r="B2628" s="2" t="str">
        <f>"070250138"</f>
        <v>070250138</v>
      </c>
      <c r="C2628" s="2" t="str">
        <f>"070250138"</f>
        <v>070250138</v>
      </c>
      <c r="D2628" s="2" t="s">
        <v>3465</v>
      </c>
      <c r="E2628" s="4">
        <v>4500</v>
      </c>
    </row>
    <row r="2629" spans="1:5">
      <c r="A2629" s="2" t="s">
        <v>3442</v>
      </c>
      <c r="B2629" s="2" t="str">
        <f>"319424"</f>
        <v>319424</v>
      </c>
      <c r="C2629" s="2" t="str">
        <f>"319424"</f>
        <v>319424</v>
      </c>
      <c r="D2629" s="2" t="s">
        <v>3466</v>
      </c>
      <c r="E2629" s="4">
        <v>8000</v>
      </c>
    </row>
    <row r="2630" spans="1:5">
      <c r="A2630" s="2" t="s">
        <v>3442</v>
      </c>
      <c r="B2630" s="2" t="str">
        <f>"090250480"</f>
        <v>090250480</v>
      </c>
      <c r="C2630" s="2" t="str">
        <f>"090250480"</f>
        <v>090250480</v>
      </c>
      <c r="D2630" s="2" t="s">
        <v>3467</v>
      </c>
      <c r="E2630" s="4">
        <v>4000</v>
      </c>
    </row>
    <row r="2631" spans="1:5">
      <c r="A2631" s="2" t="s">
        <v>3442</v>
      </c>
      <c r="B2631" s="2" t="str">
        <f>"090250031"</f>
        <v>090250031</v>
      </c>
      <c r="C2631" s="2" t="str">
        <f>"090250031"</f>
        <v>090250031</v>
      </c>
      <c r="D2631" s="2" t="s">
        <v>3468</v>
      </c>
      <c r="E2631" s="4">
        <v>4300</v>
      </c>
    </row>
    <row r="2632" spans="1:5">
      <c r="A2632" s="2" t="s">
        <v>3442</v>
      </c>
      <c r="B2632" s="2" t="str">
        <f>"9943107"</f>
        <v>9943107</v>
      </c>
      <c r="C2632" s="2" t="str">
        <f>"9943107"</f>
        <v>9943107</v>
      </c>
      <c r="D2632" s="2" t="s">
        <v>3469</v>
      </c>
      <c r="E2632" s="4">
        <v>6100</v>
      </c>
    </row>
    <row r="2633" spans="1:5">
      <c r="A2633" s="2" t="s">
        <v>3442</v>
      </c>
      <c r="B2633" s="2" t="str">
        <f>"070250144"</f>
        <v>070250144</v>
      </c>
      <c r="C2633" s="2" t="str">
        <f>"070250144"</f>
        <v>070250144</v>
      </c>
      <c r="D2633" s="2" t="s">
        <v>3470</v>
      </c>
      <c r="E2633" s="4">
        <v>4800</v>
      </c>
    </row>
    <row r="2634" spans="1:5">
      <c r="A2634" s="2" t="s">
        <v>3442</v>
      </c>
      <c r="B2634" s="2" t="str">
        <f>"090250482"</f>
        <v>090250482</v>
      </c>
      <c r="C2634" s="2" t="str">
        <f>"090250482"</f>
        <v>090250482</v>
      </c>
      <c r="D2634" s="2" t="s">
        <v>3471</v>
      </c>
      <c r="E2634" s="4">
        <v>4500</v>
      </c>
    </row>
    <row r="2635" spans="1:5">
      <c r="A2635" s="2" t="s">
        <v>3442</v>
      </c>
      <c r="B2635" s="2" t="str">
        <f>"4PK1495E"</f>
        <v>4PK1495E</v>
      </c>
      <c r="C2635" s="2" t="str">
        <f>"4PK1495E"</f>
        <v>4PK1495E</v>
      </c>
      <c r="D2635" s="2" t="s">
        <v>3472</v>
      </c>
      <c r="E2635" s="4">
        <v>4800</v>
      </c>
    </row>
    <row r="2636" spans="1:5">
      <c r="A2636" s="2" t="s">
        <v>3442</v>
      </c>
      <c r="B2636" s="2" t="str">
        <f>"325534"</f>
        <v>325534</v>
      </c>
      <c r="C2636" s="2" t="str">
        <f>"325534"</f>
        <v>325534</v>
      </c>
      <c r="D2636" s="2" t="s">
        <v>3473</v>
      </c>
      <c r="E2636" s="4">
        <v>8800</v>
      </c>
    </row>
    <row r="2637" spans="1:5">
      <c r="A2637" s="2" t="s">
        <v>3442</v>
      </c>
      <c r="B2637" s="2" t="str">
        <f>"285194"</f>
        <v>285194</v>
      </c>
      <c r="C2637" s="2" t="str">
        <f>"285194"</f>
        <v>285194</v>
      </c>
      <c r="D2637" s="2" t="s">
        <v>3474</v>
      </c>
      <c r="E2637" s="4">
        <v>11500</v>
      </c>
    </row>
    <row r="2638" spans="1:5">
      <c r="A2638" s="2" t="s">
        <v>3442</v>
      </c>
      <c r="B2638" s="2" t="str">
        <f>"090250037"</f>
        <v>090250037</v>
      </c>
      <c r="C2638" s="2" t="str">
        <f>"090250037"</f>
        <v>090250037</v>
      </c>
      <c r="D2638" s="2" t="s">
        <v>3475</v>
      </c>
      <c r="E2638" s="4">
        <v>2500</v>
      </c>
    </row>
    <row r="2639" spans="1:5">
      <c r="A2639" s="2" t="s">
        <v>3442</v>
      </c>
      <c r="B2639" s="2" t="str">
        <f>"0702501465"</f>
        <v>0702501465</v>
      </c>
      <c r="C2639" s="2" t="str">
        <f>"070250146"</f>
        <v>070250146</v>
      </c>
      <c r="D2639" s="2" t="s">
        <v>3476</v>
      </c>
      <c r="E2639" s="4">
        <v>3400</v>
      </c>
    </row>
    <row r="2640" spans="1:5">
      <c r="A2640" s="2" t="s">
        <v>3442</v>
      </c>
      <c r="B2640" s="2" t="str">
        <f>"319322"</f>
        <v>319322</v>
      </c>
      <c r="C2640" s="2" t="str">
        <f>"319322"</f>
        <v>319322</v>
      </c>
      <c r="D2640" s="2" t="s">
        <v>3477</v>
      </c>
      <c r="E2640" s="4">
        <v>4300</v>
      </c>
    </row>
    <row r="2641" spans="1:5">
      <c r="A2641" s="2" t="s">
        <v>3442</v>
      </c>
      <c r="B2641" s="2" t="str">
        <f>"325560"</f>
        <v>325560</v>
      </c>
      <c r="C2641" s="2" t="str">
        <f>"325560"</f>
        <v>325560</v>
      </c>
      <c r="D2641" s="2" t="s">
        <v>3478</v>
      </c>
      <c r="E2641" s="4">
        <v>6100</v>
      </c>
    </row>
    <row r="2642" spans="1:5">
      <c r="A2642" s="2" t="s">
        <v>3442</v>
      </c>
      <c r="B2642" s="2" t="str">
        <f>"070250154"</f>
        <v>070250154</v>
      </c>
      <c r="C2642" s="2" t="str">
        <f>"070250154"</f>
        <v>070250154</v>
      </c>
      <c r="D2642" s="2" t="s">
        <v>3479</v>
      </c>
      <c r="E2642" s="4">
        <v>3000</v>
      </c>
    </row>
    <row r="2643" spans="1:5">
      <c r="A2643" s="2" t="s">
        <v>3442</v>
      </c>
      <c r="B2643" s="2" t="str">
        <f>"010250767"</f>
        <v>010250767</v>
      </c>
      <c r="C2643" s="2" t="str">
        <f>"010250767"</f>
        <v>010250767</v>
      </c>
      <c r="D2643" s="2" t="s">
        <v>3480</v>
      </c>
      <c r="E2643" s="4">
        <v>4000</v>
      </c>
    </row>
    <row r="2644" spans="1:5">
      <c r="A2644" s="2" t="s">
        <v>3442</v>
      </c>
      <c r="B2644" s="2" t="str">
        <f>"010250027"</f>
        <v>010250027</v>
      </c>
      <c r="C2644" s="2" t="str">
        <f>"010250027"</f>
        <v>010250027</v>
      </c>
      <c r="D2644" s="2" t="s">
        <v>3481</v>
      </c>
      <c r="E2644" s="4">
        <v>5200</v>
      </c>
    </row>
    <row r="2645" spans="1:5">
      <c r="A2645" s="2" t="s">
        <v>3442</v>
      </c>
      <c r="B2645" s="2" t="str">
        <f>"4443-1838"</f>
        <v>4443-1838</v>
      </c>
      <c r="C2645" s="2" t="str">
        <f>"4443-1838"</f>
        <v>4443-1838</v>
      </c>
      <c r="D2645" s="2" t="s">
        <v>3482</v>
      </c>
      <c r="E2645" s="4">
        <v>2500</v>
      </c>
    </row>
    <row r="2646" spans="1:5">
      <c r="A2646" s="2" t="s">
        <v>3442</v>
      </c>
      <c r="B2646" s="2" t="str">
        <f>"090250055"</f>
        <v>090250055</v>
      </c>
      <c r="C2646" s="2" t="str">
        <f>"090250055"</f>
        <v>090250055</v>
      </c>
      <c r="D2646" s="2" t="s">
        <v>3483</v>
      </c>
      <c r="E2646" s="4">
        <v>2500</v>
      </c>
    </row>
    <row r="2647" spans="1:5">
      <c r="A2647" s="2" t="s">
        <v>3442</v>
      </c>
      <c r="B2647" s="2" t="str">
        <f>"070250169"</f>
        <v>070250169</v>
      </c>
      <c r="C2647" s="2" t="str">
        <f>"070250169"</f>
        <v>070250169</v>
      </c>
      <c r="D2647" s="2" t="s">
        <v>3484</v>
      </c>
      <c r="E2647" s="4">
        <v>3000</v>
      </c>
    </row>
    <row r="2648" spans="1:5">
      <c r="A2648" s="2" t="s">
        <v>3442</v>
      </c>
      <c r="B2648" s="2" t="str">
        <f>"090250056"</f>
        <v>090250056</v>
      </c>
      <c r="C2648" s="2" t="str">
        <f>"090250056"</f>
        <v>090250056</v>
      </c>
      <c r="D2648" s="2" t="s">
        <v>3485</v>
      </c>
      <c r="E2648" s="4">
        <v>2800</v>
      </c>
    </row>
    <row r="2649" spans="1:5">
      <c r="A2649" s="2" t="s">
        <v>3442</v>
      </c>
      <c r="B2649" s="2" t="str">
        <f>"4PK805E"</f>
        <v>4PK805E</v>
      </c>
      <c r="C2649" s="2" t="str">
        <f>"4PK805E"</f>
        <v>4PK805E</v>
      </c>
      <c r="D2649" s="2" t="s">
        <v>3486</v>
      </c>
      <c r="E2649" s="4">
        <v>2500</v>
      </c>
    </row>
    <row r="2650" spans="1:5">
      <c r="A2650" s="2" t="s">
        <v>3442</v>
      </c>
      <c r="B2650" s="2" t="str">
        <f>"9943051"</f>
        <v>9943051</v>
      </c>
      <c r="C2650" s="2" t="str">
        <f>"9943051"</f>
        <v>9943051</v>
      </c>
      <c r="D2650" s="2" t="s">
        <v>3487</v>
      </c>
      <c r="E2650" s="4">
        <v>4300</v>
      </c>
    </row>
    <row r="2651" spans="1:5">
      <c r="A2651" s="2" t="s">
        <v>3442</v>
      </c>
      <c r="B2651" s="2" t="str">
        <f>"070250170"</f>
        <v>070250170</v>
      </c>
      <c r="C2651" s="2" t="str">
        <f>"070250170"</f>
        <v>070250170</v>
      </c>
      <c r="D2651" s="2" t="s">
        <v>3488</v>
      </c>
      <c r="E2651" s="4">
        <v>3800</v>
      </c>
    </row>
    <row r="2652" spans="1:5">
      <c r="A2652" s="2" t="s">
        <v>3442</v>
      </c>
      <c r="B2652" s="2" t="str">
        <f>"4PK810DORKO"</f>
        <v>4PK810DORKO</v>
      </c>
      <c r="C2652" s="2" t="str">
        <f>"4PK810DORKO"</f>
        <v>4PK810DORKO</v>
      </c>
      <c r="D2652" s="2" t="s">
        <v>3489</v>
      </c>
      <c r="E2652" s="4">
        <v>3500</v>
      </c>
    </row>
    <row r="2653" spans="1:5">
      <c r="A2653" s="2" t="s">
        <v>3442</v>
      </c>
      <c r="B2653" s="2" t="str">
        <f>"4PK810E"</f>
        <v>4PK810E</v>
      </c>
      <c r="C2653" s="2" t="str">
        <f>"4PK810E"</f>
        <v>4PK810E</v>
      </c>
      <c r="D2653" s="2" t="s">
        <v>3490</v>
      </c>
      <c r="E2653" s="4">
        <v>2500</v>
      </c>
    </row>
    <row r="2654" spans="1:5">
      <c r="A2654" s="2" t="s">
        <v>3442</v>
      </c>
      <c r="B2654" s="2" t="str">
        <f>"090250057"</f>
        <v>090250057</v>
      </c>
      <c r="C2654" s="2" t="str">
        <f>"090250057"</f>
        <v>090250057</v>
      </c>
      <c r="D2654" s="2" t="s">
        <v>3491</v>
      </c>
      <c r="E2654" s="4">
        <v>3000</v>
      </c>
    </row>
    <row r="2655" spans="1:5">
      <c r="A2655" s="2" t="s">
        <v>3442</v>
      </c>
      <c r="B2655" s="2" t="str">
        <f>"9943052"</f>
        <v>9943052</v>
      </c>
      <c r="C2655" s="2" t="str">
        <f>"9943052"</f>
        <v>9943052</v>
      </c>
      <c r="D2655" s="2" t="s">
        <v>3492</v>
      </c>
      <c r="E2655" s="4">
        <v>4300</v>
      </c>
    </row>
    <row r="2656" spans="1:5">
      <c r="A2656" s="2" t="s">
        <v>3442</v>
      </c>
      <c r="B2656" s="2" t="str">
        <f>"090250058"</f>
        <v>090250058</v>
      </c>
      <c r="C2656" s="2" t="str">
        <f>"090250058"</f>
        <v>090250058</v>
      </c>
      <c r="D2656" s="2" t="s">
        <v>3493</v>
      </c>
      <c r="E2656" s="4">
        <v>2800</v>
      </c>
    </row>
    <row r="2657" spans="1:5">
      <c r="A2657" s="2" t="s">
        <v>3442</v>
      </c>
      <c r="B2657" s="2" t="str">
        <f>"4443-1889"</f>
        <v>4443-1889</v>
      </c>
      <c r="C2657" s="2" t="str">
        <f>"4443-1889"</f>
        <v>4443-1889</v>
      </c>
      <c r="D2657" s="2" t="s">
        <v>3493</v>
      </c>
      <c r="E2657" s="4">
        <v>3000</v>
      </c>
    </row>
    <row r="2658" spans="1:5">
      <c r="A2658" s="2" t="s">
        <v>3442</v>
      </c>
      <c r="B2658" s="2" t="str">
        <f>"070250172"</f>
        <v>070250172</v>
      </c>
      <c r="C2658" s="2" t="str">
        <f>"4443-1895"</f>
        <v>4443-1895</v>
      </c>
      <c r="D2658" s="2" t="s">
        <v>3494</v>
      </c>
      <c r="E2658" s="4">
        <v>3800</v>
      </c>
    </row>
    <row r="2659" spans="1:5">
      <c r="A2659" s="2" t="s">
        <v>3442</v>
      </c>
      <c r="B2659" s="2" t="str">
        <f>"4PK825"</f>
        <v>4PK825</v>
      </c>
      <c r="C2659" s="2" t="str">
        <f>"4PK 825"</f>
        <v>4PK 825</v>
      </c>
      <c r="D2659" s="2" t="s">
        <v>3495</v>
      </c>
      <c r="E2659" s="4">
        <v>2500</v>
      </c>
    </row>
    <row r="2660" spans="1:5">
      <c r="A2660" s="2" t="s">
        <v>3442</v>
      </c>
      <c r="B2660" s="2" t="str">
        <f>"9943056"</f>
        <v>9943056</v>
      </c>
      <c r="C2660" s="2" t="str">
        <f>"9943056"</f>
        <v>9943056</v>
      </c>
      <c r="D2660" s="2" t="s">
        <v>3496</v>
      </c>
      <c r="E2660" s="4">
        <v>4800</v>
      </c>
    </row>
    <row r="2661" spans="1:5">
      <c r="A2661" s="2" t="s">
        <v>3442</v>
      </c>
      <c r="B2661" s="2" t="str">
        <f>"070250175"</f>
        <v>070250175</v>
      </c>
      <c r="C2661" s="2" t="str">
        <f>"070250175"</f>
        <v>070250175</v>
      </c>
      <c r="D2661" s="2" t="s">
        <v>3497</v>
      </c>
      <c r="E2661" s="4">
        <v>3400</v>
      </c>
    </row>
    <row r="2662" spans="1:5">
      <c r="A2662" s="2" t="s">
        <v>3442</v>
      </c>
      <c r="B2662" s="2" t="str">
        <f>"010250214"</f>
        <v>010250214</v>
      </c>
      <c r="C2662" s="2" t="str">
        <f>"010250214"</f>
        <v>010250214</v>
      </c>
      <c r="D2662" s="2" t="s">
        <v>3498</v>
      </c>
      <c r="E2662" s="4">
        <v>4300</v>
      </c>
    </row>
    <row r="2663" spans="1:5">
      <c r="A2663" s="2" t="s">
        <v>3442</v>
      </c>
      <c r="B2663" s="2" t="str">
        <f>"090250214"</f>
        <v>090250214</v>
      </c>
      <c r="C2663" s="2" t="str">
        <f>"090250214"</f>
        <v>090250214</v>
      </c>
      <c r="D2663" s="2" t="s">
        <v>3499</v>
      </c>
      <c r="E2663" s="4">
        <v>4300</v>
      </c>
    </row>
    <row r="2664" spans="1:5">
      <c r="A2664" s="2" t="s">
        <v>3442</v>
      </c>
      <c r="B2664" s="2" t="str">
        <f>"4PK845"</f>
        <v>4PK845</v>
      </c>
      <c r="C2664" s="2" t="str">
        <f>"4PK 845"</f>
        <v>4PK 845</v>
      </c>
      <c r="D2664" s="2" t="s">
        <v>3500</v>
      </c>
      <c r="E2664" s="4">
        <v>2800</v>
      </c>
    </row>
    <row r="2665" spans="1:5">
      <c r="A2665" s="2" t="s">
        <v>3442</v>
      </c>
      <c r="B2665" s="2" t="str">
        <f>"070250177"</f>
        <v>070250177</v>
      </c>
      <c r="C2665" s="2" t="str">
        <f>"070250177"</f>
        <v>070250177</v>
      </c>
      <c r="D2665" s="2" t="s">
        <v>3500</v>
      </c>
      <c r="E2665" s="4">
        <v>3400</v>
      </c>
    </row>
    <row r="2666" spans="1:5">
      <c r="A2666" s="2" t="s">
        <v>3442</v>
      </c>
      <c r="B2666" s="2" t="str">
        <f>"4443-1932"</f>
        <v>4443-1932</v>
      </c>
      <c r="C2666" s="2" t="str">
        <f>"4443-1932"</f>
        <v>4443-1932</v>
      </c>
      <c r="D2666" s="2" t="s">
        <v>3501</v>
      </c>
      <c r="E2666" s="4">
        <v>3400</v>
      </c>
    </row>
    <row r="2667" spans="1:5">
      <c r="A2667" s="2" t="s">
        <v>3442</v>
      </c>
      <c r="B2667" s="2" t="str">
        <f>"010250037"</f>
        <v>010250037</v>
      </c>
      <c r="C2667" s="2" t="str">
        <f>"010250037"</f>
        <v>010250037</v>
      </c>
      <c r="D2667" s="2" t="s">
        <v>3502</v>
      </c>
      <c r="E2667" s="4">
        <v>5200</v>
      </c>
    </row>
    <row r="2668" spans="1:5">
      <c r="A2668" s="2" t="s">
        <v>3442</v>
      </c>
      <c r="B2668" s="2" t="str">
        <f>"090250064"</f>
        <v>090250064</v>
      </c>
      <c r="C2668" s="2" t="str">
        <f>"090250064"</f>
        <v>090250064</v>
      </c>
      <c r="D2668" s="2" t="s">
        <v>3502</v>
      </c>
      <c r="E2668" s="4">
        <v>5200</v>
      </c>
    </row>
    <row r="2669" spans="1:5">
      <c r="A2669" s="2" t="s">
        <v>3442</v>
      </c>
      <c r="B2669" s="2" t="str">
        <f>"070250179"</f>
        <v>070250179</v>
      </c>
      <c r="C2669" s="2" t="str">
        <f>"070250179"</f>
        <v>070250179</v>
      </c>
      <c r="D2669" s="2" t="s">
        <v>3503</v>
      </c>
      <c r="E2669" s="4">
        <v>3400</v>
      </c>
    </row>
    <row r="2670" spans="1:5">
      <c r="A2670" s="2" t="s">
        <v>3442</v>
      </c>
      <c r="B2670" s="2" t="str">
        <f>"319371"</f>
        <v>319371</v>
      </c>
      <c r="C2670" s="2" t="str">
        <f>"319371"</f>
        <v>319371</v>
      </c>
      <c r="D2670" s="2" t="s">
        <v>3504</v>
      </c>
      <c r="E2670" s="4">
        <v>5200</v>
      </c>
    </row>
    <row r="2671" spans="1:5">
      <c r="A2671" s="2" t="s">
        <v>3442</v>
      </c>
      <c r="B2671" s="2" t="str">
        <f>"319375"</f>
        <v>319375</v>
      </c>
      <c r="C2671" s="2" t="str">
        <f>"319375"</f>
        <v>319375</v>
      </c>
      <c r="D2671" s="2" t="s">
        <v>3505</v>
      </c>
      <c r="E2671" s="4">
        <v>5800</v>
      </c>
    </row>
    <row r="2672" spans="1:5">
      <c r="A2672" s="2" t="s">
        <v>3442</v>
      </c>
      <c r="B2672" s="2" t="str">
        <f>"4PK"</f>
        <v>4PK</v>
      </c>
      <c r="C2672" s="2" t="str">
        <f>"4PK"</f>
        <v>4PK</v>
      </c>
      <c r="D2672" s="2" t="s">
        <v>3506</v>
      </c>
      <c r="E2672" s="4">
        <v>2500</v>
      </c>
    </row>
    <row r="2673" spans="1:5">
      <c r="A2673" s="2" t="s">
        <v>3442</v>
      </c>
      <c r="B2673" s="2" t="str">
        <f>"284869"</f>
        <v>284869</v>
      </c>
      <c r="C2673" s="2" t="str">
        <f>"284869"</f>
        <v>284869</v>
      </c>
      <c r="D2673" s="2" t="s">
        <v>3507</v>
      </c>
      <c r="E2673" s="4">
        <v>5500</v>
      </c>
    </row>
    <row r="2674" spans="1:5">
      <c r="A2674" s="2" t="s">
        <v>3442</v>
      </c>
      <c r="B2674" s="2" t="str">
        <f>"070250186"</f>
        <v>070250186</v>
      </c>
      <c r="C2674" s="2" t="str">
        <f>"070250186"</f>
        <v>070250186</v>
      </c>
      <c r="D2674" s="2" t="s">
        <v>3508</v>
      </c>
      <c r="E2674" s="4">
        <v>4300</v>
      </c>
    </row>
    <row r="2675" spans="1:5">
      <c r="A2675" s="2" t="s">
        <v>3442</v>
      </c>
      <c r="B2675" s="2" t="str">
        <f>"319379"</f>
        <v>319379</v>
      </c>
      <c r="C2675" s="2" t="str">
        <f>"319379"</f>
        <v>319379</v>
      </c>
      <c r="D2675" s="2" t="s">
        <v>3509</v>
      </c>
      <c r="E2675" s="4">
        <v>7900</v>
      </c>
    </row>
    <row r="2676" spans="1:5">
      <c r="A2676" s="2" t="s">
        <v>3442</v>
      </c>
      <c r="B2676" s="2" t="str">
        <f>"070250187"</f>
        <v>070250187</v>
      </c>
      <c r="C2676" s="2" t="str">
        <f>"070250187"</f>
        <v>070250187</v>
      </c>
      <c r="D2676" s="2" t="s">
        <v>3510</v>
      </c>
      <c r="E2676" s="4">
        <v>4500</v>
      </c>
    </row>
    <row r="2677" spans="1:5">
      <c r="A2677" s="2" t="s">
        <v>3442</v>
      </c>
      <c r="B2677" s="2" t="str">
        <f>"070250189"</f>
        <v>070250189</v>
      </c>
      <c r="C2677" s="2" t="str">
        <f>"070250189"</f>
        <v>070250189</v>
      </c>
      <c r="D2677" s="2" t="s">
        <v>3511</v>
      </c>
      <c r="E2677" s="4">
        <v>3500</v>
      </c>
    </row>
    <row r="2678" spans="1:5">
      <c r="A2678" s="2" t="s">
        <v>3442</v>
      </c>
      <c r="B2678" s="2" t="str">
        <f>"319380"</f>
        <v>319380</v>
      </c>
      <c r="C2678" s="2" t="str">
        <f>"319380"</f>
        <v>319380</v>
      </c>
      <c r="D2678" s="2" t="s">
        <v>3512</v>
      </c>
      <c r="E2678" s="4">
        <v>6500</v>
      </c>
    </row>
    <row r="2679" spans="1:5">
      <c r="A2679" s="2" t="s">
        <v>3442</v>
      </c>
      <c r="B2679" s="2" t="str">
        <f>"070250190"</f>
        <v>070250190</v>
      </c>
      <c r="C2679" s="2" t="str">
        <f>"070250190"</f>
        <v>070250190</v>
      </c>
      <c r="D2679" s="2" t="s">
        <v>3513</v>
      </c>
      <c r="E2679" s="4">
        <v>3400</v>
      </c>
    </row>
    <row r="2680" spans="1:5">
      <c r="A2680" s="2" t="s">
        <v>3442</v>
      </c>
      <c r="B2680" s="2" t="str">
        <f>"9943072"</f>
        <v>9943072</v>
      </c>
      <c r="C2680" s="2" t="str">
        <f>"9943072"</f>
        <v>9943072</v>
      </c>
      <c r="D2680" s="2" t="s">
        <v>3514</v>
      </c>
      <c r="E2680" s="4">
        <v>5200</v>
      </c>
    </row>
    <row r="2681" spans="1:5">
      <c r="A2681" s="2" t="s">
        <v>3442</v>
      </c>
      <c r="B2681" s="2" t="str">
        <f>"4443-2025"</f>
        <v>4443-2025</v>
      </c>
      <c r="C2681" s="2" t="str">
        <f>"4443-2025"</f>
        <v>4443-2025</v>
      </c>
      <c r="D2681" s="2" t="s">
        <v>3515</v>
      </c>
      <c r="E2681" s="4">
        <v>3800</v>
      </c>
    </row>
    <row r="2682" spans="1:5">
      <c r="A2682" s="2" t="s">
        <v>3442</v>
      </c>
      <c r="B2682" s="2" t="str">
        <f>"070250192"</f>
        <v>070250192</v>
      </c>
      <c r="C2682" s="2" t="str">
        <f>"070250192"</f>
        <v>070250192</v>
      </c>
      <c r="D2682" s="2" t="s">
        <v>3515</v>
      </c>
      <c r="E2682" s="4">
        <v>4900</v>
      </c>
    </row>
    <row r="2683" spans="1:5">
      <c r="A2683" s="2" t="s">
        <v>3442</v>
      </c>
      <c r="B2683" s="2" t="str">
        <f>"090250075"</f>
        <v>090250075</v>
      </c>
      <c r="C2683" s="2" t="str">
        <f>"090250075"</f>
        <v>090250075</v>
      </c>
      <c r="D2683" s="2" t="s">
        <v>3516</v>
      </c>
      <c r="E2683" s="4">
        <v>3400</v>
      </c>
    </row>
    <row r="2684" spans="1:5">
      <c r="A2684" s="2" t="s">
        <v>3442</v>
      </c>
      <c r="B2684" s="2" t="str">
        <f>"96409202"</f>
        <v>96409202</v>
      </c>
      <c r="C2684" s="2" t="str">
        <f>"96409202"</f>
        <v>96409202</v>
      </c>
      <c r="D2684" s="2" t="s">
        <v>3517</v>
      </c>
      <c r="E2684" s="4">
        <v>4300</v>
      </c>
    </row>
    <row r="2685" spans="1:5">
      <c r="A2685" s="2" t="s">
        <v>3442</v>
      </c>
      <c r="B2685" s="2" t="str">
        <f>"914187-1"</f>
        <v>914187-1</v>
      </c>
      <c r="C2685" s="2" t="str">
        <f>"914187-1"</f>
        <v>914187-1</v>
      </c>
      <c r="D2685" s="2" t="s">
        <v>3518</v>
      </c>
      <c r="E2685" s="4">
        <v>4300</v>
      </c>
    </row>
    <row r="2686" spans="1:5">
      <c r="A2686" s="2" t="s">
        <v>3442</v>
      </c>
      <c r="B2686" s="2" t="str">
        <f>"090250076"</f>
        <v>090250076</v>
      </c>
      <c r="C2686" s="2" t="str">
        <f>"090250076"</f>
        <v>090250076</v>
      </c>
      <c r="D2686" s="2" t="s">
        <v>3519</v>
      </c>
      <c r="E2686" s="4">
        <v>2800</v>
      </c>
    </row>
    <row r="2687" spans="1:5">
      <c r="A2687" s="2" t="s">
        <v>3442</v>
      </c>
      <c r="B2687" s="2" t="str">
        <f>"090250077"</f>
        <v>090250077</v>
      </c>
      <c r="C2687" s="2" t="str">
        <f>"090250077"</f>
        <v>090250077</v>
      </c>
      <c r="D2687" s="2" t="s">
        <v>3520</v>
      </c>
      <c r="E2687" s="4">
        <v>3000</v>
      </c>
    </row>
    <row r="2688" spans="1:5">
      <c r="A2688" s="2" t="s">
        <v>3442</v>
      </c>
      <c r="B2688" s="2" t="str">
        <f>"070250194"</f>
        <v>070250194</v>
      </c>
      <c r="C2688" s="2" t="str">
        <f>"070250194"</f>
        <v>070250194</v>
      </c>
      <c r="D2688" s="2" t="s">
        <v>3521</v>
      </c>
      <c r="E2688" s="4">
        <v>4300</v>
      </c>
    </row>
    <row r="2689" spans="1:5">
      <c r="A2689" s="2" t="s">
        <v>3442</v>
      </c>
      <c r="B2689" s="2" t="str">
        <f>"4PK940"</f>
        <v>4PK940</v>
      </c>
      <c r="C2689" s="2" t="str">
        <f>"4PK 940 EIKO"</f>
        <v>4PK 940 EIKO</v>
      </c>
      <c r="D2689" s="2" t="s">
        <v>3522</v>
      </c>
      <c r="E2689" s="4">
        <v>3400</v>
      </c>
    </row>
    <row r="2690" spans="1:5">
      <c r="A2690" s="2" t="s">
        <v>3442</v>
      </c>
      <c r="B2690" s="2" t="str">
        <f>"319388"</f>
        <v>319388</v>
      </c>
      <c r="C2690" s="2" t="str">
        <f>"319388"</f>
        <v>319388</v>
      </c>
      <c r="D2690" s="2" t="s">
        <v>3523</v>
      </c>
      <c r="E2690" s="4">
        <v>5200</v>
      </c>
    </row>
    <row r="2691" spans="1:5">
      <c r="A2691" s="2" t="s">
        <v>3442</v>
      </c>
      <c r="B2691" s="2" t="str">
        <f>"070250196"</f>
        <v>070250196</v>
      </c>
      <c r="C2691" s="2" t="str">
        <f>"070250196"</f>
        <v>070250196</v>
      </c>
      <c r="D2691" s="2" t="s">
        <v>3524</v>
      </c>
      <c r="E2691" s="4">
        <v>3400</v>
      </c>
    </row>
    <row r="2692" spans="1:5">
      <c r="A2692" s="2" t="s">
        <v>3442</v>
      </c>
      <c r="B2692" s="2" t="str">
        <f>"090250626"</f>
        <v>090250626</v>
      </c>
      <c r="C2692" s="2" t="str">
        <f>"090250626"</f>
        <v>090250626</v>
      </c>
      <c r="D2692" s="2" t="s">
        <v>3525</v>
      </c>
      <c r="E2692" s="4">
        <v>3500</v>
      </c>
    </row>
    <row r="2693" spans="1:5">
      <c r="A2693" s="2" t="s">
        <v>3442</v>
      </c>
      <c r="B2693" s="2" t="str">
        <f>"4PK985"</f>
        <v>4PK985</v>
      </c>
      <c r="C2693" s="2" t="str">
        <f>"4PK985"</f>
        <v>4PK985</v>
      </c>
      <c r="D2693" s="2" t="s">
        <v>3526</v>
      </c>
      <c r="E2693" s="4">
        <v>3500</v>
      </c>
    </row>
    <row r="2694" spans="1:5">
      <c r="A2694" s="2" t="s">
        <v>3442</v>
      </c>
      <c r="B2694" s="2" t="str">
        <f>"090250084"</f>
        <v>090250084</v>
      </c>
      <c r="C2694" s="2" t="str">
        <f>"070250205"</f>
        <v>070250205</v>
      </c>
      <c r="D2694" s="2" t="s">
        <v>3527</v>
      </c>
      <c r="E2694" s="4">
        <v>4500</v>
      </c>
    </row>
    <row r="2695" spans="1:5">
      <c r="A2695" s="2" t="s">
        <v>3442</v>
      </c>
      <c r="B2695" s="2" t="str">
        <f>"319674"</f>
        <v>319674</v>
      </c>
      <c r="C2695" s="2" t="str">
        <f>"319674"</f>
        <v>319674</v>
      </c>
      <c r="D2695" s="2" t="s">
        <v>3528</v>
      </c>
      <c r="E2695" s="4">
        <v>9000</v>
      </c>
    </row>
    <row r="2696" spans="1:5">
      <c r="A2696" s="2" t="s">
        <v>3442</v>
      </c>
      <c r="B2696" s="2" t="str">
        <f>"090250646"</f>
        <v>090250646</v>
      </c>
      <c r="C2696" s="2" t="str">
        <f>"090250646"</f>
        <v>090250646</v>
      </c>
      <c r="D2696" s="2" t="s">
        <v>3529</v>
      </c>
      <c r="E2696" s="4">
        <v>3800</v>
      </c>
    </row>
    <row r="2697" spans="1:5">
      <c r="A2697" s="2" t="s">
        <v>3442</v>
      </c>
      <c r="B2697" s="2" t="str">
        <f>"090250090"</f>
        <v>090250090</v>
      </c>
      <c r="C2697" s="2" t="str">
        <f>"090250090"</f>
        <v>090250090</v>
      </c>
      <c r="D2697" s="2" t="s">
        <v>3530</v>
      </c>
      <c r="E2697" s="4">
        <v>4300</v>
      </c>
    </row>
    <row r="2698" spans="1:5">
      <c r="A2698" s="2" t="s">
        <v>3442</v>
      </c>
      <c r="B2698" s="2" t="str">
        <f>"325410"</f>
        <v>325410</v>
      </c>
      <c r="C2698" s="2" t="str">
        <f>"325410"</f>
        <v>325410</v>
      </c>
      <c r="D2698" s="2" t="s">
        <v>3531</v>
      </c>
      <c r="E2698" s="4">
        <v>9800</v>
      </c>
    </row>
    <row r="2699" spans="1:5">
      <c r="A2699" s="2" t="s">
        <v>3442</v>
      </c>
      <c r="B2699" s="2" t="str">
        <f>"5PK1215"</f>
        <v>5PK1215</v>
      </c>
      <c r="C2699" s="2" t="str">
        <f>"5PK1215"</f>
        <v>5PK1215</v>
      </c>
      <c r="D2699" s="2" t="s">
        <v>3532</v>
      </c>
      <c r="E2699" s="4">
        <v>4000</v>
      </c>
    </row>
    <row r="2700" spans="1:5">
      <c r="A2700" s="2" t="s">
        <v>3442</v>
      </c>
      <c r="B2700" s="2" t="str">
        <f>"070250082"</f>
        <v>070250082</v>
      </c>
      <c r="C2700" s="2" t="str">
        <f>"070250082"</f>
        <v>070250082</v>
      </c>
      <c r="D2700" s="2" t="s">
        <v>3533</v>
      </c>
      <c r="E2700" s="4">
        <v>5200</v>
      </c>
    </row>
    <row r="2701" spans="1:5">
      <c r="A2701" s="2" t="s">
        <v>3442</v>
      </c>
      <c r="B2701" s="2" t="str">
        <f>"5PK1545M"</f>
        <v>5PK1545M</v>
      </c>
      <c r="C2701" s="2" t="str">
        <f>"5PK1545M"</f>
        <v>5PK1545M</v>
      </c>
      <c r="D2701" s="2" t="s">
        <v>3534</v>
      </c>
      <c r="E2701" s="4">
        <v>9500</v>
      </c>
    </row>
    <row r="2702" spans="1:5">
      <c r="A2702" s="2" t="s">
        <v>3442</v>
      </c>
      <c r="B2702" s="2" t="str">
        <f>"5PK1615M"</f>
        <v>5PK1615M</v>
      </c>
      <c r="C2702" s="2" t="str">
        <f>"5PK1615M"</f>
        <v>5PK1615M</v>
      </c>
      <c r="D2702" s="2" t="s">
        <v>3535</v>
      </c>
      <c r="E2702" s="4">
        <v>11500</v>
      </c>
    </row>
    <row r="2703" spans="1:5">
      <c r="A2703" s="2" t="s">
        <v>3442</v>
      </c>
      <c r="B2703" s="2" t="str">
        <f>"5PK1700E"</f>
        <v>5PK1700E</v>
      </c>
      <c r="C2703" s="2" t="str">
        <f>"5PK1700E"</f>
        <v>5PK1700E</v>
      </c>
      <c r="D2703" s="2" t="s">
        <v>3536</v>
      </c>
      <c r="E2703" s="4">
        <v>6100</v>
      </c>
    </row>
    <row r="2704" spans="1:5">
      <c r="A2704" s="2" t="s">
        <v>3442</v>
      </c>
      <c r="B2704" s="2" t="str">
        <f>"5PK1700M"</f>
        <v>5PK1700M</v>
      </c>
      <c r="C2704" s="2" t="str">
        <f>"5PK1700M"</f>
        <v>5PK1700M</v>
      </c>
      <c r="D2704" s="2" t="s">
        <v>3537</v>
      </c>
      <c r="E2704" s="4">
        <v>11500</v>
      </c>
    </row>
    <row r="2705" spans="1:5">
      <c r="A2705" s="2" t="s">
        <v>3442</v>
      </c>
      <c r="B2705" s="2" t="str">
        <f>"325459"</f>
        <v>325459</v>
      </c>
      <c r="C2705" s="2" t="str">
        <f>"325459"</f>
        <v>325459</v>
      </c>
      <c r="D2705" s="2" t="s">
        <v>3538</v>
      </c>
      <c r="E2705" s="4">
        <v>15000</v>
      </c>
    </row>
    <row r="2706" spans="1:5">
      <c r="A2706" s="2" t="s">
        <v>3442</v>
      </c>
      <c r="B2706" s="2" t="str">
        <f>"5PK1790F"</f>
        <v>5PK1790F</v>
      </c>
      <c r="C2706" s="2" t="str">
        <f>"5PK1790F"</f>
        <v>5PK1790F</v>
      </c>
      <c r="D2706" s="2" t="s">
        <v>3539</v>
      </c>
      <c r="E2706" s="4">
        <v>9500</v>
      </c>
    </row>
    <row r="2707" spans="1:5">
      <c r="A2707" s="2" t="s">
        <v>3442</v>
      </c>
      <c r="B2707" s="2" t="str">
        <f>"5PK1795H"</f>
        <v>5PK1795H</v>
      </c>
      <c r="C2707" s="2" t="str">
        <f>"5PK1795H"</f>
        <v>5PK1795H</v>
      </c>
      <c r="D2707" s="2" t="s">
        <v>3540</v>
      </c>
      <c r="E2707" s="4">
        <v>6000</v>
      </c>
    </row>
    <row r="2708" spans="1:5">
      <c r="A2708" s="2" t="s">
        <v>3442</v>
      </c>
      <c r="B2708" s="2" t="str">
        <f>"9650990"</f>
        <v>9650990</v>
      </c>
      <c r="C2708" s="2" t="str">
        <f>"9650990"</f>
        <v>9650990</v>
      </c>
      <c r="D2708" s="2" t="s">
        <v>3541</v>
      </c>
      <c r="E2708" s="4">
        <v>9700</v>
      </c>
    </row>
    <row r="2709" spans="1:5">
      <c r="A2709" s="2" t="s">
        <v>3442</v>
      </c>
      <c r="B2709" s="2" t="str">
        <f>"325392"</f>
        <v>325392</v>
      </c>
      <c r="C2709" s="2" t="str">
        <f>"325392"</f>
        <v>325392</v>
      </c>
      <c r="D2709" s="2" t="s">
        <v>3542</v>
      </c>
      <c r="E2709" s="4">
        <v>8900</v>
      </c>
    </row>
    <row r="2710" spans="1:5">
      <c r="A2710" s="2" t="s">
        <v>3442</v>
      </c>
      <c r="B2710" s="2" t="str">
        <f>"325515"</f>
        <v>325515</v>
      </c>
      <c r="C2710" s="2" t="str">
        <f>"1603458257098"</f>
        <v>1603458257098</v>
      </c>
      <c r="D2710" s="2" t="s">
        <v>3543</v>
      </c>
      <c r="E2710" s="4">
        <v>8900</v>
      </c>
    </row>
    <row r="2711" spans="1:5">
      <c r="A2711" s="2" t="s">
        <v>3442</v>
      </c>
      <c r="B2711" s="2" t="str">
        <f>"325401"</f>
        <v>325401</v>
      </c>
      <c r="C2711" s="2" t="str">
        <f>"325401 9950630"</f>
        <v>325401 9950630</v>
      </c>
      <c r="D2711" s="2" t="s">
        <v>3544</v>
      </c>
      <c r="E2711" s="4">
        <v>16000</v>
      </c>
    </row>
    <row r="2712" spans="1:5">
      <c r="A2712" s="2" t="s">
        <v>3442</v>
      </c>
      <c r="B2712" s="2" t="str">
        <f>"6PK1250E"</f>
        <v>6PK1250E</v>
      </c>
      <c r="C2712" s="2" t="str">
        <f>"6PK1250E"</f>
        <v>6PK1250E</v>
      </c>
      <c r="D2712" s="2" t="s">
        <v>3545</v>
      </c>
      <c r="E2712" s="4">
        <v>4800</v>
      </c>
    </row>
    <row r="2713" spans="1:5">
      <c r="A2713" s="2" t="s">
        <v>3442</v>
      </c>
      <c r="B2713" s="2" t="str">
        <f>"325484"</f>
        <v>325484</v>
      </c>
      <c r="C2713" s="2" t="str">
        <f>"325484"</f>
        <v>325484</v>
      </c>
      <c r="D2713" s="2" t="s">
        <v>3546</v>
      </c>
      <c r="E2713" s="4">
        <v>11500</v>
      </c>
    </row>
    <row r="2714" spans="1:5">
      <c r="A2714" s="2" t="s">
        <v>3442</v>
      </c>
      <c r="B2714" s="2" t="str">
        <f>"070250030"</f>
        <v>070250030</v>
      </c>
      <c r="C2714" s="2" t="str">
        <f>"090250553"</f>
        <v>090250553</v>
      </c>
      <c r="D2714" s="2" t="s">
        <v>3547</v>
      </c>
      <c r="E2714" s="4">
        <v>6100</v>
      </c>
    </row>
    <row r="2715" spans="1:5">
      <c r="A2715" s="2" t="s">
        <v>3442</v>
      </c>
      <c r="B2715" s="2" t="str">
        <f>"9943163"</f>
        <v>9943163</v>
      </c>
      <c r="C2715" s="2" t="str">
        <f>"9943163"</f>
        <v>9943163</v>
      </c>
      <c r="D2715" s="2" t="s">
        <v>3548</v>
      </c>
      <c r="E2715" s="4">
        <v>9700</v>
      </c>
    </row>
    <row r="2716" spans="1:5">
      <c r="A2716" s="2" t="s">
        <v>3442</v>
      </c>
      <c r="B2716" s="2" t="str">
        <f>"6PK1500E"</f>
        <v>6PK1500E</v>
      </c>
      <c r="C2716" s="2" t="str">
        <f>"6PK1500E"</f>
        <v>6PK1500E</v>
      </c>
      <c r="D2716" s="2" t="s">
        <v>3549</v>
      </c>
      <c r="E2716" s="4">
        <v>7500</v>
      </c>
    </row>
    <row r="2717" spans="1:5">
      <c r="A2717" s="2" t="s">
        <v>3442</v>
      </c>
      <c r="B2717" s="2" t="str">
        <f>"6PK1530E"</f>
        <v>6PK1530E</v>
      </c>
      <c r="C2717" s="2" t="str">
        <f>"6PK1530E"</f>
        <v>6PK1530E</v>
      </c>
      <c r="D2717" s="2" t="s">
        <v>3550</v>
      </c>
      <c r="E2717" s="4">
        <v>5200</v>
      </c>
    </row>
    <row r="2718" spans="1:5">
      <c r="A2718" s="2" t="s">
        <v>3442</v>
      </c>
      <c r="B2718" s="2" t="str">
        <f>"6PK1560E"</f>
        <v>6PK1560E</v>
      </c>
      <c r="C2718" s="2" t="str">
        <f>"6PK1560E"</f>
        <v>6PK1560E</v>
      </c>
      <c r="D2718" s="2" t="s">
        <v>3551</v>
      </c>
      <c r="E2718" s="4">
        <v>5500</v>
      </c>
    </row>
    <row r="2719" spans="1:5">
      <c r="A2719" s="2" t="s">
        <v>3442</v>
      </c>
      <c r="B2719" s="2" t="str">
        <f>"9943168"</f>
        <v>9943168</v>
      </c>
      <c r="C2719" s="2" t="str">
        <f>"070250048"</f>
        <v>070250048</v>
      </c>
      <c r="D2719" s="2" t="s">
        <v>3552</v>
      </c>
      <c r="E2719" s="4">
        <v>11500</v>
      </c>
    </row>
    <row r="2720" spans="1:5">
      <c r="A2720" s="2" t="s">
        <v>3442</v>
      </c>
      <c r="B2720" s="2" t="str">
        <f>"319974"</f>
        <v>319974</v>
      </c>
      <c r="C2720" s="2" t="str">
        <f>"319974"</f>
        <v>319974</v>
      </c>
      <c r="D2720" s="2" t="s">
        <v>3553</v>
      </c>
      <c r="E2720" s="4">
        <v>16000</v>
      </c>
    </row>
    <row r="2721" spans="1:5">
      <c r="A2721" s="2" t="s">
        <v>3442</v>
      </c>
      <c r="B2721" s="2" t="str">
        <f>"6PK1785E"</f>
        <v>6PK1785E</v>
      </c>
      <c r="C2721" s="2" t="str">
        <f>"6PK1785E"</f>
        <v>6PK1785E</v>
      </c>
      <c r="D2721" s="2" t="s">
        <v>3554</v>
      </c>
      <c r="E2721" s="4">
        <v>6100</v>
      </c>
    </row>
    <row r="2722" spans="1:5">
      <c r="A2722" s="2" t="s">
        <v>3442</v>
      </c>
      <c r="B2722" s="2" t="str">
        <f>"325437"</f>
        <v>325437</v>
      </c>
      <c r="C2722" s="2" t="str">
        <f>"9950654"</f>
        <v>9950654</v>
      </c>
      <c r="D2722" s="2" t="s">
        <v>3555</v>
      </c>
      <c r="E2722" s="4">
        <v>16000</v>
      </c>
    </row>
    <row r="2723" spans="1:5">
      <c r="A2723" s="2" t="s">
        <v>3442</v>
      </c>
      <c r="B2723" s="2" t="str">
        <f>"090250572"</f>
        <v>090250572</v>
      </c>
      <c r="C2723" s="2" t="str">
        <f>"090250572"</f>
        <v>090250572</v>
      </c>
      <c r="D2723" s="2" t="s">
        <v>3556</v>
      </c>
      <c r="E2723" s="4">
        <v>8800</v>
      </c>
    </row>
    <row r="2724" spans="1:5">
      <c r="A2724" s="2" t="s">
        <v>3442</v>
      </c>
      <c r="B2724" s="2" t="str">
        <f>"010250865"</f>
        <v>010250865</v>
      </c>
      <c r="C2724" s="2" t="str">
        <f>"010250865"</f>
        <v>010250865</v>
      </c>
      <c r="D2724" s="2" t="s">
        <v>3557</v>
      </c>
      <c r="E2724" s="4">
        <v>15100</v>
      </c>
    </row>
    <row r="2725" spans="1:5">
      <c r="A2725" s="2" t="s">
        <v>3442</v>
      </c>
      <c r="B2725" s="2" t="str">
        <f>"325454"</f>
        <v>325454</v>
      </c>
      <c r="C2725" s="2" t="str">
        <f>"325454"</f>
        <v>325454</v>
      </c>
      <c r="D2725" s="2" t="s">
        <v>3558</v>
      </c>
      <c r="E2725" s="4">
        <v>18000</v>
      </c>
    </row>
    <row r="2726" spans="1:5">
      <c r="A2726" s="2" t="s">
        <v>3442</v>
      </c>
      <c r="B2726" s="2" t="str">
        <f>"070250057"</f>
        <v>070250057</v>
      </c>
      <c r="C2726" s="2" t="str">
        <f>"090250574"</f>
        <v>090250574</v>
      </c>
      <c r="D2726" s="2" t="s">
        <v>3559</v>
      </c>
      <c r="E2726" s="4">
        <v>9700</v>
      </c>
    </row>
    <row r="2727" spans="1:5">
      <c r="A2727" s="2" t="s">
        <v>3442</v>
      </c>
      <c r="B2727" s="2" t="str">
        <f>"6PK1945E"</f>
        <v>6PK1945E</v>
      </c>
      <c r="C2727" s="2" t="str">
        <f>"6PK1945E"</f>
        <v>6PK1945E</v>
      </c>
      <c r="D2727" s="2" t="s">
        <v>3560</v>
      </c>
      <c r="E2727" s="4">
        <v>7500</v>
      </c>
    </row>
    <row r="2728" spans="1:5">
      <c r="A2728" s="2" t="s">
        <v>3442</v>
      </c>
      <c r="B2728" s="2" t="str">
        <f>"6PK2205D"</f>
        <v>6PK2205D</v>
      </c>
      <c r="C2728" s="2" t="str">
        <f>"6PK2205D"</f>
        <v>6PK2205D</v>
      </c>
      <c r="D2728" s="2" t="s">
        <v>3561</v>
      </c>
      <c r="E2728" s="4">
        <v>7500</v>
      </c>
    </row>
    <row r="2729" spans="1:5">
      <c r="A2729" s="2" t="s">
        <v>3442</v>
      </c>
      <c r="B2729" s="2" t="str">
        <f>"6PK-2240"</f>
        <v>6PK-2240</v>
      </c>
      <c r="C2729" s="2" t="str">
        <f>"6PK2240"</f>
        <v>6PK2240</v>
      </c>
      <c r="D2729" s="2" t="s">
        <v>3562</v>
      </c>
      <c r="E2729" s="4">
        <v>22300</v>
      </c>
    </row>
    <row r="2730" spans="1:5">
      <c r="A2730" s="2" t="s">
        <v>3442</v>
      </c>
      <c r="B2730" s="2" t="str">
        <f>"325681"</f>
        <v>325681</v>
      </c>
      <c r="C2730" s="2" t="str">
        <f>"325681"</f>
        <v>325681</v>
      </c>
      <c r="D2730" s="2" t="s">
        <v>3563</v>
      </c>
      <c r="E2730" s="4">
        <v>25000</v>
      </c>
    </row>
    <row r="2731" spans="1:5">
      <c r="A2731" s="2" t="s">
        <v>3442</v>
      </c>
      <c r="B2731" s="2" t="str">
        <f>"6PK2325H"</f>
        <v>6PK2325H</v>
      </c>
      <c r="C2731" s="2" t="str">
        <f>"6PK2325H"</f>
        <v>6PK2325H</v>
      </c>
      <c r="D2731" s="2" t="s">
        <v>3564</v>
      </c>
      <c r="E2731" s="4">
        <v>6000</v>
      </c>
    </row>
    <row r="2732" spans="1:5">
      <c r="A2732" s="2" t="s">
        <v>3442</v>
      </c>
      <c r="B2732" s="2" t="str">
        <f>"6PK2350M"</f>
        <v>6PK2350M</v>
      </c>
      <c r="C2732" s="2" t="str">
        <f>"6PK2350M"</f>
        <v>6PK2350M</v>
      </c>
      <c r="D2732" s="2" t="s">
        <v>3565</v>
      </c>
      <c r="E2732" s="4">
        <v>18900</v>
      </c>
    </row>
    <row r="2733" spans="1:5">
      <c r="A2733" s="2" t="s">
        <v>3442</v>
      </c>
      <c r="B2733" s="2" t="str">
        <f>"6PK2425E"</f>
        <v>6PK2425E</v>
      </c>
      <c r="C2733" s="2" t="str">
        <f>"6PK2425E"</f>
        <v>6PK2425E</v>
      </c>
      <c r="D2733" s="2" t="s">
        <v>3566</v>
      </c>
      <c r="E2733" s="4">
        <v>8000</v>
      </c>
    </row>
    <row r="2734" spans="1:5">
      <c r="A2734" s="2" t="s">
        <v>3442</v>
      </c>
      <c r="B2734" s="2" t="str">
        <f>"090250703"</f>
        <v>090250703</v>
      </c>
      <c r="C2734" s="2" t="str">
        <f>"090250703"</f>
        <v>090250703</v>
      </c>
      <c r="D2734" s="2" t="s">
        <v>3567</v>
      </c>
      <c r="E2734" s="4">
        <v>12900</v>
      </c>
    </row>
    <row r="2735" spans="1:5">
      <c r="A2735" s="2" t="s">
        <v>3442</v>
      </c>
      <c r="B2735" s="2" t="str">
        <f>"285181"</f>
        <v>285181</v>
      </c>
      <c r="C2735" s="2" t="str">
        <f>"285181"</f>
        <v>285181</v>
      </c>
      <c r="D2735" s="2" t="s">
        <v>3568</v>
      </c>
      <c r="E2735" s="4">
        <v>21400</v>
      </c>
    </row>
    <row r="2736" spans="1:5">
      <c r="A2736" s="2" t="s">
        <v>3442</v>
      </c>
      <c r="B2736" s="2" t="str">
        <f>"6PK2605E"</f>
        <v>6PK2605E</v>
      </c>
      <c r="C2736" s="2" t="str">
        <f>"6PK2605E"</f>
        <v>6PK2605E</v>
      </c>
      <c r="D2736" s="2" t="s">
        <v>3569</v>
      </c>
      <c r="E2736" s="4">
        <v>9500</v>
      </c>
    </row>
    <row r="2737" spans="1:5">
      <c r="A2737" s="2" t="s">
        <v>3442</v>
      </c>
      <c r="B2737" s="2" t="str">
        <f>"090250532"</f>
        <v>090250532</v>
      </c>
      <c r="C2737" s="2" t="str">
        <f>"6PK 820"</f>
        <v>6PK 820</v>
      </c>
      <c r="D2737" s="2" t="s">
        <v>3570</v>
      </c>
      <c r="E2737" s="4">
        <v>5200</v>
      </c>
    </row>
    <row r="2738" spans="1:5">
      <c r="A2738" s="2" t="s">
        <v>3442</v>
      </c>
      <c r="B2738" s="2" t="str">
        <f>"284906"</f>
        <v>284906</v>
      </c>
      <c r="C2738" s="2" t="str">
        <f>"1603458367104"</f>
        <v>1603458367104</v>
      </c>
      <c r="D2738" s="2" t="s">
        <v>3571</v>
      </c>
      <c r="E2738" s="4">
        <v>10600</v>
      </c>
    </row>
    <row r="2739" spans="1:5">
      <c r="A2739" s="2" t="s">
        <v>3442</v>
      </c>
      <c r="B2739" s="2" t="str">
        <f>"285005"</f>
        <v>285005</v>
      </c>
      <c r="C2739" s="2" t="str">
        <f>"1603458443772"</f>
        <v>1603458443772</v>
      </c>
      <c r="D2739" s="2" t="s">
        <v>3572</v>
      </c>
      <c r="E2739" s="4">
        <v>12400</v>
      </c>
    </row>
    <row r="2740" spans="1:5">
      <c r="A2740" s="2" t="s">
        <v>3442</v>
      </c>
      <c r="B2740" s="2" t="str">
        <f>"070250950"</f>
        <v>070250950</v>
      </c>
      <c r="C2740" s="2" t="str">
        <f>"070250950"</f>
        <v>070250950</v>
      </c>
      <c r="D2740" s="2" t="s">
        <v>3573</v>
      </c>
      <c r="E2740" s="4">
        <v>6100</v>
      </c>
    </row>
    <row r="2741" spans="1:5">
      <c r="A2741" s="2" t="s">
        <v>3442</v>
      </c>
      <c r="B2741" s="2" t="str">
        <f>"7PK1140"</f>
        <v>7PK1140</v>
      </c>
      <c r="C2741" s="2" t="str">
        <f>"7PK1140"</f>
        <v>7PK1140</v>
      </c>
      <c r="D2741" s="2" t="s">
        <v>3574</v>
      </c>
      <c r="E2741" s="4">
        <v>8800</v>
      </c>
    </row>
    <row r="2742" spans="1:5">
      <c r="A2742" s="2" t="s">
        <v>3442</v>
      </c>
      <c r="B2742" s="2" t="str">
        <f>"9943195"</f>
        <v>9943195</v>
      </c>
      <c r="C2742" s="2" t="str">
        <f>"9943195"</f>
        <v>9943195</v>
      </c>
      <c r="D2742" s="2" t="s">
        <v>3575</v>
      </c>
      <c r="E2742" s="4">
        <v>9700</v>
      </c>
    </row>
    <row r="2743" spans="1:5">
      <c r="A2743" s="2" t="s">
        <v>3442</v>
      </c>
      <c r="B2743" s="2" t="str">
        <f>"070250008"</f>
        <v>070250008</v>
      </c>
      <c r="C2743" s="2" t="str">
        <f>"7pk1515"</f>
        <v>7pk1515</v>
      </c>
      <c r="D2743" s="2" t="s">
        <v>3576</v>
      </c>
      <c r="E2743" s="4">
        <v>12400</v>
      </c>
    </row>
    <row r="2744" spans="1:5">
      <c r="A2744" s="2" t="s">
        <v>3442</v>
      </c>
      <c r="B2744" s="2" t="str">
        <f>"010250879"</f>
        <v>010250879</v>
      </c>
      <c r="C2744" s="2" t="str">
        <f>"010250879"</f>
        <v>010250879</v>
      </c>
      <c r="D2744" s="2" t="s">
        <v>3577</v>
      </c>
      <c r="E2744" s="4">
        <v>18900</v>
      </c>
    </row>
    <row r="2745" spans="1:5">
      <c r="A2745" s="2" t="s">
        <v>3442</v>
      </c>
      <c r="B2745" s="2" t="str">
        <f>"7PK1740E"</f>
        <v>7PK1740E</v>
      </c>
      <c r="C2745" s="2" t="str">
        <f>"7PK1740E"</f>
        <v>7PK1740E</v>
      </c>
      <c r="D2745" s="2" t="s">
        <v>3578</v>
      </c>
      <c r="E2745" s="4">
        <v>7500</v>
      </c>
    </row>
    <row r="2746" spans="1:5">
      <c r="A2746" s="2" t="s">
        <v>3442</v>
      </c>
      <c r="B2746" s="2" t="str">
        <f>"325290"</f>
        <v>325290</v>
      </c>
      <c r="C2746" s="2" t="str">
        <f>"325290"</f>
        <v>325290</v>
      </c>
      <c r="D2746" s="2" t="s">
        <v>3579</v>
      </c>
      <c r="E2746" s="4">
        <v>28900</v>
      </c>
    </row>
    <row r="2747" spans="1:5">
      <c r="A2747" s="2" t="s">
        <v>3442</v>
      </c>
      <c r="B2747" s="2" t="str">
        <f>"291210"</f>
        <v>291210</v>
      </c>
      <c r="C2747" s="2" t="str">
        <f>"291210"</f>
        <v>291210</v>
      </c>
      <c r="D2747" s="2" t="s">
        <v>3580</v>
      </c>
      <c r="E2747" s="4">
        <v>24000</v>
      </c>
    </row>
    <row r="2748" spans="1:5">
      <c r="A2748" s="2" t="s">
        <v>3442</v>
      </c>
      <c r="B2748" s="2" t="str">
        <f>"8PK1855"</f>
        <v>8PK1855</v>
      </c>
      <c r="C2748" s="2" t="str">
        <f>"8PK1855"</f>
        <v>8PK1855</v>
      </c>
      <c r="D2748" s="2" t="s">
        <v>3581</v>
      </c>
      <c r="E2748" s="4">
        <v>9000</v>
      </c>
    </row>
    <row r="2749" spans="1:5">
      <c r="A2749" s="2" t="s">
        <v>3442</v>
      </c>
      <c r="B2749" s="2" t="str">
        <f>"8PK1895Y"</f>
        <v>8PK1895Y</v>
      </c>
      <c r="C2749" s="2" t="str">
        <f>"8PK1895Y"</f>
        <v>8PK1895Y</v>
      </c>
      <c r="D2749" s="2" t="s">
        <v>3582</v>
      </c>
      <c r="E2749" s="4">
        <v>1250</v>
      </c>
    </row>
    <row r="2750" spans="1:5">
      <c r="A2750" s="2" t="s">
        <v>3442</v>
      </c>
      <c r="B2750" s="2" t="str">
        <f>"311395"</f>
        <v>311395</v>
      </c>
      <c r="C2750" s="2" t="str">
        <f>"070250447"</f>
        <v>070250447</v>
      </c>
      <c r="D2750" s="2" t="s">
        <v>3583</v>
      </c>
      <c r="E2750" s="4">
        <v>3800</v>
      </c>
    </row>
    <row r="2751" spans="1:5">
      <c r="A2751" s="2" t="s">
        <v>3442</v>
      </c>
      <c r="B2751" s="2" t="str">
        <f>"311405"</f>
        <v>311405</v>
      </c>
      <c r="C2751" s="2" t="str">
        <f>"311405"</f>
        <v>311405</v>
      </c>
      <c r="D2751" s="2" t="s">
        <v>3584</v>
      </c>
      <c r="E2751" s="4">
        <v>3000</v>
      </c>
    </row>
    <row r="2752" spans="1:5">
      <c r="A2752" s="2" t="s">
        <v>3442</v>
      </c>
      <c r="B2752" s="2" t="str">
        <f>"311415"</f>
        <v>311415</v>
      </c>
      <c r="C2752" s="2" t="str">
        <f>"311415"</f>
        <v>311415</v>
      </c>
      <c r="D2752" s="2" t="s">
        <v>3585</v>
      </c>
      <c r="E2752" s="4">
        <v>3800</v>
      </c>
    </row>
    <row r="2753" spans="1:5">
      <c r="A2753" s="2" t="s">
        <v>3442</v>
      </c>
      <c r="B2753" s="2" t="str">
        <f>"318425"</f>
        <v>318425</v>
      </c>
      <c r="C2753" s="2" t="str">
        <f>"318425"</f>
        <v>318425</v>
      </c>
      <c r="D2753" s="2" t="s">
        <v>3586</v>
      </c>
      <c r="E2753" s="4">
        <v>3500</v>
      </c>
    </row>
    <row r="2754" spans="1:5">
      <c r="A2754" s="2" t="s">
        <v>3442</v>
      </c>
      <c r="B2754" s="2" t="str">
        <f>"311425"</f>
        <v>311425</v>
      </c>
      <c r="C2754" s="2" t="str">
        <f>"311425"</f>
        <v>311425</v>
      </c>
      <c r="D2754" s="2" t="s">
        <v>3587</v>
      </c>
      <c r="E2754" s="4">
        <v>3900</v>
      </c>
    </row>
    <row r="2755" spans="1:5">
      <c r="A2755" s="2" t="s">
        <v>3442</v>
      </c>
      <c r="B2755" s="2" t="str">
        <f>"325519"</f>
        <v>325519</v>
      </c>
      <c r="C2755" s="2" t="str">
        <f>"325519"</f>
        <v>325519</v>
      </c>
      <c r="D2755" s="2" t="s">
        <v>3588</v>
      </c>
      <c r="E2755" s="4">
        <v>4900</v>
      </c>
    </row>
    <row r="2756" spans="1:5">
      <c r="A2756" s="2" t="s">
        <v>3442</v>
      </c>
      <c r="B2756" s="2" t="str">
        <f>"311435"</f>
        <v>311435</v>
      </c>
      <c r="C2756" s="2" t="str">
        <f>"311435"</f>
        <v>311435</v>
      </c>
      <c r="D2756" s="2" t="s">
        <v>3589</v>
      </c>
      <c r="E2756" s="4">
        <v>4300</v>
      </c>
    </row>
    <row r="2757" spans="1:5">
      <c r="A2757" s="2" t="s">
        <v>3442</v>
      </c>
      <c r="B2757" s="2" t="str">
        <f>"311440"</f>
        <v>311440</v>
      </c>
      <c r="C2757" s="2" t="str">
        <f>"311440"</f>
        <v>311440</v>
      </c>
      <c r="D2757" s="2" t="s">
        <v>3590</v>
      </c>
      <c r="E2757" s="4">
        <v>3000</v>
      </c>
    </row>
    <row r="2758" spans="1:5">
      <c r="A2758" s="2" t="s">
        <v>3442</v>
      </c>
      <c r="B2758" s="2" t="str">
        <f>"311450"</f>
        <v>311450</v>
      </c>
      <c r="C2758" s="2" t="str">
        <f>"311450"</f>
        <v>311450</v>
      </c>
      <c r="D2758" s="2" t="s">
        <v>3591</v>
      </c>
      <c r="E2758" s="4">
        <v>3500</v>
      </c>
    </row>
    <row r="2759" spans="1:5">
      <c r="A2759" s="2" t="s">
        <v>3442</v>
      </c>
      <c r="B2759" s="2" t="str">
        <f>"311460"</f>
        <v>311460</v>
      </c>
      <c r="C2759" s="2" t="str">
        <f>"311460"</f>
        <v>311460</v>
      </c>
      <c r="D2759" s="2" t="s">
        <v>3592</v>
      </c>
      <c r="E2759" s="4">
        <v>3500</v>
      </c>
    </row>
    <row r="2760" spans="1:5">
      <c r="A2760" s="2" t="s">
        <v>3442</v>
      </c>
      <c r="B2760" s="2" t="str">
        <f>"311490"</f>
        <v>311490</v>
      </c>
      <c r="C2760" s="2" t="str">
        <f>"311490"</f>
        <v>311490</v>
      </c>
      <c r="D2760" s="2" t="s">
        <v>3593</v>
      </c>
      <c r="E2760" s="4">
        <v>4000</v>
      </c>
    </row>
    <row r="2761" spans="1:5">
      <c r="A2761" s="2" t="s">
        <v>3442</v>
      </c>
      <c r="B2761" s="2" t="str">
        <f>"311500"</f>
        <v>311500</v>
      </c>
      <c r="C2761" s="2" t="str">
        <f>"311500"</f>
        <v>311500</v>
      </c>
      <c r="D2761" s="2" t="s">
        <v>3594</v>
      </c>
      <c r="E2761" s="4">
        <v>4500</v>
      </c>
    </row>
    <row r="2762" spans="1:5">
      <c r="A2762" s="2" t="s">
        <v>3442</v>
      </c>
      <c r="B2762" s="2" t="str">
        <f>"311510"</f>
        <v>311510</v>
      </c>
      <c r="C2762" s="2" t="str">
        <f>"311510"</f>
        <v>311510</v>
      </c>
      <c r="D2762" s="2" t="s">
        <v>3595</v>
      </c>
      <c r="E2762" s="4">
        <v>5000</v>
      </c>
    </row>
    <row r="2763" spans="1:5">
      <c r="A2763" s="2" t="s">
        <v>3442</v>
      </c>
      <c r="B2763" s="2" t="str">
        <f>"318245"</f>
        <v>318245</v>
      </c>
      <c r="C2763" s="2" t="str">
        <f>"318245"</f>
        <v>318245</v>
      </c>
      <c r="D2763" s="2" t="s">
        <v>3596</v>
      </c>
      <c r="E2763" s="4">
        <v>3000</v>
      </c>
    </row>
    <row r="2764" spans="1:5">
      <c r="A2764" s="2" t="s">
        <v>3442</v>
      </c>
      <c r="B2764" s="2" t="str">
        <f>"95825"</f>
        <v>95825</v>
      </c>
      <c r="C2764" s="2" t="str">
        <f>"95825"</f>
        <v>95825</v>
      </c>
      <c r="D2764" s="2" t="s">
        <v>3597</v>
      </c>
      <c r="E2764" s="4">
        <v>2500</v>
      </c>
    </row>
    <row r="2765" spans="1:5">
      <c r="A2765" s="2" t="s">
        <v>3442</v>
      </c>
      <c r="B2765" s="2" t="str">
        <f>"070250433"</f>
        <v>070250433</v>
      </c>
      <c r="C2765" s="2" t="str">
        <f>"070250433"</f>
        <v>070250433</v>
      </c>
      <c r="D2765" s="2" t="s">
        <v>3598</v>
      </c>
      <c r="E2765" s="4">
        <v>3800</v>
      </c>
    </row>
    <row r="2766" spans="1:5">
      <c r="A2766" s="2" t="s">
        <v>3442</v>
      </c>
      <c r="B2766" s="2" t="str">
        <f>"311370"</f>
        <v>311370</v>
      </c>
      <c r="C2766" s="2" t="str">
        <f>"311370"</f>
        <v>311370</v>
      </c>
      <c r="D2766" s="2" t="s">
        <v>3599</v>
      </c>
      <c r="E2766" s="4">
        <v>3400</v>
      </c>
    </row>
    <row r="2767" spans="1:5">
      <c r="A2767" s="2" t="s">
        <v>3442</v>
      </c>
      <c r="B2767" s="2" t="str">
        <f>"311400"</f>
        <v>311400</v>
      </c>
      <c r="C2767" s="2" t="str">
        <f>"311400"</f>
        <v>311400</v>
      </c>
      <c r="D2767" s="2" t="s">
        <v>3600</v>
      </c>
      <c r="E2767" s="4">
        <v>4000</v>
      </c>
    </row>
    <row r="2768" spans="1:5">
      <c r="A2768" s="2" t="s">
        <v>3442</v>
      </c>
      <c r="B2768" s="2" t="str">
        <f>"311480"</f>
        <v>311480</v>
      </c>
      <c r="C2768" s="2" t="str">
        <f>"311480"</f>
        <v>311480</v>
      </c>
      <c r="D2768" s="2" t="s">
        <v>3601</v>
      </c>
      <c r="E2768" s="4">
        <v>4300</v>
      </c>
    </row>
    <row r="2769" spans="1:5">
      <c r="A2769" s="2" t="s">
        <v>3442</v>
      </c>
      <c r="B2769" s="2" t="str">
        <f>"311570"</f>
        <v>311570</v>
      </c>
      <c r="C2769" s="2" t="str">
        <f>"311570"</f>
        <v>311570</v>
      </c>
      <c r="D2769" s="2" t="s">
        <v>3602</v>
      </c>
      <c r="E2769" s="4">
        <v>6100</v>
      </c>
    </row>
    <row r="2770" spans="1:5">
      <c r="A2770" s="2" t="s">
        <v>3442</v>
      </c>
      <c r="B2770" s="2" t="str">
        <f>"311590"</f>
        <v>311590</v>
      </c>
      <c r="C2770" s="2" t="str">
        <f>"311590"</f>
        <v>311590</v>
      </c>
      <c r="D2770" s="2" t="s">
        <v>3603</v>
      </c>
      <c r="E2770" s="4">
        <v>6500</v>
      </c>
    </row>
    <row r="2771" spans="1:5">
      <c r="A2771" s="2" t="s">
        <v>3442</v>
      </c>
      <c r="B2771" s="2" t="str">
        <f>"311250"</f>
        <v>311250</v>
      </c>
      <c r="C2771" s="2" t="str">
        <f>"311250"</f>
        <v>311250</v>
      </c>
      <c r="D2771" s="2" t="s">
        <v>3604</v>
      </c>
      <c r="E2771" s="4">
        <v>3000</v>
      </c>
    </row>
    <row r="2772" spans="1:5">
      <c r="A2772" s="2" t="s">
        <v>3442</v>
      </c>
      <c r="B2772" s="2" t="str">
        <f>"311265"</f>
        <v>311265</v>
      </c>
      <c r="C2772" s="2" t="str">
        <f>"311265"</f>
        <v>311265</v>
      </c>
      <c r="D2772" s="2" t="s">
        <v>3605</v>
      </c>
      <c r="E2772" s="4">
        <v>2000</v>
      </c>
    </row>
    <row r="2773" spans="1:5">
      <c r="A2773" s="2" t="s">
        <v>3442</v>
      </c>
      <c r="B2773" s="2" t="str">
        <f>"311295"</f>
        <v>311295</v>
      </c>
      <c r="C2773" s="2" t="str">
        <f>"311295"</f>
        <v>311295</v>
      </c>
      <c r="D2773" s="2" t="s">
        <v>3606</v>
      </c>
      <c r="E2773" s="4">
        <v>2000</v>
      </c>
    </row>
    <row r="2774" spans="1:5">
      <c r="A2774" s="2" t="s">
        <v>3442</v>
      </c>
      <c r="B2774" s="2" t="str">
        <f>"318305"</f>
        <v>318305</v>
      </c>
      <c r="C2774" s="2" t="str">
        <f>"318305"</f>
        <v>318305</v>
      </c>
      <c r="D2774" s="2" t="s">
        <v>3607</v>
      </c>
      <c r="E2774" s="4">
        <v>2800</v>
      </c>
    </row>
    <row r="2775" spans="1:5">
      <c r="A2775" s="2" t="s">
        <v>3442</v>
      </c>
      <c r="B2775" s="2" t="str">
        <f>"311315"</f>
        <v>311315</v>
      </c>
      <c r="C2775" s="2" t="str">
        <f>"311315"</f>
        <v>311315</v>
      </c>
      <c r="D2775" s="2" t="s">
        <v>3608</v>
      </c>
      <c r="E2775" s="4">
        <v>2800</v>
      </c>
    </row>
    <row r="2776" spans="1:5">
      <c r="A2776" s="2" t="s">
        <v>3442</v>
      </c>
      <c r="B2776" s="2" t="str">
        <f>"311325"</f>
        <v>311325</v>
      </c>
      <c r="C2776" s="2" t="str">
        <f>"311325"</f>
        <v>311325</v>
      </c>
      <c r="D2776" s="2" t="s">
        <v>3609</v>
      </c>
      <c r="E2776" s="4">
        <v>2800</v>
      </c>
    </row>
    <row r="2777" spans="1:5">
      <c r="A2777" s="2" t="s">
        <v>3442</v>
      </c>
      <c r="B2777" s="2" t="str">
        <f>"318325"</f>
        <v>318325</v>
      </c>
      <c r="C2777" s="2" t="str">
        <f>"318325"</f>
        <v>318325</v>
      </c>
      <c r="D2777" s="2" t="s">
        <v>3610</v>
      </c>
      <c r="E2777" s="4">
        <v>2900</v>
      </c>
    </row>
    <row r="2778" spans="1:5">
      <c r="A2778" s="2" t="s">
        <v>3442</v>
      </c>
      <c r="B2778" s="2" t="str">
        <f>"311335"</f>
        <v>311335</v>
      </c>
      <c r="C2778" s="2" t="str">
        <f>"311335"</f>
        <v>311335</v>
      </c>
      <c r="D2778" s="2" t="s">
        <v>3611</v>
      </c>
      <c r="E2778" s="4">
        <v>2300</v>
      </c>
    </row>
    <row r="2779" spans="1:5">
      <c r="A2779" s="2" t="s">
        <v>3442</v>
      </c>
      <c r="B2779" s="2" t="str">
        <f>"311345"</f>
        <v>311345</v>
      </c>
      <c r="C2779" s="2" t="str">
        <f>"311345"</f>
        <v>311345</v>
      </c>
      <c r="D2779" s="2" t="s">
        <v>3612</v>
      </c>
      <c r="E2779" s="4">
        <v>2900</v>
      </c>
    </row>
    <row r="2780" spans="1:5">
      <c r="A2780" s="2" t="s">
        <v>3442</v>
      </c>
      <c r="B2780" s="2" t="str">
        <f>"311355"</f>
        <v>311355</v>
      </c>
      <c r="C2780" s="2" t="str">
        <f>"311355"</f>
        <v>311355</v>
      </c>
      <c r="D2780" s="2" t="s">
        <v>3613</v>
      </c>
      <c r="E2780" s="4">
        <v>3400</v>
      </c>
    </row>
    <row r="2781" spans="1:5">
      <c r="A2781" s="2" t="s">
        <v>3442</v>
      </c>
      <c r="B2781" s="2" t="str">
        <f>"311365"</f>
        <v>311365</v>
      </c>
      <c r="C2781" s="2" t="str">
        <f>"311365"</f>
        <v>311365</v>
      </c>
      <c r="D2781" s="2" t="s">
        <v>3614</v>
      </c>
      <c r="E2781" s="4">
        <v>3000</v>
      </c>
    </row>
    <row r="2782" spans="1:5">
      <c r="A2782" s="2" t="s">
        <v>3442</v>
      </c>
      <c r="B2782" s="2" t="str">
        <f>"311375"</f>
        <v>311375</v>
      </c>
      <c r="C2782" s="2" t="str">
        <f>"311375"</f>
        <v>311375</v>
      </c>
      <c r="D2782" s="2" t="s">
        <v>3615</v>
      </c>
      <c r="E2782" s="4">
        <v>3500</v>
      </c>
    </row>
    <row r="2783" spans="1:5">
      <c r="A2783" s="2" t="s">
        <v>3442</v>
      </c>
      <c r="B2783" s="2" t="str">
        <f>"311385"</f>
        <v>311385</v>
      </c>
      <c r="C2783" s="2" t="str">
        <f>"311385"</f>
        <v>311385</v>
      </c>
      <c r="D2783" s="2" t="s">
        <v>3616</v>
      </c>
      <c r="E2783" s="4">
        <v>3500</v>
      </c>
    </row>
    <row r="2784" spans="1:5">
      <c r="A2784" s="2" t="s">
        <v>3442</v>
      </c>
      <c r="B2784" s="2" t="str">
        <f>"6PK1755"</f>
        <v>6PK1755</v>
      </c>
      <c r="C2784" s="2" t="str">
        <f>"6PK1755"</f>
        <v>6PK1755</v>
      </c>
      <c r="D2784" s="2" t="s">
        <v>3617</v>
      </c>
      <c r="E2784" s="4">
        <v>12900</v>
      </c>
    </row>
    <row r="2785" spans="1:5">
      <c r="A2785" s="2" t="s">
        <v>3442</v>
      </c>
      <c r="B2785" s="2" t="str">
        <f>"317260"</f>
        <v>317260</v>
      </c>
      <c r="C2785" s="2" t="str">
        <f>"317260"</f>
        <v>317260</v>
      </c>
      <c r="D2785" s="2" t="s">
        <v>3618</v>
      </c>
      <c r="E2785" s="4">
        <v>3000</v>
      </c>
    </row>
    <row r="2786" spans="1:5">
      <c r="A2786" s="2" t="s">
        <v>3442</v>
      </c>
      <c r="B2786" s="2" t="str">
        <f>"317270"</f>
        <v>317270</v>
      </c>
      <c r="C2786" s="2" t="str">
        <f>"317270"</f>
        <v>317270</v>
      </c>
      <c r="D2786" s="2" t="s">
        <v>3619</v>
      </c>
      <c r="E2786" s="4">
        <v>3000</v>
      </c>
    </row>
    <row r="2787" spans="1:5">
      <c r="A2787" s="2" t="s">
        <v>3442</v>
      </c>
      <c r="B2787" s="2" t="str">
        <f>"317280"</f>
        <v>317280</v>
      </c>
      <c r="C2787" s="2" t="str">
        <f>"317280"</f>
        <v>317280</v>
      </c>
      <c r="D2787" s="2" t="s">
        <v>3620</v>
      </c>
      <c r="E2787" s="4">
        <v>3000</v>
      </c>
    </row>
    <row r="2788" spans="1:5">
      <c r="A2788" s="2" t="s">
        <v>3442</v>
      </c>
      <c r="B2788" s="2" t="str">
        <f>"285034"</f>
        <v>285034</v>
      </c>
      <c r="C2788" s="2" t="str">
        <f>"285034"</f>
        <v>285034</v>
      </c>
      <c r="D2788" s="2" t="s">
        <v>3621</v>
      </c>
      <c r="E2788" s="4">
        <v>3800</v>
      </c>
    </row>
    <row r="2789" spans="1:5">
      <c r="A2789" s="2" t="s">
        <v>3442</v>
      </c>
      <c r="B2789" s="2" t="str">
        <f>"13439-2"</f>
        <v>13439-2</v>
      </c>
      <c r="C2789" s="2" t="str">
        <f>"13439-2"</f>
        <v>13439-2</v>
      </c>
      <c r="D2789" s="2" t="s">
        <v>3621</v>
      </c>
      <c r="E2789" s="4">
        <v>6000</v>
      </c>
    </row>
    <row r="2790" spans="1:5">
      <c r="A2790" s="2" t="s">
        <v>3442</v>
      </c>
      <c r="B2790" s="2" t="str">
        <f>"317290"</f>
        <v>317290</v>
      </c>
      <c r="C2790" s="2" t="str">
        <f>"317290"</f>
        <v>317290</v>
      </c>
      <c r="D2790" s="2" t="s">
        <v>3622</v>
      </c>
      <c r="E2790" s="4">
        <v>3400</v>
      </c>
    </row>
    <row r="2791" spans="1:5">
      <c r="A2791" s="2" t="s">
        <v>3442</v>
      </c>
      <c r="B2791" s="2" t="str">
        <f>"317300"</f>
        <v>317300</v>
      </c>
      <c r="C2791" s="2" t="str">
        <f>"284872"</f>
        <v>284872</v>
      </c>
      <c r="D2791" s="2" t="s">
        <v>3623</v>
      </c>
      <c r="E2791" s="4">
        <v>3000</v>
      </c>
    </row>
    <row r="2792" spans="1:5">
      <c r="A2792" s="2" t="s">
        <v>3442</v>
      </c>
      <c r="B2792" s="2" t="str">
        <f>"317310"</f>
        <v>317310</v>
      </c>
      <c r="C2792" s="2" t="str">
        <f>"317310"</f>
        <v>317310</v>
      </c>
      <c r="D2792" s="2" t="s">
        <v>3624</v>
      </c>
      <c r="E2792" s="4">
        <v>3400</v>
      </c>
    </row>
    <row r="2793" spans="1:5">
      <c r="A2793" s="2" t="s">
        <v>3442</v>
      </c>
      <c r="B2793" s="2" t="str">
        <f>"17462-9"</f>
        <v>17462-9</v>
      </c>
      <c r="C2793" s="2" t="str">
        <f>"17462-9"</f>
        <v>17462-9</v>
      </c>
      <c r="D2793" s="2" t="s">
        <v>3625</v>
      </c>
      <c r="E2793" s="4">
        <v>6500</v>
      </c>
    </row>
    <row r="2794" spans="1:5">
      <c r="A2794" s="2" t="s">
        <v>3442</v>
      </c>
      <c r="B2794" s="2" t="str">
        <f>"285036"</f>
        <v>285036</v>
      </c>
      <c r="C2794" s="2" t="str">
        <f>"285036"</f>
        <v>285036</v>
      </c>
      <c r="D2794" s="2" t="s">
        <v>3626</v>
      </c>
      <c r="E2794" s="4">
        <v>4100</v>
      </c>
    </row>
    <row r="2795" spans="1:5">
      <c r="A2795" s="2" t="s">
        <v>3442</v>
      </c>
      <c r="B2795" s="2" t="str">
        <f>"317320"</f>
        <v>317320</v>
      </c>
      <c r="C2795" s="2" t="str">
        <f>"317320"</f>
        <v>317320</v>
      </c>
      <c r="D2795" s="2" t="s">
        <v>3627</v>
      </c>
      <c r="E2795" s="4">
        <v>3400</v>
      </c>
    </row>
    <row r="2796" spans="1:5">
      <c r="A2796" s="2" t="s">
        <v>3442</v>
      </c>
      <c r="B2796" s="2" t="str">
        <f>"17732-6"</f>
        <v>17732-6</v>
      </c>
      <c r="C2796" s="2" t="str">
        <f>"17732-6"</f>
        <v>17732-6</v>
      </c>
      <c r="D2796" s="2" t="s">
        <v>3628</v>
      </c>
      <c r="E2796" s="4">
        <v>6000</v>
      </c>
    </row>
    <row r="2797" spans="1:5">
      <c r="A2797" s="2" t="s">
        <v>3442</v>
      </c>
      <c r="B2797" s="2" t="str">
        <f>"317330"</f>
        <v>317330</v>
      </c>
      <c r="C2797" s="2" t="str">
        <f>"317330"</f>
        <v>317330</v>
      </c>
      <c r="D2797" s="2" t="s">
        <v>3629</v>
      </c>
      <c r="E2797" s="4">
        <v>3500</v>
      </c>
    </row>
    <row r="2798" spans="1:5">
      <c r="A2798" s="2" t="s">
        <v>3442</v>
      </c>
      <c r="B2798" s="2" t="str">
        <f>"318527"</f>
        <v>318527</v>
      </c>
      <c r="C2798" s="2" t="str">
        <f>"318527"</f>
        <v>318527</v>
      </c>
      <c r="D2798" s="2" t="s">
        <v>3630</v>
      </c>
      <c r="E2798" s="4">
        <v>3800</v>
      </c>
    </row>
    <row r="2799" spans="1:5">
      <c r="A2799" s="2" t="s">
        <v>3442</v>
      </c>
      <c r="B2799" s="2" t="str">
        <f>"285038"</f>
        <v>285038</v>
      </c>
      <c r="C2799" s="2" t="str">
        <f>"285038"</f>
        <v>285038</v>
      </c>
      <c r="D2799" s="2" t="s">
        <v>3630</v>
      </c>
      <c r="E2799" s="4">
        <v>5200</v>
      </c>
    </row>
    <row r="2800" spans="1:5">
      <c r="A2800" s="2" t="s">
        <v>3442</v>
      </c>
      <c r="B2800" s="2" t="str">
        <f>"11411-1"</f>
        <v>11411-1</v>
      </c>
      <c r="C2800" s="2" t="str">
        <f>"11411-1"</f>
        <v>11411-1</v>
      </c>
      <c r="D2800" s="2" t="s">
        <v>3631</v>
      </c>
      <c r="E2800" s="4">
        <v>6000</v>
      </c>
    </row>
    <row r="2801" spans="1:5">
      <c r="A2801" s="2" t="s">
        <v>3442</v>
      </c>
      <c r="B2801" s="2" t="str">
        <f>"317340"</f>
        <v>317340</v>
      </c>
      <c r="C2801" s="2" t="str">
        <f>"317340"</f>
        <v>317340</v>
      </c>
      <c r="D2801" s="2" t="s">
        <v>3632</v>
      </c>
      <c r="E2801" s="4">
        <v>4300</v>
      </c>
    </row>
    <row r="2802" spans="1:5">
      <c r="A2802" s="2" t="s">
        <v>3442</v>
      </c>
      <c r="B2802" s="2" t="str">
        <f>"317350"</f>
        <v>317350</v>
      </c>
      <c r="C2802" s="2" t="str">
        <f>"284856"</f>
        <v>284856</v>
      </c>
      <c r="D2802" s="2" t="s">
        <v>3633</v>
      </c>
      <c r="E2802" s="4">
        <v>4300</v>
      </c>
    </row>
    <row r="2803" spans="1:5">
      <c r="A2803" s="2" t="s">
        <v>3442</v>
      </c>
      <c r="B2803" s="2" t="str">
        <f>"17463-7"</f>
        <v>17463-7</v>
      </c>
      <c r="C2803" s="2" t="str">
        <f>"17463-7"</f>
        <v>17463-7</v>
      </c>
      <c r="D2803" s="2" t="s">
        <v>3634</v>
      </c>
      <c r="E2803" s="4">
        <v>7000</v>
      </c>
    </row>
    <row r="2804" spans="1:5">
      <c r="A2804" s="2" t="s">
        <v>3442</v>
      </c>
      <c r="B2804" s="2" t="str">
        <f>"285041"</f>
        <v>285041</v>
      </c>
      <c r="C2804" s="2" t="str">
        <f>"285041"</f>
        <v>285041</v>
      </c>
      <c r="D2804" s="2" t="s">
        <v>3635</v>
      </c>
      <c r="E2804" s="4">
        <v>5700</v>
      </c>
    </row>
    <row r="2805" spans="1:5">
      <c r="A2805" s="2" t="s">
        <v>3442</v>
      </c>
      <c r="B2805" s="2" t="str">
        <f>"317360"</f>
        <v>317360</v>
      </c>
      <c r="C2805" s="2" t="str">
        <f>"317360"</f>
        <v>317360</v>
      </c>
      <c r="D2805" s="2" t="s">
        <v>3636</v>
      </c>
      <c r="E2805" s="4">
        <v>4300</v>
      </c>
    </row>
    <row r="2806" spans="1:5">
      <c r="A2806" s="2" t="s">
        <v>3442</v>
      </c>
      <c r="B2806" s="2" t="str">
        <f>"317370"</f>
        <v>317370</v>
      </c>
      <c r="C2806" s="2" t="str">
        <f>"317370"</f>
        <v>317370</v>
      </c>
      <c r="D2806" s="2" t="s">
        <v>3637</v>
      </c>
      <c r="E2806" s="4">
        <v>4300</v>
      </c>
    </row>
    <row r="2807" spans="1:5">
      <c r="A2807" s="2" t="s">
        <v>3442</v>
      </c>
      <c r="B2807" s="2" t="str">
        <f>"318535"</f>
        <v>318535</v>
      </c>
      <c r="C2807" s="2" t="str">
        <f>"318535"</f>
        <v>318535</v>
      </c>
      <c r="D2807" s="2" t="s">
        <v>3638</v>
      </c>
      <c r="E2807" s="4">
        <v>5700</v>
      </c>
    </row>
    <row r="2808" spans="1:5">
      <c r="A2808" s="2" t="s">
        <v>3442</v>
      </c>
      <c r="B2808" s="2" t="str">
        <f>"17464-5"</f>
        <v>17464-5</v>
      </c>
      <c r="C2808" s="2" t="str">
        <f>"17464-5"</f>
        <v>17464-5</v>
      </c>
      <c r="D2808" s="2" t="s">
        <v>3638</v>
      </c>
      <c r="E2808" s="4">
        <v>7000</v>
      </c>
    </row>
    <row r="2809" spans="1:5">
      <c r="A2809" s="2" t="s">
        <v>3442</v>
      </c>
      <c r="B2809" s="2" t="str">
        <f>"317380"</f>
        <v>317380</v>
      </c>
      <c r="C2809" s="2" t="str">
        <f>"317380"</f>
        <v>317380</v>
      </c>
      <c r="D2809" s="2" t="s">
        <v>3639</v>
      </c>
      <c r="E2809" s="4">
        <v>4300</v>
      </c>
    </row>
    <row r="2810" spans="1:5">
      <c r="A2810" s="2" t="s">
        <v>3442</v>
      </c>
      <c r="B2810" s="2" t="str">
        <f>"285043"</f>
        <v>285043</v>
      </c>
      <c r="C2810" s="2" t="str">
        <f>"285043"</f>
        <v>285043</v>
      </c>
      <c r="D2810" s="2" t="s">
        <v>3640</v>
      </c>
      <c r="E2810" s="4">
        <v>6100</v>
      </c>
    </row>
    <row r="2811" spans="1:5">
      <c r="A2811" s="2" t="s">
        <v>3442</v>
      </c>
      <c r="B2811" s="2" t="str">
        <f>"317390"</f>
        <v>317390</v>
      </c>
      <c r="C2811" s="2" t="str">
        <f>"317390"</f>
        <v>317390</v>
      </c>
      <c r="D2811" s="2" t="s">
        <v>3641</v>
      </c>
      <c r="E2811" s="4">
        <v>4500</v>
      </c>
    </row>
    <row r="2812" spans="1:5">
      <c r="A2812" s="2" t="s">
        <v>3442</v>
      </c>
      <c r="B2812" s="2" t="str">
        <f>"285044"</f>
        <v>285044</v>
      </c>
      <c r="C2812" s="2" t="str">
        <f>"4443-5961"</f>
        <v>4443-5961</v>
      </c>
      <c r="D2812" s="2" t="s">
        <v>3642</v>
      </c>
      <c r="E2812" s="4">
        <v>5800</v>
      </c>
    </row>
    <row r="2813" spans="1:5">
      <c r="A2813" s="2" t="s">
        <v>3442</v>
      </c>
      <c r="B2813" s="2" t="str">
        <f>"090250213"</f>
        <v>090250213</v>
      </c>
      <c r="C2813" s="2" t="str">
        <f>"090250213"</f>
        <v>090250213</v>
      </c>
      <c r="D2813" s="2" t="s">
        <v>3642</v>
      </c>
      <c r="E2813" s="4">
        <v>5500</v>
      </c>
    </row>
    <row r="2814" spans="1:5">
      <c r="A2814" s="2" t="s">
        <v>3442</v>
      </c>
      <c r="B2814" s="2" t="str">
        <f>"17466-1"</f>
        <v>17466-1</v>
      </c>
      <c r="C2814" s="2" t="str">
        <f>"17466-1"</f>
        <v>17466-1</v>
      </c>
      <c r="D2814" s="2" t="s">
        <v>3642</v>
      </c>
      <c r="E2814" s="4">
        <v>7500</v>
      </c>
    </row>
    <row r="2815" spans="1:5">
      <c r="A2815" s="2" t="s">
        <v>3442</v>
      </c>
      <c r="B2815" s="2" t="str">
        <f>"17467-K"</f>
        <v>17467-K</v>
      </c>
      <c r="C2815" s="2" t="str">
        <f>"17467-K"</f>
        <v>17467-K</v>
      </c>
      <c r="D2815" s="2" t="s">
        <v>3643</v>
      </c>
      <c r="E2815" s="4">
        <v>7500</v>
      </c>
    </row>
    <row r="2816" spans="1:5">
      <c r="A2816" s="2" t="s">
        <v>3442</v>
      </c>
      <c r="B2816" s="2" t="str">
        <f>"285046"</f>
        <v>285046</v>
      </c>
      <c r="C2816" s="2" t="str">
        <f>"285046"</f>
        <v>285046</v>
      </c>
      <c r="D2816" s="2" t="s">
        <v>3644</v>
      </c>
      <c r="E2816" s="4">
        <v>5900</v>
      </c>
    </row>
    <row r="2817" spans="1:5">
      <c r="A2817" s="2" t="s">
        <v>3442</v>
      </c>
      <c r="B2817" s="2" t="str">
        <f>"317400"</f>
        <v>317400</v>
      </c>
      <c r="C2817" s="2" t="str">
        <f>"317400"</f>
        <v>317400</v>
      </c>
      <c r="D2817" s="2" t="s">
        <v>3645</v>
      </c>
      <c r="E2817" s="4">
        <v>4500</v>
      </c>
    </row>
    <row r="2818" spans="1:5">
      <c r="A2818" s="2" t="s">
        <v>3442</v>
      </c>
      <c r="B2818" s="2" t="str">
        <f>"317410"</f>
        <v>317410</v>
      </c>
      <c r="C2818" s="2" t="str">
        <f>"317410"</f>
        <v>317410</v>
      </c>
      <c r="D2818" s="2" t="s">
        <v>3646</v>
      </c>
      <c r="E2818" s="4">
        <v>4500</v>
      </c>
    </row>
    <row r="2819" spans="1:5">
      <c r="A2819" s="2" t="s">
        <v>3442</v>
      </c>
      <c r="B2819" s="2" t="str">
        <f>"18272-9"</f>
        <v>18272-9</v>
      </c>
      <c r="C2819" s="2" t="str">
        <f>"18272-9"</f>
        <v>18272-9</v>
      </c>
      <c r="D2819" s="2" t="s">
        <v>3647</v>
      </c>
      <c r="E2819" s="4">
        <v>7500</v>
      </c>
    </row>
    <row r="2820" spans="1:5">
      <c r="A2820" s="2" t="s">
        <v>3442</v>
      </c>
      <c r="B2820" s="2" t="str">
        <f>"318545"</f>
        <v>318545</v>
      </c>
      <c r="C2820" s="2" t="str">
        <f>"318545"</f>
        <v>318545</v>
      </c>
      <c r="D2820" s="2" t="s">
        <v>3648</v>
      </c>
      <c r="E2820" s="4">
        <v>5900</v>
      </c>
    </row>
    <row r="2821" spans="1:5">
      <c r="A2821" s="2" t="s">
        <v>3442</v>
      </c>
      <c r="B2821" s="2" t="str">
        <f>"317420"</f>
        <v>317420</v>
      </c>
      <c r="C2821" s="2" t="str">
        <f>"317420"</f>
        <v>317420</v>
      </c>
      <c r="D2821" s="2" t="s">
        <v>3649</v>
      </c>
      <c r="E2821" s="4">
        <v>4500</v>
      </c>
    </row>
    <row r="2822" spans="1:5">
      <c r="A2822" s="2" t="s">
        <v>3442</v>
      </c>
      <c r="B2822" s="2" t="str">
        <f>"317430"</f>
        <v>317430</v>
      </c>
      <c r="C2822" s="2" t="str">
        <f>"317430"</f>
        <v>317430</v>
      </c>
      <c r="D2822" s="2" t="s">
        <v>3650</v>
      </c>
      <c r="E2822" s="4">
        <v>4500</v>
      </c>
    </row>
    <row r="2823" spans="1:5">
      <c r="A2823" s="2" t="s">
        <v>3442</v>
      </c>
      <c r="B2823" s="2" t="str">
        <f>"11472-3"</f>
        <v>11472-3</v>
      </c>
      <c r="C2823" s="2" t="str">
        <f>"11472-3"</f>
        <v>11472-3</v>
      </c>
      <c r="D2823" s="2" t="s">
        <v>3651</v>
      </c>
      <c r="E2823" s="4">
        <v>8000</v>
      </c>
    </row>
    <row r="2824" spans="1:5">
      <c r="A2824" s="2" t="s">
        <v>3442</v>
      </c>
      <c r="B2824" s="2" t="str">
        <f>"318547"</f>
        <v>318547</v>
      </c>
      <c r="C2824" s="2" t="str">
        <f>"318547"</f>
        <v>318547</v>
      </c>
      <c r="D2824" s="2" t="s">
        <v>3652</v>
      </c>
      <c r="E2824" s="4">
        <v>6100</v>
      </c>
    </row>
    <row r="2825" spans="1:5">
      <c r="A2825" s="2" t="s">
        <v>3442</v>
      </c>
      <c r="B2825" s="2" t="str">
        <f>"317440"</f>
        <v>317440</v>
      </c>
      <c r="C2825" s="2" t="str">
        <f>"317440"</f>
        <v>317440</v>
      </c>
      <c r="D2825" s="2" t="s">
        <v>3653</v>
      </c>
      <c r="E2825" s="4">
        <v>4500</v>
      </c>
    </row>
    <row r="2826" spans="1:5">
      <c r="A2826" s="2" t="s">
        <v>3442</v>
      </c>
      <c r="B2826" s="2" t="str">
        <f>"17470-K"</f>
        <v>17470-K</v>
      </c>
      <c r="C2826" s="2" t="str">
        <f>"17470-K"</f>
        <v>17470-K</v>
      </c>
      <c r="D2826" s="2" t="s">
        <v>3654</v>
      </c>
      <c r="E2826" s="4">
        <v>9500</v>
      </c>
    </row>
    <row r="2827" spans="1:5">
      <c r="A2827" s="2" t="s">
        <v>3442</v>
      </c>
      <c r="B2827" s="2" t="str">
        <f>"318549"</f>
        <v>318549</v>
      </c>
      <c r="C2827" s="2" t="str">
        <f>"318549"</f>
        <v>318549</v>
      </c>
      <c r="D2827" s="2" t="s">
        <v>3655</v>
      </c>
      <c r="E2827" s="4">
        <v>4800</v>
      </c>
    </row>
    <row r="2828" spans="1:5">
      <c r="A2828" s="2" t="s">
        <v>3442</v>
      </c>
      <c r="B2828" s="2" t="str">
        <f>"284871"</f>
        <v>284871</v>
      </c>
      <c r="C2828" s="2" t="str">
        <f>"284871"</f>
        <v>284871</v>
      </c>
      <c r="D2828" s="2" t="s">
        <v>3656</v>
      </c>
      <c r="E2828" s="4">
        <v>4300</v>
      </c>
    </row>
    <row r="2829" spans="1:5">
      <c r="A2829" s="2" t="s">
        <v>3442</v>
      </c>
      <c r="B2829" s="2" t="str">
        <f>"317450"</f>
        <v>317450</v>
      </c>
      <c r="C2829" s="2" t="str">
        <f>"317450"</f>
        <v>317450</v>
      </c>
      <c r="D2829" s="2" t="s">
        <v>3657</v>
      </c>
      <c r="E2829" s="4">
        <v>4500</v>
      </c>
    </row>
    <row r="2830" spans="1:5">
      <c r="A2830" s="2" t="s">
        <v>3442</v>
      </c>
      <c r="B2830" s="2" t="str">
        <f>"317460"</f>
        <v>317460</v>
      </c>
      <c r="C2830" s="2" t="s">
        <v>3658</v>
      </c>
      <c r="D2830" s="2" t="s">
        <v>3659</v>
      </c>
      <c r="E2830" s="4">
        <v>4500</v>
      </c>
    </row>
    <row r="2831" spans="1:5">
      <c r="A2831" s="2" t="s">
        <v>3442</v>
      </c>
      <c r="B2831" s="2" t="str">
        <f>"317470"</f>
        <v>317470</v>
      </c>
      <c r="C2831" s="2" t="str">
        <f>"317470"</f>
        <v>317470</v>
      </c>
      <c r="D2831" s="2" t="s">
        <v>3660</v>
      </c>
      <c r="E2831" s="4">
        <v>4800</v>
      </c>
    </row>
    <row r="2832" spans="1:5">
      <c r="A2832" s="2" t="s">
        <v>3442</v>
      </c>
      <c r="B2832" s="2" t="s">
        <v>3661</v>
      </c>
      <c r="C2832" s="2" t="s">
        <v>3661</v>
      </c>
      <c r="D2832" s="2" t="s">
        <v>3662</v>
      </c>
      <c r="E2832" s="4">
        <v>7000</v>
      </c>
    </row>
    <row r="2833" spans="1:5">
      <c r="A2833" s="2" t="s">
        <v>3442</v>
      </c>
      <c r="B2833" s="2" t="str">
        <f>"317480"</f>
        <v>317480</v>
      </c>
      <c r="C2833" s="2" t="str">
        <f>"317480"</f>
        <v>317480</v>
      </c>
      <c r="D2833" s="2" t="s">
        <v>3663</v>
      </c>
      <c r="E2833" s="4">
        <v>4500</v>
      </c>
    </row>
    <row r="2834" spans="1:5">
      <c r="A2834" s="2" t="s">
        <v>3442</v>
      </c>
      <c r="B2834" s="2" t="str">
        <f>"285054"</f>
        <v>285054</v>
      </c>
      <c r="C2834" s="2" t="str">
        <f>"285054"</f>
        <v>285054</v>
      </c>
      <c r="D2834" s="2" t="s">
        <v>3664</v>
      </c>
      <c r="E2834" s="4">
        <v>7000</v>
      </c>
    </row>
    <row r="2835" spans="1:5">
      <c r="A2835" s="2" t="s">
        <v>3442</v>
      </c>
      <c r="B2835" s="2" t="str">
        <f>"14487-8"</f>
        <v>14487-8</v>
      </c>
      <c r="C2835" s="2" t="str">
        <f>"14487-8"</f>
        <v>14487-8</v>
      </c>
      <c r="D2835" s="2" t="s">
        <v>3664</v>
      </c>
      <c r="E2835" s="4">
        <v>8000</v>
      </c>
    </row>
    <row r="2836" spans="1:5">
      <c r="A2836" s="2" t="s">
        <v>3442</v>
      </c>
      <c r="B2836" s="2" t="str">
        <f>"317490"</f>
        <v>317490</v>
      </c>
      <c r="C2836" s="2" t="str">
        <f>"317490"</f>
        <v>317490</v>
      </c>
      <c r="D2836" s="2" t="s">
        <v>3665</v>
      </c>
      <c r="E2836" s="4">
        <v>4800</v>
      </c>
    </row>
    <row r="2837" spans="1:5">
      <c r="A2837" s="2" t="s">
        <v>3442</v>
      </c>
      <c r="B2837" s="2" t="str">
        <f>"317500"</f>
        <v>317500</v>
      </c>
      <c r="C2837" s="2" t="str">
        <f>"317500"</f>
        <v>317500</v>
      </c>
      <c r="D2837" s="2" t="s">
        <v>3666</v>
      </c>
      <c r="E2837" s="4">
        <v>4500</v>
      </c>
    </row>
    <row r="2838" spans="1:5">
      <c r="A2838" s="2" t="s">
        <v>3442</v>
      </c>
      <c r="B2838" s="2" t="str">
        <f>"317510"</f>
        <v>317510</v>
      </c>
      <c r="C2838" s="2" t="str">
        <f>"317510"</f>
        <v>317510</v>
      </c>
      <c r="D2838" s="2" t="s">
        <v>3667</v>
      </c>
      <c r="E2838" s="4">
        <v>4800</v>
      </c>
    </row>
    <row r="2839" spans="1:5">
      <c r="A2839" s="2" t="s">
        <v>3442</v>
      </c>
      <c r="B2839" s="2" t="str">
        <f>"12401-K"</f>
        <v>12401-K</v>
      </c>
      <c r="C2839" s="2" t="str">
        <f>"12401-K"</f>
        <v>12401-K</v>
      </c>
      <c r="D2839" s="2" t="s">
        <v>3668</v>
      </c>
      <c r="E2839" s="4">
        <v>8500</v>
      </c>
    </row>
    <row r="2840" spans="1:5">
      <c r="A2840" s="2" t="s">
        <v>3442</v>
      </c>
      <c r="B2840" s="2" t="str">
        <f>"317520"</f>
        <v>317520</v>
      </c>
      <c r="C2840" s="2" t="str">
        <f>"317520"</f>
        <v>317520</v>
      </c>
      <c r="D2840" s="2" t="s">
        <v>3669</v>
      </c>
      <c r="E2840" s="4">
        <v>8500</v>
      </c>
    </row>
    <row r="2841" spans="1:5">
      <c r="A2841" s="2" t="s">
        <v>3442</v>
      </c>
      <c r="B2841" s="2" t="str">
        <f>"317530"</f>
        <v>317530</v>
      </c>
      <c r="C2841" s="2" t="str">
        <f>"317530"</f>
        <v>317530</v>
      </c>
      <c r="D2841" s="2" t="s">
        <v>3670</v>
      </c>
      <c r="E2841" s="4">
        <v>4800</v>
      </c>
    </row>
    <row r="2842" spans="1:5">
      <c r="A2842" s="2" t="s">
        <v>3442</v>
      </c>
      <c r="B2842" s="2" t="str">
        <f>"317540"</f>
        <v>317540</v>
      </c>
      <c r="C2842" s="2" t="str">
        <f>"317540"</f>
        <v>317540</v>
      </c>
      <c r="D2842" s="2" t="s">
        <v>3671</v>
      </c>
      <c r="E2842" s="4">
        <v>4800</v>
      </c>
    </row>
    <row r="2843" spans="1:5">
      <c r="A2843" s="2" t="s">
        <v>3442</v>
      </c>
      <c r="B2843" s="2" t="str">
        <f>"318571"</f>
        <v>318571</v>
      </c>
      <c r="C2843" s="2" t="str">
        <f>"318571"</f>
        <v>318571</v>
      </c>
      <c r="D2843" s="2" t="s">
        <v>3672</v>
      </c>
      <c r="E2843" s="4">
        <v>7500</v>
      </c>
    </row>
    <row r="2844" spans="1:5">
      <c r="A2844" s="2" t="s">
        <v>3442</v>
      </c>
      <c r="B2844" s="2" t="s">
        <v>3673</v>
      </c>
      <c r="C2844" s="2" t="str">
        <f>"317560"</f>
        <v>317560</v>
      </c>
      <c r="D2844" s="2" t="s">
        <v>3674</v>
      </c>
      <c r="E2844" s="4">
        <v>4300</v>
      </c>
    </row>
    <row r="2845" spans="1:5">
      <c r="A2845" s="2" t="s">
        <v>3442</v>
      </c>
      <c r="B2845" s="2" t="str">
        <f>"317570"</f>
        <v>317570</v>
      </c>
      <c r="C2845" s="2" t="str">
        <f>"317570"</f>
        <v>317570</v>
      </c>
      <c r="D2845" s="2" t="s">
        <v>3675</v>
      </c>
      <c r="E2845" s="4">
        <v>5500</v>
      </c>
    </row>
    <row r="2846" spans="1:5">
      <c r="A2846" s="2" t="s">
        <v>3442</v>
      </c>
      <c r="B2846" s="2" t="str">
        <f>"317580"</f>
        <v>317580</v>
      </c>
      <c r="C2846" s="2" t="str">
        <f>"317580"</f>
        <v>317580</v>
      </c>
      <c r="D2846" s="2" t="s">
        <v>3676</v>
      </c>
      <c r="E2846" s="4">
        <v>5500</v>
      </c>
    </row>
    <row r="2847" spans="1:5">
      <c r="A2847" s="2" t="s">
        <v>3442</v>
      </c>
      <c r="B2847" s="2" t="str">
        <f>"317590"</f>
        <v>317590</v>
      </c>
      <c r="C2847" s="2" t="str">
        <f>"317590"</f>
        <v>317590</v>
      </c>
      <c r="D2847" s="2" t="s">
        <v>3677</v>
      </c>
      <c r="E2847" s="4">
        <v>5500</v>
      </c>
    </row>
    <row r="2848" spans="1:5">
      <c r="A2848" s="2" t="s">
        <v>3442</v>
      </c>
      <c r="B2848" s="2" t="str">
        <f>"285064"</f>
        <v>285064</v>
      </c>
      <c r="C2848" s="2" t="str">
        <f>"285064"</f>
        <v>285064</v>
      </c>
      <c r="D2848" s="2" t="s">
        <v>3678</v>
      </c>
      <c r="E2848" s="4">
        <v>8800</v>
      </c>
    </row>
    <row r="2849" spans="1:5">
      <c r="A2849" s="2" t="s">
        <v>3442</v>
      </c>
      <c r="B2849" s="2" t="str">
        <f>"318579"</f>
        <v>318579</v>
      </c>
      <c r="C2849" s="2" t="str">
        <f>"318579"</f>
        <v>318579</v>
      </c>
      <c r="D2849" s="2" t="s">
        <v>3678</v>
      </c>
      <c r="E2849" s="4">
        <v>7000</v>
      </c>
    </row>
    <row r="2850" spans="1:5">
      <c r="A2850" s="2" t="s">
        <v>3442</v>
      </c>
      <c r="B2850" s="2" t="str">
        <f>"317600"</f>
        <v>317600</v>
      </c>
      <c r="C2850" s="2" t="str">
        <f>"317600"</f>
        <v>317600</v>
      </c>
      <c r="D2850" s="2" t="s">
        <v>3679</v>
      </c>
      <c r="E2850" s="4">
        <v>6000</v>
      </c>
    </row>
    <row r="2851" spans="1:5">
      <c r="A2851" s="2" t="s">
        <v>3442</v>
      </c>
      <c r="B2851" s="2" t="str">
        <f>"317620"</f>
        <v>317620</v>
      </c>
      <c r="C2851" s="2" t="str">
        <f>"317620"</f>
        <v>317620</v>
      </c>
      <c r="D2851" s="2" t="s">
        <v>3680</v>
      </c>
      <c r="E2851" s="4">
        <v>6000</v>
      </c>
    </row>
    <row r="2852" spans="1:5">
      <c r="A2852" s="2" t="s">
        <v>3442</v>
      </c>
      <c r="B2852" s="2" t="str">
        <f>"317650"</f>
        <v>317650</v>
      </c>
      <c r="C2852" s="2" t="str">
        <f>"317650"</f>
        <v>317650</v>
      </c>
      <c r="D2852" s="2" t="s">
        <v>3681</v>
      </c>
      <c r="E2852" s="4">
        <v>6000</v>
      </c>
    </row>
    <row r="2853" spans="1:5">
      <c r="A2853" s="2" t="s">
        <v>3442</v>
      </c>
      <c r="B2853" s="2" t="str">
        <f>"317670"</f>
        <v>317670</v>
      </c>
      <c r="C2853" s="2" t="str">
        <f>"317670"</f>
        <v>317670</v>
      </c>
      <c r="D2853" s="2" t="s">
        <v>3682</v>
      </c>
      <c r="E2853" s="4">
        <v>6000</v>
      </c>
    </row>
    <row r="2854" spans="1:5">
      <c r="A2854" s="2" t="s">
        <v>3442</v>
      </c>
      <c r="B2854" s="2" t="s">
        <v>3683</v>
      </c>
      <c r="C2854" s="2" t="s">
        <v>3683</v>
      </c>
      <c r="D2854" s="2" t="s">
        <v>3684</v>
      </c>
      <c r="E2854" s="4">
        <v>6500</v>
      </c>
    </row>
    <row r="2855" spans="1:5">
      <c r="A2855" s="2" t="s">
        <v>3442</v>
      </c>
      <c r="B2855" s="2" t="str">
        <f>"318599"</f>
        <v>318599</v>
      </c>
      <c r="C2855" s="2" t="str">
        <f>"318599"</f>
        <v>318599</v>
      </c>
      <c r="D2855" s="2" t="s">
        <v>3685</v>
      </c>
      <c r="E2855" s="4">
        <v>7800</v>
      </c>
    </row>
    <row r="2856" spans="1:5">
      <c r="A2856" s="2" t="s">
        <v>3442</v>
      </c>
      <c r="B2856" s="2" t="str">
        <f>"317840"</f>
        <v>317840</v>
      </c>
      <c r="C2856" s="2" t="str">
        <f>"317840"</f>
        <v>317840</v>
      </c>
      <c r="D2856" s="2" t="s">
        <v>3686</v>
      </c>
      <c r="E2856" s="4">
        <v>6900</v>
      </c>
    </row>
    <row r="2857" spans="1:5">
      <c r="A2857" s="2" t="s">
        <v>3442</v>
      </c>
      <c r="B2857" s="2" t="str">
        <f>"11436-7"</f>
        <v>11436-7</v>
      </c>
      <c r="C2857" s="2" t="str">
        <f>"11436-7"</f>
        <v>11436-7</v>
      </c>
      <c r="D2857" s="2" t="s">
        <v>3687</v>
      </c>
      <c r="E2857" s="4">
        <v>6500</v>
      </c>
    </row>
    <row r="2858" spans="1:5">
      <c r="A2858" s="2" t="s">
        <v>3442</v>
      </c>
      <c r="B2858" s="2" t="str">
        <f>"11449-9"</f>
        <v>11449-9</v>
      </c>
      <c r="C2858" s="2" t="str">
        <f>"11449-9"</f>
        <v>11449-9</v>
      </c>
      <c r="D2858" s="2" t="s">
        <v>3688</v>
      </c>
      <c r="E2858" s="4">
        <v>7000</v>
      </c>
    </row>
    <row r="2859" spans="1:5">
      <c r="A2859" s="2" t="s">
        <v>3442</v>
      </c>
      <c r="B2859" s="2" t="str">
        <f>"11459-6"</f>
        <v>11459-6</v>
      </c>
      <c r="C2859" s="2" t="str">
        <f>"11459-6"</f>
        <v>11459-6</v>
      </c>
      <c r="D2859" s="2" t="s">
        <v>3689</v>
      </c>
      <c r="E2859" s="4">
        <v>7500</v>
      </c>
    </row>
    <row r="2860" spans="1:5">
      <c r="A2860" s="2" t="s">
        <v>3442</v>
      </c>
      <c r="B2860" s="2" t="str">
        <f>"17468-8"</f>
        <v>17468-8</v>
      </c>
      <c r="C2860" s="2" t="str">
        <f>"17468-8"</f>
        <v>17468-8</v>
      </c>
      <c r="D2860" s="2" t="s">
        <v>3690</v>
      </c>
      <c r="E2860" s="4">
        <v>7500</v>
      </c>
    </row>
    <row r="2861" spans="1:5">
      <c r="A2861" s="2" t="s">
        <v>3442</v>
      </c>
      <c r="B2861" s="2" t="str">
        <f>"17471-8"</f>
        <v>17471-8</v>
      </c>
      <c r="C2861" s="2" t="str">
        <f>"17471-8"</f>
        <v>17471-8</v>
      </c>
      <c r="D2861" s="2" t="s">
        <v>3691</v>
      </c>
      <c r="E2861" s="4">
        <v>7700</v>
      </c>
    </row>
    <row r="2862" spans="1:5">
      <c r="A2862" s="2" t="s">
        <v>3442</v>
      </c>
      <c r="B2862" s="2" t="str">
        <f>"11486-3"</f>
        <v>11486-3</v>
      </c>
      <c r="C2862" s="2" t="str">
        <f>"11486-3"</f>
        <v>11486-3</v>
      </c>
      <c r="D2862" s="2" t="s">
        <v>3692</v>
      </c>
      <c r="E2862" s="4">
        <v>8000</v>
      </c>
    </row>
    <row r="2863" spans="1:5">
      <c r="A2863" s="2" t="s">
        <v>3442</v>
      </c>
      <c r="B2863" s="2" t="str">
        <f>"319976"</f>
        <v>319976</v>
      </c>
      <c r="C2863" s="2" t="str">
        <f>"319976"</f>
        <v>319976</v>
      </c>
      <c r="D2863" s="2" t="s">
        <v>3693</v>
      </c>
      <c r="E2863" s="4">
        <v>25000</v>
      </c>
    </row>
    <row r="2864" spans="1:5">
      <c r="A2864" s="2" t="s">
        <v>3442</v>
      </c>
      <c r="B2864" s="2" t="str">
        <f>"315280"</f>
        <v>315280</v>
      </c>
      <c r="C2864" s="2" t="str">
        <f>"315280"</f>
        <v>315280</v>
      </c>
      <c r="D2864" s="2" t="s">
        <v>3694</v>
      </c>
      <c r="E2864" s="4">
        <v>4000</v>
      </c>
    </row>
    <row r="2865" spans="1:5">
      <c r="A2865" s="2" t="s">
        <v>3442</v>
      </c>
      <c r="B2865" s="2" t="s">
        <v>3695</v>
      </c>
      <c r="C2865" s="2" t="s">
        <v>3696</v>
      </c>
      <c r="D2865" s="2" t="s">
        <v>3697</v>
      </c>
      <c r="E2865" s="4">
        <v>4000</v>
      </c>
    </row>
    <row r="2866" spans="1:5">
      <c r="A2866" s="2" t="s">
        <v>3442</v>
      </c>
      <c r="B2866" s="2" t="s">
        <v>3698</v>
      </c>
      <c r="C2866" s="2" t="s">
        <v>3699</v>
      </c>
      <c r="D2866" s="2" t="s">
        <v>3700</v>
      </c>
      <c r="E2866" s="4">
        <v>5000</v>
      </c>
    </row>
    <row r="2867" spans="1:5">
      <c r="A2867" s="2" t="s">
        <v>3442</v>
      </c>
      <c r="B2867" s="2" t="s">
        <v>3699</v>
      </c>
      <c r="C2867" s="2" t="s">
        <v>3701</v>
      </c>
      <c r="D2867" s="2" t="s">
        <v>3702</v>
      </c>
      <c r="E2867" s="4">
        <v>4000</v>
      </c>
    </row>
    <row r="2868" spans="1:5">
      <c r="A2868" s="2" t="s">
        <v>3442</v>
      </c>
      <c r="B2868" s="2" t="s">
        <v>3703</v>
      </c>
      <c r="C2868" s="2" t="s">
        <v>3704</v>
      </c>
      <c r="D2868" s="2" t="s">
        <v>3705</v>
      </c>
      <c r="E2868" s="4">
        <v>5000</v>
      </c>
    </row>
    <row r="2869" spans="1:5">
      <c r="A2869" s="2" t="s">
        <v>3442</v>
      </c>
      <c r="B2869" s="2" t="s">
        <v>3706</v>
      </c>
      <c r="C2869" s="2" t="s">
        <v>3707</v>
      </c>
      <c r="D2869" s="2" t="s">
        <v>3708</v>
      </c>
      <c r="E2869" s="4">
        <v>5500</v>
      </c>
    </row>
    <row r="2870" spans="1:5">
      <c r="A2870" s="2" t="s">
        <v>3442</v>
      </c>
      <c r="B2870" s="2" t="s">
        <v>3707</v>
      </c>
      <c r="C2870" s="2" t="s">
        <v>3709</v>
      </c>
      <c r="D2870" s="2" t="s">
        <v>3710</v>
      </c>
      <c r="E2870" s="4">
        <v>5000</v>
      </c>
    </row>
    <row r="2871" spans="1:5">
      <c r="A2871" s="2" t="s">
        <v>3442</v>
      </c>
      <c r="B2871" s="2" t="s">
        <v>3711</v>
      </c>
      <c r="C2871" s="2" t="s">
        <v>3712</v>
      </c>
      <c r="D2871" s="2" t="s">
        <v>3713</v>
      </c>
      <c r="E2871" s="4">
        <v>5000</v>
      </c>
    </row>
    <row r="2872" spans="1:5">
      <c r="A2872" s="2" t="s">
        <v>3442</v>
      </c>
      <c r="B2872" s="2" t="str">
        <f>"315350"</f>
        <v>315350</v>
      </c>
      <c r="C2872" s="2" t="str">
        <f>"315350"</f>
        <v>315350</v>
      </c>
      <c r="D2872" s="2" t="s">
        <v>3713</v>
      </c>
      <c r="E2872" s="4">
        <v>5000</v>
      </c>
    </row>
    <row r="2873" spans="1:5">
      <c r="A2873" s="2" t="s">
        <v>3442</v>
      </c>
      <c r="B2873" s="2" t="s">
        <v>3714</v>
      </c>
      <c r="C2873" s="2" t="s">
        <v>3714</v>
      </c>
      <c r="D2873" s="2" t="s">
        <v>3715</v>
      </c>
      <c r="E2873" s="4">
        <v>5000</v>
      </c>
    </row>
    <row r="2874" spans="1:5">
      <c r="A2874" s="2" t="s">
        <v>3442</v>
      </c>
      <c r="B2874" s="2" t="s">
        <v>3716</v>
      </c>
      <c r="C2874" s="2" t="s">
        <v>3717</v>
      </c>
      <c r="D2874" s="2" t="s">
        <v>3718</v>
      </c>
      <c r="E2874" s="4">
        <v>5000</v>
      </c>
    </row>
    <row r="2875" spans="1:5">
      <c r="A2875" s="2" t="s">
        <v>3442</v>
      </c>
      <c r="B2875" s="2" t="s">
        <v>3719</v>
      </c>
      <c r="C2875" s="2" t="s">
        <v>3719</v>
      </c>
      <c r="D2875" s="2" t="s">
        <v>3720</v>
      </c>
      <c r="E2875" s="4">
        <v>4000</v>
      </c>
    </row>
    <row r="2876" spans="1:5">
      <c r="A2876" s="2" t="s">
        <v>3442</v>
      </c>
      <c r="B2876" s="2" t="str">
        <f>"315370"</f>
        <v>315370</v>
      </c>
      <c r="C2876" s="2" t="str">
        <f>"315370"</f>
        <v>315370</v>
      </c>
      <c r="D2876" s="2" t="s">
        <v>3721</v>
      </c>
      <c r="E2876" s="4">
        <v>5500</v>
      </c>
    </row>
    <row r="2877" spans="1:5">
      <c r="A2877" s="2" t="s">
        <v>3442</v>
      </c>
      <c r="B2877" s="2" t="str">
        <f>"285111"</f>
        <v>285111</v>
      </c>
      <c r="C2877" s="2" t="str">
        <f>"285111"</f>
        <v>285111</v>
      </c>
      <c r="D2877" s="2" t="s">
        <v>3722</v>
      </c>
      <c r="E2877" s="4">
        <v>7900</v>
      </c>
    </row>
    <row r="2878" spans="1:5">
      <c r="A2878" s="2" t="s">
        <v>3442</v>
      </c>
      <c r="B2878" s="2" t="s">
        <v>3723</v>
      </c>
      <c r="C2878" s="2" t="s">
        <v>3724</v>
      </c>
      <c r="D2878" s="2" t="s">
        <v>3725</v>
      </c>
      <c r="E2878" s="4">
        <v>5500</v>
      </c>
    </row>
    <row r="2879" spans="1:5">
      <c r="A2879" s="2" t="s">
        <v>3442</v>
      </c>
      <c r="B2879" s="2" t="str">
        <f>"315390"</f>
        <v>315390</v>
      </c>
      <c r="C2879" s="2" t="str">
        <f>"315390"</f>
        <v>315390</v>
      </c>
      <c r="D2879" s="2" t="s">
        <v>3726</v>
      </c>
      <c r="E2879" s="4">
        <v>5900</v>
      </c>
    </row>
    <row r="2880" spans="1:5">
      <c r="A2880" s="2" t="s">
        <v>3442</v>
      </c>
      <c r="B2880" s="2" t="str">
        <f>"315430"</f>
        <v>315430</v>
      </c>
      <c r="C2880" s="2" t="str">
        <f>"315430"</f>
        <v>315430</v>
      </c>
      <c r="D2880" s="2" t="s">
        <v>3727</v>
      </c>
      <c r="E2880" s="4">
        <v>5900</v>
      </c>
    </row>
    <row r="2881" spans="1:5">
      <c r="A2881" s="2" t="s">
        <v>3442</v>
      </c>
      <c r="B2881" s="2" t="str">
        <f>"315440"</f>
        <v>315440</v>
      </c>
      <c r="C2881" s="2" t="str">
        <f>"315440"</f>
        <v>315440</v>
      </c>
      <c r="D2881" s="2" t="s">
        <v>3728</v>
      </c>
      <c r="E2881" s="4">
        <v>5900</v>
      </c>
    </row>
    <row r="2882" spans="1:5">
      <c r="A2882" s="2" t="s">
        <v>3442</v>
      </c>
      <c r="B2882" s="2" t="str">
        <f>"315450"</f>
        <v>315450</v>
      </c>
      <c r="C2882" s="2" t="str">
        <f>"315450"</f>
        <v>315450</v>
      </c>
      <c r="D2882" s="2" t="s">
        <v>3729</v>
      </c>
      <c r="E2882" s="4">
        <v>6100</v>
      </c>
    </row>
    <row r="2883" spans="1:5">
      <c r="A2883" s="2" t="s">
        <v>3442</v>
      </c>
      <c r="B2883" s="2" t="str">
        <f>"315460"</f>
        <v>315460</v>
      </c>
      <c r="C2883" s="2" t="str">
        <f>"315460"</f>
        <v>315460</v>
      </c>
      <c r="D2883" s="2" t="s">
        <v>3730</v>
      </c>
      <c r="E2883" s="4">
        <v>6100</v>
      </c>
    </row>
    <row r="2884" spans="1:5">
      <c r="A2884" s="2" t="s">
        <v>3442</v>
      </c>
      <c r="B2884" s="2" t="s">
        <v>3731</v>
      </c>
      <c r="C2884" s="2" t="s">
        <v>3732</v>
      </c>
      <c r="D2884" s="2" t="s">
        <v>3733</v>
      </c>
      <c r="E2884" s="4">
        <v>6000</v>
      </c>
    </row>
    <row r="2885" spans="1:5">
      <c r="A2885" s="2" t="s">
        <v>3442</v>
      </c>
      <c r="B2885" s="2" t="str">
        <f>"090250353"</f>
        <v>090250353</v>
      </c>
      <c r="C2885" s="2" t="s">
        <v>3734</v>
      </c>
      <c r="D2885" s="2" t="s">
        <v>3735</v>
      </c>
      <c r="E2885" s="4">
        <v>6000</v>
      </c>
    </row>
    <row r="2886" spans="1:5">
      <c r="A2886" s="2" t="s">
        <v>3442</v>
      </c>
      <c r="B2886" s="2" t="str">
        <f>"315510"</f>
        <v>315510</v>
      </c>
      <c r="C2886" s="2" t="str">
        <f>"315510"</f>
        <v>315510</v>
      </c>
      <c r="D2886" s="2" t="s">
        <v>3736</v>
      </c>
      <c r="E2886" s="4">
        <v>6000</v>
      </c>
    </row>
    <row r="2887" spans="1:5">
      <c r="A2887" s="2" t="s">
        <v>3442</v>
      </c>
      <c r="B2887" s="2" t="str">
        <f>"315520"</f>
        <v>315520</v>
      </c>
      <c r="C2887" s="2" t="str">
        <f>"315520"</f>
        <v>315520</v>
      </c>
      <c r="D2887" s="2" t="s">
        <v>3737</v>
      </c>
      <c r="E2887" s="4">
        <v>6000</v>
      </c>
    </row>
    <row r="2888" spans="1:5">
      <c r="A2888" s="2" t="s">
        <v>3442</v>
      </c>
      <c r="B2888" s="2" t="s">
        <v>3738</v>
      </c>
      <c r="C2888" s="2" t="s">
        <v>3739</v>
      </c>
      <c r="D2888" s="2" t="s">
        <v>3740</v>
      </c>
      <c r="E2888" s="4">
        <v>7900</v>
      </c>
    </row>
    <row r="2889" spans="1:5">
      <c r="A2889" s="2" t="s">
        <v>3442</v>
      </c>
      <c r="B2889" s="2" t="str">
        <f>"315580"</f>
        <v>315580</v>
      </c>
      <c r="C2889" s="2" t="str">
        <f>"315580"</f>
        <v>315580</v>
      </c>
      <c r="D2889" s="2" t="s">
        <v>3741</v>
      </c>
      <c r="E2889" s="4">
        <v>7000</v>
      </c>
    </row>
    <row r="2890" spans="1:5">
      <c r="A2890" s="2" t="s">
        <v>3442</v>
      </c>
      <c r="B2890" s="2" t="s">
        <v>3742</v>
      </c>
      <c r="C2890" s="2" t="s">
        <v>3743</v>
      </c>
      <c r="D2890" s="2" t="s">
        <v>3744</v>
      </c>
      <c r="E2890" s="4">
        <v>7000</v>
      </c>
    </row>
    <row r="2891" spans="1:5">
      <c r="A2891" s="2" t="s">
        <v>3442</v>
      </c>
      <c r="B2891" s="2" t="str">
        <f>"315610"</f>
        <v>315610</v>
      </c>
      <c r="C2891" s="2" t="str">
        <f>"315610"</f>
        <v>315610</v>
      </c>
      <c r="D2891" s="2" t="s">
        <v>3745</v>
      </c>
      <c r="E2891" s="4">
        <v>7000</v>
      </c>
    </row>
    <row r="2892" spans="1:5">
      <c r="A2892" s="2" t="s">
        <v>3442</v>
      </c>
      <c r="B2892" s="2" t="str">
        <f>"315620"</f>
        <v>315620</v>
      </c>
      <c r="C2892" s="2" t="str">
        <f>"315620"</f>
        <v>315620</v>
      </c>
      <c r="D2892" s="2" t="s">
        <v>3746</v>
      </c>
      <c r="E2892" s="4">
        <v>7000</v>
      </c>
    </row>
    <row r="2893" spans="1:5">
      <c r="A2893" s="2" t="s">
        <v>3442</v>
      </c>
      <c r="B2893" s="2" t="str">
        <f>"315630"</f>
        <v>315630</v>
      </c>
      <c r="C2893" s="2" t="str">
        <f>"315630"</f>
        <v>315630</v>
      </c>
      <c r="D2893" s="2" t="s">
        <v>3747</v>
      </c>
      <c r="E2893" s="4">
        <v>7000</v>
      </c>
    </row>
    <row r="2894" spans="1:5">
      <c r="A2894" s="2" t="s">
        <v>3442</v>
      </c>
      <c r="B2894" s="2" t="str">
        <f>"315640"</f>
        <v>315640</v>
      </c>
      <c r="C2894" s="2" t="str">
        <f>"315640"</f>
        <v>315640</v>
      </c>
      <c r="D2894" s="2" t="s">
        <v>3748</v>
      </c>
      <c r="E2894" s="4">
        <v>7000</v>
      </c>
    </row>
    <row r="2895" spans="1:5">
      <c r="A2895" s="2" t="s">
        <v>3442</v>
      </c>
      <c r="B2895" s="2" t="s">
        <v>3749</v>
      </c>
      <c r="C2895" s="2" t="s">
        <v>3749</v>
      </c>
      <c r="D2895" s="2" t="s">
        <v>3750</v>
      </c>
      <c r="E2895" s="4">
        <v>7900</v>
      </c>
    </row>
    <row r="2896" spans="1:5">
      <c r="A2896" s="2" t="s">
        <v>3442</v>
      </c>
      <c r="B2896" s="2" t="s">
        <v>3751</v>
      </c>
      <c r="C2896" s="2" t="s">
        <v>3752</v>
      </c>
      <c r="D2896" s="2" t="s">
        <v>3753</v>
      </c>
      <c r="E2896" s="4">
        <v>10500</v>
      </c>
    </row>
    <row r="2897" spans="1:5">
      <c r="A2897" s="2" t="s">
        <v>3442</v>
      </c>
      <c r="B2897" s="2" t="s">
        <v>3754</v>
      </c>
      <c r="C2897" s="2" t="s">
        <v>3755</v>
      </c>
      <c r="D2897" s="2" t="s">
        <v>3756</v>
      </c>
      <c r="E2897" s="4">
        <v>7900</v>
      </c>
    </row>
    <row r="2898" spans="1:5">
      <c r="A2898" s="2" t="s">
        <v>3442</v>
      </c>
      <c r="B2898" s="2" t="s">
        <v>3757</v>
      </c>
      <c r="C2898" s="2" t="s">
        <v>3758</v>
      </c>
      <c r="D2898" s="2" t="s">
        <v>3759</v>
      </c>
      <c r="E2898" s="4">
        <v>8000</v>
      </c>
    </row>
    <row r="2899" spans="1:5">
      <c r="A2899" s="2" t="s">
        <v>3442</v>
      </c>
      <c r="B2899" s="2" t="s">
        <v>3760</v>
      </c>
      <c r="C2899" s="2" t="s">
        <v>3760</v>
      </c>
      <c r="D2899" s="2" t="s">
        <v>3761</v>
      </c>
      <c r="E2899" s="4">
        <v>11500</v>
      </c>
    </row>
    <row r="2900" spans="1:5">
      <c r="A2900" s="2" t="s">
        <v>3442</v>
      </c>
      <c r="B2900" s="2" t="s">
        <v>3762</v>
      </c>
      <c r="C2900" s="2" t="s">
        <v>3763</v>
      </c>
      <c r="D2900" s="2" t="s">
        <v>3764</v>
      </c>
      <c r="E2900" s="4">
        <v>8000</v>
      </c>
    </row>
    <row r="2901" spans="1:5">
      <c r="A2901" s="2" t="s">
        <v>3442</v>
      </c>
      <c r="B2901" s="2" t="str">
        <f>"315740"</f>
        <v>315740</v>
      </c>
      <c r="C2901" s="2" t="str">
        <f>"315740"</f>
        <v>315740</v>
      </c>
      <c r="D2901" s="2" t="s">
        <v>3765</v>
      </c>
      <c r="E2901" s="4">
        <v>7000</v>
      </c>
    </row>
    <row r="2902" spans="1:5">
      <c r="A2902" s="2" t="s">
        <v>3442</v>
      </c>
      <c r="B2902" s="2" t="str">
        <f>"315840"</f>
        <v>315840</v>
      </c>
      <c r="C2902" s="2" t="str">
        <f>"315840"</f>
        <v>315840</v>
      </c>
      <c r="D2902" s="2" t="s">
        <v>3766</v>
      </c>
      <c r="E2902" s="4">
        <v>8900</v>
      </c>
    </row>
    <row r="2903" spans="1:5">
      <c r="A2903" s="2" t="s">
        <v>3442</v>
      </c>
      <c r="B2903" s="2" t="str">
        <f>"315860"</f>
        <v>315860</v>
      </c>
      <c r="C2903" s="2" t="str">
        <f>"315860"</f>
        <v>315860</v>
      </c>
      <c r="D2903" s="2" t="s">
        <v>3767</v>
      </c>
      <c r="E2903" s="4">
        <v>9000</v>
      </c>
    </row>
    <row r="2904" spans="1:5">
      <c r="A2904" s="2" t="s">
        <v>3442</v>
      </c>
      <c r="B2904" s="2" t="s">
        <v>3768</v>
      </c>
      <c r="C2904" s="2" t="s">
        <v>3769</v>
      </c>
      <c r="D2904" s="2" t="s">
        <v>3770</v>
      </c>
      <c r="E2904" s="4">
        <v>12000</v>
      </c>
    </row>
    <row r="2905" spans="1:5">
      <c r="A2905" s="2" t="s">
        <v>3442</v>
      </c>
      <c r="B2905" s="2" t="s">
        <v>3771</v>
      </c>
      <c r="C2905" s="2" t="s">
        <v>3772</v>
      </c>
      <c r="D2905" s="2" t="s">
        <v>3773</v>
      </c>
      <c r="E2905" s="4">
        <v>12300</v>
      </c>
    </row>
    <row r="2906" spans="1:5">
      <c r="A2906" s="2" t="s">
        <v>3442</v>
      </c>
      <c r="B2906" s="2" t="s">
        <v>3774</v>
      </c>
      <c r="C2906" s="2" t="s">
        <v>3775</v>
      </c>
      <c r="D2906" s="2" t="s">
        <v>3776</v>
      </c>
      <c r="E2906" s="4">
        <v>12300</v>
      </c>
    </row>
    <row r="2907" spans="1:5">
      <c r="A2907" s="2" t="s">
        <v>3442</v>
      </c>
      <c r="B2907" s="2" t="s">
        <v>3777</v>
      </c>
      <c r="C2907" s="2" t="s">
        <v>3778</v>
      </c>
      <c r="D2907" s="2" t="s">
        <v>3779</v>
      </c>
      <c r="E2907" s="4">
        <v>12500</v>
      </c>
    </row>
    <row r="2908" spans="1:5">
      <c r="A2908" s="2" t="s">
        <v>3442</v>
      </c>
      <c r="B2908" s="2" t="str">
        <f>"315380"</f>
        <v>315380</v>
      </c>
      <c r="C2908" s="2" t="str">
        <f>"315380"</f>
        <v>315380</v>
      </c>
      <c r="D2908" s="2" t="s">
        <v>3780</v>
      </c>
      <c r="E2908" s="4">
        <v>4800</v>
      </c>
    </row>
    <row r="2909" spans="1:5">
      <c r="A2909" s="2" t="s">
        <v>3442</v>
      </c>
      <c r="B2909" s="2" t="str">
        <f>"0040354"</f>
        <v>0040354</v>
      </c>
      <c r="C2909" s="2" t="str">
        <f>"0040354"</f>
        <v>0040354</v>
      </c>
      <c r="D2909" s="2" t="s">
        <v>3781</v>
      </c>
      <c r="E2909" s="4">
        <v>5200</v>
      </c>
    </row>
    <row r="2910" spans="1:5">
      <c r="A2910" s="2" t="s">
        <v>3442</v>
      </c>
      <c r="B2910" s="2" t="str">
        <f>"14957-8"</f>
        <v>14957-8</v>
      </c>
      <c r="C2910" s="2" t="str">
        <f>"14957-8"</f>
        <v>14957-8</v>
      </c>
      <c r="D2910" s="2" t="s">
        <v>3782</v>
      </c>
      <c r="E2910" s="4">
        <v>19500</v>
      </c>
    </row>
    <row r="2911" spans="1:5">
      <c r="A2911" s="2" t="s">
        <v>3442</v>
      </c>
      <c r="B2911" s="2" t="str">
        <f>"6pk-2433"</f>
        <v>6pk-2433</v>
      </c>
      <c r="C2911" s="2" t="str">
        <f>"6PK 2433"</f>
        <v>6PK 2433</v>
      </c>
      <c r="D2911" s="2" t="s">
        <v>3783</v>
      </c>
      <c r="E2911" s="4">
        <v>12000</v>
      </c>
    </row>
    <row r="2912" spans="1:5">
      <c r="A2912" s="2" t="s">
        <v>3442</v>
      </c>
      <c r="B2912" s="2" t="str">
        <f>"0024130052-5"</f>
        <v>0024130052-5</v>
      </c>
      <c r="C2912" s="2" t="str">
        <f>"0024130052-5"</f>
        <v>0024130052-5</v>
      </c>
      <c r="D2912" s="2" t="s">
        <v>3784</v>
      </c>
      <c r="E2912" s="4">
        <v>8800</v>
      </c>
    </row>
    <row r="2913" spans="1:5">
      <c r="A2913" s="2" t="s">
        <v>3442</v>
      </c>
      <c r="B2913" s="2" t="str">
        <f>"325524"</f>
        <v>325524</v>
      </c>
      <c r="C2913" s="2" t="str">
        <f>"325524"</f>
        <v>325524</v>
      </c>
      <c r="D2913" s="2" t="s">
        <v>3785</v>
      </c>
      <c r="E2913" s="4">
        <v>12000</v>
      </c>
    </row>
    <row r="2914" spans="1:5">
      <c r="A2914" s="2" t="s">
        <v>3442</v>
      </c>
      <c r="B2914" s="2" t="str">
        <f>"285274"</f>
        <v>285274</v>
      </c>
      <c r="C2914" s="2" t="str">
        <f>"285274"</f>
        <v>285274</v>
      </c>
      <c r="D2914" s="2" t="s">
        <v>3786</v>
      </c>
      <c r="E2914" s="4">
        <v>35000</v>
      </c>
    </row>
    <row r="2915" spans="1:5">
      <c r="A2915" s="2" t="s">
        <v>3442</v>
      </c>
      <c r="B2915" s="2" t="str">
        <f>"310558"</f>
        <v>310558</v>
      </c>
      <c r="C2915" s="2" t="str">
        <f>"310558"</f>
        <v>310558</v>
      </c>
      <c r="D2915" s="2" t="s">
        <v>3787</v>
      </c>
      <c r="E2915" s="4">
        <v>16000</v>
      </c>
    </row>
    <row r="2916" spans="1:5">
      <c r="A2916" s="2" t="s">
        <v>3442</v>
      </c>
      <c r="B2916" s="2" t="str">
        <f>"94139"</f>
        <v>94139</v>
      </c>
      <c r="C2916" s="2" t="str">
        <f>"94139"</f>
        <v>94139</v>
      </c>
      <c r="D2916" s="2" t="s">
        <v>3788</v>
      </c>
      <c r="E2916" s="4">
        <v>14400</v>
      </c>
    </row>
    <row r="2917" spans="1:5">
      <c r="A2917" s="2" t="s">
        <v>3442</v>
      </c>
      <c r="B2917" s="2" t="str">
        <f>"14929-2"</f>
        <v>14929-2</v>
      </c>
      <c r="C2917" s="2" t="str">
        <f>"14929-2"</f>
        <v>14929-2</v>
      </c>
      <c r="D2917" s="2" t="s">
        <v>3789</v>
      </c>
      <c r="E2917" s="4">
        <v>18000</v>
      </c>
    </row>
    <row r="2918" spans="1:5">
      <c r="A2918" s="2" t="s">
        <v>3442</v>
      </c>
      <c r="B2918" s="2" t="str">
        <f>"5306"</f>
        <v>5306</v>
      </c>
      <c r="C2918" s="2" t="str">
        <f>"5306"</f>
        <v>5306</v>
      </c>
      <c r="D2918" s="2" t="s">
        <v>3790</v>
      </c>
      <c r="E2918" s="4">
        <v>14500</v>
      </c>
    </row>
    <row r="2919" spans="1:5">
      <c r="A2919" s="2" t="s">
        <v>3442</v>
      </c>
      <c r="B2919" s="2" t="str">
        <f>"311770"</f>
        <v>311770</v>
      </c>
      <c r="C2919" s="2" t="str">
        <f>"311770"</f>
        <v>311770</v>
      </c>
      <c r="D2919" s="2" t="s">
        <v>3791</v>
      </c>
      <c r="E2919" s="4">
        <v>16000</v>
      </c>
    </row>
    <row r="2920" spans="1:5">
      <c r="A2920" s="2" t="s">
        <v>3442</v>
      </c>
      <c r="B2920" s="2" t="str">
        <f>"310460"</f>
        <v>310460</v>
      </c>
      <c r="C2920" s="2" t="str">
        <f>"310460"</f>
        <v>310460</v>
      </c>
      <c r="D2920" s="2" t="s">
        <v>3792</v>
      </c>
      <c r="E2920" s="4">
        <v>5900</v>
      </c>
    </row>
    <row r="2921" spans="1:5">
      <c r="A2921" s="2" t="s">
        <v>3442</v>
      </c>
      <c r="B2921" s="2" t="str">
        <f>"1513054-7"</f>
        <v>1513054-7</v>
      </c>
      <c r="C2921" s="2" t="str">
        <f>"310582"</f>
        <v>310582</v>
      </c>
      <c r="D2921" s="2" t="s">
        <v>3793</v>
      </c>
      <c r="E2921" s="4">
        <v>8800</v>
      </c>
    </row>
    <row r="2922" spans="1:5">
      <c r="A2922" s="2" t="s">
        <v>3442</v>
      </c>
      <c r="B2922" s="2" t="str">
        <f>"310657"</f>
        <v>310657</v>
      </c>
      <c r="C2922" s="2" t="str">
        <f>"310657"</f>
        <v>310657</v>
      </c>
      <c r="D2922" s="2" t="s">
        <v>3794</v>
      </c>
      <c r="E2922" s="4">
        <v>12400</v>
      </c>
    </row>
    <row r="2923" spans="1:5">
      <c r="A2923" s="2" t="s">
        <v>3442</v>
      </c>
      <c r="B2923" s="2" t="str">
        <f>"312875"</f>
        <v>312875</v>
      </c>
      <c r="C2923" s="2" t="str">
        <f>"312875"</f>
        <v>312875</v>
      </c>
      <c r="D2923" s="2" t="s">
        <v>3795</v>
      </c>
      <c r="E2923" s="4">
        <v>9700</v>
      </c>
    </row>
    <row r="2924" spans="1:5">
      <c r="A2924" s="2" t="s">
        <v>3442</v>
      </c>
      <c r="B2924" s="2" t="str">
        <f>"1113007-0"</f>
        <v>1113007-0</v>
      </c>
      <c r="C2924" s="2" t="str">
        <f>"310613"</f>
        <v>310613</v>
      </c>
      <c r="D2924" s="2" t="s">
        <v>3796</v>
      </c>
      <c r="E2924" s="4">
        <v>8800</v>
      </c>
    </row>
    <row r="2925" spans="1:5">
      <c r="A2925" s="2" t="s">
        <v>3442</v>
      </c>
      <c r="B2925" s="2" t="str">
        <f>"5000000021161"</f>
        <v>5000000021161</v>
      </c>
      <c r="C2925" s="2" t="str">
        <f>"310535"</f>
        <v>310535</v>
      </c>
      <c r="D2925" s="2" t="s">
        <v>3797</v>
      </c>
      <c r="E2925" s="4">
        <v>9700</v>
      </c>
    </row>
    <row r="2926" spans="1:5">
      <c r="A2926" s="2" t="s">
        <v>3442</v>
      </c>
      <c r="B2926" s="2" t="str">
        <f>"310747"</f>
        <v>310747</v>
      </c>
      <c r="C2926" s="2" t="str">
        <f>"310747"</f>
        <v>310747</v>
      </c>
      <c r="D2926" s="2" t="s">
        <v>3798</v>
      </c>
      <c r="E2926" s="4">
        <v>14800</v>
      </c>
    </row>
    <row r="2927" spans="1:5">
      <c r="A2927" s="2" t="s">
        <v>3442</v>
      </c>
      <c r="B2927" s="2" t="str">
        <f>"5000000021604"</f>
        <v>5000000021604</v>
      </c>
      <c r="C2927" s="2" t="str">
        <f>"310589"</f>
        <v>310589</v>
      </c>
      <c r="D2927" s="2" t="s">
        <v>3799</v>
      </c>
      <c r="E2927" s="4">
        <v>8500</v>
      </c>
    </row>
    <row r="2928" spans="1:5">
      <c r="A2928" s="2" t="s">
        <v>3442</v>
      </c>
      <c r="B2928" s="2" t="str">
        <f>"310654"</f>
        <v>310654</v>
      </c>
      <c r="C2928" s="2" t="str">
        <f>"310654"</f>
        <v>310654</v>
      </c>
      <c r="D2928" s="2" t="s">
        <v>3800</v>
      </c>
      <c r="E2928" s="4">
        <v>8800</v>
      </c>
    </row>
    <row r="2929" spans="1:5">
      <c r="A2929" s="2" t="s">
        <v>3442</v>
      </c>
      <c r="B2929" s="2" t="str">
        <f>"1113003-8"</f>
        <v>1113003-8</v>
      </c>
      <c r="C2929" s="2" t="str">
        <f>"310479"</f>
        <v>310479</v>
      </c>
      <c r="D2929" s="2" t="s">
        <v>3801</v>
      </c>
      <c r="E2929" s="4">
        <v>8800</v>
      </c>
    </row>
    <row r="2930" spans="1:5">
      <c r="A2930" s="2" t="s">
        <v>3442</v>
      </c>
      <c r="B2930" s="2" t="str">
        <f>"9950865"</f>
        <v>9950865</v>
      </c>
      <c r="C2930" s="2" t="str">
        <f>"310745"</f>
        <v>310745</v>
      </c>
      <c r="D2930" s="2" t="s">
        <v>3802</v>
      </c>
      <c r="E2930" s="4">
        <v>15100</v>
      </c>
    </row>
    <row r="2931" spans="1:5">
      <c r="A2931" s="2" t="s">
        <v>3442</v>
      </c>
      <c r="B2931" s="2" t="str">
        <f>"310744"</f>
        <v>310744</v>
      </c>
      <c r="C2931" s="2" t="str">
        <f>"310744"</f>
        <v>310744</v>
      </c>
      <c r="D2931" s="2" t="s">
        <v>3803</v>
      </c>
      <c r="E2931" s="4">
        <v>19600</v>
      </c>
    </row>
    <row r="2932" spans="1:5">
      <c r="A2932" s="2" t="s">
        <v>3442</v>
      </c>
      <c r="B2932" s="2" t="str">
        <f>"9894659"</f>
        <v>9894659</v>
      </c>
      <c r="C2932" s="2" t="str">
        <f>"9894659"</f>
        <v>9894659</v>
      </c>
      <c r="D2932" s="2" t="s">
        <v>3804</v>
      </c>
      <c r="E2932" s="4">
        <v>18700</v>
      </c>
    </row>
    <row r="2933" spans="1:5">
      <c r="A2933" s="2" t="s">
        <v>3442</v>
      </c>
      <c r="B2933" s="2" t="str">
        <f>"5347XS"</f>
        <v>5347XS</v>
      </c>
      <c r="C2933" s="2" t="str">
        <f>"5347XS"</f>
        <v>5347XS</v>
      </c>
      <c r="D2933" s="2" t="s">
        <v>3805</v>
      </c>
      <c r="E2933" s="4">
        <v>14300</v>
      </c>
    </row>
    <row r="2934" spans="1:5">
      <c r="A2934" s="2" t="s">
        <v>3442</v>
      </c>
      <c r="B2934" s="2" t="str">
        <f>"5347"</f>
        <v>5347</v>
      </c>
      <c r="C2934" s="2" t="str">
        <f>"5347"</f>
        <v>5347</v>
      </c>
      <c r="D2934" s="2" t="s">
        <v>3806</v>
      </c>
      <c r="E2934" s="4">
        <v>9000</v>
      </c>
    </row>
    <row r="2935" spans="1:5">
      <c r="A2935" s="2" t="s">
        <v>3442</v>
      </c>
      <c r="B2935" s="2" t="str">
        <f>"5247"</f>
        <v>5247</v>
      </c>
      <c r="C2935" s="2" t="str">
        <f>"5247"</f>
        <v>5247</v>
      </c>
      <c r="D2935" s="2" t="s">
        <v>3806</v>
      </c>
      <c r="E2935" s="4">
        <v>9000</v>
      </c>
    </row>
    <row r="2936" spans="1:5">
      <c r="A2936" s="2" t="s">
        <v>3442</v>
      </c>
      <c r="B2936" s="2" t="str">
        <f>"5000000022403"</f>
        <v>5000000022403</v>
      </c>
      <c r="C2936" s="2" t="str">
        <f>"310681"</f>
        <v>310681</v>
      </c>
      <c r="D2936" s="2" t="s">
        <v>3807</v>
      </c>
      <c r="E2936" s="4">
        <v>7700</v>
      </c>
    </row>
    <row r="2937" spans="1:5">
      <c r="A2937" s="2" t="s">
        <v>3442</v>
      </c>
      <c r="B2937" s="2" t="str">
        <f>"310679"</f>
        <v>310679</v>
      </c>
      <c r="C2937" s="2" t="str">
        <f>"310679"</f>
        <v>310679</v>
      </c>
      <c r="D2937" s="2" t="s">
        <v>3808</v>
      </c>
      <c r="E2937" s="4">
        <v>12800</v>
      </c>
    </row>
    <row r="2938" spans="1:5">
      <c r="A2938" s="2" t="s">
        <v>3442</v>
      </c>
      <c r="B2938" s="2" t="str">
        <f>"310523"</f>
        <v>310523</v>
      </c>
      <c r="C2938" s="2" t="str">
        <f>"310523"</f>
        <v>310523</v>
      </c>
      <c r="D2938" s="2" t="s">
        <v>3809</v>
      </c>
      <c r="E2938" s="4">
        <v>8800</v>
      </c>
    </row>
    <row r="2939" spans="1:5">
      <c r="A2939" s="2" t="s">
        <v>3442</v>
      </c>
      <c r="B2939" s="2" t="s">
        <v>3810</v>
      </c>
      <c r="C2939" s="2" t="s">
        <v>3811</v>
      </c>
      <c r="D2939" s="2" t="s">
        <v>3812</v>
      </c>
      <c r="E2939" s="4">
        <v>16600</v>
      </c>
    </row>
    <row r="2940" spans="1:5">
      <c r="A2940" s="2" t="s">
        <v>3442</v>
      </c>
      <c r="B2940" s="2" t="str">
        <f>"5408"</f>
        <v>5408</v>
      </c>
      <c r="C2940" s="2" t="str">
        <f>"5408"</f>
        <v>5408</v>
      </c>
      <c r="D2940" s="2" t="s">
        <v>3813</v>
      </c>
      <c r="E2940" s="4">
        <v>9000</v>
      </c>
    </row>
    <row r="2941" spans="1:5">
      <c r="A2941" s="2" t="s">
        <v>3442</v>
      </c>
      <c r="B2941" s="2" t="s">
        <v>3814</v>
      </c>
      <c r="C2941" s="2" t="s">
        <v>3814</v>
      </c>
      <c r="D2941" s="2" t="s">
        <v>3815</v>
      </c>
      <c r="E2941" s="4">
        <v>14200</v>
      </c>
    </row>
    <row r="2942" spans="1:5">
      <c r="A2942" s="2" t="s">
        <v>3442</v>
      </c>
      <c r="B2942" s="2" t="str">
        <f>"310708"</f>
        <v>310708</v>
      </c>
      <c r="C2942" s="2" t="str">
        <f>"310708"</f>
        <v>310708</v>
      </c>
      <c r="D2942" s="2" t="s">
        <v>3816</v>
      </c>
      <c r="E2942" s="4">
        <v>16000</v>
      </c>
    </row>
    <row r="2943" spans="1:5">
      <c r="A2943" s="2" t="s">
        <v>3442</v>
      </c>
      <c r="B2943" s="2" t="str">
        <f>"310622"</f>
        <v>310622</v>
      </c>
      <c r="C2943" s="2" t="str">
        <f>"310622"</f>
        <v>310622</v>
      </c>
      <c r="D2943" s="2" t="s">
        <v>3817</v>
      </c>
      <c r="E2943" s="4">
        <v>8800</v>
      </c>
    </row>
    <row r="2944" spans="1:5">
      <c r="A2944" s="2" t="s">
        <v>3442</v>
      </c>
      <c r="B2944" s="2" t="str">
        <f>"310542"</f>
        <v>310542</v>
      </c>
      <c r="C2944" s="2" t="str">
        <f>"310542"</f>
        <v>310542</v>
      </c>
      <c r="D2944" s="2" t="s">
        <v>3818</v>
      </c>
      <c r="E2944" s="4">
        <v>19500</v>
      </c>
    </row>
    <row r="2945" spans="1:5">
      <c r="A2945" s="2" t="s">
        <v>3442</v>
      </c>
      <c r="B2945" s="2" t="str">
        <f>"310712"</f>
        <v>310712</v>
      </c>
      <c r="C2945" s="2" t="str">
        <f>"310712"</f>
        <v>310712</v>
      </c>
      <c r="D2945" s="2" t="s">
        <v>3819</v>
      </c>
      <c r="E2945" s="4">
        <v>10600</v>
      </c>
    </row>
    <row r="2946" spans="1:5">
      <c r="A2946" s="2" t="s">
        <v>3442</v>
      </c>
      <c r="B2946" s="2" t="str">
        <f>"310454"</f>
        <v>310454</v>
      </c>
      <c r="C2946" s="2" t="str">
        <f>"310454"</f>
        <v>310454</v>
      </c>
      <c r="D2946" s="2" t="s">
        <v>3820</v>
      </c>
      <c r="E2946" s="4">
        <v>8800</v>
      </c>
    </row>
    <row r="2947" spans="1:5">
      <c r="A2947" s="2" t="s">
        <v>3442</v>
      </c>
      <c r="B2947" s="2" t="str">
        <f>"310561"</f>
        <v>310561</v>
      </c>
      <c r="C2947" s="2" t="str">
        <f>"310561"</f>
        <v>310561</v>
      </c>
      <c r="D2947" s="2" t="s">
        <v>3821</v>
      </c>
      <c r="E2947" s="4">
        <v>14800</v>
      </c>
    </row>
    <row r="2948" spans="1:5">
      <c r="A2948" s="2" t="s">
        <v>3442</v>
      </c>
      <c r="B2948" s="2" t="str">
        <f>"310549"</f>
        <v>310549</v>
      </c>
      <c r="C2948" s="2" t="str">
        <f>"310549"</f>
        <v>310549</v>
      </c>
      <c r="D2948" s="2" t="s">
        <v>3822</v>
      </c>
      <c r="E2948" s="4">
        <v>15500</v>
      </c>
    </row>
    <row r="2949" spans="1:5">
      <c r="A2949" s="2" t="s">
        <v>3442</v>
      </c>
      <c r="B2949" s="2" t="str">
        <f>"310705"</f>
        <v>310705</v>
      </c>
      <c r="C2949" s="2" t="str">
        <f>"310705"</f>
        <v>310705</v>
      </c>
      <c r="D2949" s="2" t="s">
        <v>3823</v>
      </c>
      <c r="E2949" s="4">
        <v>11300</v>
      </c>
    </row>
    <row r="2950" spans="1:5">
      <c r="A2950" s="2" t="s">
        <v>3442</v>
      </c>
      <c r="B2950" s="2" t="str">
        <f>"010270077"</f>
        <v>010270077</v>
      </c>
      <c r="C2950" s="2" t="str">
        <f>"26000"</f>
        <v>26000</v>
      </c>
      <c r="D2950" s="2" t="s">
        <v>3824</v>
      </c>
      <c r="E2950" s="4">
        <v>19800</v>
      </c>
    </row>
    <row r="2951" spans="1:5">
      <c r="A2951" s="2" t="s">
        <v>3442</v>
      </c>
      <c r="B2951" s="2" t="str">
        <f>"310492"</f>
        <v>310492</v>
      </c>
      <c r="C2951" s="2" t="str">
        <f>"310492"</f>
        <v>310492</v>
      </c>
      <c r="D2951" s="2" t="s">
        <v>3825</v>
      </c>
      <c r="E2951" s="4">
        <v>6000</v>
      </c>
    </row>
    <row r="2952" spans="1:5">
      <c r="A2952" s="2" t="s">
        <v>3442</v>
      </c>
      <c r="B2952" s="2" t="str">
        <f>"9894086"</f>
        <v>9894086</v>
      </c>
      <c r="C2952" s="2" t="str">
        <f>"9894086"</f>
        <v>9894086</v>
      </c>
      <c r="D2952" s="2" t="s">
        <v>3826</v>
      </c>
      <c r="E2952" s="4">
        <v>7000</v>
      </c>
    </row>
    <row r="2953" spans="1:5">
      <c r="A2953" s="2" t="s">
        <v>3442</v>
      </c>
      <c r="B2953" s="2" t="str">
        <f>"9894709"</f>
        <v>9894709</v>
      </c>
      <c r="C2953" s="2" t="str">
        <f>"9894709"</f>
        <v>9894709</v>
      </c>
      <c r="D2953" s="2" t="s">
        <v>3827</v>
      </c>
      <c r="E2953" s="4">
        <v>12400</v>
      </c>
    </row>
    <row r="2954" spans="1:5">
      <c r="A2954" s="2" t="s">
        <v>3442</v>
      </c>
      <c r="B2954" s="2" t="str">
        <f>"310466"</f>
        <v>310466</v>
      </c>
      <c r="C2954" s="2" t="str">
        <f>"310466"</f>
        <v>310466</v>
      </c>
      <c r="D2954" s="2" t="s">
        <v>3828</v>
      </c>
      <c r="E2954" s="4">
        <v>7500</v>
      </c>
    </row>
    <row r="2955" spans="1:5">
      <c r="A2955" s="2" t="s">
        <v>3442</v>
      </c>
      <c r="B2955" s="2" t="str">
        <f>"310759"</f>
        <v>310759</v>
      </c>
      <c r="C2955" s="2" t="str">
        <f>"310759"</f>
        <v>310759</v>
      </c>
      <c r="D2955" s="2" t="s">
        <v>3829</v>
      </c>
      <c r="E2955" s="4">
        <v>9600</v>
      </c>
    </row>
    <row r="2956" spans="1:5">
      <c r="A2956" s="2" t="s">
        <v>3442</v>
      </c>
      <c r="B2956" s="2" t="str">
        <f>"310449"</f>
        <v>310449</v>
      </c>
      <c r="C2956" s="2" t="str">
        <f>"310449"</f>
        <v>310449</v>
      </c>
      <c r="D2956" s="2" t="s">
        <v>3830</v>
      </c>
      <c r="E2956" s="4">
        <v>4500</v>
      </c>
    </row>
    <row r="2957" spans="1:5">
      <c r="A2957" s="2" t="s">
        <v>3442</v>
      </c>
      <c r="B2957" s="2" t="str">
        <f>"310735"</f>
        <v>310735</v>
      </c>
      <c r="C2957" s="2" t="str">
        <f>"310735"</f>
        <v>310735</v>
      </c>
      <c r="D2957" s="2" t="s">
        <v>3831</v>
      </c>
      <c r="E2957" s="4">
        <v>12614</v>
      </c>
    </row>
    <row r="2958" spans="1:5">
      <c r="A2958" s="2" t="s">
        <v>3442</v>
      </c>
      <c r="B2958" s="2" t="str">
        <f>"310736"</f>
        <v>310736</v>
      </c>
      <c r="C2958" s="2" t="str">
        <f>"310736"</f>
        <v>310736</v>
      </c>
      <c r="D2958" s="2" t="s">
        <v>3832</v>
      </c>
      <c r="E2958" s="4">
        <v>28500</v>
      </c>
    </row>
    <row r="2959" spans="1:5">
      <c r="A2959" s="2" t="s">
        <v>3442</v>
      </c>
      <c r="B2959" s="2" t="s">
        <v>3833</v>
      </c>
      <c r="C2959" s="2" t="s">
        <v>3833</v>
      </c>
      <c r="D2959" s="2" t="s">
        <v>3834</v>
      </c>
      <c r="E2959" s="4">
        <v>16500</v>
      </c>
    </row>
    <row r="2960" spans="1:5">
      <c r="A2960" s="2" t="s">
        <v>3442</v>
      </c>
      <c r="B2960" s="2" t="str">
        <f>"310579"</f>
        <v>310579</v>
      </c>
      <c r="C2960" s="2" t="str">
        <f>"310579"</f>
        <v>310579</v>
      </c>
      <c r="D2960" s="2" t="s">
        <v>3835</v>
      </c>
      <c r="E2960" s="4">
        <v>13300</v>
      </c>
    </row>
    <row r="2961" spans="1:5">
      <c r="A2961" s="2" t="s">
        <v>3442</v>
      </c>
      <c r="B2961" s="2" t="str">
        <f>"072053384932"</f>
        <v>072053384932</v>
      </c>
      <c r="C2961" s="2" t="str">
        <f>"13633-6"</f>
        <v>13633-6</v>
      </c>
      <c r="D2961" s="2" t="s">
        <v>3835</v>
      </c>
      <c r="E2961" s="4">
        <v>28600</v>
      </c>
    </row>
    <row r="2962" spans="1:5">
      <c r="A2962" s="2" t="s">
        <v>3442</v>
      </c>
      <c r="B2962" s="2" t="str">
        <f>"312801"</f>
        <v>312801</v>
      </c>
      <c r="C2962" s="2" t="str">
        <f>"312801"</f>
        <v>312801</v>
      </c>
      <c r="D2962" s="2" t="s">
        <v>3836</v>
      </c>
      <c r="E2962" s="4">
        <v>16000</v>
      </c>
    </row>
    <row r="2963" spans="1:5">
      <c r="A2963" s="2" t="s">
        <v>3442</v>
      </c>
      <c r="B2963" s="2" t="str">
        <f>"5000000021765"</f>
        <v>5000000021765</v>
      </c>
      <c r="C2963" s="2" t="str">
        <f>"310607"</f>
        <v>310607</v>
      </c>
      <c r="D2963" s="2" t="s">
        <v>3837</v>
      </c>
      <c r="E2963" s="4">
        <v>13500</v>
      </c>
    </row>
    <row r="2964" spans="1:5">
      <c r="A2964" s="2" t="s">
        <v>3442</v>
      </c>
      <c r="B2964" s="2" t="str">
        <f>"310575"</f>
        <v>310575</v>
      </c>
      <c r="C2964" s="2" t="str">
        <f>"310575"</f>
        <v>310575</v>
      </c>
      <c r="D2964" s="2" t="s">
        <v>3838</v>
      </c>
      <c r="E2964" s="4">
        <v>28900</v>
      </c>
    </row>
    <row r="2965" spans="1:5">
      <c r="A2965" s="2" t="s">
        <v>3442</v>
      </c>
      <c r="B2965" s="2" t="str">
        <f>"5349"</f>
        <v>5349</v>
      </c>
      <c r="C2965" s="2" t="str">
        <f>"5349"</f>
        <v>5349</v>
      </c>
      <c r="D2965" s="2" t="s">
        <v>3839</v>
      </c>
      <c r="E2965" s="4">
        <v>14000</v>
      </c>
    </row>
    <row r="2966" spans="1:5">
      <c r="A2966" s="2" t="s">
        <v>3442</v>
      </c>
      <c r="B2966" s="2" t="str">
        <f>"310537"</f>
        <v>310537</v>
      </c>
      <c r="C2966" s="2" t="str">
        <f>"310537"</f>
        <v>310537</v>
      </c>
      <c r="D2966" s="2" t="s">
        <v>3840</v>
      </c>
      <c r="E2966" s="4">
        <v>16800</v>
      </c>
    </row>
    <row r="2967" spans="1:5">
      <c r="A2967" s="2" t="s">
        <v>3442</v>
      </c>
      <c r="B2967" s="2" t="str">
        <f>"310540"</f>
        <v>310540</v>
      </c>
      <c r="C2967" s="2" t="str">
        <f>"310540"</f>
        <v>310540</v>
      </c>
      <c r="D2967" s="2" t="s">
        <v>3841</v>
      </c>
      <c r="E2967" s="4">
        <v>18400</v>
      </c>
    </row>
    <row r="2968" spans="1:5">
      <c r="A2968" s="2" t="s">
        <v>3442</v>
      </c>
      <c r="B2968" s="2" t="str">
        <f>"310739"</f>
        <v>310739</v>
      </c>
      <c r="C2968" s="2" t="str">
        <f>"310739"</f>
        <v>310739</v>
      </c>
      <c r="D2968" s="2" t="s">
        <v>3842</v>
      </c>
      <c r="E2968" s="4">
        <v>19000</v>
      </c>
    </row>
    <row r="2969" spans="1:5">
      <c r="A2969" s="2" t="s">
        <v>3442</v>
      </c>
      <c r="B2969" s="2" t="str">
        <f>"310789"</f>
        <v>310789</v>
      </c>
      <c r="C2969" s="2" t="str">
        <f>"310789"</f>
        <v>310789</v>
      </c>
      <c r="D2969" s="2" t="s">
        <v>3843</v>
      </c>
      <c r="E2969" s="4">
        <v>14000</v>
      </c>
    </row>
    <row r="2970" spans="1:5">
      <c r="A2970" s="2" t="s">
        <v>3442</v>
      </c>
      <c r="B2970" s="2" t="str">
        <f>"0012133061-9"</f>
        <v>0012133061-9</v>
      </c>
      <c r="C2970" s="2" t="str">
        <f>"0012133061-9"</f>
        <v>0012133061-9</v>
      </c>
      <c r="D2970" s="2" t="s">
        <v>3844</v>
      </c>
      <c r="E2970" s="4">
        <v>11500</v>
      </c>
    </row>
    <row r="2971" spans="1:5">
      <c r="A2971" s="2" t="s">
        <v>3442</v>
      </c>
      <c r="B2971" s="2" t="str">
        <f>"5309XS"</f>
        <v>5309XS</v>
      </c>
      <c r="C2971" s="2" t="str">
        <f>"5309XS"</f>
        <v>5309XS</v>
      </c>
      <c r="D2971" s="2" t="s">
        <v>3845</v>
      </c>
      <c r="E2971" s="4">
        <v>14500</v>
      </c>
    </row>
    <row r="2972" spans="1:5">
      <c r="A2972" s="2" t="s">
        <v>3442</v>
      </c>
      <c r="B2972" s="2" t="str">
        <f>"5372"</f>
        <v>5372</v>
      </c>
      <c r="C2972" s="2" t="str">
        <f>"5372"</f>
        <v>5372</v>
      </c>
      <c r="D2972" s="2" t="s">
        <v>3846</v>
      </c>
      <c r="E2972" s="4">
        <v>14200</v>
      </c>
    </row>
    <row r="2973" spans="1:5">
      <c r="A2973" s="2" t="s">
        <v>3442</v>
      </c>
      <c r="B2973" s="2" t="str">
        <f>"5256"</f>
        <v>5256</v>
      </c>
      <c r="C2973" s="2" t="str">
        <f>"5256"</f>
        <v>5256</v>
      </c>
      <c r="D2973" s="2" t="s">
        <v>3847</v>
      </c>
      <c r="E2973" s="4">
        <v>14300</v>
      </c>
    </row>
    <row r="2974" spans="1:5">
      <c r="A2974" s="2" t="s">
        <v>3442</v>
      </c>
      <c r="B2974" s="2" t="str">
        <f>"001213052-K"</f>
        <v>001213052-K</v>
      </c>
      <c r="C2974" s="2" t="str">
        <f>"001213052-K"</f>
        <v>001213052-K</v>
      </c>
      <c r="D2974" s="2" t="s">
        <v>3848</v>
      </c>
      <c r="E2974" s="4">
        <v>32200</v>
      </c>
    </row>
    <row r="2975" spans="1:5">
      <c r="A2975" s="2" t="s">
        <v>3442</v>
      </c>
      <c r="B2975" s="2" t="str">
        <f>"310555"</f>
        <v>310555</v>
      </c>
      <c r="C2975" s="2" t="str">
        <f>"310555"</f>
        <v>310555</v>
      </c>
      <c r="D2975" s="2" t="s">
        <v>3849</v>
      </c>
      <c r="E2975" s="4">
        <v>6100</v>
      </c>
    </row>
    <row r="2976" spans="1:5">
      <c r="A2976" s="2" t="s">
        <v>3442</v>
      </c>
      <c r="B2976" s="2" t="str">
        <f>"311434"</f>
        <v>311434</v>
      </c>
      <c r="C2976" s="2" t="str">
        <f>"311434"</f>
        <v>311434</v>
      </c>
      <c r="D2976" s="2" t="s">
        <v>3850</v>
      </c>
      <c r="E2976" s="4">
        <v>6100</v>
      </c>
    </row>
    <row r="2977" spans="1:5">
      <c r="A2977" s="2" t="s">
        <v>3442</v>
      </c>
      <c r="B2977" s="2" t="str">
        <f>"5000000022939"</f>
        <v>5000000022939</v>
      </c>
      <c r="C2977" s="2" t="str">
        <f>"310743"</f>
        <v>310743</v>
      </c>
      <c r="D2977" s="2" t="s">
        <v>3851</v>
      </c>
      <c r="E2977" s="4">
        <v>17000</v>
      </c>
    </row>
    <row r="2978" spans="1:5">
      <c r="A2978" s="2" t="s">
        <v>3442</v>
      </c>
      <c r="B2978" s="2" t="str">
        <f>"310628"</f>
        <v>310628</v>
      </c>
      <c r="C2978" s="2" t="str">
        <f>"310628"</f>
        <v>310628</v>
      </c>
      <c r="D2978" s="2" t="s">
        <v>3852</v>
      </c>
      <c r="E2978" s="4">
        <v>8800</v>
      </c>
    </row>
    <row r="2979" spans="1:5">
      <c r="A2979" s="2" t="s">
        <v>3442</v>
      </c>
      <c r="B2979" s="2" t="str">
        <f>"310790"</f>
        <v>310790</v>
      </c>
      <c r="C2979" s="2" t="str">
        <f>"310790"</f>
        <v>310790</v>
      </c>
      <c r="D2979" s="2" t="s">
        <v>3853</v>
      </c>
      <c r="E2979" s="4">
        <v>15100</v>
      </c>
    </row>
    <row r="2980" spans="1:5">
      <c r="A2980" s="2" t="s">
        <v>3442</v>
      </c>
      <c r="B2980" s="2" t="str">
        <f>"311441"</f>
        <v>311441</v>
      </c>
      <c r="C2980" s="2" t="str">
        <f>"311441"</f>
        <v>311441</v>
      </c>
      <c r="D2980" s="2" t="s">
        <v>3854</v>
      </c>
      <c r="E2980" s="4">
        <v>16000</v>
      </c>
    </row>
    <row r="2981" spans="1:5">
      <c r="A2981" s="2" t="s">
        <v>3442</v>
      </c>
      <c r="B2981" s="2" t="str">
        <f>"311436"</f>
        <v>311436</v>
      </c>
      <c r="C2981" s="2" t="str">
        <f>"311436"</f>
        <v>311436</v>
      </c>
      <c r="D2981" s="2" t="s">
        <v>3855</v>
      </c>
      <c r="E2981" s="4">
        <v>8900</v>
      </c>
    </row>
    <row r="2982" spans="1:5">
      <c r="A2982" s="2" t="s">
        <v>3442</v>
      </c>
      <c r="B2982" s="2" t="str">
        <f>"310691"</f>
        <v>310691</v>
      </c>
      <c r="C2982" s="2" t="str">
        <f>"310691"</f>
        <v>310691</v>
      </c>
      <c r="D2982" s="2" t="s">
        <v>3856</v>
      </c>
      <c r="E2982" s="4">
        <v>6800</v>
      </c>
    </row>
    <row r="2983" spans="1:5">
      <c r="A2983" s="2" t="s">
        <v>3442</v>
      </c>
      <c r="B2983" s="2" t="str">
        <f>"310732"</f>
        <v>310732</v>
      </c>
      <c r="C2983" s="2" t="str">
        <f>"310732"</f>
        <v>310732</v>
      </c>
      <c r="D2983" s="2" t="s">
        <v>3857</v>
      </c>
      <c r="E2983" s="4">
        <v>11500</v>
      </c>
    </row>
    <row r="2984" spans="1:5">
      <c r="A2984" s="2" t="s">
        <v>3442</v>
      </c>
      <c r="B2984" s="2" t="str">
        <f>"9894340"</f>
        <v>9894340</v>
      </c>
      <c r="C2984" s="2" t="str">
        <f>"9894340"</f>
        <v>9894340</v>
      </c>
      <c r="D2984" s="2" t="s">
        <v>3858</v>
      </c>
      <c r="E2984" s="4">
        <v>10600</v>
      </c>
    </row>
    <row r="2985" spans="1:5">
      <c r="A2985" s="2" t="s">
        <v>3442</v>
      </c>
      <c r="B2985" s="2" t="str">
        <f>"310530"</f>
        <v>310530</v>
      </c>
      <c r="C2985" s="2" t="str">
        <f>"310530"</f>
        <v>310530</v>
      </c>
      <c r="D2985" s="2" t="s">
        <v>3859</v>
      </c>
      <c r="E2985" s="4">
        <v>19500</v>
      </c>
    </row>
    <row r="2986" spans="1:5">
      <c r="A2986" s="2" t="s">
        <v>3442</v>
      </c>
      <c r="B2986" s="2" t="str">
        <f>"310623"</f>
        <v>310623</v>
      </c>
      <c r="C2986" s="2" t="str">
        <f>"310623"</f>
        <v>310623</v>
      </c>
      <c r="D2986" s="2" t="s">
        <v>3860</v>
      </c>
      <c r="E2986" s="4">
        <v>14800</v>
      </c>
    </row>
    <row r="2987" spans="1:5">
      <c r="A2987" s="2" t="s">
        <v>3442</v>
      </c>
      <c r="B2987" s="2" t="str">
        <f>"310475"</f>
        <v>310475</v>
      </c>
      <c r="C2987" s="2" t="str">
        <f>"310475"</f>
        <v>310475</v>
      </c>
      <c r="D2987" s="2" t="s">
        <v>3861</v>
      </c>
      <c r="E2987" s="4">
        <v>8400</v>
      </c>
    </row>
    <row r="2988" spans="1:5">
      <c r="A2988" s="2" t="s">
        <v>3442</v>
      </c>
      <c r="B2988" s="2" t="str">
        <f>"310531"</f>
        <v>310531</v>
      </c>
      <c r="C2988" s="2" t="str">
        <f>"310531"</f>
        <v>310531</v>
      </c>
      <c r="D2988" s="2" t="s">
        <v>3862</v>
      </c>
      <c r="E2988" s="4">
        <v>8800</v>
      </c>
    </row>
    <row r="2989" spans="1:5">
      <c r="A2989" s="2" t="s">
        <v>3442</v>
      </c>
      <c r="B2989" s="2" t="str">
        <f>"310487"</f>
        <v>310487</v>
      </c>
      <c r="C2989" s="2" t="str">
        <f>"310487"</f>
        <v>310487</v>
      </c>
      <c r="D2989" s="2" t="s">
        <v>3863</v>
      </c>
      <c r="E2989" s="4">
        <v>5200</v>
      </c>
    </row>
    <row r="2990" spans="1:5">
      <c r="A2990" s="2" t="s">
        <v>3442</v>
      </c>
      <c r="B2990" s="2" t="str">
        <f>"310629"</f>
        <v>310629</v>
      </c>
      <c r="C2990" s="2" t="str">
        <f>"310629"</f>
        <v>310629</v>
      </c>
      <c r="D2990" s="2" t="s">
        <v>3864</v>
      </c>
      <c r="E2990" s="4">
        <v>9900</v>
      </c>
    </row>
    <row r="2991" spans="1:5">
      <c r="A2991" s="2" t="s">
        <v>3442</v>
      </c>
      <c r="B2991" s="2" t="str">
        <f>"310532"</f>
        <v>310532</v>
      </c>
      <c r="C2991" s="2" t="str">
        <f>"310532"</f>
        <v>310532</v>
      </c>
      <c r="D2991" s="2" t="s">
        <v>3865</v>
      </c>
      <c r="E2991" s="4">
        <v>8800</v>
      </c>
    </row>
    <row r="2992" spans="1:5">
      <c r="A2992" s="2" t="s">
        <v>3442</v>
      </c>
      <c r="B2992" s="2" t="str">
        <f>"310556"</f>
        <v>310556</v>
      </c>
      <c r="C2992" s="2" t="str">
        <f>"310556"</f>
        <v>310556</v>
      </c>
      <c r="D2992" s="2" t="s">
        <v>3866</v>
      </c>
      <c r="E2992" s="4">
        <v>9700</v>
      </c>
    </row>
    <row r="2993" spans="1:5">
      <c r="A2993" s="2" t="s">
        <v>3442</v>
      </c>
      <c r="B2993" s="2" t="str">
        <f>"310615"</f>
        <v>310615</v>
      </c>
      <c r="C2993" s="2" t="str">
        <f>"310615"</f>
        <v>310615</v>
      </c>
      <c r="D2993" s="2" t="s">
        <v>3867</v>
      </c>
      <c r="E2993" s="4">
        <v>12500</v>
      </c>
    </row>
    <row r="2994" spans="1:5">
      <c r="A2994" s="2" t="s">
        <v>3442</v>
      </c>
      <c r="B2994" s="2" t="str">
        <f>"310486"</f>
        <v>310486</v>
      </c>
      <c r="C2994" s="2" t="str">
        <f>"310486"</f>
        <v>310486</v>
      </c>
      <c r="D2994" s="2" t="s">
        <v>3868</v>
      </c>
      <c r="E2994" s="4">
        <v>13300</v>
      </c>
    </row>
    <row r="2995" spans="1:5">
      <c r="A2995" s="2" t="s">
        <v>3442</v>
      </c>
      <c r="B2995" s="2" t="str">
        <f>"310527"</f>
        <v>310527</v>
      </c>
      <c r="C2995" s="2" t="str">
        <f>"310527"</f>
        <v>310527</v>
      </c>
      <c r="D2995" s="2" t="s">
        <v>3869</v>
      </c>
      <c r="E2995" s="4">
        <v>12500</v>
      </c>
    </row>
    <row r="2996" spans="1:5">
      <c r="A2996" s="2" t="s">
        <v>3442</v>
      </c>
      <c r="B2996" s="2" t="str">
        <f>"310958"</f>
        <v>310958</v>
      </c>
      <c r="C2996" s="2" t="str">
        <f>"310958"</f>
        <v>310958</v>
      </c>
      <c r="D2996" s="2" t="s">
        <v>3870</v>
      </c>
      <c r="E2996" s="4">
        <v>8800</v>
      </c>
    </row>
    <row r="2997" spans="1:5">
      <c r="A2997" s="2" t="s">
        <v>3442</v>
      </c>
      <c r="B2997" s="2" t="str">
        <f>"310714"</f>
        <v>310714</v>
      </c>
      <c r="C2997" s="2" t="str">
        <f>"310714"</f>
        <v>310714</v>
      </c>
      <c r="D2997" s="2" t="s">
        <v>3871</v>
      </c>
      <c r="E2997" s="4">
        <v>14200</v>
      </c>
    </row>
    <row r="2998" spans="1:5">
      <c r="A2998" s="2" t="s">
        <v>3442</v>
      </c>
      <c r="B2998" s="2" t="s">
        <v>3872</v>
      </c>
      <c r="C2998" s="2" t="s">
        <v>3872</v>
      </c>
      <c r="D2998" s="2" t="s">
        <v>3873</v>
      </c>
      <c r="E2998" s="4">
        <v>48000</v>
      </c>
    </row>
    <row r="2999" spans="1:5">
      <c r="A2999" s="2" t="s">
        <v>3442</v>
      </c>
      <c r="B2999" s="2" t="str">
        <f>"090260027"</f>
        <v>090260027</v>
      </c>
      <c r="C2999" s="2" t="str">
        <f>"090260027"</f>
        <v>090260027</v>
      </c>
      <c r="D2999" s="2" t="s">
        <v>3874</v>
      </c>
      <c r="E2999" s="4">
        <v>7000</v>
      </c>
    </row>
    <row r="3000" spans="1:5">
      <c r="A3000" s="2" t="s">
        <v>3442</v>
      </c>
      <c r="B3000" s="2" t="str">
        <f>"310507"</f>
        <v>310507</v>
      </c>
      <c r="C3000" s="2" t="str">
        <f>"310507"</f>
        <v>310507</v>
      </c>
      <c r="D3000" s="2" t="s">
        <v>3875</v>
      </c>
      <c r="E3000" s="4">
        <v>19700</v>
      </c>
    </row>
    <row r="3001" spans="1:5">
      <c r="A3001" s="2" t="s">
        <v>3442</v>
      </c>
      <c r="B3001" s="2" t="str">
        <f>"5000000022014"</f>
        <v>5000000022014</v>
      </c>
      <c r="C3001" s="2" t="str">
        <f>"310632"</f>
        <v>310632</v>
      </c>
      <c r="D3001" s="2" t="s">
        <v>3876</v>
      </c>
      <c r="E3001" s="4">
        <v>10800</v>
      </c>
    </row>
    <row r="3002" spans="1:5">
      <c r="A3002" s="2" t="s">
        <v>3442</v>
      </c>
      <c r="B3002" s="2" t="str">
        <f>"310590"</f>
        <v>310590</v>
      </c>
      <c r="C3002" s="2" t="str">
        <f>"310590"</f>
        <v>310590</v>
      </c>
      <c r="D3002" s="2" t="s">
        <v>3877</v>
      </c>
      <c r="E3002" s="4">
        <v>43000</v>
      </c>
    </row>
    <row r="3003" spans="1:5">
      <c r="A3003" s="2" t="s">
        <v>3442</v>
      </c>
      <c r="B3003" s="2" t="str">
        <f>"310686"</f>
        <v>310686</v>
      </c>
      <c r="C3003" s="2" t="str">
        <f>"310686"</f>
        <v>310686</v>
      </c>
      <c r="D3003" s="2" t="s">
        <v>3878</v>
      </c>
      <c r="E3003" s="4">
        <v>13300</v>
      </c>
    </row>
    <row r="3004" spans="1:5">
      <c r="A3004" s="2" t="s">
        <v>3442</v>
      </c>
      <c r="B3004" s="2" t="str">
        <f>"310731"</f>
        <v>310731</v>
      </c>
      <c r="C3004" s="2" t="str">
        <f>"310731"</f>
        <v>310731</v>
      </c>
      <c r="D3004" s="2" t="s">
        <v>3879</v>
      </c>
      <c r="E3004" s="4">
        <v>19600</v>
      </c>
    </row>
    <row r="3005" spans="1:5">
      <c r="A3005" s="2" t="s">
        <v>3442</v>
      </c>
      <c r="B3005" s="2" t="str">
        <f>"9894790"</f>
        <v>9894790</v>
      </c>
      <c r="C3005" s="2" t="str">
        <f>"9894790"</f>
        <v>9894790</v>
      </c>
      <c r="D3005" s="2" t="s">
        <v>3880</v>
      </c>
      <c r="E3005" s="4">
        <v>17800</v>
      </c>
    </row>
    <row r="3006" spans="1:5">
      <c r="A3006" s="2" t="s">
        <v>3442</v>
      </c>
      <c r="B3006" s="2" t="str">
        <f>"311097"</f>
        <v>311097</v>
      </c>
      <c r="C3006" s="2" t="str">
        <f>"311097"</f>
        <v>311097</v>
      </c>
      <c r="D3006" s="2" t="s">
        <v>3881</v>
      </c>
      <c r="E3006" s="4">
        <v>16000</v>
      </c>
    </row>
    <row r="3007" spans="1:5">
      <c r="A3007" s="2" t="s">
        <v>3442</v>
      </c>
      <c r="B3007" s="2" t="str">
        <f>"310730"</f>
        <v>310730</v>
      </c>
      <c r="C3007" s="2" t="str">
        <f>"310730"</f>
        <v>310730</v>
      </c>
      <c r="D3007" s="2" t="s">
        <v>3882</v>
      </c>
      <c r="E3007" s="4">
        <v>17800</v>
      </c>
    </row>
    <row r="3008" spans="1:5">
      <c r="A3008" s="2" t="s">
        <v>3442</v>
      </c>
      <c r="B3008" s="2" t="str">
        <f>"2113021-4"</f>
        <v>2113021-4</v>
      </c>
      <c r="C3008" s="2" t="str">
        <f>"310546"</f>
        <v>310546</v>
      </c>
      <c r="D3008" s="2" t="s">
        <v>3883</v>
      </c>
      <c r="E3008" s="4">
        <v>9700</v>
      </c>
    </row>
    <row r="3009" spans="1:5">
      <c r="A3009" s="2" t="s">
        <v>3442</v>
      </c>
      <c r="B3009" s="2" t="str">
        <f>"310752"</f>
        <v>310752</v>
      </c>
      <c r="C3009" s="2" t="str">
        <f>"310752"</f>
        <v>310752</v>
      </c>
      <c r="D3009" s="2" t="s">
        <v>3884</v>
      </c>
      <c r="E3009" s="4">
        <v>19500</v>
      </c>
    </row>
    <row r="3010" spans="1:5">
      <c r="A3010" s="2" t="s">
        <v>3442</v>
      </c>
      <c r="B3010" s="2" t="s">
        <v>3885</v>
      </c>
      <c r="C3010" s="2" t="s">
        <v>3885</v>
      </c>
      <c r="D3010" s="2" t="s">
        <v>3886</v>
      </c>
      <c r="E3010" s="4">
        <v>8800</v>
      </c>
    </row>
    <row r="3011" spans="1:5">
      <c r="A3011" s="2" t="s">
        <v>3442</v>
      </c>
      <c r="B3011" s="2" t="str">
        <f>"310619"</f>
        <v>310619</v>
      </c>
      <c r="C3011" s="2" t="str">
        <f>"310619"</f>
        <v>310619</v>
      </c>
      <c r="D3011" s="2" t="s">
        <v>3887</v>
      </c>
      <c r="E3011" s="4">
        <v>7500</v>
      </c>
    </row>
    <row r="3012" spans="1:5">
      <c r="A3012" s="2" t="s">
        <v>3442</v>
      </c>
      <c r="B3012" s="2" t="str">
        <f>"310718"</f>
        <v>310718</v>
      </c>
      <c r="C3012" s="2" t="str">
        <f>"310718"</f>
        <v>310718</v>
      </c>
      <c r="D3012" s="2" t="s">
        <v>3888</v>
      </c>
      <c r="E3012" s="4">
        <v>11500</v>
      </c>
    </row>
    <row r="3013" spans="1:5">
      <c r="A3013" s="2" t="s">
        <v>3442</v>
      </c>
      <c r="B3013" s="2" t="str">
        <f>"310511"</f>
        <v>310511</v>
      </c>
      <c r="C3013" s="2" t="str">
        <f>"310511"</f>
        <v>310511</v>
      </c>
      <c r="D3013" s="2" t="s">
        <v>3889</v>
      </c>
      <c r="E3013" s="4">
        <v>19600</v>
      </c>
    </row>
    <row r="3014" spans="1:5">
      <c r="A3014" s="2" t="s">
        <v>3442</v>
      </c>
      <c r="B3014" s="2" t="str">
        <f>"5258XS"</f>
        <v>5258XS</v>
      </c>
      <c r="C3014" s="2" t="str">
        <f>"5258XS"</f>
        <v>5258XS</v>
      </c>
      <c r="D3014" s="2" t="s">
        <v>3890</v>
      </c>
      <c r="E3014" s="4">
        <v>15500</v>
      </c>
    </row>
    <row r="3015" spans="1:5">
      <c r="A3015" s="2" t="s">
        <v>3442</v>
      </c>
      <c r="B3015" s="2" t="str">
        <f>"010270080"</f>
        <v>010270080</v>
      </c>
      <c r="C3015" s="2" t="str">
        <f>"010270080"</f>
        <v>010270080</v>
      </c>
      <c r="D3015" s="2" t="s">
        <v>3891</v>
      </c>
      <c r="E3015" s="4">
        <v>38500</v>
      </c>
    </row>
    <row r="3016" spans="1:5">
      <c r="A3016" s="2" t="s">
        <v>3442</v>
      </c>
      <c r="B3016" s="2" t="str">
        <f>"310715"</f>
        <v>310715</v>
      </c>
      <c r="C3016" s="2" t="str">
        <f>"310715"</f>
        <v>310715</v>
      </c>
      <c r="D3016" s="2" t="s">
        <v>3892</v>
      </c>
      <c r="E3016" s="4">
        <v>21400</v>
      </c>
    </row>
    <row r="3017" spans="1:5">
      <c r="A3017" s="2" t="s">
        <v>3442</v>
      </c>
      <c r="B3017" s="2" t="str">
        <f>"2105557"</f>
        <v>2105557</v>
      </c>
      <c r="C3017" s="2" t="str">
        <f>"2105557"</f>
        <v>2105557</v>
      </c>
      <c r="D3017" s="2" t="s">
        <v>3893</v>
      </c>
      <c r="E3017" s="4">
        <v>12400</v>
      </c>
    </row>
    <row r="3018" spans="1:5">
      <c r="A3018" s="2" t="s">
        <v>3442</v>
      </c>
      <c r="B3018" s="2" t="str">
        <f>"311442"</f>
        <v>311442</v>
      </c>
      <c r="C3018" s="2" t="str">
        <f>"311442"</f>
        <v>311442</v>
      </c>
      <c r="D3018" s="2" t="s">
        <v>3894</v>
      </c>
      <c r="E3018" s="4">
        <v>15100</v>
      </c>
    </row>
    <row r="3019" spans="1:5">
      <c r="A3019" s="2" t="s">
        <v>3442</v>
      </c>
      <c r="B3019" s="2" t="str">
        <f>"310741"</f>
        <v>310741</v>
      </c>
      <c r="C3019" s="2" t="str">
        <f>"310741"</f>
        <v>310741</v>
      </c>
      <c r="D3019" s="2" t="s">
        <v>3895</v>
      </c>
      <c r="E3019" s="4">
        <v>16000</v>
      </c>
    </row>
    <row r="3020" spans="1:5">
      <c r="A3020" s="2" t="s">
        <v>3442</v>
      </c>
      <c r="B3020" s="2" t="str">
        <f>"312772"</f>
        <v>312772</v>
      </c>
      <c r="C3020" s="2" t="str">
        <f>"312772"</f>
        <v>312772</v>
      </c>
      <c r="D3020" s="2" t="s">
        <v>3896</v>
      </c>
      <c r="E3020" s="4">
        <v>13500</v>
      </c>
    </row>
    <row r="3021" spans="1:5">
      <c r="A3021" s="2" t="s">
        <v>3442</v>
      </c>
      <c r="B3021" s="2" t="str">
        <f>"5301XS"</f>
        <v>5301XS</v>
      </c>
      <c r="C3021" s="2" t="str">
        <f>"5301XS"</f>
        <v>5301XS</v>
      </c>
      <c r="D3021" s="2" t="s">
        <v>3897</v>
      </c>
      <c r="E3021" s="4">
        <v>14500</v>
      </c>
    </row>
    <row r="3022" spans="1:5">
      <c r="A3022" s="2" t="s">
        <v>3442</v>
      </c>
      <c r="B3022" s="2" t="str">
        <f>"310863"</f>
        <v>310863</v>
      </c>
      <c r="C3022" s="2" t="str">
        <f>"310863"</f>
        <v>310863</v>
      </c>
      <c r="D3022" s="2" t="s">
        <v>3898</v>
      </c>
      <c r="E3022" s="4">
        <v>12800</v>
      </c>
    </row>
    <row r="3023" spans="1:5">
      <c r="A3023" s="2" t="s">
        <v>3442</v>
      </c>
      <c r="B3023" s="2" t="s">
        <v>3899</v>
      </c>
      <c r="C3023" s="2" t="s">
        <v>3899</v>
      </c>
      <c r="D3023" s="2" t="s">
        <v>3900</v>
      </c>
      <c r="E3023" s="4">
        <v>16800</v>
      </c>
    </row>
    <row r="3024" spans="1:5">
      <c r="A3024" s="2" t="s">
        <v>3442</v>
      </c>
      <c r="B3024" s="2" t="str">
        <f>"310716"</f>
        <v>310716</v>
      </c>
      <c r="C3024" s="2" t="str">
        <f>"310716"</f>
        <v>310716</v>
      </c>
      <c r="D3024" s="2" t="s">
        <v>3901</v>
      </c>
      <c r="E3024" s="4">
        <v>14500</v>
      </c>
    </row>
    <row r="3025" spans="1:5">
      <c r="A3025" s="2" t="s">
        <v>3442</v>
      </c>
      <c r="B3025" s="2" t="str">
        <f>"310570"</f>
        <v>310570</v>
      </c>
      <c r="C3025" s="2" t="str">
        <f>"2913077-9"</f>
        <v>2913077-9</v>
      </c>
      <c r="D3025" s="2" t="s">
        <v>3902</v>
      </c>
      <c r="E3025" s="4">
        <v>16000</v>
      </c>
    </row>
    <row r="3026" spans="1:5">
      <c r="A3026" s="2" t="s">
        <v>3442</v>
      </c>
      <c r="B3026" s="2" t="str">
        <f>"310755"</f>
        <v>310755</v>
      </c>
      <c r="C3026" s="2" t="str">
        <f>"310755"</f>
        <v>310755</v>
      </c>
      <c r="D3026" s="2" t="s">
        <v>3903</v>
      </c>
      <c r="E3026" s="4">
        <v>38500</v>
      </c>
    </row>
    <row r="3027" spans="1:5">
      <c r="A3027" s="2" t="s">
        <v>3442</v>
      </c>
      <c r="B3027" s="2" t="str">
        <f>"310485"</f>
        <v>310485</v>
      </c>
      <c r="C3027" s="2" t="str">
        <f>"310485"</f>
        <v>310485</v>
      </c>
      <c r="D3027" s="2" t="s">
        <v>3904</v>
      </c>
      <c r="E3027" s="4">
        <v>8400</v>
      </c>
    </row>
    <row r="3028" spans="1:5">
      <c r="A3028" s="2" t="s">
        <v>3442</v>
      </c>
      <c r="B3028" s="2" t="str">
        <f>"5000000022106"</f>
        <v>5000000022106</v>
      </c>
      <c r="C3028" s="2" t="str">
        <f>"310641"</f>
        <v>310641</v>
      </c>
      <c r="D3028" s="2" t="s">
        <v>3905</v>
      </c>
      <c r="E3028" s="4">
        <v>9600</v>
      </c>
    </row>
    <row r="3029" spans="1:5">
      <c r="A3029" s="2" t="s">
        <v>3442</v>
      </c>
      <c r="B3029" s="2" t="str">
        <f>"312776"</f>
        <v>312776</v>
      </c>
      <c r="C3029" s="2" t="str">
        <f>"312776"</f>
        <v>312776</v>
      </c>
      <c r="D3029" s="2" t="s">
        <v>3906</v>
      </c>
      <c r="E3029" s="4">
        <v>48000</v>
      </c>
    </row>
    <row r="3030" spans="1:5">
      <c r="A3030" s="2" t="s">
        <v>3442</v>
      </c>
      <c r="B3030" s="2" t="str">
        <f>"5000000022069"</f>
        <v>5000000022069</v>
      </c>
      <c r="C3030" s="2" t="str">
        <f>"310637"</f>
        <v>310637</v>
      </c>
      <c r="D3030" s="2" t="s">
        <v>3907</v>
      </c>
      <c r="E3030" s="4">
        <v>8800</v>
      </c>
    </row>
    <row r="3031" spans="1:5">
      <c r="A3031" s="2" t="s">
        <v>3442</v>
      </c>
      <c r="B3031" s="2" t="str">
        <f>"310594"</f>
        <v>310594</v>
      </c>
      <c r="C3031" s="2" t="str">
        <f>"310594"</f>
        <v>310594</v>
      </c>
      <c r="D3031" s="2" t="s">
        <v>3908</v>
      </c>
      <c r="E3031" s="4">
        <v>31000</v>
      </c>
    </row>
    <row r="3032" spans="1:5">
      <c r="A3032" s="2" t="s">
        <v>3442</v>
      </c>
      <c r="B3032" s="2" t="str">
        <f>"310553"</f>
        <v>310553</v>
      </c>
      <c r="C3032" s="2" t="str">
        <f>"310553"</f>
        <v>310553</v>
      </c>
      <c r="D3032" s="2" t="s">
        <v>3909</v>
      </c>
      <c r="E3032" s="4">
        <v>12500</v>
      </c>
    </row>
    <row r="3033" spans="1:5">
      <c r="A3033" s="2" t="s">
        <v>3442</v>
      </c>
      <c r="B3033" s="2" t="str">
        <f>"5376"</f>
        <v>5376</v>
      </c>
      <c r="C3033" s="2" t="str">
        <f>"5376"</f>
        <v>5376</v>
      </c>
      <c r="D3033" s="2" t="s">
        <v>3910</v>
      </c>
      <c r="E3033" s="4">
        <v>14500</v>
      </c>
    </row>
    <row r="3034" spans="1:5">
      <c r="A3034" s="2" t="s">
        <v>3442</v>
      </c>
      <c r="B3034" s="2" t="str">
        <f>"5481"</f>
        <v>5481</v>
      </c>
      <c r="C3034" s="2" t="str">
        <f>"5481"</f>
        <v>5481</v>
      </c>
      <c r="D3034" s="2" t="s">
        <v>3911</v>
      </c>
      <c r="E3034" s="4">
        <v>19500</v>
      </c>
    </row>
    <row r="3035" spans="1:5">
      <c r="A3035" s="2" t="s">
        <v>3442</v>
      </c>
      <c r="B3035" s="2" t="str">
        <f>"311443"</f>
        <v>311443</v>
      </c>
      <c r="C3035" s="2" t="str">
        <f>"311443"</f>
        <v>311443</v>
      </c>
      <c r="D3035" s="2" t="s">
        <v>3912</v>
      </c>
      <c r="E3035" s="4">
        <v>34000</v>
      </c>
    </row>
    <row r="3036" spans="1:5">
      <c r="A3036" s="2" t="s">
        <v>3442</v>
      </c>
      <c r="B3036" s="2" t="str">
        <f>"5000000021901"</f>
        <v>5000000021901</v>
      </c>
      <c r="C3036" s="2" t="str">
        <f>"310621"</f>
        <v>310621</v>
      </c>
      <c r="D3036" s="2" t="s">
        <v>3913</v>
      </c>
      <c r="E3036" s="4">
        <v>8300</v>
      </c>
    </row>
    <row r="3037" spans="1:5">
      <c r="A3037" s="2" t="s">
        <v>3442</v>
      </c>
      <c r="B3037" s="2" t="str">
        <f>"310865"</f>
        <v>310865</v>
      </c>
      <c r="C3037" s="2" t="str">
        <f>"310865"</f>
        <v>310865</v>
      </c>
      <c r="D3037" s="2" t="s">
        <v>3914</v>
      </c>
      <c r="E3037" s="4">
        <v>9700</v>
      </c>
    </row>
    <row r="3038" spans="1:5">
      <c r="A3038" s="2" t="s">
        <v>3442</v>
      </c>
      <c r="B3038" s="2" t="str">
        <f>"310450"</f>
        <v>310450</v>
      </c>
      <c r="C3038" s="2" t="str">
        <f>"310450"</f>
        <v>310450</v>
      </c>
      <c r="D3038" s="2" t="s">
        <v>3915</v>
      </c>
      <c r="E3038" s="4">
        <v>6400</v>
      </c>
    </row>
    <row r="3039" spans="1:5">
      <c r="A3039" s="2" t="s">
        <v>3442</v>
      </c>
      <c r="B3039" s="2" t="str">
        <f>"310539"</f>
        <v>310539</v>
      </c>
      <c r="C3039" s="2" t="str">
        <f>"310539"</f>
        <v>310539</v>
      </c>
      <c r="D3039" s="2" t="s">
        <v>3916</v>
      </c>
      <c r="E3039" s="4">
        <v>22800</v>
      </c>
    </row>
    <row r="3040" spans="1:5">
      <c r="A3040" s="2" t="s">
        <v>3442</v>
      </c>
      <c r="B3040" s="2" t="str">
        <f>"151-S8M-19"</f>
        <v>151-S8M-19</v>
      </c>
      <c r="C3040" s="2" t="str">
        <f>"151 S8M 19"</f>
        <v>151 S8M 19</v>
      </c>
      <c r="D3040" s="2" t="s">
        <v>3917</v>
      </c>
      <c r="E3040" s="4">
        <v>25000</v>
      </c>
    </row>
    <row r="3041" spans="1:5">
      <c r="A3041" s="2" t="s">
        <v>3442</v>
      </c>
      <c r="B3041" s="2" t="str">
        <f>"310572"</f>
        <v>310572</v>
      </c>
      <c r="C3041" s="2" t="str">
        <f>"310572"</f>
        <v>310572</v>
      </c>
      <c r="D3041" s="2" t="s">
        <v>3918</v>
      </c>
      <c r="E3041" s="4">
        <v>9500</v>
      </c>
    </row>
    <row r="3042" spans="1:5">
      <c r="A3042" s="2" t="s">
        <v>3442</v>
      </c>
      <c r="B3042" s="2" t="str">
        <f>"310548"</f>
        <v>310548</v>
      </c>
      <c r="C3042" s="2" t="str">
        <f>"310548"</f>
        <v>310548</v>
      </c>
      <c r="D3042" s="2" t="s">
        <v>3919</v>
      </c>
      <c r="E3042" s="4">
        <v>11500</v>
      </c>
    </row>
    <row r="3043" spans="1:5">
      <c r="A3043" s="2" t="s">
        <v>3442</v>
      </c>
      <c r="B3043" s="2" t="str">
        <f>"310482"</f>
        <v>310482</v>
      </c>
      <c r="C3043" s="2" t="str">
        <f>"310482"</f>
        <v>310482</v>
      </c>
      <c r="D3043" s="2" t="s">
        <v>3920</v>
      </c>
      <c r="E3043" s="4">
        <v>8500</v>
      </c>
    </row>
    <row r="3044" spans="1:5">
      <c r="A3044" s="2" t="s">
        <v>3442</v>
      </c>
      <c r="B3044" s="2" t="str">
        <f>"401197-K"</f>
        <v>401197-K</v>
      </c>
      <c r="C3044" s="2" t="str">
        <f>"401197-K"</f>
        <v>401197-K</v>
      </c>
      <c r="D3044" s="2" t="s">
        <v>3921</v>
      </c>
      <c r="E3044" s="4">
        <v>17800</v>
      </c>
    </row>
    <row r="3045" spans="1:5">
      <c r="A3045" s="2" t="s">
        <v>3442</v>
      </c>
      <c r="B3045" s="2" t="str">
        <f>"310457"</f>
        <v>310457</v>
      </c>
      <c r="C3045" s="2" t="str">
        <f>"310457"</f>
        <v>310457</v>
      </c>
      <c r="D3045" s="2" t="s">
        <v>3922</v>
      </c>
      <c r="E3045" s="4">
        <v>7000</v>
      </c>
    </row>
    <row r="3046" spans="1:5">
      <c r="A3046" s="2" t="s">
        <v>3442</v>
      </c>
      <c r="B3046" s="2" t="str">
        <f>"310534"</f>
        <v>310534</v>
      </c>
      <c r="C3046" s="2" t="str">
        <f>"310534"</f>
        <v>310534</v>
      </c>
      <c r="D3046" s="2" t="s">
        <v>3923</v>
      </c>
      <c r="E3046" s="4">
        <v>11500</v>
      </c>
    </row>
    <row r="3047" spans="1:5">
      <c r="A3047" s="2" t="s">
        <v>3442</v>
      </c>
      <c r="B3047" s="2" t="str">
        <f>"310576"</f>
        <v>310576</v>
      </c>
      <c r="C3047" s="2" t="str">
        <f>"310576"</f>
        <v>310576</v>
      </c>
      <c r="D3047" s="2" t="s">
        <v>3924</v>
      </c>
      <c r="E3047" s="4">
        <v>9700</v>
      </c>
    </row>
    <row r="3048" spans="1:5">
      <c r="A3048" s="2" t="s">
        <v>3442</v>
      </c>
      <c r="B3048" s="2" t="str">
        <f>"5193"</f>
        <v>5193</v>
      </c>
      <c r="C3048" s="2" t="str">
        <f>"5193"</f>
        <v>5193</v>
      </c>
      <c r="D3048" s="2" t="s">
        <v>3925</v>
      </c>
      <c r="E3048" s="4">
        <v>14500</v>
      </c>
    </row>
    <row r="3049" spans="1:5">
      <c r="A3049" s="2" t="s">
        <v>3442</v>
      </c>
      <c r="B3049" s="2" t="str">
        <f>"310697"</f>
        <v>310697</v>
      </c>
      <c r="C3049" s="2" t="str">
        <f>"310697"</f>
        <v>310697</v>
      </c>
      <c r="D3049" s="2" t="s">
        <v>3926</v>
      </c>
      <c r="E3049" s="4">
        <v>12200</v>
      </c>
    </row>
    <row r="3050" spans="1:5">
      <c r="A3050" s="2" t="s">
        <v>3442</v>
      </c>
      <c r="B3050" s="2" t="str">
        <f>"5414465256295"</f>
        <v>5414465256295</v>
      </c>
      <c r="C3050" s="2" t="str">
        <f>"5590XS"</f>
        <v>5590XS</v>
      </c>
      <c r="D3050" s="2" t="s">
        <v>3927</v>
      </c>
      <c r="E3050" s="4">
        <v>19800</v>
      </c>
    </row>
    <row r="3051" spans="1:5">
      <c r="A3051" s="2" t="s">
        <v>3442</v>
      </c>
      <c r="B3051" s="2" t="str">
        <f>"5420"</f>
        <v>5420</v>
      </c>
      <c r="C3051" s="2" t="str">
        <f>"5420"</f>
        <v>5420</v>
      </c>
      <c r="D3051" s="2" t="s">
        <v>3928</v>
      </c>
      <c r="E3051" s="4">
        <v>31000</v>
      </c>
    </row>
    <row r="3052" spans="1:5">
      <c r="A3052" s="2" t="s">
        <v>3442</v>
      </c>
      <c r="B3052" s="2" t="str">
        <f>"9894224"</f>
        <v>9894224</v>
      </c>
      <c r="C3052" s="2" t="str">
        <f>"9894224"</f>
        <v>9894224</v>
      </c>
      <c r="D3052" s="2" t="s">
        <v>3929</v>
      </c>
      <c r="E3052" s="4">
        <v>10600</v>
      </c>
    </row>
    <row r="3053" spans="1:5">
      <c r="A3053" s="2" t="s">
        <v>3442</v>
      </c>
      <c r="B3053" s="2" t="str">
        <f>"310510"</f>
        <v>310510</v>
      </c>
      <c r="C3053" s="2" t="str">
        <f>"310510"</f>
        <v>310510</v>
      </c>
      <c r="D3053" s="2" t="s">
        <v>3930</v>
      </c>
      <c r="E3053" s="4">
        <v>18500</v>
      </c>
    </row>
    <row r="3054" spans="1:5">
      <c r="A3054" s="2" t="s">
        <v>3442</v>
      </c>
      <c r="B3054" s="2" t="s">
        <v>3931</v>
      </c>
      <c r="C3054" s="2" t="s">
        <v>3931</v>
      </c>
      <c r="D3054" s="2" t="s">
        <v>3932</v>
      </c>
      <c r="E3054" s="4">
        <v>18500</v>
      </c>
    </row>
    <row r="3055" spans="1:5">
      <c r="A3055" s="2" t="s">
        <v>3442</v>
      </c>
      <c r="B3055" s="2" t="str">
        <f>"312900"</f>
        <v>312900</v>
      </c>
      <c r="C3055" s="2" t="str">
        <f>"312900"</f>
        <v>312900</v>
      </c>
      <c r="D3055" s="2" t="s">
        <v>3933</v>
      </c>
      <c r="E3055" s="4">
        <v>7800</v>
      </c>
    </row>
    <row r="3056" spans="1:5">
      <c r="A3056" s="2" t="s">
        <v>3442</v>
      </c>
      <c r="B3056" s="2" t="str">
        <f>"5000000334919"</f>
        <v>5000000334919</v>
      </c>
      <c r="C3056" s="2" t="str">
        <f>"312902"</f>
        <v>312902</v>
      </c>
      <c r="D3056" s="2" t="s">
        <v>3934</v>
      </c>
      <c r="E3056" s="4">
        <v>6100</v>
      </c>
    </row>
    <row r="3057" spans="1:5">
      <c r="A3057" s="2" t="s">
        <v>3442</v>
      </c>
      <c r="B3057" s="2" t="str">
        <f>"9894808"</f>
        <v>9894808</v>
      </c>
      <c r="C3057" s="2" t="str">
        <f>"9894808"</f>
        <v>9894808</v>
      </c>
      <c r="D3057" s="2" t="s">
        <v>3935</v>
      </c>
      <c r="E3057" s="4">
        <v>14600</v>
      </c>
    </row>
    <row r="3058" spans="1:5">
      <c r="A3058" s="2" t="s">
        <v>3442</v>
      </c>
      <c r="B3058" s="2" t="str">
        <f>"9894527"</f>
        <v>9894527</v>
      </c>
      <c r="C3058" s="2" t="str">
        <f>"9894527"</f>
        <v>9894527</v>
      </c>
      <c r="D3058" s="2" t="s">
        <v>3936</v>
      </c>
      <c r="E3058" s="4">
        <v>11600</v>
      </c>
    </row>
    <row r="3059" spans="1:5">
      <c r="A3059" s="2" t="s">
        <v>3442</v>
      </c>
      <c r="B3059" s="2" t="str">
        <f>"000601119-5"</f>
        <v>000601119-5</v>
      </c>
      <c r="C3059" s="2" t="str">
        <f>"000601119-5"</f>
        <v>000601119-5</v>
      </c>
      <c r="D3059" s="2" t="s">
        <v>3937</v>
      </c>
      <c r="E3059" s="4">
        <v>21900</v>
      </c>
    </row>
    <row r="3060" spans="1:5">
      <c r="A3060" s="2" t="s">
        <v>3442</v>
      </c>
      <c r="B3060" s="2" t="str">
        <f>"90148"</f>
        <v>90148</v>
      </c>
      <c r="C3060" s="2" t="str">
        <f>"90148"</f>
        <v>90148</v>
      </c>
      <c r="D3060" s="2" t="s">
        <v>3938</v>
      </c>
      <c r="E3060" s="4">
        <v>9800</v>
      </c>
    </row>
    <row r="3061" spans="1:5">
      <c r="A3061" s="2" t="s">
        <v>3442</v>
      </c>
      <c r="B3061" s="2" t="str">
        <f>"310464"</f>
        <v>310464</v>
      </c>
      <c r="C3061" s="2" t="str">
        <f>"310464"</f>
        <v>310464</v>
      </c>
      <c r="D3061" s="2" t="s">
        <v>3939</v>
      </c>
      <c r="E3061" s="4">
        <v>7700</v>
      </c>
    </row>
    <row r="3062" spans="1:5">
      <c r="A3062" s="2" t="s">
        <v>3442</v>
      </c>
      <c r="B3062" s="2" t="str">
        <f>"9894847"</f>
        <v>9894847</v>
      </c>
      <c r="C3062" s="2" t="str">
        <f>"9894847"</f>
        <v>9894847</v>
      </c>
      <c r="D3062" s="2" t="s">
        <v>3940</v>
      </c>
      <c r="E3062" s="4">
        <v>14200</v>
      </c>
    </row>
    <row r="3063" spans="1:5">
      <c r="A3063" s="2" t="s">
        <v>3442</v>
      </c>
      <c r="B3063" s="2" t="str">
        <f>"6011119"</f>
        <v>6011119</v>
      </c>
      <c r="C3063" s="2" t="str">
        <f>"6011119"</f>
        <v>6011119</v>
      </c>
      <c r="D3063" s="2" t="s">
        <v>3941</v>
      </c>
      <c r="E3063" s="4">
        <v>21900</v>
      </c>
    </row>
    <row r="3064" spans="1:5">
      <c r="A3064" s="2" t="s">
        <v>3442</v>
      </c>
      <c r="B3064" s="2" t="str">
        <f>"5212"</f>
        <v>5212</v>
      </c>
      <c r="C3064" s="2" t="str">
        <f>"5212"</f>
        <v>5212</v>
      </c>
      <c r="D3064" s="2" t="s">
        <v>3942</v>
      </c>
      <c r="E3064" s="4">
        <v>9800</v>
      </c>
    </row>
    <row r="3065" spans="1:5">
      <c r="A3065" s="2" t="s">
        <v>3442</v>
      </c>
      <c r="B3065" s="2" t="str">
        <f>"310635"</f>
        <v>310635</v>
      </c>
      <c r="C3065" s="2" t="str">
        <f>"1444405890"</f>
        <v>1444405890</v>
      </c>
      <c r="D3065" s="2" t="s">
        <v>3943</v>
      </c>
      <c r="E3065" s="4">
        <v>7000</v>
      </c>
    </row>
    <row r="3066" spans="1:5">
      <c r="A3066" s="2" t="s">
        <v>3442</v>
      </c>
      <c r="B3066" s="2" t="str">
        <f>"310591"</f>
        <v>310591</v>
      </c>
      <c r="C3066" s="2" t="str">
        <f>"310591"</f>
        <v>310591</v>
      </c>
      <c r="D3066" s="2" t="s">
        <v>3944</v>
      </c>
      <c r="E3066" s="4">
        <v>16000</v>
      </c>
    </row>
    <row r="3067" spans="1:5">
      <c r="A3067" s="2" t="s">
        <v>3442</v>
      </c>
      <c r="B3067" s="2" t="str">
        <f>"310491"</f>
        <v>310491</v>
      </c>
      <c r="C3067" s="2" t="str">
        <f>"310491"</f>
        <v>310491</v>
      </c>
      <c r="D3067" s="2" t="s">
        <v>3945</v>
      </c>
      <c r="E3067" s="4">
        <v>15100</v>
      </c>
    </row>
    <row r="3068" spans="1:5">
      <c r="A3068" s="2" t="s">
        <v>3442</v>
      </c>
      <c r="B3068" s="2" t="str">
        <f>"310727"</f>
        <v>310727</v>
      </c>
      <c r="C3068" s="2" t="str">
        <f>"310727"</f>
        <v>310727</v>
      </c>
      <c r="D3068" s="2" t="s">
        <v>3946</v>
      </c>
      <c r="E3068" s="4">
        <v>25000</v>
      </c>
    </row>
    <row r="3069" spans="1:5">
      <c r="A3069" s="2" t="s">
        <v>3442</v>
      </c>
      <c r="B3069" s="2" t="str">
        <f>"010270201"</f>
        <v>010270201</v>
      </c>
      <c r="C3069" s="2" t="str">
        <f>"010270201"</f>
        <v>010270201</v>
      </c>
      <c r="D3069" s="2" t="s">
        <v>3947</v>
      </c>
      <c r="E3069" s="4">
        <v>38500</v>
      </c>
    </row>
    <row r="3070" spans="1:5">
      <c r="A3070" s="2" t="s">
        <v>3442</v>
      </c>
      <c r="B3070" s="2" t="str">
        <f>"3104171"</f>
        <v>3104171</v>
      </c>
      <c r="C3070" s="2" t="str">
        <f>"3104171"</f>
        <v>3104171</v>
      </c>
      <c r="D3070" s="2" t="s">
        <v>3948</v>
      </c>
      <c r="E3070" s="4">
        <v>7000</v>
      </c>
    </row>
    <row r="3071" spans="1:5">
      <c r="A3071" s="2" t="s">
        <v>3442</v>
      </c>
      <c r="B3071" s="2" t="str">
        <f>"310471"</f>
        <v>310471</v>
      </c>
      <c r="C3071" s="2" t="str">
        <f>"310471"</f>
        <v>310471</v>
      </c>
      <c r="D3071" s="2" t="s">
        <v>3948</v>
      </c>
      <c r="E3071" s="4">
        <v>8800</v>
      </c>
    </row>
    <row r="3072" spans="1:5">
      <c r="A3072" s="2" t="s">
        <v>3442</v>
      </c>
      <c r="B3072" s="2" t="str">
        <f>"310490"</f>
        <v>310490</v>
      </c>
      <c r="C3072" s="2" t="str">
        <f>"310490"</f>
        <v>310490</v>
      </c>
      <c r="D3072" s="2" t="s">
        <v>3949</v>
      </c>
      <c r="E3072" s="4">
        <v>13300</v>
      </c>
    </row>
    <row r="3073" spans="1:5">
      <c r="A3073" s="2" t="s">
        <v>3442</v>
      </c>
      <c r="B3073" s="2" t="str">
        <f>"090260040"</f>
        <v>090260040</v>
      </c>
      <c r="C3073" s="2" t="str">
        <f>"090260040"</f>
        <v>090260040</v>
      </c>
      <c r="D3073" s="2" t="s">
        <v>3950</v>
      </c>
      <c r="E3073" s="4">
        <v>19600</v>
      </c>
    </row>
    <row r="3074" spans="1:5">
      <c r="A3074" s="2" t="s">
        <v>3442</v>
      </c>
      <c r="B3074" s="2" t="str">
        <f>"5219"</f>
        <v>5219</v>
      </c>
      <c r="C3074" s="2" t="str">
        <f>"5219"</f>
        <v>5219</v>
      </c>
      <c r="D3074" s="2" t="s">
        <v>3951</v>
      </c>
      <c r="E3074" s="4">
        <v>15500</v>
      </c>
    </row>
    <row r="3075" spans="1:5">
      <c r="A3075" s="2" t="s">
        <v>3442</v>
      </c>
      <c r="B3075" s="2" t="str">
        <f>"312802"</f>
        <v>312802</v>
      </c>
      <c r="C3075" s="2" t="str">
        <f>"312802"</f>
        <v>312802</v>
      </c>
      <c r="D3075" s="2" t="s">
        <v>3952</v>
      </c>
      <c r="E3075" s="4">
        <v>14200</v>
      </c>
    </row>
    <row r="3076" spans="1:5">
      <c r="A3076" s="2" t="s">
        <v>3442</v>
      </c>
      <c r="B3076" s="2" t="str">
        <f>"310639"</f>
        <v>310639</v>
      </c>
      <c r="C3076" s="2" t="str">
        <f>"310639"</f>
        <v>310639</v>
      </c>
      <c r="D3076" s="2" t="s">
        <v>3953</v>
      </c>
      <c r="E3076" s="4">
        <v>8500</v>
      </c>
    </row>
    <row r="3077" spans="1:5">
      <c r="A3077" s="2" t="s">
        <v>3442</v>
      </c>
      <c r="B3077" s="2" t="str">
        <f>"310640"</f>
        <v>310640</v>
      </c>
      <c r="C3077" s="2" t="str">
        <f>"310640"</f>
        <v>310640</v>
      </c>
      <c r="D3077" s="2" t="s">
        <v>3954</v>
      </c>
      <c r="E3077" s="4">
        <v>9700</v>
      </c>
    </row>
    <row r="3078" spans="1:5">
      <c r="A3078" s="2" t="s">
        <v>3442</v>
      </c>
      <c r="B3078" s="2" t="str">
        <f>"310469"</f>
        <v>310469</v>
      </c>
      <c r="C3078" s="2" t="str">
        <f>"310469"</f>
        <v>310469</v>
      </c>
      <c r="D3078" s="2" t="s">
        <v>3955</v>
      </c>
      <c r="E3078" s="4">
        <v>4500</v>
      </c>
    </row>
    <row r="3079" spans="1:5">
      <c r="A3079" s="2" t="s">
        <v>3442</v>
      </c>
      <c r="B3079" s="2" t="str">
        <f>"310468"</f>
        <v>310468</v>
      </c>
      <c r="C3079" s="2" t="str">
        <f>"310468"</f>
        <v>310468</v>
      </c>
      <c r="D3079" s="2" t="s">
        <v>3956</v>
      </c>
      <c r="E3079" s="4">
        <v>5200</v>
      </c>
    </row>
    <row r="3080" spans="1:5">
      <c r="A3080" s="2" t="s">
        <v>3442</v>
      </c>
      <c r="B3080" s="2" t="str">
        <f>"310463"</f>
        <v>310463</v>
      </c>
      <c r="C3080" s="2" t="str">
        <f>"310463"</f>
        <v>310463</v>
      </c>
      <c r="D3080" s="2" t="s">
        <v>3957</v>
      </c>
      <c r="E3080" s="4">
        <v>7000</v>
      </c>
    </row>
    <row r="3081" spans="1:5">
      <c r="A3081" s="2" t="s">
        <v>3442</v>
      </c>
      <c r="B3081" s="2" t="str">
        <f>"310617"</f>
        <v>310617</v>
      </c>
      <c r="C3081" s="2" t="str">
        <f>"310617"</f>
        <v>310617</v>
      </c>
      <c r="D3081" s="2" t="s">
        <v>3958</v>
      </c>
      <c r="E3081" s="4">
        <v>6800</v>
      </c>
    </row>
    <row r="3082" spans="1:5">
      <c r="A3082" s="2" t="s">
        <v>3442</v>
      </c>
      <c r="B3082" s="2" t="str">
        <f>"310633"</f>
        <v>310633</v>
      </c>
      <c r="C3082" s="2" t="str">
        <f>"310633"</f>
        <v>310633</v>
      </c>
      <c r="D3082" s="2" t="s">
        <v>3959</v>
      </c>
      <c r="E3082" s="4">
        <v>7500</v>
      </c>
    </row>
    <row r="3083" spans="1:5">
      <c r="A3083" s="2" t="s">
        <v>3442</v>
      </c>
      <c r="B3083" s="2" t="str">
        <f>"311763"</f>
        <v>311763</v>
      </c>
      <c r="C3083" s="2" t="str">
        <f>"311763"</f>
        <v>311763</v>
      </c>
      <c r="D3083" s="2" t="s">
        <v>3960</v>
      </c>
      <c r="E3083" s="4">
        <v>8800</v>
      </c>
    </row>
    <row r="3084" spans="1:5">
      <c r="A3084" s="2" t="s">
        <v>3442</v>
      </c>
      <c r="B3084" s="2" t="str">
        <f>"310519"</f>
        <v>310519</v>
      </c>
      <c r="C3084" s="2" t="str">
        <f>"310519"</f>
        <v>310519</v>
      </c>
      <c r="D3084" s="2" t="s">
        <v>3961</v>
      </c>
      <c r="E3084" s="4">
        <v>11900</v>
      </c>
    </row>
    <row r="3085" spans="1:5">
      <c r="A3085" s="2" t="s">
        <v>3442</v>
      </c>
      <c r="B3085" s="2" t="str">
        <f>"090260156"</f>
        <v>090260156</v>
      </c>
      <c r="C3085" s="2" t="str">
        <f>"97MR25"</f>
        <v>97MR25</v>
      </c>
      <c r="D3085" s="2" t="s">
        <v>3962</v>
      </c>
      <c r="E3085" s="4">
        <v>9700</v>
      </c>
    </row>
    <row r="3086" spans="1:5">
      <c r="A3086" s="2" t="s">
        <v>3442</v>
      </c>
      <c r="B3086" s="2" t="str">
        <f>"310762"</f>
        <v>310762</v>
      </c>
      <c r="C3086" s="2" t="str">
        <f>"310762"</f>
        <v>310762</v>
      </c>
      <c r="D3086" s="2" t="s">
        <v>3963</v>
      </c>
      <c r="E3086" s="4">
        <v>16900</v>
      </c>
    </row>
    <row r="3087" spans="1:5">
      <c r="A3087" s="2" t="s">
        <v>3442</v>
      </c>
      <c r="B3087" s="2" t="str">
        <f>"311767"</f>
        <v>311767</v>
      </c>
      <c r="C3087" s="2" t="str">
        <f>"311767"</f>
        <v>311767</v>
      </c>
      <c r="D3087" s="2" t="s">
        <v>3964</v>
      </c>
      <c r="E3087" s="4">
        <v>8500</v>
      </c>
    </row>
    <row r="3088" spans="1:5">
      <c r="A3088" s="2" t="s">
        <v>3442</v>
      </c>
      <c r="B3088" s="2" t="str">
        <f>"5240"</f>
        <v>5240</v>
      </c>
      <c r="C3088" s="2" t="str">
        <f>"5240"</f>
        <v>5240</v>
      </c>
      <c r="D3088" s="2" t="s">
        <v>3965</v>
      </c>
      <c r="E3088" s="4">
        <v>14000</v>
      </c>
    </row>
    <row r="3089" spans="1:5">
      <c r="A3089" s="2" t="s">
        <v>3442</v>
      </c>
      <c r="B3089" s="2" t="str">
        <f>"5120"</f>
        <v>5120</v>
      </c>
      <c r="C3089" s="2" t="str">
        <f>"5120"</f>
        <v>5120</v>
      </c>
      <c r="D3089" s="2" t="s">
        <v>3966</v>
      </c>
      <c r="E3089" s="4">
        <v>10700</v>
      </c>
    </row>
    <row r="3090" spans="1:5">
      <c r="A3090" s="2" t="s">
        <v>3442</v>
      </c>
      <c r="B3090" s="2" t="str">
        <f>"310568"</f>
        <v>310568</v>
      </c>
      <c r="C3090" s="2" t="str">
        <f>"310568"</f>
        <v>310568</v>
      </c>
      <c r="D3090" s="2" t="s">
        <v>3967</v>
      </c>
      <c r="E3090" s="4">
        <v>19500</v>
      </c>
    </row>
    <row r="3091" spans="1:5">
      <c r="A3091" s="2" t="s">
        <v>3442</v>
      </c>
      <c r="B3091" s="2" t="str">
        <f>"310521"</f>
        <v>310521</v>
      </c>
      <c r="C3091" s="2" t="str">
        <f>"310521"</f>
        <v>310521</v>
      </c>
      <c r="D3091" s="2" t="s">
        <v>3968</v>
      </c>
      <c r="E3091" s="4">
        <v>18700</v>
      </c>
    </row>
    <row r="3092" spans="1:5">
      <c r="A3092" s="2" t="s">
        <v>3442</v>
      </c>
      <c r="B3092" s="2" t="str">
        <f>"310526"</f>
        <v>310526</v>
      </c>
      <c r="C3092" s="2" t="str">
        <f>"310526"</f>
        <v>310526</v>
      </c>
      <c r="D3092" s="2" t="s">
        <v>3969</v>
      </c>
      <c r="E3092" s="4">
        <v>24000</v>
      </c>
    </row>
    <row r="3093" spans="1:5">
      <c r="A3093" s="2" t="s">
        <v>3442</v>
      </c>
      <c r="B3093" s="2" t="str">
        <f>"5118"</f>
        <v>5118</v>
      </c>
      <c r="C3093" s="2" t="str">
        <f>"5118"</f>
        <v>5118</v>
      </c>
      <c r="D3093" s="2" t="s">
        <v>3970</v>
      </c>
      <c r="E3093" s="4">
        <v>14000</v>
      </c>
    </row>
    <row r="3094" spans="1:5">
      <c r="A3094" s="2" t="s">
        <v>3442</v>
      </c>
      <c r="B3094" s="2" t="str">
        <f>"310498"</f>
        <v>310498</v>
      </c>
      <c r="C3094" s="2" t="str">
        <f>"310498"</f>
        <v>310498</v>
      </c>
      <c r="D3094" s="2" t="s">
        <v>3971</v>
      </c>
      <c r="E3094" s="4">
        <v>13500</v>
      </c>
    </row>
    <row r="3095" spans="1:5">
      <c r="A3095" s="2" t="s">
        <v>3442</v>
      </c>
      <c r="B3095" s="2" t="str">
        <f>"310499"</f>
        <v>310499</v>
      </c>
      <c r="C3095" s="2" t="str">
        <f>"310499"</f>
        <v>310499</v>
      </c>
      <c r="D3095" s="2" t="s">
        <v>3972</v>
      </c>
      <c r="E3095" s="4">
        <v>7000</v>
      </c>
    </row>
    <row r="3096" spans="1:5">
      <c r="A3096" s="2" t="s">
        <v>3442</v>
      </c>
      <c r="B3096" s="2" t="str">
        <f>"311000"</f>
        <v>311000</v>
      </c>
      <c r="C3096" s="2" t="str">
        <f>"311000"</f>
        <v>311000</v>
      </c>
      <c r="D3096" s="2" t="s">
        <v>3973</v>
      </c>
      <c r="E3096" s="4">
        <v>18700</v>
      </c>
    </row>
    <row r="3097" spans="1:5">
      <c r="A3097" s="2" t="s">
        <v>3442</v>
      </c>
      <c r="B3097" s="2" t="str">
        <f>"311433"</f>
        <v>311433</v>
      </c>
      <c r="C3097" s="2" t="str">
        <f>"311433"</f>
        <v>311433</v>
      </c>
      <c r="D3097" s="2" t="s">
        <v>3974</v>
      </c>
      <c r="E3097" s="4">
        <v>19600</v>
      </c>
    </row>
    <row r="3098" spans="1:5">
      <c r="A3098" s="2" t="s">
        <v>3442</v>
      </c>
      <c r="B3098" s="2" t="str">
        <f>"311413"</f>
        <v>311413</v>
      </c>
      <c r="C3098" s="2" t="str">
        <f>"311413"</f>
        <v>311413</v>
      </c>
      <c r="D3098" s="2" t="s">
        <v>3974</v>
      </c>
      <c r="E3098" s="4">
        <v>22800</v>
      </c>
    </row>
    <row r="3099" spans="1:5">
      <c r="A3099" s="2" t="s">
        <v>3442</v>
      </c>
      <c r="B3099" s="2" t="str">
        <f>"310694"</f>
        <v>310694</v>
      </c>
      <c r="C3099" s="2" t="str">
        <f>"310694"</f>
        <v>310694</v>
      </c>
      <c r="D3099" s="2" t="s">
        <v>3975</v>
      </c>
      <c r="E3099" s="4">
        <v>12800</v>
      </c>
    </row>
    <row r="3100" spans="1:5">
      <c r="A3100" s="2" t="s">
        <v>3442</v>
      </c>
      <c r="B3100" s="2" t="str">
        <f>"310489"</f>
        <v>310489</v>
      </c>
      <c r="C3100" s="2" t="str">
        <f>"310489"</f>
        <v>310489</v>
      </c>
      <c r="D3100" s="2" t="s">
        <v>3976</v>
      </c>
      <c r="E3100" s="4">
        <v>15100</v>
      </c>
    </row>
    <row r="3101" spans="1:5">
      <c r="A3101" s="2" t="s">
        <v>3442</v>
      </c>
      <c r="B3101" s="2" t="str">
        <f>"310496"</f>
        <v>310496</v>
      </c>
      <c r="C3101" s="2" t="str">
        <f>"310496"</f>
        <v>310496</v>
      </c>
      <c r="D3101" s="2" t="s">
        <v>3977</v>
      </c>
      <c r="E3101" s="4">
        <v>16000</v>
      </c>
    </row>
    <row r="3102" spans="1:5">
      <c r="A3102" s="2" t="s">
        <v>3442</v>
      </c>
      <c r="B3102" s="2" t="str">
        <f>"310642"</f>
        <v>310642</v>
      </c>
      <c r="C3102" s="2" t="str">
        <f>"310642"</f>
        <v>310642</v>
      </c>
      <c r="D3102" s="2" t="s">
        <v>3978</v>
      </c>
      <c r="E3102" s="4">
        <v>10600</v>
      </c>
    </row>
    <row r="3103" spans="1:5">
      <c r="A3103" s="2" t="s">
        <v>3442</v>
      </c>
      <c r="B3103" s="2" t="str">
        <f>"128MY26"</f>
        <v>128MY26</v>
      </c>
      <c r="C3103" s="2" t="str">
        <f>"128MY26"</f>
        <v>128MY26</v>
      </c>
      <c r="D3103" s="2" t="s">
        <v>3979</v>
      </c>
      <c r="E3103" s="4">
        <v>9700</v>
      </c>
    </row>
    <row r="3104" spans="1:5">
      <c r="A3104" s="2" t="s">
        <v>3442</v>
      </c>
      <c r="B3104" s="2" t="s">
        <v>3980</v>
      </c>
      <c r="C3104" s="2" t="s">
        <v>3980</v>
      </c>
      <c r="D3104" s="2" t="s">
        <v>3981</v>
      </c>
      <c r="E3104" s="4">
        <v>7500</v>
      </c>
    </row>
    <row r="3105" spans="1:5">
      <c r="A3105" s="2" t="s">
        <v>3442</v>
      </c>
      <c r="B3105" s="2" t="s">
        <v>3982</v>
      </c>
      <c r="C3105" s="2" t="s">
        <v>3982</v>
      </c>
      <c r="D3105" s="2" t="s">
        <v>3983</v>
      </c>
      <c r="E3105" s="4">
        <v>10300</v>
      </c>
    </row>
    <row r="3106" spans="1:5">
      <c r="A3106" s="2" t="s">
        <v>3442</v>
      </c>
      <c r="B3106" s="2" t="s">
        <v>3984</v>
      </c>
      <c r="C3106" s="2" t="s">
        <v>3984</v>
      </c>
      <c r="D3106" s="2" t="s">
        <v>3985</v>
      </c>
      <c r="E3106" s="4">
        <v>10300</v>
      </c>
    </row>
    <row r="3107" spans="1:5">
      <c r="A3107" s="2" t="s">
        <v>3442</v>
      </c>
      <c r="B3107" s="2" t="s">
        <v>3986</v>
      </c>
      <c r="C3107" s="2" t="s">
        <v>3986</v>
      </c>
      <c r="D3107" s="2" t="s">
        <v>3987</v>
      </c>
      <c r="E3107" s="4">
        <v>3500</v>
      </c>
    </row>
    <row r="3108" spans="1:5">
      <c r="A3108" s="2" t="s">
        <v>3442</v>
      </c>
      <c r="B3108" s="2" t="str">
        <f>"310458"</f>
        <v>310458</v>
      </c>
      <c r="C3108" s="2" t="str">
        <f>"310458"</f>
        <v>310458</v>
      </c>
      <c r="D3108" s="2" t="s">
        <v>3988</v>
      </c>
      <c r="E3108" s="4">
        <v>8800</v>
      </c>
    </row>
    <row r="3109" spans="1:5">
      <c r="A3109" s="2" t="s">
        <v>3442</v>
      </c>
      <c r="B3109" s="2" t="str">
        <f>"010260030"</f>
        <v>010260030</v>
      </c>
      <c r="C3109" s="2" t="str">
        <f>"121ZA19"</f>
        <v>121ZA19</v>
      </c>
      <c r="D3109" s="2" t="s">
        <v>3989</v>
      </c>
      <c r="E3109" s="4">
        <v>14500</v>
      </c>
    </row>
    <row r="3110" spans="1:5">
      <c r="A3110" s="2" t="s">
        <v>3442</v>
      </c>
      <c r="B3110" s="2" t="str">
        <f>"310979"</f>
        <v>310979</v>
      </c>
      <c r="C3110" s="2" t="str">
        <f>"310979"</f>
        <v>310979</v>
      </c>
      <c r="D3110" s="2" t="s">
        <v>3990</v>
      </c>
      <c r="E3110" s="4">
        <v>14200</v>
      </c>
    </row>
    <row r="3111" spans="1:5">
      <c r="A3111" s="2" t="s">
        <v>3442</v>
      </c>
      <c r="B3111" s="2" t="str">
        <f>"9894730"</f>
        <v>9894730</v>
      </c>
      <c r="C3111" s="2" t="str">
        <f>"9894730"</f>
        <v>9894730</v>
      </c>
      <c r="D3111" s="2" t="s">
        <v>3991</v>
      </c>
      <c r="E3111" s="4">
        <v>13300</v>
      </c>
    </row>
    <row r="3112" spans="1:5">
      <c r="A3112" s="2" t="s">
        <v>3442</v>
      </c>
      <c r="B3112" s="2" t="str">
        <f>"9894017"</f>
        <v>9894017</v>
      </c>
      <c r="C3112" s="2" t="str">
        <f>"9894017"</f>
        <v>9894017</v>
      </c>
      <c r="D3112" s="2" t="s">
        <v>3992</v>
      </c>
      <c r="E3112" s="4">
        <v>7000</v>
      </c>
    </row>
    <row r="3113" spans="1:5">
      <c r="A3113" s="2" t="s">
        <v>3442</v>
      </c>
      <c r="B3113" s="2" t="str">
        <f>"001413044-6"</f>
        <v>001413044-6</v>
      </c>
      <c r="C3113" s="2" t="str">
        <f>"001413044-6"</f>
        <v>001413044-6</v>
      </c>
      <c r="D3113" s="2" t="s">
        <v>3993</v>
      </c>
      <c r="E3113" s="4">
        <v>29500</v>
      </c>
    </row>
    <row r="3114" spans="1:5">
      <c r="A3114" s="2" t="s">
        <v>3442</v>
      </c>
      <c r="B3114" s="2" t="str">
        <f>"310516"</f>
        <v>310516</v>
      </c>
      <c r="C3114" s="2" t="str">
        <f>"310516"</f>
        <v>310516</v>
      </c>
      <c r="D3114" s="2" t="s">
        <v>3994</v>
      </c>
      <c r="E3114" s="4">
        <v>11300</v>
      </c>
    </row>
    <row r="3115" spans="1:5">
      <c r="A3115" s="2" t="s">
        <v>3442</v>
      </c>
      <c r="B3115" s="2" t="str">
        <f>"090260035"</f>
        <v>090260035</v>
      </c>
      <c r="C3115" s="2" t="str">
        <f>"127MY24"</f>
        <v>127MY24</v>
      </c>
      <c r="D3115" s="2" t="s">
        <v>3995</v>
      </c>
      <c r="E3115" s="4">
        <v>7700</v>
      </c>
    </row>
    <row r="3116" spans="1:5">
      <c r="A3116" s="2" t="s">
        <v>3442</v>
      </c>
      <c r="B3116" s="2" t="str">
        <f>"311421"</f>
        <v>311421</v>
      </c>
      <c r="C3116" s="2" t="str">
        <f>"311421"</f>
        <v>311421</v>
      </c>
      <c r="D3116" s="2" t="s">
        <v>3996</v>
      </c>
      <c r="E3116" s="4">
        <v>15900</v>
      </c>
    </row>
    <row r="3117" spans="1:5">
      <c r="A3117" s="2" t="s">
        <v>3442</v>
      </c>
      <c r="B3117" s="2" t="str">
        <f>"9894883"</f>
        <v>9894883</v>
      </c>
      <c r="C3117" s="2" t="str">
        <f>"9894883"</f>
        <v>9894883</v>
      </c>
      <c r="D3117" s="2" t="s">
        <v>3997</v>
      </c>
      <c r="E3117" s="4">
        <v>19600</v>
      </c>
    </row>
    <row r="3118" spans="1:5">
      <c r="A3118" s="2" t="s">
        <v>3442</v>
      </c>
      <c r="B3118" s="2" t="str">
        <f>"310472"</f>
        <v>310472</v>
      </c>
      <c r="C3118" s="2" t="str">
        <f>"310472"</f>
        <v>310472</v>
      </c>
      <c r="D3118" s="2" t="s">
        <v>3998</v>
      </c>
      <c r="E3118" s="4">
        <v>7000</v>
      </c>
    </row>
    <row r="3119" spans="1:5">
      <c r="A3119" s="2" t="s">
        <v>3442</v>
      </c>
      <c r="B3119" s="2" t="str">
        <f>"090260161"</f>
        <v>090260161</v>
      </c>
      <c r="C3119" s="2" t="str">
        <f>"090260161"</f>
        <v>090260161</v>
      </c>
      <c r="D3119" s="2" t="s">
        <v>3999</v>
      </c>
      <c r="E3119" s="4">
        <v>10600</v>
      </c>
    </row>
    <row r="3120" spans="1:5">
      <c r="A3120" s="2" t="s">
        <v>3442</v>
      </c>
      <c r="B3120" s="2" t="str">
        <f>"310524"</f>
        <v>310524</v>
      </c>
      <c r="C3120" s="2" t="str">
        <f>"310524"</f>
        <v>310524</v>
      </c>
      <c r="D3120" s="2" t="s">
        <v>4000</v>
      </c>
      <c r="E3120" s="4">
        <v>18700</v>
      </c>
    </row>
    <row r="3121" spans="1:5">
      <c r="A3121" s="2" t="s">
        <v>3442</v>
      </c>
      <c r="B3121" s="2" t="str">
        <f>"310717"</f>
        <v>310717</v>
      </c>
      <c r="C3121" s="2" t="str">
        <f>"310717"</f>
        <v>310717</v>
      </c>
      <c r="D3121" s="2" t="s">
        <v>4001</v>
      </c>
      <c r="E3121" s="4">
        <v>16900</v>
      </c>
    </row>
    <row r="3122" spans="1:5">
      <c r="A3122" s="2" t="s">
        <v>3442</v>
      </c>
      <c r="B3122" s="2" t="str">
        <f>"310501"</f>
        <v>310501</v>
      </c>
      <c r="C3122" s="2" t="str">
        <f>"310501"</f>
        <v>310501</v>
      </c>
      <c r="D3122" s="2" t="s">
        <v>4002</v>
      </c>
      <c r="E3122" s="4">
        <v>18700</v>
      </c>
    </row>
    <row r="3123" spans="1:5">
      <c r="A3123" s="2" t="s">
        <v>3442</v>
      </c>
      <c r="B3123" s="2" t="str">
        <f>"312874"</f>
        <v>312874</v>
      </c>
      <c r="C3123" s="2" t="str">
        <f>"312874"</f>
        <v>312874</v>
      </c>
      <c r="D3123" s="2" t="s">
        <v>4003</v>
      </c>
      <c r="E3123" s="4">
        <v>25000</v>
      </c>
    </row>
    <row r="3124" spans="1:5">
      <c r="A3124" s="2" t="s">
        <v>3442</v>
      </c>
      <c r="B3124" s="2" t="str">
        <f>"310515"</f>
        <v>310515</v>
      </c>
      <c r="C3124" s="2" t="str">
        <f>"310515"</f>
        <v>310515</v>
      </c>
      <c r="D3124" s="2" t="s">
        <v>4004</v>
      </c>
      <c r="E3124" s="4">
        <v>9700</v>
      </c>
    </row>
    <row r="3125" spans="1:5">
      <c r="A3125" s="2" t="s">
        <v>3442</v>
      </c>
      <c r="B3125" s="2" t="str">
        <f>"310658"</f>
        <v>310658</v>
      </c>
      <c r="C3125" s="2" t="str">
        <f>"310658"</f>
        <v>310658</v>
      </c>
      <c r="D3125" s="2" t="s">
        <v>4005</v>
      </c>
      <c r="E3125" s="4">
        <v>25000</v>
      </c>
    </row>
    <row r="3126" spans="1:5">
      <c r="A3126" s="2" t="s">
        <v>3442</v>
      </c>
      <c r="B3126" s="2" t="str">
        <f>"310703"</f>
        <v>310703</v>
      </c>
      <c r="C3126" s="2" t="str">
        <f>"310703"</f>
        <v>310703</v>
      </c>
      <c r="D3126" s="2" t="s">
        <v>4006</v>
      </c>
      <c r="E3126" s="4">
        <v>18900</v>
      </c>
    </row>
    <row r="3127" spans="1:5">
      <c r="A3127" s="2" t="s">
        <v>3442</v>
      </c>
      <c r="B3127" s="2" t="str">
        <f>"313020"</f>
        <v>313020</v>
      </c>
      <c r="C3127" s="2" t="str">
        <f>"313020"</f>
        <v>313020</v>
      </c>
      <c r="D3127" s="2" t="s">
        <v>4007</v>
      </c>
      <c r="E3127" s="4">
        <v>15900</v>
      </c>
    </row>
    <row r="3128" spans="1:5">
      <c r="A3128" s="2" t="s">
        <v>3442</v>
      </c>
      <c r="B3128" s="2" t="str">
        <f>"010250804"</f>
        <v>010250804</v>
      </c>
      <c r="C3128" s="2" t="str">
        <f>"010250804"</f>
        <v>010250804</v>
      </c>
      <c r="D3128" s="2" t="s">
        <v>4008</v>
      </c>
      <c r="E3128" s="4">
        <v>4300</v>
      </c>
    </row>
    <row r="3129" spans="1:5">
      <c r="A3129" s="2" t="s">
        <v>3442</v>
      </c>
      <c r="B3129" s="2" t="str">
        <f>"5PK-890"</f>
        <v>5PK-890</v>
      </c>
      <c r="C3129" s="2" t="str">
        <f>"5PK 890"</f>
        <v>5PK 890</v>
      </c>
      <c r="D3129" s="2" t="s">
        <v>4009</v>
      </c>
      <c r="E3129" s="4">
        <v>14000</v>
      </c>
    </row>
    <row r="3130" spans="1:5">
      <c r="A3130" s="2" t="s">
        <v>3442</v>
      </c>
      <c r="B3130" s="2" t="s">
        <v>4010</v>
      </c>
      <c r="C3130" s="2" t="str">
        <f>"317610"</f>
        <v>317610</v>
      </c>
      <c r="D3130" s="2" t="s">
        <v>4011</v>
      </c>
      <c r="E3130" s="4">
        <v>6000</v>
      </c>
    </row>
    <row r="3131" spans="1:5">
      <c r="A3131" s="2" t="s">
        <v>3442</v>
      </c>
      <c r="B3131" s="2" t="str">
        <f>"310704"</f>
        <v>310704</v>
      </c>
      <c r="C3131" s="2" t="str">
        <f>"310704"</f>
        <v>310704</v>
      </c>
      <c r="D3131" s="2" t="s">
        <v>4012</v>
      </c>
      <c r="E3131" s="4">
        <v>12400</v>
      </c>
    </row>
    <row r="3132" spans="1:5">
      <c r="A3132" s="2" t="s">
        <v>3442</v>
      </c>
      <c r="B3132" s="2" t="str">
        <f>"310709"</f>
        <v>310709</v>
      </c>
      <c r="C3132" s="2" t="str">
        <f>"310709"</f>
        <v>310709</v>
      </c>
      <c r="D3132" s="2" t="s">
        <v>4013</v>
      </c>
      <c r="E3132" s="4">
        <v>17800</v>
      </c>
    </row>
    <row r="3133" spans="1:5">
      <c r="A3133" s="2" t="s">
        <v>3442</v>
      </c>
      <c r="B3133" s="2" t="str">
        <f>"2000000004181"</f>
        <v>2000000004181</v>
      </c>
      <c r="C3133" s="2" t="str">
        <f>"12316-1"</f>
        <v>12316-1</v>
      </c>
      <c r="D3133" s="2" t="s">
        <v>4014</v>
      </c>
      <c r="E3133" s="4">
        <v>14000</v>
      </c>
    </row>
    <row r="3134" spans="1:5" ht="27.6">
      <c r="A3134" s="2" t="s">
        <v>3442</v>
      </c>
      <c r="B3134" s="2" t="str">
        <f>"1638473775749"</f>
        <v>1638473775749</v>
      </c>
      <c r="C3134" s="2" t="str">
        <f>"1638473775749 001213140-2"</f>
        <v>1638473775749 001213140-2</v>
      </c>
      <c r="D3134" s="2" t="s">
        <v>4015</v>
      </c>
      <c r="E3134" s="4">
        <v>15000</v>
      </c>
    </row>
    <row r="3135" spans="1:5" ht="27.6">
      <c r="A3135" s="2" t="s">
        <v>3442</v>
      </c>
      <c r="B3135" s="2" t="str">
        <f>"1638472280593"</f>
        <v>1638472280593</v>
      </c>
      <c r="C3135" s="2" t="str">
        <f>"9943451"</f>
        <v>9943451</v>
      </c>
      <c r="D3135" s="2" t="s">
        <v>4016</v>
      </c>
      <c r="E3135" s="4">
        <v>4900</v>
      </c>
    </row>
    <row r="3136" spans="1:5">
      <c r="A3136" s="2" t="s">
        <v>3442</v>
      </c>
      <c r="B3136" s="2" t="str">
        <f>"1638473592118"</f>
        <v>1638473592118</v>
      </c>
      <c r="C3136" s="2" t="str">
        <f>"1638473592118 9943358"</f>
        <v>1638473592118 9943358</v>
      </c>
      <c r="D3136" s="2" t="s">
        <v>4017</v>
      </c>
      <c r="E3136" s="4">
        <v>4300</v>
      </c>
    </row>
    <row r="3137" spans="1:5">
      <c r="A3137" s="2" t="s">
        <v>3442</v>
      </c>
      <c r="B3137" s="2" t="str">
        <f>"001413031-4"</f>
        <v>001413031-4</v>
      </c>
      <c r="C3137" s="2" t="str">
        <f>"001413031-4 40707"</f>
        <v>001413031-4 40707</v>
      </c>
      <c r="D3137" s="2" t="s">
        <v>4018</v>
      </c>
      <c r="E3137" s="4">
        <v>19700</v>
      </c>
    </row>
    <row r="3138" spans="1:5">
      <c r="A3138" s="2" t="s">
        <v>3442</v>
      </c>
      <c r="B3138" s="2" t="str">
        <f>"0011456 312875"</f>
        <v>0011456 312875</v>
      </c>
      <c r="C3138" s="2" t="str">
        <f>"0011456 9943347"</f>
        <v>0011456 9943347</v>
      </c>
      <c r="D3138" s="2" t="s">
        <v>4019</v>
      </c>
      <c r="E3138" s="4">
        <v>8800</v>
      </c>
    </row>
    <row r="3139" spans="1:5">
      <c r="A3139" s="2" t="s">
        <v>3442</v>
      </c>
      <c r="B3139" s="2" t="str">
        <f>"9950848"</f>
        <v>9950848</v>
      </c>
      <c r="C3139" s="2" t="str">
        <f>"9950848"</f>
        <v>9950848</v>
      </c>
      <c r="D3139" s="2" t="s">
        <v>4020</v>
      </c>
      <c r="E3139" s="4">
        <v>10600</v>
      </c>
    </row>
    <row r="3140" spans="1:5">
      <c r="A3140" s="2" t="s">
        <v>3442</v>
      </c>
      <c r="B3140" s="2" t="str">
        <f>"0013134"</f>
        <v>0013134</v>
      </c>
      <c r="C3140" s="2" t="str">
        <f>"0013134 9950825"</f>
        <v>0013134 9950825</v>
      </c>
      <c r="D3140" s="2" t="s">
        <v>4021</v>
      </c>
      <c r="E3140" s="4">
        <v>9900</v>
      </c>
    </row>
    <row r="3141" spans="1:5">
      <c r="A3141" s="2" t="s">
        <v>3442</v>
      </c>
      <c r="B3141" s="2" t="str">
        <f>"069859"</f>
        <v>069859</v>
      </c>
      <c r="C3141" s="2" t="str">
        <f>"069859 9943367"</f>
        <v>069859 9943367</v>
      </c>
      <c r="D3141" s="2" t="s">
        <v>4022</v>
      </c>
      <c r="E3141" s="4">
        <v>9000</v>
      </c>
    </row>
    <row r="3142" spans="1:5">
      <c r="A3142" s="2" t="s">
        <v>3442</v>
      </c>
      <c r="B3142" s="2" t="str">
        <f>"9950829"</f>
        <v>9950829</v>
      </c>
      <c r="C3142" s="2" t="str">
        <f>"9950829"</f>
        <v>9950829</v>
      </c>
      <c r="D3142" s="2" t="s">
        <v>4023</v>
      </c>
      <c r="E3142" s="4">
        <v>8800</v>
      </c>
    </row>
    <row r="3143" spans="1:5">
      <c r="A3143" s="2" t="s">
        <v>3442</v>
      </c>
      <c r="B3143" s="2" t="str">
        <f>"11650-5"</f>
        <v>11650-5</v>
      </c>
      <c r="C3143" s="2" t="str">
        <f>"11650-5"</f>
        <v>11650-5</v>
      </c>
      <c r="D3143" s="2" t="s">
        <v>4024</v>
      </c>
      <c r="E3143" s="4">
        <v>7000</v>
      </c>
    </row>
    <row r="3144" spans="1:5">
      <c r="A3144" s="2" t="s">
        <v>3442</v>
      </c>
      <c r="B3144" s="2" t="str">
        <f>"310497"</f>
        <v>310497</v>
      </c>
      <c r="C3144" s="2" t="str">
        <f>"310497"</f>
        <v>310497</v>
      </c>
      <c r="D3144" s="2" t="s">
        <v>4025</v>
      </c>
      <c r="E3144" s="4">
        <v>9500</v>
      </c>
    </row>
    <row r="3145" spans="1:5">
      <c r="A3145" s="2" t="s">
        <v>3442</v>
      </c>
      <c r="B3145" s="2" t="str">
        <f>"9943383"</f>
        <v>9943383</v>
      </c>
      <c r="C3145" s="2" t="str">
        <f>"9943383"</f>
        <v>9943383</v>
      </c>
      <c r="D3145" s="2" t="s">
        <v>4026</v>
      </c>
      <c r="E3145" s="4">
        <v>8800</v>
      </c>
    </row>
    <row r="3146" spans="1:5">
      <c r="A3146" s="2" t="s">
        <v>3442</v>
      </c>
      <c r="B3146" s="2" t="str">
        <f>"311098"</f>
        <v>311098</v>
      </c>
      <c r="C3146" s="2" t="str">
        <f>"311098"</f>
        <v>311098</v>
      </c>
      <c r="D3146" s="2" t="s">
        <v>4027</v>
      </c>
      <c r="E3146" s="4">
        <v>21400</v>
      </c>
    </row>
    <row r="3147" spans="1:5">
      <c r="A3147" s="2" t="s">
        <v>3442</v>
      </c>
      <c r="B3147" s="2" t="str">
        <f>"310573"</f>
        <v>310573</v>
      </c>
      <c r="C3147" s="2" t="str">
        <f>"310573"</f>
        <v>310573</v>
      </c>
      <c r="D3147" s="2" t="s">
        <v>4028</v>
      </c>
      <c r="E3147" s="4">
        <v>12400</v>
      </c>
    </row>
    <row r="3148" spans="1:5">
      <c r="A3148" s="2" t="s">
        <v>3442</v>
      </c>
      <c r="B3148" s="2" t="str">
        <f>"0022130293"</f>
        <v>0022130293</v>
      </c>
      <c r="C3148" s="2" t="str">
        <f>"002213029"</f>
        <v>002213029</v>
      </c>
      <c r="D3148" s="2" t="s">
        <v>4029</v>
      </c>
      <c r="E3148" s="4">
        <v>16000</v>
      </c>
    </row>
    <row r="3149" spans="1:5">
      <c r="A3149" s="2" t="s">
        <v>3442</v>
      </c>
      <c r="B3149" s="2" t="str">
        <f>"310608"</f>
        <v>310608</v>
      </c>
      <c r="C3149" s="2" t="str">
        <f>"310608"</f>
        <v>310608</v>
      </c>
      <c r="D3149" s="2" t="s">
        <v>4030</v>
      </c>
      <c r="E3149" s="4">
        <v>9700</v>
      </c>
    </row>
    <row r="3150" spans="1:5">
      <c r="A3150" s="2" t="s">
        <v>3442</v>
      </c>
      <c r="B3150" s="2" t="str">
        <f>"310706"</f>
        <v>310706</v>
      </c>
      <c r="C3150" s="2" t="str">
        <f>"310706"</f>
        <v>310706</v>
      </c>
      <c r="D3150" s="2" t="s">
        <v>4031</v>
      </c>
      <c r="E3150" s="4">
        <v>19900</v>
      </c>
    </row>
    <row r="3151" spans="1:5">
      <c r="A3151" s="2" t="s">
        <v>3442</v>
      </c>
      <c r="B3151" s="2" t="str">
        <f>"9950882"</f>
        <v>9950882</v>
      </c>
      <c r="C3151" s="2" t="str">
        <f>"9950882"</f>
        <v>9950882</v>
      </c>
      <c r="D3151" s="2" t="s">
        <v>4032</v>
      </c>
      <c r="E3151" s="4">
        <v>8800</v>
      </c>
    </row>
    <row r="3152" spans="1:5">
      <c r="A3152" s="2" t="s">
        <v>3442</v>
      </c>
      <c r="B3152" s="2" t="str">
        <f>"9943364"</f>
        <v>9943364</v>
      </c>
      <c r="C3152" s="2" t="str">
        <f>"9943364"</f>
        <v>9943364</v>
      </c>
      <c r="D3152" s="2" t="s">
        <v>4033</v>
      </c>
      <c r="E3152" s="4">
        <v>8800</v>
      </c>
    </row>
    <row r="3153" spans="1:5">
      <c r="A3153" s="2" t="s">
        <v>3442</v>
      </c>
      <c r="B3153" s="2" t="s">
        <v>4034</v>
      </c>
      <c r="C3153" s="2" t="s">
        <v>4034</v>
      </c>
      <c r="D3153" s="2" t="s">
        <v>4035</v>
      </c>
      <c r="E3153" s="4">
        <v>8900</v>
      </c>
    </row>
    <row r="3154" spans="1:5">
      <c r="A3154" s="2" t="s">
        <v>3442</v>
      </c>
      <c r="B3154" s="2" t="str">
        <f>"001213235-2"</f>
        <v>001213235-2</v>
      </c>
      <c r="C3154" s="2" t="str">
        <f>"001213235-2"</f>
        <v>001213235-2</v>
      </c>
      <c r="D3154" s="2" t="s">
        <v>4036</v>
      </c>
      <c r="E3154" s="4">
        <v>7900</v>
      </c>
    </row>
    <row r="3155" spans="1:5" ht="27.6">
      <c r="A3155" s="2" t="s">
        <v>3442</v>
      </c>
      <c r="B3155" s="2" t="str">
        <f>"00121323-4"</f>
        <v>00121323-4</v>
      </c>
      <c r="C3155" s="2" t="str">
        <f>"00121323-4 9950814"</f>
        <v>00121323-4 9950814</v>
      </c>
      <c r="D3155" s="2" t="s">
        <v>4037</v>
      </c>
      <c r="E3155" s="4">
        <v>18000</v>
      </c>
    </row>
    <row r="3156" spans="1:5">
      <c r="A3156" s="2" t="s">
        <v>3442</v>
      </c>
      <c r="B3156" s="2" t="s">
        <v>4038</v>
      </c>
      <c r="C3156" s="2" t="s">
        <v>4038</v>
      </c>
      <c r="D3156" s="2" t="s">
        <v>4039</v>
      </c>
      <c r="E3156" s="4">
        <v>16900</v>
      </c>
    </row>
    <row r="3157" spans="1:5">
      <c r="A3157" s="2" t="s">
        <v>3442</v>
      </c>
      <c r="B3157" s="2" t="str">
        <f>"310503"</f>
        <v>310503</v>
      </c>
      <c r="C3157" s="2" t="str">
        <f>"310503"</f>
        <v>310503</v>
      </c>
      <c r="D3157" s="2" t="s">
        <v>4040</v>
      </c>
      <c r="E3157" s="4">
        <v>9700</v>
      </c>
    </row>
    <row r="3158" spans="1:5">
      <c r="A3158" s="2" t="s">
        <v>3442</v>
      </c>
      <c r="B3158" s="2" t="str">
        <f>"1213139-9"</f>
        <v>1213139-9</v>
      </c>
      <c r="C3158" s="2" t="str">
        <f>"9950857"</f>
        <v>9950857</v>
      </c>
      <c r="D3158" s="2" t="s">
        <v>4041</v>
      </c>
      <c r="E3158" s="4">
        <v>12400</v>
      </c>
    </row>
    <row r="3159" spans="1:5">
      <c r="A3159" s="2" t="s">
        <v>3442</v>
      </c>
      <c r="B3159" s="2" t="s">
        <v>4042</v>
      </c>
      <c r="C3159" s="2" t="s">
        <v>4043</v>
      </c>
      <c r="D3159" s="2" t="s">
        <v>4044</v>
      </c>
      <c r="E3159" s="4">
        <v>11500</v>
      </c>
    </row>
    <row r="3160" spans="1:5">
      <c r="A3160" s="2" t="s">
        <v>3442</v>
      </c>
      <c r="B3160" s="2" t="str">
        <f>"310581"</f>
        <v>310581</v>
      </c>
      <c r="C3160" s="2" t="str">
        <f>"310581"</f>
        <v>310581</v>
      </c>
      <c r="D3160" s="2" t="s">
        <v>4045</v>
      </c>
      <c r="E3160" s="4">
        <v>11500</v>
      </c>
    </row>
    <row r="3161" spans="1:5">
      <c r="A3161" s="2" t="s">
        <v>3442</v>
      </c>
      <c r="B3161" s="2" t="str">
        <f>"310849"</f>
        <v>310849</v>
      </c>
      <c r="C3161" s="2" t="str">
        <f>"310849"</f>
        <v>310849</v>
      </c>
      <c r="D3161" s="2" t="s">
        <v>4046</v>
      </c>
      <c r="E3161" s="4">
        <v>19000</v>
      </c>
    </row>
    <row r="3162" spans="1:5">
      <c r="A3162" s="2" t="s">
        <v>3442</v>
      </c>
      <c r="B3162" s="2" t="str">
        <f>"310667"</f>
        <v>310667</v>
      </c>
      <c r="C3162" s="2" t="str">
        <f>"310667"</f>
        <v>310667</v>
      </c>
      <c r="D3162" s="2" t="s">
        <v>4047</v>
      </c>
      <c r="E3162" s="4">
        <v>18000</v>
      </c>
    </row>
    <row r="3163" spans="1:5">
      <c r="A3163" s="2" t="s">
        <v>3442</v>
      </c>
      <c r="B3163" s="2" t="str">
        <f>"1113015-1"</f>
        <v>1113015-1</v>
      </c>
      <c r="C3163" s="2" t="str">
        <f>"1113015-1 9943368"</f>
        <v>1113015-1 9943368</v>
      </c>
      <c r="D3163" s="2" t="s">
        <v>4048</v>
      </c>
      <c r="E3163" s="4">
        <v>12400</v>
      </c>
    </row>
    <row r="3164" spans="1:5">
      <c r="A3164" s="2" t="s">
        <v>3442</v>
      </c>
      <c r="B3164" s="2" t="str">
        <f>"310611"</f>
        <v>310611</v>
      </c>
      <c r="C3164" s="2" t="str">
        <f>"310611 310557"</f>
        <v>310611 310557</v>
      </c>
      <c r="D3164" s="2" t="s">
        <v>4049</v>
      </c>
      <c r="E3164" s="4">
        <v>18700</v>
      </c>
    </row>
    <row r="3165" spans="1:5">
      <c r="A3165" s="2" t="s">
        <v>3442</v>
      </c>
      <c r="B3165" s="2" t="str">
        <f>"310560"</f>
        <v>310560</v>
      </c>
      <c r="C3165" s="2" t="str">
        <f>"310560"</f>
        <v>310560</v>
      </c>
      <c r="D3165" s="2" t="s">
        <v>4050</v>
      </c>
      <c r="E3165" s="4">
        <v>25000</v>
      </c>
    </row>
    <row r="3166" spans="1:5">
      <c r="A3166" s="2" t="s">
        <v>3442</v>
      </c>
      <c r="B3166" s="2" t="str">
        <f>"0011462"</f>
        <v>0011462</v>
      </c>
      <c r="C3166" s="2" t="str">
        <f>"0011462"</f>
        <v>0011462</v>
      </c>
      <c r="D3166" s="2" t="s">
        <v>4051</v>
      </c>
      <c r="E3166" s="4">
        <v>39000</v>
      </c>
    </row>
    <row r="3167" spans="1:5">
      <c r="A3167" s="2" t="s">
        <v>3442</v>
      </c>
      <c r="B3167" s="2" t="str">
        <f>"090260103"</f>
        <v>090260103</v>
      </c>
      <c r="C3167" s="2" t="str">
        <f>"090260103"</f>
        <v>090260103</v>
      </c>
      <c r="D3167" s="2" t="s">
        <v>4052</v>
      </c>
      <c r="E3167" s="4">
        <v>15900</v>
      </c>
    </row>
    <row r="3168" spans="1:5">
      <c r="A3168" s="2" t="s">
        <v>3442</v>
      </c>
      <c r="B3168" s="2" t="str">
        <f>"1638473270174"</f>
        <v>1638473270174</v>
      </c>
      <c r="C3168" s="2" t="str">
        <f>"1638473270174 070250992"</f>
        <v>1638473270174 070250992</v>
      </c>
      <c r="D3168" s="2" t="s">
        <v>4053</v>
      </c>
      <c r="E3168" s="4">
        <v>25000</v>
      </c>
    </row>
    <row r="3169" spans="1:5">
      <c r="A3169" s="2" t="s">
        <v>3442</v>
      </c>
      <c r="B3169" s="2" t="str">
        <f>"9950827"</f>
        <v>9950827</v>
      </c>
      <c r="C3169" s="2" t="str">
        <f>"9950827"</f>
        <v>9950827</v>
      </c>
      <c r="D3169" s="2" t="s">
        <v>4054</v>
      </c>
      <c r="E3169" s="4">
        <v>8800</v>
      </c>
    </row>
    <row r="3170" spans="1:5">
      <c r="A3170" s="2" t="s">
        <v>3442</v>
      </c>
      <c r="B3170" s="2" t="str">
        <f>"310470"</f>
        <v>310470</v>
      </c>
      <c r="C3170" s="2" t="str">
        <f>"310470"</f>
        <v>310470</v>
      </c>
      <c r="D3170" s="2" t="s">
        <v>4055</v>
      </c>
      <c r="E3170" s="4">
        <v>8800</v>
      </c>
    </row>
    <row r="3171" spans="1:5">
      <c r="A3171" s="2" t="s">
        <v>3442</v>
      </c>
      <c r="B3171" s="2" t="str">
        <f>"313084"</f>
        <v>313084</v>
      </c>
      <c r="C3171" s="2" t="str">
        <f>"313084"</f>
        <v>313084</v>
      </c>
      <c r="D3171" s="2" t="s">
        <v>4056</v>
      </c>
      <c r="E3171" s="4">
        <v>9700</v>
      </c>
    </row>
    <row r="3172" spans="1:5">
      <c r="A3172" s="2" t="s">
        <v>3442</v>
      </c>
      <c r="B3172" s="2" t="str">
        <f>"9950821"</f>
        <v>9950821</v>
      </c>
      <c r="C3172" s="2" t="str">
        <f>"9950821"</f>
        <v>9950821</v>
      </c>
      <c r="D3172" s="2" t="s">
        <v>4057</v>
      </c>
      <c r="E3172" s="4">
        <v>7000</v>
      </c>
    </row>
    <row r="3173" spans="1:5">
      <c r="A3173" s="2" t="s">
        <v>3442</v>
      </c>
      <c r="B3173" s="2" t="str">
        <f>"401194-5"</f>
        <v>401194-5</v>
      </c>
      <c r="C3173" s="2" t="str">
        <f>"401194-5 9950821"</f>
        <v>401194-5 9950821</v>
      </c>
      <c r="D3173" s="2" t="s">
        <v>4058</v>
      </c>
      <c r="E3173" s="4">
        <v>7000</v>
      </c>
    </row>
    <row r="3174" spans="1:5">
      <c r="A3174" s="2" t="s">
        <v>3442</v>
      </c>
      <c r="B3174" s="2" t="str">
        <f>"9950868"</f>
        <v>9950868</v>
      </c>
      <c r="C3174" s="2" t="str">
        <f>"9950868"</f>
        <v>9950868</v>
      </c>
      <c r="D3174" s="2" t="s">
        <v>4059</v>
      </c>
      <c r="E3174" s="4">
        <v>9700</v>
      </c>
    </row>
    <row r="3175" spans="1:5">
      <c r="A3175" s="2" t="s">
        <v>3442</v>
      </c>
      <c r="B3175" s="2" t="s">
        <v>4060</v>
      </c>
      <c r="C3175" s="2" t="str">
        <f>"1585145326205 9943360"</f>
        <v>1585145326205 9943360</v>
      </c>
      <c r="D3175" s="2" t="s">
        <v>4061</v>
      </c>
      <c r="E3175" s="4">
        <v>18000</v>
      </c>
    </row>
    <row r="3176" spans="1:5">
      <c r="A3176" s="2" t="s">
        <v>3442</v>
      </c>
      <c r="B3176" s="2" t="str">
        <f>"310787"</f>
        <v>310787</v>
      </c>
      <c r="C3176" s="2" t="str">
        <f>"310787"</f>
        <v>310787</v>
      </c>
      <c r="D3176" s="2" t="s">
        <v>4062</v>
      </c>
      <c r="E3176" s="4">
        <v>49000</v>
      </c>
    </row>
    <row r="3177" spans="1:5">
      <c r="A3177" s="2" t="s">
        <v>3442</v>
      </c>
      <c r="B3177" s="2" t="str">
        <f>"310728"</f>
        <v>310728</v>
      </c>
      <c r="C3177" s="2" t="str">
        <f>"310728"</f>
        <v>310728</v>
      </c>
      <c r="D3177" s="2" t="s">
        <v>4063</v>
      </c>
      <c r="E3177" s="4">
        <v>52000</v>
      </c>
    </row>
    <row r="3178" spans="1:5">
      <c r="A3178" s="2" t="s">
        <v>3442</v>
      </c>
      <c r="B3178" s="2" t="str">
        <f>"310761"</f>
        <v>310761</v>
      </c>
      <c r="C3178" s="2" t="str">
        <f>"310761"</f>
        <v>310761</v>
      </c>
      <c r="D3178" s="2" t="s">
        <v>4064</v>
      </c>
      <c r="E3178" s="4">
        <v>11900</v>
      </c>
    </row>
    <row r="3179" spans="1:5">
      <c r="A3179" s="2" t="s">
        <v>3442</v>
      </c>
      <c r="B3179" s="2" t="str">
        <f>"1713026-9"</f>
        <v>1713026-9</v>
      </c>
      <c r="C3179" s="2" t="str">
        <f>"310614"</f>
        <v>310614</v>
      </c>
      <c r="D3179" s="2" t="s">
        <v>4065</v>
      </c>
      <c r="E3179" s="4">
        <v>9700</v>
      </c>
    </row>
    <row r="3180" spans="1:5">
      <c r="A3180" s="2" t="s">
        <v>3442</v>
      </c>
      <c r="B3180" s="2" t="str">
        <f>"310481"</f>
        <v>310481</v>
      </c>
      <c r="C3180" s="2" t="str">
        <f>"310481"</f>
        <v>310481</v>
      </c>
      <c r="D3180" s="2" t="s">
        <v>4066</v>
      </c>
      <c r="E3180" s="4">
        <v>6100</v>
      </c>
    </row>
    <row r="3181" spans="1:5">
      <c r="A3181" s="2" t="s">
        <v>3442</v>
      </c>
      <c r="B3181" s="2" t="str">
        <f>"310738"</f>
        <v>310738</v>
      </c>
      <c r="C3181" s="2" t="str">
        <f>"310738"</f>
        <v>310738</v>
      </c>
      <c r="D3181" s="2" t="s">
        <v>4067</v>
      </c>
      <c r="E3181" s="4">
        <v>10900</v>
      </c>
    </row>
    <row r="3182" spans="1:5">
      <c r="A3182" s="2" t="s">
        <v>3442</v>
      </c>
      <c r="B3182" s="2" t="str">
        <f>"1638534288759"</f>
        <v>1638534288759</v>
      </c>
      <c r="C3182" s="2" t="str">
        <f>"1638534288759 9950839"</f>
        <v>1638534288759 9950839</v>
      </c>
      <c r="D3182" s="2" t="s">
        <v>4068</v>
      </c>
      <c r="E3182" s="4">
        <v>9700</v>
      </c>
    </row>
    <row r="3183" spans="1:5">
      <c r="A3183" s="2" t="s">
        <v>3442</v>
      </c>
      <c r="B3183" s="2" t="str">
        <f>"0017239"</f>
        <v>0017239</v>
      </c>
      <c r="C3183" s="2" t="str">
        <f>"0017239 9950887"</f>
        <v>0017239 9950887</v>
      </c>
      <c r="D3183" s="2" t="s">
        <v>4069</v>
      </c>
      <c r="E3183" s="4">
        <v>14000</v>
      </c>
    </row>
    <row r="3184" spans="1:5">
      <c r="A3184" s="2" t="s">
        <v>3442</v>
      </c>
      <c r="B3184" s="2" t="str">
        <f>"9943361"</f>
        <v>9943361</v>
      </c>
      <c r="C3184" s="2" t="str">
        <f>"9943361"</f>
        <v>9943361</v>
      </c>
      <c r="D3184" s="2" t="s">
        <v>4070</v>
      </c>
      <c r="E3184" s="4">
        <v>8800</v>
      </c>
    </row>
    <row r="3185" spans="1:5">
      <c r="A3185" s="2" t="s">
        <v>3442</v>
      </c>
      <c r="B3185" s="2" t="str">
        <f>"001713004-8"</f>
        <v>001713004-8</v>
      </c>
      <c r="C3185" s="2" t="str">
        <f>"1713004-8"</f>
        <v>1713004-8</v>
      </c>
      <c r="D3185" s="2" t="s">
        <v>4071</v>
      </c>
      <c r="E3185" s="4">
        <v>9700</v>
      </c>
    </row>
    <row r="3186" spans="1:5">
      <c r="A3186" s="2" t="s">
        <v>3442</v>
      </c>
      <c r="B3186" s="2" t="str">
        <f>"310713"</f>
        <v>310713</v>
      </c>
      <c r="C3186" s="2" t="str">
        <f>"310713"</f>
        <v>310713</v>
      </c>
      <c r="D3186" s="2" t="s">
        <v>4072</v>
      </c>
      <c r="E3186" s="4">
        <v>16000</v>
      </c>
    </row>
    <row r="3187" spans="1:5">
      <c r="A3187" s="2" t="s">
        <v>3442</v>
      </c>
      <c r="B3187" s="2" t="str">
        <f>"090260007"</f>
        <v>090260007</v>
      </c>
      <c r="C3187" s="2" t="str">
        <f>"090260007"</f>
        <v>090260007</v>
      </c>
      <c r="D3187" s="2" t="s">
        <v>4073</v>
      </c>
      <c r="E3187" s="4">
        <v>9700</v>
      </c>
    </row>
    <row r="3188" spans="1:5">
      <c r="A3188" s="2" t="s">
        <v>3442</v>
      </c>
      <c r="B3188" s="2" t="str">
        <f>"310571"</f>
        <v>310571</v>
      </c>
      <c r="C3188" s="2" t="str">
        <f>"310571"</f>
        <v>310571</v>
      </c>
      <c r="D3188" s="2" t="s">
        <v>4074</v>
      </c>
      <c r="E3188" s="4">
        <v>16000</v>
      </c>
    </row>
    <row r="3189" spans="1:5">
      <c r="A3189" s="2" t="s">
        <v>3442</v>
      </c>
      <c r="B3189" s="2" t="str">
        <f>"311005"</f>
        <v>311005</v>
      </c>
      <c r="C3189" s="2" t="str">
        <f>"311005"</f>
        <v>311005</v>
      </c>
      <c r="D3189" s="2" t="s">
        <v>4075</v>
      </c>
      <c r="E3189" s="4">
        <v>34000</v>
      </c>
    </row>
    <row r="3190" spans="1:5">
      <c r="A3190" s="2" t="s">
        <v>3442</v>
      </c>
      <c r="B3190" s="2" t="str">
        <f>"310720"</f>
        <v>310720</v>
      </c>
      <c r="C3190" s="2" t="str">
        <f>"310720"</f>
        <v>310720</v>
      </c>
      <c r="D3190" s="2" t="s">
        <v>4076</v>
      </c>
      <c r="E3190" s="4">
        <v>25000</v>
      </c>
    </row>
    <row r="3191" spans="1:5">
      <c r="A3191" s="2" t="s">
        <v>3442</v>
      </c>
      <c r="B3191" s="2" t="str">
        <f>"000913447-6"</f>
        <v>000913447-6</v>
      </c>
      <c r="C3191" s="2" t="str">
        <f>"000913447-6"</f>
        <v>000913447-6</v>
      </c>
      <c r="D3191" s="2" t="s">
        <v>4077</v>
      </c>
      <c r="E3191" s="4">
        <v>14200</v>
      </c>
    </row>
    <row r="3192" spans="1:5">
      <c r="A3192" s="2" t="s">
        <v>3442</v>
      </c>
      <c r="B3192" s="2" t="str">
        <f>"9943385"</f>
        <v>9943385</v>
      </c>
      <c r="C3192" s="2" t="str">
        <f>"9943385"</f>
        <v>9943385</v>
      </c>
      <c r="D3192" s="2" t="s">
        <v>4078</v>
      </c>
      <c r="E3192" s="4">
        <v>10600</v>
      </c>
    </row>
    <row r="3193" spans="1:5">
      <c r="A3193" s="2" t="s">
        <v>3442</v>
      </c>
      <c r="B3193" s="2" t="str">
        <f>"0011472"</f>
        <v>0011472</v>
      </c>
      <c r="C3193" s="2" t="str">
        <f>"0011472 913446-8"</f>
        <v>0011472 913446-8</v>
      </c>
      <c r="D3193" s="2" t="s">
        <v>4079</v>
      </c>
      <c r="E3193" s="4">
        <v>16000</v>
      </c>
    </row>
    <row r="3194" spans="1:5">
      <c r="A3194" s="2" t="s">
        <v>1392</v>
      </c>
      <c r="B3194" s="2" t="s">
        <v>4080</v>
      </c>
      <c r="C3194" s="2" t="s">
        <v>4081</v>
      </c>
      <c r="D3194" s="2" t="s">
        <v>4082</v>
      </c>
      <c r="E3194" s="2">
        <v>600</v>
      </c>
    </row>
    <row r="3195" spans="1:5">
      <c r="A3195" s="2" t="s">
        <v>296</v>
      </c>
      <c r="B3195" s="2" t="s">
        <v>4083</v>
      </c>
      <c r="C3195" s="2" t="str">
        <f>"030880194"</f>
        <v>030880194</v>
      </c>
      <c r="D3195" s="2" t="s">
        <v>4084</v>
      </c>
      <c r="E3195" s="4">
        <v>7000</v>
      </c>
    </row>
    <row r="3196" spans="1:5">
      <c r="A3196" s="2" t="s">
        <v>165</v>
      </c>
      <c r="B3196" s="2" t="str">
        <f>"02214CF"</f>
        <v>02214CF</v>
      </c>
      <c r="C3196" s="2" t="str">
        <f>"02214CF"</f>
        <v>02214CF</v>
      </c>
      <c r="D3196" s="2" t="s">
        <v>4085</v>
      </c>
      <c r="E3196" s="4">
        <v>3800</v>
      </c>
    </row>
    <row r="3197" spans="1:5">
      <c r="A3197" s="2" t="s">
        <v>165</v>
      </c>
      <c r="B3197" s="2" t="str">
        <f>"4100420021220"</f>
        <v>4100420021220</v>
      </c>
      <c r="C3197" s="2" t="str">
        <f>"2122"</f>
        <v>2122</v>
      </c>
      <c r="D3197" s="2" t="s">
        <v>4086</v>
      </c>
      <c r="E3197" s="4">
        <v>10000</v>
      </c>
    </row>
    <row r="3198" spans="1:5">
      <c r="A3198" s="2" t="s">
        <v>296</v>
      </c>
      <c r="B3198" s="2" t="str">
        <f>"0008083"</f>
        <v>0008083</v>
      </c>
      <c r="C3198" s="2" t="str">
        <f>"0008083"</f>
        <v>0008083</v>
      </c>
      <c r="D3198" s="2" t="s">
        <v>4087</v>
      </c>
      <c r="E3198" s="4">
        <v>28000</v>
      </c>
    </row>
    <row r="3199" spans="1:5">
      <c r="A3199" s="2" t="s">
        <v>296</v>
      </c>
      <c r="B3199" s="2" t="str">
        <f>"1600590"</f>
        <v>1600590</v>
      </c>
      <c r="C3199" s="2" t="str">
        <f>"1600590"</f>
        <v>1600590</v>
      </c>
      <c r="D3199" s="2" t="s">
        <v>4088</v>
      </c>
      <c r="E3199" s="4">
        <v>9700</v>
      </c>
    </row>
    <row r="3200" spans="1:5">
      <c r="A3200" s="2" t="s">
        <v>296</v>
      </c>
      <c r="B3200" s="2" t="str">
        <f>"091440385"</f>
        <v>091440385</v>
      </c>
      <c r="C3200" s="2" t="str">
        <f>"091440385"</f>
        <v>091440385</v>
      </c>
      <c r="D3200" s="2" t="s">
        <v>4089</v>
      </c>
      <c r="E3200" s="4">
        <v>38500</v>
      </c>
    </row>
    <row r="3201" spans="1:5">
      <c r="A3201" s="2" t="s">
        <v>296</v>
      </c>
      <c r="B3201" s="2" t="str">
        <f>"090440214"</f>
        <v>090440214</v>
      </c>
      <c r="C3201" s="2" t="str">
        <f>"090440214"</f>
        <v>090440214</v>
      </c>
      <c r="D3201" s="2" t="s">
        <v>4089</v>
      </c>
      <c r="E3201" s="4">
        <v>38500</v>
      </c>
    </row>
    <row r="3202" spans="1:5">
      <c r="A3202" s="2" t="s">
        <v>296</v>
      </c>
      <c r="B3202" s="2" t="str">
        <f>"090440213"</f>
        <v>090440213</v>
      </c>
      <c r="C3202" s="2" t="str">
        <f>"090440213"</f>
        <v>090440213</v>
      </c>
      <c r="D3202" s="2" t="s">
        <v>4090</v>
      </c>
      <c r="E3202" s="4">
        <v>38500</v>
      </c>
    </row>
    <row r="3203" spans="1:5">
      <c r="A3203" s="2" t="s">
        <v>296</v>
      </c>
      <c r="B3203" s="2" t="str">
        <f>"0017925067"</f>
        <v>0017925067</v>
      </c>
      <c r="C3203" s="2" t="str">
        <f>"78501-79000"</f>
        <v>78501-79000</v>
      </c>
      <c r="D3203" s="2" t="s">
        <v>4091</v>
      </c>
      <c r="E3203" s="4">
        <v>8800</v>
      </c>
    </row>
    <row r="3204" spans="1:5">
      <c r="A3204" s="2" t="s">
        <v>296</v>
      </c>
      <c r="B3204" s="2" t="str">
        <f>"001194350-0"</f>
        <v>001194350-0</v>
      </c>
      <c r="C3204" s="2" t="str">
        <f>"001194350-0"</f>
        <v>001194350-0</v>
      </c>
      <c r="D3204" s="2" t="s">
        <v>4092</v>
      </c>
      <c r="E3204" s="4">
        <v>12400</v>
      </c>
    </row>
    <row r="3205" spans="1:5">
      <c r="A3205" s="2" t="s">
        <v>296</v>
      </c>
      <c r="B3205" s="2" t="str">
        <f>"1900740"</f>
        <v>1900740</v>
      </c>
      <c r="C3205" s="2" t="str">
        <f>"1900740"</f>
        <v>1900740</v>
      </c>
      <c r="D3205" s="2" t="s">
        <v>4093</v>
      </c>
      <c r="E3205" s="4">
        <v>28600</v>
      </c>
    </row>
    <row r="3206" spans="1:5">
      <c r="A3206" s="2" t="s">
        <v>296</v>
      </c>
      <c r="B3206" s="2" t="s">
        <v>4094</v>
      </c>
      <c r="C3206" s="2" t="s">
        <v>4094</v>
      </c>
      <c r="D3206" s="2" t="s">
        <v>4095</v>
      </c>
      <c r="E3206" s="4">
        <v>260000</v>
      </c>
    </row>
    <row r="3207" spans="1:5">
      <c r="A3207" s="2" t="s">
        <v>296</v>
      </c>
      <c r="B3207" s="2" t="str">
        <f>"0023439"</f>
        <v>0023439</v>
      </c>
      <c r="C3207" s="2" t="str">
        <f>"0023439"</f>
        <v>0023439</v>
      </c>
      <c r="D3207" s="2" t="s">
        <v>4096</v>
      </c>
      <c r="E3207" s="4">
        <v>99000</v>
      </c>
    </row>
    <row r="3208" spans="1:5">
      <c r="A3208" s="2" t="s">
        <v>296</v>
      </c>
      <c r="B3208" s="2" t="str">
        <f>"0800030"</f>
        <v>0800030</v>
      </c>
      <c r="C3208" s="2" t="str">
        <f>"0800030"</f>
        <v>0800030</v>
      </c>
      <c r="D3208" s="2" t="s">
        <v>4097</v>
      </c>
      <c r="E3208" s="4">
        <v>160000</v>
      </c>
    </row>
    <row r="3209" spans="1:5">
      <c r="A3209" s="2" t="s">
        <v>296</v>
      </c>
      <c r="B3209" s="2" t="s">
        <v>4098</v>
      </c>
      <c r="C3209" s="2" t="s">
        <v>4099</v>
      </c>
      <c r="D3209" s="2" t="s">
        <v>4100</v>
      </c>
      <c r="E3209" s="4">
        <v>145000</v>
      </c>
    </row>
    <row r="3210" spans="1:5">
      <c r="A3210" s="2" t="s">
        <v>296</v>
      </c>
      <c r="B3210" s="2" t="str">
        <f>"9945931"</f>
        <v>9945931</v>
      </c>
      <c r="C3210" s="2" t="str">
        <f>"9945931"</f>
        <v>9945931</v>
      </c>
      <c r="D3210" s="2" t="s">
        <v>4101</v>
      </c>
      <c r="E3210" s="4">
        <v>97000</v>
      </c>
    </row>
    <row r="3211" spans="1:5">
      <c r="A3211" s="2" t="s">
        <v>296</v>
      </c>
      <c r="B3211" s="2" t="str">
        <f>"239013"</f>
        <v>239013</v>
      </c>
      <c r="C3211" s="2" t="str">
        <f>"239013"</f>
        <v>239013</v>
      </c>
      <c r="D3211" s="2" t="s">
        <v>4102</v>
      </c>
      <c r="E3211" s="4">
        <v>160000</v>
      </c>
    </row>
    <row r="3212" spans="1:5">
      <c r="A3212" s="2" t="s">
        <v>296</v>
      </c>
      <c r="B3212" s="2" t="str">
        <f>"090440327"</f>
        <v>090440327</v>
      </c>
      <c r="C3212" s="2" t="s">
        <v>4103</v>
      </c>
      <c r="D3212" s="2" t="s">
        <v>4104</v>
      </c>
      <c r="E3212" s="4">
        <v>160000</v>
      </c>
    </row>
    <row r="3213" spans="1:5">
      <c r="A3213" s="2" t="s">
        <v>296</v>
      </c>
      <c r="B3213" s="2" t="str">
        <f>"071231087"</f>
        <v>071231087</v>
      </c>
      <c r="C3213" s="2" t="str">
        <f>"56500-D3000"</f>
        <v>56500-D3000</v>
      </c>
      <c r="D3213" s="2" t="s">
        <v>4105</v>
      </c>
      <c r="E3213" s="4">
        <v>490000</v>
      </c>
    </row>
    <row r="3214" spans="1:5">
      <c r="A3214" s="2" t="s">
        <v>296</v>
      </c>
      <c r="B3214" s="2" t="s">
        <v>4106</v>
      </c>
      <c r="C3214" s="2" t="s">
        <v>4107</v>
      </c>
      <c r="D3214" s="2" t="s">
        <v>4108</v>
      </c>
      <c r="E3214" s="4">
        <v>1440000</v>
      </c>
    </row>
    <row r="3215" spans="1:5">
      <c r="A3215" s="2" t="s">
        <v>296</v>
      </c>
      <c r="B3215" s="2" t="s">
        <v>4109</v>
      </c>
      <c r="C3215" s="2" t="s">
        <v>4109</v>
      </c>
      <c r="D3215" s="2" t="s">
        <v>4110</v>
      </c>
      <c r="E3215" s="4">
        <v>197000</v>
      </c>
    </row>
    <row r="3216" spans="1:5">
      <c r="A3216" s="2" t="s">
        <v>296</v>
      </c>
      <c r="B3216" s="2" t="s">
        <v>4111</v>
      </c>
      <c r="C3216" s="2" t="s">
        <v>4112</v>
      </c>
      <c r="D3216" s="2" t="s">
        <v>4113</v>
      </c>
      <c r="E3216" s="4">
        <v>97000</v>
      </c>
    </row>
    <row r="3217" spans="1:5">
      <c r="A3217" s="2" t="s">
        <v>296</v>
      </c>
      <c r="B3217" s="2" t="s">
        <v>4114</v>
      </c>
      <c r="C3217" s="2" t="s">
        <v>4115</v>
      </c>
      <c r="D3217" s="2" t="s">
        <v>4116</v>
      </c>
      <c r="E3217" s="4">
        <v>35000</v>
      </c>
    </row>
    <row r="3218" spans="1:5">
      <c r="A3218" s="2" t="s">
        <v>1478</v>
      </c>
      <c r="B3218" s="2" t="s">
        <v>4117</v>
      </c>
      <c r="C3218" s="2" t="str">
        <f>"1716653164382"</f>
        <v>1716653164382</v>
      </c>
      <c r="D3218" s="2" t="s">
        <v>4118</v>
      </c>
      <c r="E3218" s="2">
        <v>0</v>
      </c>
    </row>
    <row r="3219" spans="1:5">
      <c r="A3219" s="2" t="s">
        <v>1394</v>
      </c>
      <c r="B3219" s="2" t="str">
        <f>"019530"</f>
        <v>019530</v>
      </c>
      <c r="C3219" s="2" t="str">
        <f>"019530"</f>
        <v>019530</v>
      </c>
      <c r="D3219" s="2" t="s">
        <v>4119</v>
      </c>
      <c r="E3219" s="4">
        <v>8500</v>
      </c>
    </row>
    <row r="3220" spans="1:5">
      <c r="A3220" s="2" t="s">
        <v>1394</v>
      </c>
      <c r="B3220" s="2" t="str">
        <f>"288185"</f>
        <v>288185</v>
      </c>
      <c r="C3220" s="2" t="str">
        <f>"288185"</f>
        <v>288185</v>
      </c>
      <c r="D3220" s="2" t="s">
        <v>4120</v>
      </c>
      <c r="E3220" s="4">
        <v>4300</v>
      </c>
    </row>
    <row r="3221" spans="1:5">
      <c r="A3221" s="2" t="s">
        <v>1394</v>
      </c>
      <c r="B3221" s="2" t="str">
        <f>"178484"</f>
        <v>178484</v>
      </c>
      <c r="C3221" s="2" t="str">
        <f>"178484"</f>
        <v>178484</v>
      </c>
      <c r="D3221" s="2" t="s">
        <v>4121</v>
      </c>
      <c r="E3221" s="4">
        <v>4500</v>
      </c>
    </row>
    <row r="3222" spans="1:5">
      <c r="A3222" s="2" t="s">
        <v>1394</v>
      </c>
      <c r="B3222" s="2" t="str">
        <f>"190215"</f>
        <v>190215</v>
      </c>
      <c r="C3222" s="2" t="str">
        <f>"190215"</f>
        <v>190215</v>
      </c>
      <c r="D3222" s="2" t="s">
        <v>4122</v>
      </c>
      <c r="E3222" s="4">
        <v>6500</v>
      </c>
    </row>
    <row r="3223" spans="1:5">
      <c r="A3223" s="2" t="s">
        <v>1394</v>
      </c>
      <c r="B3223" s="2" t="str">
        <f>"280185"</f>
        <v>280185</v>
      </c>
      <c r="C3223" s="2" t="str">
        <f>"280185"</f>
        <v>280185</v>
      </c>
      <c r="D3223" s="2" t="s">
        <v>4123</v>
      </c>
      <c r="E3223" s="4">
        <v>4300</v>
      </c>
    </row>
    <row r="3224" spans="1:5">
      <c r="A3224" s="2" t="s">
        <v>1394</v>
      </c>
      <c r="B3224" s="2" t="str">
        <f>"2114"</f>
        <v>2114</v>
      </c>
      <c r="C3224" s="2" t="str">
        <f>"2114"</f>
        <v>2114</v>
      </c>
      <c r="D3224" s="2" t="s">
        <v>4124</v>
      </c>
      <c r="E3224" s="4">
        <v>4000</v>
      </c>
    </row>
    <row r="3225" spans="1:5">
      <c r="A3225" s="2" t="s">
        <v>1394</v>
      </c>
      <c r="B3225" s="2" t="str">
        <f>"019524"</f>
        <v>019524</v>
      </c>
      <c r="C3225" s="2" t="str">
        <f>"019524"</f>
        <v>019524</v>
      </c>
      <c r="D3225" s="2" t="s">
        <v>4125</v>
      </c>
      <c r="E3225" s="4">
        <v>13300</v>
      </c>
    </row>
    <row r="3226" spans="1:5">
      <c r="A3226" s="2" t="s">
        <v>1394</v>
      </c>
      <c r="B3226" s="2" t="str">
        <f>"019548"</f>
        <v>019548</v>
      </c>
      <c r="C3226" s="2" t="str">
        <f>"019548"</f>
        <v>019548</v>
      </c>
      <c r="D3226" s="2" t="s">
        <v>4126</v>
      </c>
      <c r="E3226" s="4">
        <v>6100</v>
      </c>
    </row>
    <row r="3227" spans="1:5">
      <c r="A3227" s="2" t="s">
        <v>1394</v>
      </c>
      <c r="B3227" s="2" t="str">
        <f>"230005"</f>
        <v>230005</v>
      </c>
      <c r="C3227" s="2" t="str">
        <f>"230005"</f>
        <v>230005</v>
      </c>
      <c r="D3227" s="2" t="s">
        <v>4127</v>
      </c>
      <c r="E3227" s="4">
        <v>7000</v>
      </c>
    </row>
    <row r="3228" spans="1:5">
      <c r="A3228" s="2" t="s">
        <v>1394</v>
      </c>
      <c r="B3228" s="2" t="str">
        <f>"280186"</f>
        <v>280186</v>
      </c>
      <c r="C3228" s="2" t="str">
        <f>"280186"</f>
        <v>280186</v>
      </c>
      <c r="D3228" s="2" t="s">
        <v>4128</v>
      </c>
      <c r="E3228" s="4">
        <v>8800</v>
      </c>
    </row>
    <row r="3229" spans="1:5">
      <c r="A3229" s="2" t="s">
        <v>1394</v>
      </c>
      <c r="B3229" s="2" t="str">
        <f>"178485"</f>
        <v>178485</v>
      </c>
      <c r="C3229" s="2" t="str">
        <f>"178485"</f>
        <v>178485</v>
      </c>
      <c r="D3229" s="2" t="s">
        <v>4129</v>
      </c>
      <c r="E3229" s="4">
        <v>5857</v>
      </c>
    </row>
    <row r="3230" spans="1:5">
      <c r="A3230" s="2" t="s">
        <v>1394</v>
      </c>
      <c r="B3230" s="2" t="str">
        <f>"170485"</f>
        <v>170485</v>
      </c>
      <c r="C3230" s="2" t="str">
        <f>"170485"</f>
        <v>170485</v>
      </c>
      <c r="D3230" s="2" t="s">
        <v>4130</v>
      </c>
      <c r="E3230" s="4">
        <v>6100</v>
      </c>
    </row>
    <row r="3231" spans="1:5">
      <c r="A3231" s="2" t="s">
        <v>1394</v>
      </c>
      <c r="B3231" s="2" t="str">
        <f>"288183"</f>
        <v>288183</v>
      </c>
      <c r="C3231" s="2" t="str">
        <f>"288183"</f>
        <v>288183</v>
      </c>
      <c r="D3231" s="2" t="s">
        <v>4131</v>
      </c>
      <c r="E3231" s="4">
        <v>6100</v>
      </c>
    </row>
    <row r="3232" spans="1:5">
      <c r="A3232" s="2" t="s">
        <v>1394</v>
      </c>
      <c r="B3232" s="2" t="str">
        <f>"5000000173969"</f>
        <v>5000000173969</v>
      </c>
      <c r="C3232" s="2" t="str">
        <f>"230006"</f>
        <v>230006</v>
      </c>
      <c r="D3232" s="2" t="s">
        <v>4132</v>
      </c>
      <c r="E3232" s="4">
        <v>11500</v>
      </c>
    </row>
    <row r="3233" spans="1:5">
      <c r="A3233" s="2" t="s">
        <v>1394</v>
      </c>
      <c r="B3233" s="2" t="str">
        <f>"300868"</f>
        <v>300868</v>
      </c>
      <c r="C3233" s="2" t="str">
        <f>"300868"</f>
        <v>300868</v>
      </c>
      <c r="D3233" s="2" t="s">
        <v>4133</v>
      </c>
      <c r="E3233" s="4">
        <v>15100</v>
      </c>
    </row>
    <row r="3234" spans="1:5">
      <c r="A3234" s="2" t="s">
        <v>1394</v>
      </c>
      <c r="B3234" s="2" t="str">
        <f>"280183"</f>
        <v>280183</v>
      </c>
      <c r="C3234" s="2" t="str">
        <f>"280183"</f>
        <v>280183</v>
      </c>
      <c r="D3234" s="2" t="s">
        <v>4134</v>
      </c>
      <c r="E3234" s="4">
        <v>8800</v>
      </c>
    </row>
    <row r="3235" spans="1:5">
      <c r="A3235" s="2" t="s">
        <v>1394</v>
      </c>
      <c r="B3235" s="2" t="str">
        <f>"180181"</f>
        <v>180181</v>
      </c>
      <c r="C3235" s="2" t="str">
        <f>"180181"</f>
        <v>180181</v>
      </c>
      <c r="D3235" s="2" t="s">
        <v>4135</v>
      </c>
      <c r="E3235" s="4">
        <v>10500</v>
      </c>
    </row>
    <row r="3236" spans="1:5">
      <c r="A3236" s="2" t="s">
        <v>1394</v>
      </c>
      <c r="B3236" s="2" t="str">
        <f>"019537"</f>
        <v>019537</v>
      </c>
      <c r="C3236" s="2" t="str">
        <f>"019537"</f>
        <v>019537</v>
      </c>
      <c r="D3236" s="2" t="s">
        <v>4136</v>
      </c>
      <c r="E3236" s="4">
        <v>11500</v>
      </c>
    </row>
    <row r="3237" spans="1:5">
      <c r="A3237" s="2" t="s">
        <v>1394</v>
      </c>
      <c r="B3237" s="2" t="str">
        <f>"198220"</f>
        <v>198220</v>
      </c>
      <c r="C3237" s="2" t="str">
        <f>"198220"</f>
        <v>198220</v>
      </c>
      <c r="D3237" s="2" t="s">
        <v>4137</v>
      </c>
      <c r="E3237" s="4">
        <v>6500</v>
      </c>
    </row>
    <row r="3238" spans="1:5">
      <c r="A3238" s="2" t="s">
        <v>1394</v>
      </c>
      <c r="B3238" s="2" t="str">
        <f>"5000000173785"</f>
        <v>5000000173785</v>
      </c>
      <c r="C3238" s="2" t="str">
        <f>"188181"</f>
        <v>188181</v>
      </c>
      <c r="D3238" s="2" t="s">
        <v>4138</v>
      </c>
      <c r="E3238" s="4">
        <v>7500</v>
      </c>
    </row>
    <row r="3239" spans="1:5">
      <c r="A3239" s="2" t="s">
        <v>1394</v>
      </c>
      <c r="B3239" s="2" t="str">
        <f>"190225"</f>
        <v>190225</v>
      </c>
      <c r="C3239" s="2" t="str">
        <f>"190225"</f>
        <v>190225</v>
      </c>
      <c r="D3239" s="2" t="s">
        <v>4139</v>
      </c>
      <c r="E3239" s="4">
        <v>4800</v>
      </c>
    </row>
    <row r="3240" spans="1:5">
      <c r="A3240" s="2" t="s">
        <v>1394</v>
      </c>
      <c r="B3240" s="2" t="str">
        <f>"048300"</f>
        <v>048300</v>
      </c>
      <c r="C3240" s="2" t="str">
        <f>"048300"</f>
        <v>048300</v>
      </c>
      <c r="D3240" s="2" t="s">
        <v>4140</v>
      </c>
      <c r="E3240" s="4">
        <v>7000</v>
      </c>
    </row>
    <row r="3241" spans="1:5">
      <c r="A3241" s="2" t="s">
        <v>1394</v>
      </c>
      <c r="B3241" s="2" t="str">
        <f>"5000000173563"</f>
        <v>5000000173563</v>
      </c>
      <c r="C3241" s="2" t="str">
        <f>"040300"</f>
        <v>040300</v>
      </c>
      <c r="D3241" s="2" t="s">
        <v>4141</v>
      </c>
      <c r="E3241" s="4">
        <v>10600</v>
      </c>
    </row>
    <row r="3242" spans="1:5">
      <c r="A3242" s="2" t="s">
        <v>1394</v>
      </c>
      <c r="B3242" s="2" t="str">
        <f>"019544"</f>
        <v>019544</v>
      </c>
      <c r="C3242" s="2" t="str">
        <f>"019544"</f>
        <v>019544</v>
      </c>
      <c r="D3242" s="2" t="s">
        <v>4142</v>
      </c>
      <c r="E3242" s="4">
        <v>14200</v>
      </c>
    </row>
    <row r="3243" spans="1:5">
      <c r="A3243" s="2" t="s">
        <v>1394</v>
      </c>
      <c r="B3243" s="2" t="str">
        <f>"178486"</f>
        <v>178486</v>
      </c>
      <c r="C3243" s="2" t="str">
        <f>"178486"</f>
        <v>178486</v>
      </c>
      <c r="D3243" s="2" t="s">
        <v>4143</v>
      </c>
      <c r="E3243" s="4">
        <v>7000</v>
      </c>
    </row>
    <row r="3244" spans="1:5">
      <c r="A3244" s="2" t="s">
        <v>1394</v>
      </c>
      <c r="B3244" s="2" t="str">
        <f>"5000000173655"</f>
        <v>5000000173655</v>
      </c>
      <c r="C3244" s="2" t="str">
        <f>"170486"</f>
        <v>170486</v>
      </c>
      <c r="D3244" s="2" t="s">
        <v>4144</v>
      </c>
      <c r="E3244" s="4">
        <v>10900</v>
      </c>
    </row>
    <row r="3245" spans="1:5">
      <c r="A3245" s="2" t="s">
        <v>1394</v>
      </c>
      <c r="B3245" s="2" t="str">
        <f>"028192"</f>
        <v>028192</v>
      </c>
      <c r="C3245" s="2" t="str">
        <f>"028192"</f>
        <v>028192</v>
      </c>
      <c r="D3245" s="2" t="s">
        <v>4145</v>
      </c>
      <c r="E3245" s="4">
        <v>7000</v>
      </c>
    </row>
    <row r="3246" spans="1:5">
      <c r="A3246" s="2" t="s">
        <v>1394</v>
      </c>
      <c r="B3246" s="2" t="str">
        <f>"020192"</f>
        <v>020192</v>
      </c>
      <c r="C3246" s="2" t="str">
        <f>"020192"</f>
        <v>020192</v>
      </c>
      <c r="D3246" s="2" t="s">
        <v>4146</v>
      </c>
      <c r="E3246" s="4">
        <v>7000</v>
      </c>
    </row>
    <row r="3247" spans="1:5">
      <c r="A3247" s="2" t="s">
        <v>1394</v>
      </c>
      <c r="B3247" s="2" t="str">
        <f>"019546"</f>
        <v>019546</v>
      </c>
      <c r="C3247" s="2" t="str">
        <f>"019546"</f>
        <v>019546</v>
      </c>
      <c r="D3247" s="2" t="s">
        <v>4147</v>
      </c>
      <c r="E3247" s="4">
        <v>15900</v>
      </c>
    </row>
    <row r="3248" spans="1:5">
      <c r="A3248" s="2" t="s">
        <v>1394</v>
      </c>
      <c r="B3248" s="2" t="str">
        <f>"247475"</f>
        <v>247475</v>
      </c>
      <c r="C3248" s="2" t="str">
        <f>"247475"</f>
        <v>247475</v>
      </c>
      <c r="D3248" s="2" t="s">
        <v>4148</v>
      </c>
      <c r="E3248" s="4">
        <v>12400</v>
      </c>
    </row>
    <row r="3249" spans="1:5">
      <c r="A3249" s="2" t="s">
        <v>1394</v>
      </c>
      <c r="B3249" s="2" t="str">
        <f>"288564"</f>
        <v>288564</v>
      </c>
      <c r="C3249" s="2" t="str">
        <f>"288564"</f>
        <v>288564</v>
      </c>
      <c r="D3249" s="2" t="s">
        <v>4149</v>
      </c>
      <c r="E3249" s="4">
        <v>9282</v>
      </c>
    </row>
    <row r="3250" spans="1:5">
      <c r="A3250" s="2" t="s">
        <v>1394</v>
      </c>
      <c r="B3250" s="2" t="str">
        <f>"010280046"</f>
        <v>010280046</v>
      </c>
      <c r="C3250" s="2" t="str">
        <f>"010280046"</f>
        <v>010280046</v>
      </c>
      <c r="D3250" s="2" t="s">
        <v>4150</v>
      </c>
      <c r="E3250" s="4">
        <v>9700</v>
      </c>
    </row>
    <row r="3251" spans="1:5">
      <c r="A3251" s="2" t="s">
        <v>1394</v>
      </c>
      <c r="B3251" s="2" t="str">
        <f>"288584"</f>
        <v>288584</v>
      </c>
      <c r="C3251" s="2" t="str">
        <f>"288584"</f>
        <v>288584</v>
      </c>
      <c r="D3251" s="2" t="s">
        <v>4151</v>
      </c>
      <c r="E3251" s="4">
        <v>9700</v>
      </c>
    </row>
    <row r="3252" spans="1:5">
      <c r="A3252" s="2" t="s">
        <v>1394</v>
      </c>
      <c r="B3252" s="2" t="str">
        <f>"019543"</f>
        <v>019543</v>
      </c>
      <c r="C3252" s="2" t="str">
        <f>"019543"</f>
        <v>019543</v>
      </c>
      <c r="D3252" s="2" t="s">
        <v>4152</v>
      </c>
      <c r="E3252" s="4">
        <v>12400</v>
      </c>
    </row>
    <row r="3253" spans="1:5" ht="27.6">
      <c r="A3253" s="2" t="s">
        <v>1394</v>
      </c>
      <c r="B3253" s="2" t="str">
        <f>"5000000235421"</f>
        <v>5000000235421</v>
      </c>
      <c r="C3253" s="2" t="str">
        <f>"302802 010280061 0015314"</f>
        <v>302802 010280061 0015314</v>
      </c>
      <c r="D3253" s="2" t="s">
        <v>4153</v>
      </c>
      <c r="E3253" s="4">
        <v>12400</v>
      </c>
    </row>
    <row r="3254" spans="1:5">
      <c r="A3254" s="2" t="s">
        <v>1394</v>
      </c>
      <c r="B3254" s="2" t="str">
        <f>"5000000174201"</f>
        <v>5000000174201</v>
      </c>
      <c r="C3254" s="2" t="str">
        <f>"288585"</f>
        <v>288585</v>
      </c>
      <c r="D3254" s="2" t="s">
        <v>4154</v>
      </c>
      <c r="E3254" s="4">
        <v>11500</v>
      </c>
    </row>
    <row r="3255" spans="1:5">
      <c r="A3255" s="2" t="s">
        <v>1394</v>
      </c>
      <c r="B3255" s="2" t="str">
        <f>"301742"</f>
        <v>301742</v>
      </c>
      <c r="C3255" s="2" t="str">
        <f>"301742"</f>
        <v>301742</v>
      </c>
      <c r="D3255" s="2" t="s">
        <v>4155</v>
      </c>
      <c r="E3255" s="4">
        <v>5800</v>
      </c>
    </row>
    <row r="3256" spans="1:5">
      <c r="A3256" s="2" t="s">
        <v>1394</v>
      </c>
      <c r="B3256" s="2" t="str">
        <f>"178483"</f>
        <v>178483</v>
      </c>
      <c r="C3256" s="2" t="str">
        <f>"178483"</f>
        <v>178483</v>
      </c>
      <c r="D3256" s="2" t="s">
        <v>4156</v>
      </c>
      <c r="E3256" s="4">
        <v>7500</v>
      </c>
    </row>
    <row r="3257" spans="1:5">
      <c r="A3257" s="2" t="s">
        <v>1394</v>
      </c>
      <c r="B3257" s="2" t="str">
        <f>"170483"</f>
        <v>170483</v>
      </c>
      <c r="C3257" s="2" t="str">
        <f>"170483"</f>
        <v>170483</v>
      </c>
      <c r="D3257" s="2" t="s">
        <v>4157</v>
      </c>
      <c r="E3257" s="4">
        <v>9700</v>
      </c>
    </row>
    <row r="3258" spans="1:5">
      <c r="A3258" s="2" t="s">
        <v>1394</v>
      </c>
      <c r="B3258" s="2" t="str">
        <f>"180184"</f>
        <v>180184</v>
      </c>
      <c r="C3258" s="2" t="str">
        <f>"180184"</f>
        <v>180184</v>
      </c>
      <c r="D3258" s="2" t="s">
        <v>4158</v>
      </c>
      <c r="E3258" s="4">
        <v>9700</v>
      </c>
    </row>
    <row r="3259" spans="1:5">
      <c r="A3259" s="2" t="s">
        <v>1394</v>
      </c>
      <c r="B3259" s="2" t="str">
        <f>"190224"</f>
        <v>190224</v>
      </c>
      <c r="C3259" s="2" t="str">
        <f>"190224"</f>
        <v>190224</v>
      </c>
      <c r="D3259" s="2" t="s">
        <v>4159</v>
      </c>
      <c r="E3259" s="4">
        <v>8800</v>
      </c>
    </row>
    <row r="3260" spans="1:5">
      <c r="A3260" s="2" t="s">
        <v>1394</v>
      </c>
      <c r="B3260" s="2" t="str">
        <f>"5000000173839"</f>
        <v>5000000173839</v>
      </c>
      <c r="C3260" s="2" t="str">
        <f>"190217"</f>
        <v>190217</v>
      </c>
      <c r="D3260" s="2" t="s">
        <v>4160</v>
      </c>
      <c r="E3260" s="4">
        <v>9700</v>
      </c>
    </row>
    <row r="3261" spans="1:5">
      <c r="A3261" s="2" t="s">
        <v>1394</v>
      </c>
      <c r="B3261" s="2" t="str">
        <f>"301877"</f>
        <v>301877</v>
      </c>
      <c r="C3261" s="2" t="str">
        <f>"301877"</f>
        <v>301877</v>
      </c>
      <c r="D3261" s="2" t="s">
        <v>4161</v>
      </c>
      <c r="E3261" s="4">
        <v>15000</v>
      </c>
    </row>
    <row r="3262" spans="1:5">
      <c r="A3262" s="2" t="s">
        <v>1394</v>
      </c>
      <c r="B3262" s="2" t="str">
        <f>"5000000173853"</f>
        <v>5000000173853</v>
      </c>
      <c r="C3262" s="2" t="str">
        <f>"190222"</f>
        <v>190222</v>
      </c>
      <c r="D3262" s="2" t="s">
        <v>4162</v>
      </c>
      <c r="E3262" s="4">
        <v>9700</v>
      </c>
    </row>
    <row r="3263" spans="1:5">
      <c r="A3263" s="2" t="s">
        <v>1394</v>
      </c>
      <c r="B3263" s="2" t="str">
        <f>"198222"</f>
        <v>198222</v>
      </c>
      <c r="C3263" s="2" t="str">
        <f>"198222"</f>
        <v>198222</v>
      </c>
      <c r="D3263" s="2" t="s">
        <v>4163</v>
      </c>
      <c r="E3263" s="4">
        <v>7500</v>
      </c>
    </row>
    <row r="3264" spans="1:5">
      <c r="A3264" s="2" t="s">
        <v>1394</v>
      </c>
      <c r="B3264" s="2" t="str">
        <f>"019553"</f>
        <v>019553</v>
      </c>
      <c r="C3264" s="2" t="str">
        <f>"019553"</f>
        <v>019553</v>
      </c>
      <c r="D3264" s="2" t="s">
        <v>4164</v>
      </c>
      <c r="E3264" s="4">
        <v>9700</v>
      </c>
    </row>
    <row r="3265" spans="1:5">
      <c r="A3265" s="2" t="s">
        <v>1394</v>
      </c>
      <c r="B3265" s="2" t="str">
        <f>"019540"</f>
        <v>019540</v>
      </c>
      <c r="C3265" s="2" t="str">
        <f>"019540"</f>
        <v>019540</v>
      </c>
      <c r="D3265" s="2" t="s">
        <v>4165</v>
      </c>
      <c r="E3265" s="4">
        <v>19600</v>
      </c>
    </row>
    <row r="3266" spans="1:5">
      <c r="A3266" s="2" t="s">
        <v>1394</v>
      </c>
      <c r="B3266" s="2" t="str">
        <f>"020194"</f>
        <v>020194</v>
      </c>
      <c r="C3266" s="2" t="str">
        <f>"020194"</f>
        <v>020194</v>
      </c>
      <c r="D3266" s="2" t="s">
        <v>4166</v>
      </c>
      <c r="E3266" s="4">
        <v>11500</v>
      </c>
    </row>
    <row r="3267" spans="1:5">
      <c r="A3267" s="2" t="s">
        <v>1394</v>
      </c>
      <c r="B3267" s="2" t="str">
        <f>"020196"</f>
        <v>020196</v>
      </c>
      <c r="C3267" s="2" t="str">
        <f>"020196"</f>
        <v>020196</v>
      </c>
      <c r="D3267" s="2" t="s">
        <v>4167</v>
      </c>
      <c r="E3267" s="4">
        <v>15900</v>
      </c>
    </row>
    <row r="3268" spans="1:5">
      <c r="A3268" s="2" t="s">
        <v>1394</v>
      </c>
      <c r="B3268" s="2" t="str">
        <f>"289555"</f>
        <v>289555</v>
      </c>
      <c r="C3268" s="2" t="str">
        <f>"289555"</f>
        <v>289555</v>
      </c>
      <c r="D3268" s="2" t="s">
        <v>4168</v>
      </c>
      <c r="E3268" s="4">
        <v>11500</v>
      </c>
    </row>
    <row r="3269" spans="1:5">
      <c r="A3269" s="2" t="s">
        <v>1394</v>
      </c>
      <c r="B3269" s="2" t="str">
        <f>"301885"</f>
        <v>301885</v>
      </c>
      <c r="C3269" s="2" t="str">
        <f>"301885"</f>
        <v>301885</v>
      </c>
      <c r="D3269" s="2" t="s">
        <v>4169</v>
      </c>
      <c r="E3269" s="4">
        <v>15100</v>
      </c>
    </row>
    <row r="3270" spans="1:5">
      <c r="A3270" s="2" t="s">
        <v>1394</v>
      </c>
      <c r="B3270" s="2" t="str">
        <f>"230004"</f>
        <v>230004</v>
      </c>
      <c r="C3270" s="2" t="str">
        <f>"0016647"</f>
        <v>0016647</v>
      </c>
      <c r="D3270" s="2" t="s">
        <v>4170</v>
      </c>
      <c r="E3270" s="4">
        <v>11500</v>
      </c>
    </row>
    <row r="3271" spans="1:5">
      <c r="A3271" s="2" t="s">
        <v>1394</v>
      </c>
      <c r="B3271" s="2" t="str">
        <f>"288582"</f>
        <v>288582</v>
      </c>
      <c r="C3271" s="2" t="str">
        <f>"288582"</f>
        <v>288582</v>
      </c>
      <c r="D3271" s="2" t="s">
        <v>4171</v>
      </c>
      <c r="E3271" s="4">
        <v>13300</v>
      </c>
    </row>
    <row r="3272" spans="1:5">
      <c r="A3272" s="2" t="s">
        <v>1394</v>
      </c>
      <c r="B3272" s="2" t="str">
        <f>"289559"</f>
        <v>289559</v>
      </c>
      <c r="C3272" s="2" t="str">
        <f>"289559"</f>
        <v>289559</v>
      </c>
      <c r="D3272" s="2" t="s">
        <v>4172</v>
      </c>
      <c r="E3272" s="4">
        <v>6800</v>
      </c>
    </row>
    <row r="3273" spans="1:5">
      <c r="A3273" s="2" t="s">
        <v>1394</v>
      </c>
      <c r="B3273" s="2" t="str">
        <f>"300866"</f>
        <v>300866</v>
      </c>
      <c r="C3273" s="2" t="str">
        <f>"300866"</f>
        <v>300866</v>
      </c>
      <c r="D3273" s="2" t="s">
        <v>4173</v>
      </c>
      <c r="E3273" s="4">
        <v>16500</v>
      </c>
    </row>
    <row r="3274" spans="1:5">
      <c r="A3274" s="2" t="s">
        <v>1394</v>
      </c>
      <c r="B3274" s="2" t="str">
        <f>"190223"</f>
        <v>190223</v>
      </c>
      <c r="C3274" s="2" t="str">
        <f>"190223"</f>
        <v>190223</v>
      </c>
      <c r="D3274" s="2" t="s">
        <v>4174</v>
      </c>
      <c r="E3274" s="4">
        <v>14500</v>
      </c>
    </row>
    <row r="3275" spans="1:5">
      <c r="A3275" s="2" t="s">
        <v>1394</v>
      </c>
      <c r="B3275" s="2" t="str">
        <f>"288360"</f>
        <v>288360</v>
      </c>
      <c r="C3275" s="2" t="str">
        <f>"288360"</f>
        <v>288360</v>
      </c>
      <c r="D3275" s="2" t="s">
        <v>4175</v>
      </c>
      <c r="E3275" s="4">
        <v>19500</v>
      </c>
    </row>
    <row r="3276" spans="1:5">
      <c r="A3276" s="2" t="s">
        <v>1394</v>
      </c>
      <c r="B3276" s="2" t="str">
        <f>"019536"</f>
        <v>019536</v>
      </c>
      <c r="C3276" s="2" t="str">
        <f>"019536"</f>
        <v>019536</v>
      </c>
      <c r="D3276" s="2" t="s">
        <v>4176</v>
      </c>
      <c r="E3276" s="4">
        <v>21400</v>
      </c>
    </row>
    <row r="3277" spans="1:5">
      <c r="A3277" s="2" t="s">
        <v>1394</v>
      </c>
      <c r="B3277" s="2" t="str">
        <f>"5548-009"</f>
        <v>5548-009</v>
      </c>
      <c r="C3277" s="2" t="str">
        <f>"5548-009"</f>
        <v>5548-009</v>
      </c>
      <c r="D3277" s="2" t="s">
        <v>4177</v>
      </c>
      <c r="E3277" s="4">
        <v>14200</v>
      </c>
    </row>
    <row r="3278" spans="1:5">
      <c r="A3278" s="2" t="s">
        <v>1394</v>
      </c>
      <c r="B3278" s="2" t="str">
        <f>"5548-010"</f>
        <v>5548-010</v>
      </c>
      <c r="C3278" s="2" t="str">
        <f>"534G"</f>
        <v>534G</v>
      </c>
      <c r="D3278" s="2" t="s">
        <v>4178</v>
      </c>
      <c r="E3278" s="4">
        <v>12400</v>
      </c>
    </row>
    <row r="3279" spans="1:5">
      <c r="A3279" s="2" t="s">
        <v>1394</v>
      </c>
      <c r="B3279" s="2" t="str">
        <f>"5000000227808"</f>
        <v>5000000227808</v>
      </c>
      <c r="C3279" s="2" t="str">
        <f>"302750"</f>
        <v>302750</v>
      </c>
      <c r="D3279" s="2" t="s">
        <v>4179</v>
      </c>
      <c r="E3279" s="4">
        <v>6900</v>
      </c>
    </row>
    <row r="3280" spans="1:5">
      <c r="A3280" s="2" t="s">
        <v>1394</v>
      </c>
      <c r="B3280" s="2" t="str">
        <f>"0004031"</f>
        <v>0004031</v>
      </c>
      <c r="C3280" s="2" t="str">
        <f>"0004031"</f>
        <v>0004031</v>
      </c>
      <c r="D3280" s="2" t="s">
        <v>4180</v>
      </c>
      <c r="E3280" s="4">
        <v>8800</v>
      </c>
    </row>
    <row r="3281" spans="1:5">
      <c r="A3281" s="2" t="s">
        <v>1394</v>
      </c>
      <c r="B3281" s="2" t="str">
        <f>"5548-025"</f>
        <v>5548-025</v>
      </c>
      <c r="C3281" s="2" t="str">
        <f>"010280045"</f>
        <v>010280045</v>
      </c>
      <c r="D3281" s="2" t="s">
        <v>4181</v>
      </c>
      <c r="E3281" s="4">
        <v>12400</v>
      </c>
    </row>
    <row r="3282" spans="1:5">
      <c r="A3282" s="2" t="s">
        <v>1394</v>
      </c>
      <c r="B3282" s="2" t="str">
        <f>"020280066"</f>
        <v>020280066</v>
      </c>
      <c r="C3282" s="2" t="s">
        <v>4182</v>
      </c>
      <c r="D3282" s="2" t="s">
        <v>4183</v>
      </c>
      <c r="E3282" s="4">
        <v>6100</v>
      </c>
    </row>
    <row r="3283" spans="1:5">
      <c r="A3283" s="2" t="s">
        <v>1394</v>
      </c>
      <c r="B3283" s="2" t="str">
        <f>"019504"</f>
        <v>019504</v>
      </c>
      <c r="C3283" s="2" t="str">
        <f>"019504"</f>
        <v>019504</v>
      </c>
      <c r="D3283" s="2" t="s">
        <v>4184</v>
      </c>
      <c r="E3283" s="4">
        <v>11500</v>
      </c>
    </row>
    <row r="3284" spans="1:5">
      <c r="A3284" s="2" t="s">
        <v>1394</v>
      </c>
      <c r="B3284" s="2" t="str">
        <f>"289548"</f>
        <v>289548</v>
      </c>
      <c r="C3284" s="2" t="str">
        <f>"289548"</f>
        <v>289548</v>
      </c>
      <c r="D3284" s="2" t="s">
        <v>4185</v>
      </c>
      <c r="E3284" s="4">
        <v>5200</v>
      </c>
    </row>
    <row r="3285" spans="1:5">
      <c r="A3285" s="2" t="s">
        <v>1394</v>
      </c>
      <c r="B3285" s="2" t="str">
        <f>"289549"</f>
        <v>289549</v>
      </c>
      <c r="C3285" s="2" t="str">
        <f>"289549"</f>
        <v>289549</v>
      </c>
      <c r="D3285" s="2" t="s">
        <v>4186</v>
      </c>
      <c r="E3285" s="4">
        <v>9700</v>
      </c>
    </row>
    <row r="3286" spans="1:5">
      <c r="A3286" s="2" t="s">
        <v>1394</v>
      </c>
      <c r="B3286" s="2" t="str">
        <f>"010280004"</f>
        <v>010280004</v>
      </c>
      <c r="C3286" s="2" t="s">
        <v>4187</v>
      </c>
      <c r="D3286" s="2" t="s">
        <v>4188</v>
      </c>
      <c r="E3286" s="4">
        <v>7221</v>
      </c>
    </row>
    <row r="3287" spans="1:5">
      <c r="A3287" s="2" t="s">
        <v>1394</v>
      </c>
      <c r="B3287" s="2" t="str">
        <f>"020280005"</f>
        <v>020280005</v>
      </c>
      <c r="C3287" s="2" t="str">
        <f>"020280005"</f>
        <v>020280005</v>
      </c>
      <c r="D3287" s="2" t="s">
        <v>4189</v>
      </c>
      <c r="E3287" s="4">
        <v>8800</v>
      </c>
    </row>
    <row r="3288" spans="1:5">
      <c r="A3288" s="2" t="s">
        <v>1394</v>
      </c>
      <c r="B3288" s="2" t="str">
        <f>"019556"</f>
        <v>019556</v>
      </c>
      <c r="C3288" s="2" t="str">
        <f>"019556"</f>
        <v>019556</v>
      </c>
      <c r="D3288" s="2" t="s">
        <v>4190</v>
      </c>
      <c r="E3288" s="4">
        <v>9000</v>
      </c>
    </row>
    <row r="3289" spans="1:5">
      <c r="A3289" s="2" t="s">
        <v>1394</v>
      </c>
      <c r="B3289" s="2" t="str">
        <f>"9953516"</f>
        <v>9953516</v>
      </c>
      <c r="C3289" s="2" t="str">
        <f>"9953516"</f>
        <v>9953516</v>
      </c>
      <c r="D3289" s="2" t="s">
        <v>4191</v>
      </c>
      <c r="E3289" s="4">
        <v>8800</v>
      </c>
    </row>
    <row r="3290" spans="1:5">
      <c r="A3290" s="2" t="s">
        <v>1394</v>
      </c>
      <c r="B3290" s="2" t="str">
        <f>"019509"</f>
        <v>019509</v>
      </c>
      <c r="C3290" s="2" t="str">
        <f>"019509"</f>
        <v>019509</v>
      </c>
      <c r="D3290" s="2" t="s">
        <v>4192</v>
      </c>
      <c r="E3290" s="4">
        <v>12000</v>
      </c>
    </row>
    <row r="3291" spans="1:5">
      <c r="A3291" s="2" t="s">
        <v>1394</v>
      </c>
      <c r="B3291" s="2" t="str">
        <f>"1035-4223"</f>
        <v>1035-4223</v>
      </c>
      <c r="C3291" s="2" t="str">
        <f>"1035-4223"</f>
        <v>1035-4223</v>
      </c>
      <c r="D3291" s="2" t="s">
        <v>4193</v>
      </c>
      <c r="E3291" s="4">
        <v>6800</v>
      </c>
    </row>
    <row r="3292" spans="1:5">
      <c r="A3292" s="2" t="s">
        <v>1394</v>
      </c>
      <c r="B3292" s="2" t="s">
        <v>4194</v>
      </c>
      <c r="C3292" s="2" t="s">
        <v>4194</v>
      </c>
      <c r="D3292" s="2" t="s">
        <v>4195</v>
      </c>
      <c r="E3292" s="4">
        <v>10200</v>
      </c>
    </row>
    <row r="3293" spans="1:5">
      <c r="A3293" s="2" t="s">
        <v>1394</v>
      </c>
      <c r="B3293" s="2" t="str">
        <f>"268485"</f>
        <v>268485</v>
      </c>
      <c r="C3293" s="2" t="str">
        <f>"268485"</f>
        <v>268485</v>
      </c>
      <c r="D3293" s="2" t="s">
        <v>4196</v>
      </c>
      <c r="E3293" s="4">
        <v>7900</v>
      </c>
    </row>
    <row r="3294" spans="1:5">
      <c r="A3294" s="2" t="s">
        <v>1394</v>
      </c>
      <c r="B3294" s="2" t="str">
        <f>"160038"</f>
        <v>160038</v>
      </c>
      <c r="C3294" s="2" t="str">
        <f>"160038"</f>
        <v>160038</v>
      </c>
      <c r="D3294" s="2" t="s">
        <v>4197</v>
      </c>
      <c r="E3294" s="4">
        <v>19000</v>
      </c>
    </row>
    <row r="3295" spans="1:5">
      <c r="A3295" s="2" t="s">
        <v>1394</v>
      </c>
      <c r="B3295" s="2" t="str">
        <f>"301876"</f>
        <v>301876</v>
      </c>
      <c r="C3295" s="2" t="str">
        <f>"301876"</f>
        <v>301876</v>
      </c>
      <c r="D3295" s="2" t="s">
        <v>4198</v>
      </c>
      <c r="E3295" s="4">
        <v>13000</v>
      </c>
    </row>
    <row r="3296" spans="1:5">
      <c r="A3296" s="2" t="s">
        <v>1394</v>
      </c>
      <c r="B3296" s="2" t="str">
        <f>"288187"</f>
        <v>288187</v>
      </c>
      <c r="C3296" s="2" t="str">
        <f>"288187"</f>
        <v>288187</v>
      </c>
      <c r="D3296" s="2" t="s">
        <v>4199</v>
      </c>
      <c r="E3296" s="4">
        <v>8800</v>
      </c>
    </row>
    <row r="3297" spans="1:5">
      <c r="A3297" s="2" t="s">
        <v>1394</v>
      </c>
      <c r="B3297" s="2" t="str">
        <f>"238005"</f>
        <v>238005</v>
      </c>
      <c r="C3297" s="2" t="str">
        <f>"238005"</f>
        <v>238005</v>
      </c>
      <c r="D3297" s="2" t="s">
        <v>4200</v>
      </c>
      <c r="E3297" s="4">
        <v>7000</v>
      </c>
    </row>
    <row r="3298" spans="1:5">
      <c r="A3298" s="2" t="s">
        <v>1394</v>
      </c>
      <c r="B3298" s="2" t="str">
        <f>"9954148"</f>
        <v>9954148</v>
      </c>
      <c r="C3298" s="2" t="str">
        <f>"9954148"</f>
        <v>9954148</v>
      </c>
      <c r="D3298" s="2" t="s">
        <v>4201</v>
      </c>
      <c r="E3298" s="4">
        <v>7000</v>
      </c>
    </row>
    <row r="3299" spans="1:5">
      <c r="A3299" s="2" t="s">
        <v>1394</v>
      </c>
      <c r="B3299" s="2" t="str">
        <f>"9953520"</f>
        <v>9953520</v>
      </c>
      <c r="C3299" s="2" t="str">
        <f>"9953520"</f>
        <v>9953520</v>
      </c>
      <c r="D3299" s="2" t="s">
        <v>4202</v>
      </c>
      <c r="E3299" s="4">
        <v>7000</v>
      </c>
    </row>
    <row r="3300" spans="1:5">
      <c r="A3300" s="2" t="s">
        <v>1394</v>
      </c>
      <c r="B3300" s="2" t="str">
        <f>"301875"</f>
        <v>301875</v>
      </c>
      <c r="C3300" s="2" t="str">
        <f>"301875"</f>
        <v>301875</v>
      </c>
      <c r="D3300" s="2" t="s">
        <v>4203</v>
      </c>
      <c r="E3300" s="4">
        <v>15100</v>
      </c>
    </row>
    <row r="3301" spans="1:5">
      <c r="A3301" s="2" t="s">
        <v>1394</v>
      </c>
      <c r="B3301" s="2" t="str">
        <f>"010280013"</f>
        <v>010280013</v>
      </c>
      <c r="C3301" s="2" t="s">
        <v>4204</v>
      </c>
      <c r="D3301" s="2" t="s">
        <v>4205</v>
      </c>
      <c r="E3301" s="4">
        <v>6100</v>
      </c>
    </row>
    <row r="3302" spans="1:5">
      <c r="A3302" s="2" t="s">
        <v>1394</v>
      </c>
      <c r="B3302" s="2" t="s">
        <v>4206</v>
      </c>
      <c r="C3302" s="2" t="s">
        <v>4207</v>
      </c>
      <c r="D3302" s="2" t="s">
        <v>4208</v>
      </c>
      <c r="E3302" s="4">
        <v>4800</v>
      </c>
    </row>
    <row r="3303" spans="1:5">
      <c r="A3303" s="2" t="s">
        <v>1394</v>
      </c>
      <c r="B3303" s="2" t="str">
        <f>"188182"</f>
        <v>188182</v>
      </c>
      <c r="C3303" s="2" t="str">
        <f>"188182"</f>
        <v>188182</v>
      </c>
      <c r="D3303" s="2" t="s">
        <v>4209</v>
      </c>
      <c r="E3303" s="4">
        <v>7000</v>
      </c>
    </row>
    <row r="3304" spans="1:5">
      <c r="A3304" s="2" t="s">
        <v>1394</v>
      </c>
      <c r="B3304" s="2" t="str">
        <f>"010280007"</f>
        <v>010280007</v>
      </c>
      <c r="C3304" s="2" t="s">
        <v>4210</v>
      </c>
      <c r="D3304" s="2" t="s">
        <v>4211</v>
      </c>
      <c r="E3304" s="4">
        <v>9700</v>
      </c>
    </row>
    <row r="3305" spans="1:5">
      <c r="A3305" s="2" t="s">
        <v>1394</v>
      </c>
      <c r="B3305" s="2" t="str">
        <f>"0015295"</f>
        <v>0015295</v>
      </c>
      <c r="C3305" s="2" t="str">
        <f>"0015295"</f>
        <v>0015295</v>
      </c>
      <c r="D3305" s="2" t="s">
        <v>4212</v>
      </c>
      <c r="E3305" s="4">
        <v>22300</v>
      </c>
    </row>
    <row r="3306" spans="1:5">
      <c r="A3306" s="2" t="s">
        <v>1394</v>
      </c>
      <c r="B3306" s="2" t="str">
        <f>"9953519"</f>
        <v>9953519</v>
      </c>
      <c r="C3306" s="2" t="str">
        <f>"9953519"</f>
        <v>9953519</v>
      </c>
      <c r="D3306" s="2" t="s">
        <v>4213</v>
      </c>
      <c r="E3306" s="4">
        <v>9700</v>
      </c>
    </row>
    <row r="3307" spans="1:5">
      <c r="A3307" s="2" t="s">
        <v>1394</v>
      </c>
      <c r="B3307" s="2" t="str">
        <f>"1788486"</f>
        <v>1788486</v>
      </c>
      <c r="C3307" s="2" t="str">
        <f>"1788486"</f>
        <v>1788486</v>
      </c>
      <c r="D3307" s="2" t="s">
        <v>4214</v>
      </c>
      <c r="E3307" s="4">
        <v>7500</v>
      </c>
    </row>
    <row r="3308" spans="1:5">
      <c r="A3308" s="2" t="s">
        <v>1394</v>
      </c>
      <c r="B3308" s="2" t="str">
        <f>"010280038"</f>
        <v>010280038</v>
      </c>
      <c r="C3308" s="2" t="s">
        <v>4215</v>
      </c>
      <c r="D3308" s="2" t="s">
        <v>4214</v>
      </c>
      <c r="E3308" s="4">
        <v>7500</v>
      </c>
    </row>
    <row r="3309" spans="1:5">
      <c r="A3309" s="2" t="s">
        <v>1394</v>
      </c>
      <c r="B3309" s="2" t="str">
        <f>"301879"</f>
        <v>301879</v>
      </c>
      <c r="C3309" s="2" t="str">
        <f>"301879"</f>
        <v>301879</v>
      </c>
      <c r="D3309" s="2" t="s">
        <v>4216</v>
      </c>
      <c r="E3309" s="4">
        <v>11500</v>
      </c>
    </row>
    <row r="3310" spans="1:5">
      <c r="A3310" s="2" t="s">
        <v>1394</v>
      </c>
      <c r="B3310" s="2" t="s">
        <v>4217</v>
      </c>
      <c r="C3310" s="2" t="s">
        <v>4218</v>
      </c>
      <c r="D3310" s="2" t="s">
        <v>4219</v>
      </c>
      <c r="E3310" s="4">
        <v>8500</v>
      </c>
    </row>
    <row r="3311" spans="1:5">
      <c r="A3311" s="2" t="s">
        <v>1394</v>
      </c>
      <c r="B3311" s="2" t="str">
        <f>"0120137"</f>
        <v>0120137</v>
      </c>
      <c r="C3311" s="2" t="str">
        <f>"0120137"</f>
        <v>0120137</v>
      </c>
      <c r="D3311" s="2" t="s">
        <v>4220</v>
      </c>
      <c r="E3311" s="4">
        <v>5200</v>
      </c>
    </row>
    <row r="3312" spans="1:5">
      <c r="A3312" s="2" t="s">
        <v>1394</v>
      </c>
      <c r="B3312" s="2" t="str">
        <f>"288186"</f>
        <v>288186</v>
      </c>
      <c r="C3312" s="2" t="str">
        <f>"288186"</f>
        <v>288186</v>
      </c>
      <c r="D3312" s="2" t="s">
        <v>4221</v>
      </c>
      <c r="E3312" s="4">
        <v>7000</v>
      </c>
    </row>
    <row r="3313" spans="1:5">
      <c r="A3313" s="2" t="s">
        <v>1394</v>
      </c>
      <c r="B3313" s="2" t="str">
        <f>"0015306"</f>
        <v>0015306</v>
      </c>
      <c r="C3313" s="2" t="str">
        <f>"0015306"</f>
        <v>0015306</v>
      </c>
      <c r="D3313" s="2" t="s">
        <v>4222</v>
      </c>
      <c r="E3313" s="4">
        <v>12400</v>
      </c>
    </row>
    <row r="3314" spans="1:5">
      <c r="A3314" s="2" t="s">
        <v>1394</v>
      </c>
      <c r="B3314" s="2" t="s">
        <v>4223</v>
      </c>
      <c r="C3314" s="2" t="str">
        <f>"0016644"</f>
        <v>0016644</v>
      </c>
      <c r="D3314" s="2" t="s">
        <v>4224</v>
      </c>
      <c r="E3314" s="4">
        <v>9700</v>
      </c>
    </row>
    <row r="3315" spans="1:5">
      <c r="A3315" s="2" t="s">
        <v>1394</v>
      </c>
      <c r="B3315" s="2" t="str">
        <f>"9953514"</f>
        <v>9953514</v>
      </c>
      <c r="C3315" s="2" t="str">
        <f>"9953514"</f>
        <v>9953514</v>
      </c>
      <c r="D3315" s="2" t="s">
        <v>4224</v>
      </c>
      <c r="E3315" s="4">
        <v>7000</v>
      </c>
    </row>
    <row r="3316" spans="1:5">
      <c r="A3316" s="2" t="s">
        <v>1394</v>
      </c>
      <c r="B3316" s="2" t="str">
        <f>"4065"</f>
        <v>4065</v>
      </c>
      <c r="C3316" s="2" t="str">
        <f>"4065"</f>
        <v>4065</v>
      </c>
      <c r="D3316" s="2" t="s">
        <v>4225</v>
      </c>
      <c r="E3316" s="4">
        <v>6500</v>
      </c>
    </row>
    <row r="3317" spans="1:5">
      <c r="A3317" s="2" t="s">
        <v>1394</v>
      </c>
      <c r="B3317" s="2" t="s">
        <v>4226</v>
      </c>
      <c r="C3317" s="2" t="s">
        <v>4226</v>
      </c>
      <c r="D3317" s="2" t="s">
        <v>4227</v>
      </c>
      <c r="E3317" s="4">
        <v>4800</v>
      </c>
    </row>
    <row r="3318" spans="1:5">
      <c r="A3318" s="2" t="s">
        <v>1394</v>
      </c>
      <c r="B3318" s="2" t="str">
        <f>"010280025"</f>
        <v>010280025</v>
      </c>
      <c r="C3318" s="2" t="s">
        <v>4228</v>
      </c>
      <c r="D3318" s="2" t="s">
        <v>4229</v>
      </c>
      <c r="E3318" s="4">
        <v>9700</v>
      </c>
    </row>
    <row r="3319" spans="1:5">
      <c r="A3319" s="2" t="s">
        <v>1394</v>
      </c>
      <c r="B3319" s="2" t="str">
        <f>"010280018"</f>
        <v>010280018</v>
      </c>
      <c r="C3319" s="2" t="str">
        <f>"010280018 GUT 23"</f>
        <v>010280018 GUT 23</v>
      </c>
      <c r="D3319" s="2" t="s">
        <v>4230</v>
      </c>
      <c r="E3319" s="4">
        <v>9700</v>
      </c>
    </row>
    <row r="3320" spans="1:5">
      <c r="A3320" s="2" t="s">
        <v>1394</v>
      </c>
      <c r="B3320" s="2" t="str">
        <f>"010280067"</f>
        <v>010280067</v>
      </c>
      <c r="C3320" s="2" t="s">
        <v>4231</v>
      </c>
      <c r="D3320" s="2" t="s">
        <v>4232</v>
      </c>
      <c r="E3320" s="4">
        <v>11500</v>
      </c>
    </row>
    <row r="3321" spans="1:5">
      <c r="A3321" s="2" t="s">
        <v>1394</v>
      </c>
      <c r="B3321" s="2" t="str">
        <f>"289566"</f>
        <v>289566</v>
      </c>
      <c r="C3321" s="2" t="str">
        <f>"289566"</f>
        <v>289566</v>
      </c>
      <c r="D3321" s="2" t="s">
        <v>4233</v>
      </c>
      <c r="E3321" s="4">
        <v>6500</v>
      </c>
    </row>
    <row r="3322" spans="1:5">
      <c r="A3322" s="2" t="s">
        <v>1394</v>
      </c>
      <c r="B3322" s="2" t="str">
        <f>"0015292"</f>
        <v>0015292</v>
      </c>
      <c r="C3322" s="2" t="str">
        <f>"0015292"</f>
        <v>0015292</v>
      </c>
      <c r="D3322" s="2" t="s">
        <v>4234</v>
      </c>
      <c r="E3322" s="4">
        <v>14000</v>
      </c>
    </row>
    <row r="3323" spans="1:5">
      <c r="A3323" s="2" t="s">
        <v>1394</v>
      </c>
      <c r="B3323" s="2" t="str">
        <f>"198215"</f>
        <v>198215</v>
      </c>
      <c r="C3323" s="2" t="str">
        <f>"198215"</f>
        <v>198215</v>
      </c>
      <c r="D3323" s="2" t="s">
        <v>4235</v>
      </c>
      <c r="E3323" s="4">
        <v>6500</v>
      </c>
    </row>
    <row r="3324" spans="1:5">
      <c r="A3324" s="2" t="s">
        <v>5</v>
      </c>
      <c r="B3324" s="2" t="str">
        <f>"06b14b-m"</f>
        <v>06b14b-m</v>
      </c>
      <c r="C3324" s="2" t="s">
        <v>4236</v>
      </c>
      <c r="D3324" s="2" t="s">
        <v>4237</v>
      </c>
      <c r="E3324" s="4">
        <v>4300</v>
      </c>
    </row>
    <row r="3325" spans="1:5">
      <c r="A3325" s="2" t="s">
        <v>5</v>
      </c>
      <c r="B3325" s="2" t="str">
        <f>"70587"</f>
        <v>70587</v>
      </c>
      <c r="C3325" s="2" t="str">
        <f>"70587"</f>
        <v>70587</v>
      </c>
      <c r="D3325" s="2" t="s">
        <v>4238</v>
      </c>
      <c r="E3325" s="4">
        <v>5900</v>
      </c>
    </row>
    <row r="3326" spans="1:5">
      <c r="A3326" s="2" t="s">
        <v>365</v>
      </c>
      <c r="B3326" s="2" t="str">
        <f>"0030821"</f>
        <v>0030821</v>
      </c>
      <c r="C3326" s="2" t="str">
        <f>"0030821"</f>
        <v>0030821</v>
      </c>
      <c r="D3326" s="2" t="s">
        <v>4239</v>
      </c>
      <c r="E3326" s="4">
        <v>97000</v>
      </c>
    </row>
    <row r="3327" spans="1:5">
      <c r="A3327" s="2" t="s">
        <v>365</v>
      </c>
      <c r="B3327" s="2" t="str">
        <f>"001441249-2"</f>
        <v>001441249-2</v>
      </c>
      <c r="C3327" s="2" t="str">
        <f>"00141249-2"</f>
        <v>00141249-2</v>
      </c>
      <c r="D3327" s="2" t="s">
        <v>4240</v>
      </c>
      <c r="E3327" s="4">
        <v>115000</v>
      </c>
    </row>
    <row r="3328" spans="1:5">
      <c r="A3328" s="2" t="s">
        <v>1478</v>
      </c>
      <c r="B3328" s="2" t="str">
        <f>"8000778"</f>
        <v>8000778</v>
      </c>
      <c r="C3328" s="2" t="str">
        <f>"8000778"</f>
        <v>8000778</v>
      </c>
      <c r="D3328" s="2" t="s">
        <v>4241</v>
      </c>
      <c r="E3328" s="4">
        <v>142000</v>
      </c>
    </row>
    <row r="3329" spans="1:5">
      <c r="A3329" s="2" t="s">
        <v>1478</v>
      </c>
      <c r="B3329" s="2" t="str">
        <f>"0269-041-09"</f>
        <v>0269-041-09</v>
      </c>
      <c r="C3329" s="2" t="str">
        <f>"0269-041-09"</f>
        <v>0269-041-09</v>
      </c>
      <c r="D3329" s="2" t="s">
        <v>4242</v>
      </c>
      <c r="E3329" s="4">
        <v>390000</v>
      </c>
    </row>
    <row r="3330" spans="1:5">
      <c r="A3330" s="2" t="s">
        <v>1478</v>
      </c>
      <c r="B3330" s="2" t="str">
        <f>"0006731"</f>
        <v>0006731</v>
      </c>
      <c r="C3330" s="2" t="str">
        <f>"0006731"</f>
        <v>0006731</v>
      </c>
      <c r="D3330" s="2" t="s">
        <v>4243</v>
      </c>
      <c r="E3330" s="4">
        <v>270000</v>
      </c>
    </row>
    <row r="3331" spans="1:5">
      <c r="A3331" s="2" t="s">
        <v>1478</v>
      </c>
      <c r="B3331" s="2" t="str">
        <f>"0011486"</f>
        <v>0011486</v>
      </c>
      <c r="C3331" s="2" t="str">
        <f>"0011486"</f>
        <v>0011486</v>
      </c>
      <c r="D3331" s="2" t="s">
        <v>4244</v>
      </c>
      <c r="E3331" s="4">
        <v>250000</v>
      </c>
    </row>
    <row r="3332" spans="1:5">
      <c r="A3332" s="2" t="s">
        <v>1478</v>
      </c>
      <c r="B3332" s="2" t="str">
        <f>"090910001"</f>
        <v>090910001</v>
      </c>
      <c r="C3332" s="2" t="str">
        <f>"090910001"</f>
        <v>090910001</v>
      </c>
      <c r="D3332" s="2" t="s">
        <v>4245</v>
      </c>
      <c r="E3332" s="4">
        <v>270000</v>
      </c>
    </row>
    <row r="3333" spans="1:5">
      <c r="A3333" s="2" t="s">
        <v>1478</v>
      </c>
      <c r="B3333" s="2" t="str">
        <f>"090910147"</f>
        <v>090910147</v>
      </c>
      <c r="C3333" s="2" t="str">
        <f>"090910147"</f>
        <v>090910147</v>
      </c>
      <c r="D3333" s="2" t="s">
        <v>4246</v>
      </c>
      <c r="E3333" s="4">
        <v>340000</v>
      </c>
    </row>
    <row r="3334" spans="1:5">
      <c r="A3334" s="2" t="s">
        <v>1478</v>
      </c>
      <c r="B3334" s="2" t="str">
        <f>"0001113141-7"</f>
        <v>0001113141-7</v>
      </c>
      <c r="C3334" s="2" t="str">
        <f>"1113141-7"</f>
        <v>1113141-7</v>
      </c>
      <c r="D3334" s="2" t="s">
        <v>4247</v>
      </c>
      <c r="E3334" s="4">
        <v>189000</v>
      </c>
    </row>
    <row r="3335" spans="1:5">
      <c r="A3335" s="2" t="s">
        <v>1478</v>
      </c>
      <c r="B3335" s="2" t="s">
        <v>4248</v>
      </c>
      <c r="C3335" s="2" t="s">
        <v>4248</v>
      </c>
      <c r="D3335" s="2" t="s">
        <v>4249</v>
      </c>
      <c r="E3335" s="4">
        <v>430000</v>
      </c>
    </row>
    <row r="3336" spans="1:5">
      <c r="A3336" s="2" t="s">
        <v>1478</v>
      </c>
      <c r="B3336" s="2" t="str">
        <f>"0010142"</f>
        <v>0010142</v>
      </c>
      <c r="C3336" s="2" t="str">
        <f>"0010142"</f>
        <v>0010142</v>
      </c>
      <c r="D3336" s="2" t="s">
        <v>4250</v>
      </c>
      <c r="E3336" s="4">
        <v>650000</v>
      </c>
    </row>
    <row r="3337" spans="1:5">
      <c r="A3337" s="2" t="s">
        <v>1478</v>
      </c>
      <c r="B3337" s="2" t="str">
        <f>"090910008"</f>
        <v>090910008</v>
      </c>
      <c r="C3337" s="2" t="str">
        <f>"090910008"</f>
        <v>090910008</v>
      </c>
      <c r="D3337" s="2" t="s">
        <v>4251</v>
      </c>
      <c r="E3337" s="4">
        <v>240000</v>
      </c>
    </row>
    <row r="3338" spans="1:5">
      <c r="A3338" s="2" t="s">
        <v>1478</v>
      </c>
      <c r="B3338" s="2" t="str">
        <f>"090910005"</f>
        <v>090910005</v>
      </c>
      <c r="C3338" s="2" t="str">
        <f>"090910005"</f>
        <v>090910005</v>
      </c>
      <c r="D3338" s="2" t="s">
        <v>4252</v>
      </c>
      <c r="E3338" s="4">
        <v>170000</v>
      </c>
    </row>
    <row r="3339" spans="1:5">
      <c r="A3339" s="2" t="s">
        <v>1478</v>
      </c>
      <c r="B3339" s="2" t="str">
        <f>"9960360"</f>
        <v>9960360</v>
      </c>
      <c r="C3339" s="2" t="str">
        <f>"9960360"</f>
        <v>9960360</v>
      </c>
      <c r="D3339" s="2" t="s">
        <v>4253</v>
      </c>
      <c r="E3339" s="4">
        <v>610000</v>
      </c>
    </row>
    <row r="3340" spans="1:5">
      <c r="A3340" s="2" t="s">
        <v>1478</v>
      </c>
      <c r="B3340" s="2" t="str">
        <f>"0006987"</f>
        <v>0006987</v>
      </c>
      <c r="C3340" s="2" t="str">
        <f>"0006987"</f>
        <v>0006987</v>
      </c>
      <c r="D3340" s="2" t="s">
        <v>4254</v>
      </c>
      <c r="E3340" s="4">
        <v>430000</v>
      </c>
    </row>
    <row r="3341" spans="1:5">
      <c r="A3341" s="2" t="s">
        <v>1478</v>
      </c>
      <c r="B3341" s="2" t="str">
        <f>"090910054"</f>
        <v>090910054</v>
      </c>
      <c r="C3341" s="2" t="str">
        <f>"090910054"</f>
        <v>090910054</v>
      </c>
      <c r="D3341" s="2" t="s">
        <v>4255</v>
      </c>
      <c r="E3341" s="4">
        <v>490000</v>
      </c>
    </row>
    <row r="3342" spans="1:5">
      <c r="A3342" s="2" t="s">
        <v>1478</v>
      </c>
      <c r="B3342" s="2" t="str">
        <f>"0300720"</f>
        <v>0300720</v>
      </c>
      <c r="C3342" s="2" t="str">
        <f>"411719-0"</f>
        <v>411719-0</v>
      </c>
      <c r="D3342" s="2" t="s">
        <v>4256</v>
      </c>
      <c r="E3342" s="4">
        <v>340000</v>
      </c>
    </row>
    <row r="3343" spans="1:5">
      <c r="A3343" s="2" t="s">
        <v>1478</v>
      </c>
      <c r="B3343" s="2" t="str">
        <f>"0300760"</f>
        <v>0300760</v>
      </c>
      <c r="C3343" s="2" t="str">
        <f>"0300760"</f>
        <v>0300760</v>
      </c>
      <c r="D3343" s="2" t="s">
        <v>4257</v>
      </c>
      <c r="E3343" s="4">
        <v>484000</v>
      </c>
    </row>
    <row r="3344" spans="1:5">
      <c r="A3344" s="2" t="s">
        <v>1478</v>
      </c>
      <c r="B3344" s="2" t="str">
        <f>"000411731-K"</f>
        <v>000411731-K</v>
      </c>
      <c r="C3344" s="2" t="str">
        <f>"411731-K"</f>
        <v>411731-K</v>
      </c>
      <c r="D3344" s="2" t="s">
        <v>4258</v>
      </c>
      <c r="E3344" s="4">
        <v>430000</v>
      </c>
    </row>
    <row r="3345" spans="1:5">
      <c r="A3345" s="2" t="s">
        <v>1478</v>
      </c>
      <c r="B3345" s="2" t="s">
        <v>4259</v>
      </c>
      <c r="C3345" s="2" t="s">
        <v>4259</v>
      </c>
      <c r="D3345" s="2" t="s">
        <v>4260</v>
      </c>
      <c r="E3345" s="4">
        <v>340000</v>
      </c>
    </row>
    <row r="3346" spans="1:5">
      <c r="A3346" s="2" t="s">
        <v>1478</v>
      </c>
      <c r="B3346" s="2" t="str">
        <f>"0029217"</f>
        <v>0029217</v>
      </c>
      <c r="C3346" s="2" t="str">
        <f>"0029217"</f>
        <v>0029217</v>
      </c>
      <c r="D3346" s="2" t="s">
        <v>4261</v>
      </c>
      <c r="E3346" s="4">
        <v>450000</v>
      </c>
    </row>
    <row r="3347" spans="1:5">
      <c r="A3347" s="2" t="s">
        <v>1478</v>
      </c>
      <c r="B3347" s="2" t="str">
        <f>"0029216"</f>
        <v>0029216</v>
      </c>
      <c r="C3347" s="2" t="str">
        <f>"0029216"</f>
        <v>0029216</v>
      </c>
      <c r="D3347" s="2" t="s">
        <v>4262</v>
      </c>
      <c r="E3347" s="4">
        <v>380000</v>
      </c>
    </row>
    <row r="3348" spans="1:5">
      <c r="A3348" s="2" t="s">
        <v>1478</v>
      </c>
      <c r="B3348" s="2" t="s">
        <v>4263</v>
      </c>
      <c r="C3348" s="2" t="s">
        <v>4263</v>
      </c>
      <c r="D3348" s="2" t="s">
        <v>4264</v>
      </c>
      <c r="E3348" s="4">
        <v>195000</v>
      </c>
    </row>
    <row r="3349" spans="1:5">
      <c r="A3349" s="2" t="s">
        <v>1478</v>
      </c>
      <c r="B3349" s="2" t="str">
        <f>"8004710"</f>
        <v>8004710</v>
      </c>
      <c r="C3349" s="2" t="str">
        <f>"8004710"</f>
        <v>8004710</v>
      </c>
      <c r="D3349" s="2" t="s">
        <v>4265</v>
      </c>
      <c r="E3349" s="4">
        <v>65000</v>
      </c>
    </row>
    <row r="3350" spans="1:5">
      <c r="A3350" s="2" t="s">
        <v>5</v>
      </c>
      <c r="B3350" s="2" t="str">
        <f>"1-86-511"</f>
        <v>1-86-511</v>
      </c>
      <c r="C3350" s="2" t="str">
        <f>"1-86-511"</f>
        <v>1-86-511</v>
      </c>
      <c r="D3350" s="2" t="s">
        <v>4266</v>
      </c>
      <c r="E3350" s="4">
        <v>1800</v>
      </c>
    </row>
    <row r="3351" spans="1:5">
      <c r="A3351" s="2" t="s">
        <v>5</v>
      </c>
      <c r="B3351" s="2" t="str">
        <f>"13525"</f>
        <v>13525</v>
      </c>
      <c r="C3351" s="2" t="str">
        <f>"13525"</f>
        <v>13525</v>
      </c>
      <c r="D3351" s="2" t="s">
        <v>4266</v>
      </c>
      <c r="E3351" s="4">
        <v>1500</v>
      </c>
    </row>
    <row r="3352" spans="1:5">
      <c r="A3352" s="2" t="s">
        <v>5</v>
      </c>
      <c r="B3352" s="2" t="str">
        <f>"7 501206 615508"</f>
        <v>7 501206 615508</v>
      </c>
      <c r="C3352" s="2" t="str">
        <f>"13527"</f>
        <v>13527</v>
      </c>
      <c r="D3352" s="2" t="s">
        <v>4267</v>
      </c>
      <c r="E3352" s="4">
        <v>1500</v>
      </c>
    </row>
    <row r="3353" spans="1:5">
      <c r="A3353" s="2" t="s">
        <v>5</v>
      </c>
      <c r="B3353" s="2" t="str">
        <f>"13529"</f>
        <v>13529</v>
      </c>
      <c r="C3353" s="2" t="str">
        <f>"13529"</f>
        <v>13529</v>
      </c>
      <c r="D3353" s="2" t="s">
        <v>4268</v>
      </c>
      <c r="E3353" s="4">
        <v>1500</v>
      </c>
    </row>
    <row r="3354" spans="1:5">
      <c r="A3354" s="2" t="s">
        <v>5</v>
      </c>
      <c r="B3354" s="2" t="str">
        <f>"13530"</f>
        <v>13530</v>
      </c>
      <c r="C3354" s="2" t="str">
        <f>"13530"</f>
        <v>13530</v>
      </c>
      <c r="D3354" s="2" t="s">
        <v>4269</v>
      </c>
      <c r="E3354" s="4">
        <v>1800</v>
      </c>
    </row>
    <row r="3355" spans="1:5">
      <c r="A3355" s="2" t="s">
        <v>5</v>
      </c>
      <c r="B3355" s="2" t="str">
        <f>"13263"</f>
        <v>13263</v>
      </c>
      <c r="C3355" s="2" t="str">
        <f>"13263"</f>
        <v>13263</v>
      </c>
      <c r="D3355" s="2" t="s">
        <v>4270</v>
      </c>
      <c r="E3355" s="4">
        <v>1500</v>
      </c>
    </row>
    <row r="3356" spans="1:5">
      <c r="A3356" s="2" t="s">
        <v>5</v>
      </c>
      <c r="B3356" s="2" t="str">
        <f>"13269"</f>
        <v>13269</v>
      </c>
      <c r="C3356" s="2" t="str">
        <f>"13269"</f>
        <v>13269</v>
      </c>
      <c r="D3356" s="2" t="s">
        <v>4271</v>
      </c>
      <c r="E3356" s="4">
        <v>1800</v>
      </c>
    </row>
    <row r="3357" spans="1:5">
      <c r="A3357" s="2" t="s">
        <v>5</v>
      </c>
      <c r="B3357" s="2" t="str">
        <f>"1-88-766"</f>
        <v>1-88-766</v>
      </c>
      <c r="C3357" s="2" t="str">
        <f>"1-88-766"</f>
        <v>1-88-766</v>
      </c>
      <c r="D3357" s="2" t="s">
        <v>4272</v>
      </c>
      <c r="E3357" s="4">
        <v>1800</v>
      </c>
    </row>
    <row r="3358" spans="1:5">
      <c r="A3358" s="2">
        <v>0</v>
      </c>
      <c r="B3358" s="2" t="str">
        <f>"1652206027488"</f>
        <v>1652206027488</v>
      </c>
      <c r="C3358" s="2" t="str">
        <f>"1652206027488"</f>
        <v>1652206027488</v>
      </c>
      <c r="D3358" s="2" t="s">
        <v>4273</v>
      </c>
      <c r="E3358" s="2">
        <v>0</v>
      </c>
    </row>
    <row r="3359" spans="1:5">
      <c r="A3359" s="2">
        <v>0</v>
      </c>
      <c r="B3359" s="2">
        <v>0</v>
      </c>
      <c r="C3359" s="2">
        <v>0</v>
      </c>
      <c r="D3359" s="2" t="s">
        <v>4274</v>
      </c>
      <c r="E3359" s="2">
        <v>0</v>
      </c>
    </row>
    <row r="3360" spans="1:5">
      <c r="A3360" s="2" t="s">
        <v>296</v>
      </c>
      <c r="B3360" s="2" t="str">
        <f>"001213697-8"</f>
        <v>001213697-8</v>
      </c>
      <c r="C3360" s="2" t="str">
        <f>"001213697-8"</f>
        <v>001213697-8</v>
      </c>
      <c r="D3360" s="2" t="s">
        <v>4275</v>
      </c>
      <c r="E3360" s="4">
        <v>29500</v>
      </c>
    </row>
    <row r="3361" spans="1:5">
      <c r="A3361" s="2" t="s">
        <v>296</v>
      </c>
      <c r="B3361" s="2" t="s">
        <v>4276</v>
      </c>
      <c r="C3361" s="2" t="s">
        <v>4276</v>
      </c>
      <c r="D3361" s="2" t="s">
        <v>4277</v>
      </c>
      <c r="E3361" s="4">
        <v>9700</v>
      </c>
    </row>
    <row r="3362" spans="1:5">
      <c r="A3362" s="2" t="s">
        <v>296</v>
      </c>
      <c r="B3362" s="2" t="str">
        <f>"001483500-8"</f>
        <v>001483500-8</v>
      </c>
      <c r="C3362" s="2" t="str">
        <f>"001483500-8"</f>
        <v>001483500-8</v>
      </c>
      <c r="D3362" s="2" t="s">
        <v>4278</v>
      </c>
      <c r="E3362" s="4">
        <v>16500</v>
      </c>
    </row>
    <row r="3363" spans="1:5">
      <c r="A3363" s="2" t="s">
        <v>296</v>
      </c>
      <c r="B3363" s="2" t="str">
        <f>"0001786"</f>
        <v>0001786</v>
      </c>
      <c r="C3363" s="2" t="str">
        <f>"0001786"</f>
        <v>0001786</v>
      </c>
      <c r="D3363" s="2" t="s">
        <v>4279</v>
      </c>
      <c r="E3363" s="4">
        <v>16000</v>
      </c>
    </row>
    <row r="3364" spans="1:5">
      <c r="A3364" s="2" t="s">
        <v>296</v>
      </c>
      <c r="B3364" s="2" t="s">
        <v>4280</v>
      </c>
      <c r="C3364" s="2" t="s">
        <v>4280</v>
      </c>
      <c r="D3364" s="2" t="s">
        <v>4281</v>
      </c>
      <c r="E3364" s="4">
        <v>17000</v>
      </c>
    </row>
    <row r="3365" spans="1:5">
      <c r="A3365" s="2" t="s">
        <v>296</v>
      </c>
      <c r="B3365" s="2" t="str">
        <f>"0171000"</f>
        <v>0171000</v>
      </c>
      <c r="C3365" s="2" t="str">
        <f>"0171000"</f>
        <v>0171000</v>
      </c>
      <c r="D3365" s="2" t="s">
        <v>4282</v>
      </c>
      <c r="E3365" s="4">
        <v>14500</v>
      </c>
    </row>
    <row r="3366" spans="1:5">
      <c r="A3366" s="2" t="s">
        <v>296</v>
      </c>
      <c r="B3366" s="2" t="str">
        <f>"0001815"</f>
        <v>0001815</v>
      </c>
      <c r="C3366" s="2" t="str">
        <f>"0001815"</f>
        <v>0001815</v>
      </c>
      <c r="D3366" s="2" t="s">
        <v>4283</v>
      </c>
      <c r="E3366" s="4">
        <v>32000</v>
      </c>
    </row>
    <row r="3367" spans="1:5">
      <c r="A3367" s="2" t="s">
        <v>296</v>
      </c>
      <c r="B3367" s="2" t="str">
        <f>"0000650"</f>
        <v>0000650</v>
      </c>
      <c r="C3367" s="2" t="str">
        <f>"0000650"</f>
        <v>0000650</v>
      </c>
      <c r="D3367" s="2" t="s">
        <v>4284</v>
      </c>
      <c r="E3367" s="4">
        <v>15000</v>
      </c>
    </row>
    <row r="3368" spans="1:5">
      <c r="A3368" s="2" t="s">
        <v>296</v>
      </c>
      <c r="B3368" s="2" t="str">
        <f>"0171090"</f>
        <v>0171090</v>
      </c>
      <c r="C3368" s="2" t="str">
        <f>"0171090"</f>
        <v>0171090</v>
      </c>
      <c r="D3368" s="2" t="s">
        <v>4285</v>
      </c>
      <c r="E3368" s="4">
        <v>8900</v>
      </c>
    </row>
    <row r="3369" spans="1:5">
      <c r="A3369" s="2" t="s">
        <v>2541</v>
      </c>
      <c r="B3369" s="2" t="s">
        <v>4286</v>
      </c>
      <c r="C3369" s="2" t="str">
        <f>"1684948521318"</f>
        <v>1684948521318</v>
      </c>
      <c r="D3369" s="2" t="s">
        <v>4287</v>
      </c>
      <c r="E3369" s="4">
        <v>25000</v>
      </c>
    </row>
    <row r="3370" spans="1:5">
      <c r="A3370" s="2" t="s">
        <v>5</v>
      </c>
      <c r="B3370" s="2" t="str">
        <f>"9941756"</f>
        <v>9941756</v>
      </c>
      <c r="C3370" s="2" t="str">
        <f>"9941756"</f>
        <v>9941756</v>
      </c>
      <c r="D3370" s="2" t="s">
        <v>4288</v>
      </c>
      <c r="E3370" s="4">
        <v>17800</v>
      </c>
    </row>
    <row r="3371" spans="1:5">
      <c r="A3371" s="2" t="s">
        <v>5</v>
      </c>
      <c r="B3371" s="2" t="str">
        <f>"0014248"</f>
        <v>0014248</v>
      </c>
      <c r="C3371" s="2" t="str">
        <f>"0014248"</f>
        <v>0014248</v>
      </c>
      <c r="D3371" s="2" t="s">
        <v>4289</v>
      </c>
      <c r="E3371" s="4">
        <v>12400</v>
      </c>
    </row>
    <row r="3372" spans="1:5">
      <c r="A3372" s="2" t="s">
        <v>5</v>
      </c>
      <c r="B3372" s="2" t="str">
        <f>"0011326"</f>
        <v>0011326</v>
      </c>
      <c r="C3372" s="2" t="str">
        <f>"0011326"</f>
        <v>0011326</v>
      </c>
      <c r="D3372" s="2" t="s">
        <v>4290</v>
      </c>
      <c r="E3372" s="4">
        <v>16900</v>
      </c>
    </row>
    <row r="3373" spans="1:5">
      <c r="A3373" s="2" t="s">
        <v>5</v>
      </c>
      <c r="B3373" s="2" t="str">
        <f>"0030826"</f>
        <v>0030826</v>
      </c>
      <c r="C3373" s="2" t="str">
        <f>"0030826"</f>
        <v>0030826</v>
      </c>
      <c r="D3373" s="2" t="s">
        <v>4291</v>
      </c>
      <c r="E3373" s="4">
        <v>16000</v>
      </c>
    </row>
    <row r="3374" spans="1:5">
      <c r="A3374" s="2" t="s">
        <v>5</v>
      </c>
      <c r="B3374" s="2" t="str">
        <f>"0011361"</f>
        <v>0011361</v>
      </c>
      <c r="C3374" s="2" t="str">
        <f>"0011361"</f>
        <v>0011361</v>
      </c>
      <c r="D3374" s="2" t="s">
        <v>4292</v>
      </c>
      <c r="E3374" s="4">
        <v>15100</v>
      </c>
    </row>
    <row r="3375" spans="1:5">
      <c r="A3375" s="2" t="s">
        <v>5</v>
      </c>
      <c r="B3375" s="2" t="str">
        <f>"090230536"</f>
        <v>090230536</v>
      </c>
      <c r="C3375" s="2" t="str">
        <f>"090230536"</f>
        <v>090230536</v>
      </c>
      <c r="D3375" s="2" t="s">
        <v>4293</v>
      </c>
      <c r="E3375" s="4">
        <v>21400</v>
      </c>
    </row>
    <row r="3376" spans="1:5">
      <c r="A3376" s="2" t="s">
        <v>5</v>
      </c>
      <c r="B3376" s="2" t="str">
        <f>"020601526"</f>
        <v>020601526</v>
      </c>
      <c r="C3376" s="2" t="str">
        <f>"020601526"</f>
        <v>020601526</v>
      </c>
      <c r="D3376" s="2" t="s">
        <v>4294</v>
      </c>
      <c r="E3376" s="4">
        <v>38000</v>
      </c>
    </row>
    <row r="3377" spans="1:5">
      <c r="A3377" s="2" t="s">
        <v>5</v>
      </c>
      <c r="B3377" s="2" t="str">
        <f>"000908121-6"</f>
        <v>000908121-6</v>
      </c>
      <c r="C3377" s="2" t="str">
        <f>"000908121-6"</f>
        <v>000908121-6</v>
      </c>
      <c r="D3377" s="2" t="s">
        <v>4295</v>
      </c>
      <c r="E3377" s="4">
        <v>32000</v>
      </c>
    </row>
    <row r="3378" spans="1:5">
      <c r="A3378" s="2" t="s">
        <v>5</v>
      </c>
      <c r="B3378" s="2" t="s">
        <v>4296</v>
      </c>
      <c r="C3378" s="2" t="s">
        <v>4296</v>
      </c>
      <c r="D3378" s="2" t="s">
        <v>4297</v>
      </c>
      <c r="E3378" s="4">
        <v>38000</v>
      </c>
    </row>
    <row r="3379" spans="1:5">
      <c r="A3379" s="2" t="s">
        <v>5</v>
      </c>
      <c r="B3379" s="2" t="s">
        <v>4298</v>
      </c>
      <c r="C3379" s="2" t="s">
        <v>4298</v>
      </c>
      <c r="D3379" s="2" t="s">
        <v>4299</v>
      </c>
      <c r="E3379" s="4">
        <v>28000</v>
      </c>
    </row>
    <row r="3380" spans="1:5">
      <c r="A3380" s="2" t="s">
        <v>5</v>
      </c>
      <c r="B3380" s="2" t="str">
        <f>"9944943"</f>
        <v>9944943</v>
      </c>
      <c r="C3380" s="2" t="str">
        <f>"9944943"</f>
        <v>9944943</v>
      </c>
      <c r="D3380" s="2" t="s">
        <v>4300</v>
      </c>
      <c r="E3380" s="4">
        <v>16000</v>
      </c>
    </row>
    <row r="3381" spans="1:5">
      <c r="A3381" s="2" t="s">
        <v>5</v>
      </c>
      <c r="B3381" s="2" t="s">
        <v>4301</v>
      </c>
      <c r="C3381" s="2" t="s">
        <v>4301</v>
      </c>
      <c r="D3381" s="2" t="s">
        <v>4302</v>
      </c>
      <c r="E3381" s="4">
        <v>7800</v>
      </c>
    </row>
    <row r="3382" spans="1:5">
      <c r="A3382" s="2" t="s">
        <v>2064</v>
      </c>
      <c r="B3382" s="2" t="str">
        <f>"9941754"</f>
        <v>9941754</v>
      </c>
      <c r="C3382" s="2" t="str">
        <f>"9941754"</f>
        <v>9941754</v>
      </c>
      <c r="D3382" s="2" t="s">
        <v>4303</v>
      </c>
      <c r="E3382" s="4">
        <v>18700</v>
      </c>
    </row>
    <row r="3383" spans="1:5">
      <c r="A3383" s="2" t="s">
        <v>2064</v>
      </c>
      <c r="B3383" s="2" t="str">
        <f>"9941755"</f>
        <v>9941755</v>
      </c>
      <c r="C3383" s="2" t="str">
        <f>"9941755"</f>
        <v>9941755</v>
      </c>
      <c r="D3383" s="2" t="s">
        <v>4304</v>
      </c>
      <c r="E3383" s="4">
        <v>18700</v>
      </c>
    </row>
    <row r="3384" spans="1:5">
      <c r="A3384" s="2" t="s">
        <v>2064</v>
      </c>
      <c r="B3384" s="2" t="str">
        <f>"9941737"</f>
        <v>9941737</v>
      </c>
      <c r="C3384" s="2" t="str">
        <f>"9941737"</f>
        <v>9941737</v>
      </c>
      <c r="D3384" s="2" t="s">
        <v>4305</v>
      </c>
      <c r="E3384" s="4">
        <v>14000</v>
      </c>
    </row>
    <row r="3385" spans="1:5">
      <c r="A3385" s="2" t="s">
        <v>5</v>
      </c>
      <c r="B3385" s="2" t="s">
        <v>4306</v>
      </c>
      <c r="C3385" s="2" t="s">
        <v>4306</v>
      </c>
      <c r="D3385" s="2" t="s">
        <v>4307</v>
      </c>
      <c r="E3385" s="4">
        <v>5000</v>
      </c>
    </row>
    <row r="3386" spans="1:5">
      <c r="A3386" s="2" t="s">
        <v>5</v>
      </c>
      <c r="B3386" s="2" t="s">
        <v>4308</v>
      </c>
      <c r="C3386" s="2" t="str">
        <f>"1496509936815"</f>
        <v>1496509936815</v>
      </c>
      <c r="D3386" s="2" t="s">
        <v>4309</v>
      </c>
      <c r="E3386" s="4">
        <v>5000</v>
      </c>
    </row>
    <row r="3387" spans="1:5">
      <c r="A3387" s="2" t="s">
        <v>5</v>
      </c>
      <c r="B3387" s="2" t="s">
        <v>4310</v>
      </c>
      <c r="C3387" s="2" t="s">
        <v>4310</v>
      </c>
      <c r="D3387" s="2" t="s">
        <v>4311</v>
      </c>
      <c r="E3387" s="4">
        <v>5000</v>
      </c>
    </row>
    <row r="3388" spans="1:5">
      <c r="A3388" s="2" t="s">
        <v>5</v>
      </c>
      <c r="B3388" s="2" t="s">
        <v>4312</v>
      </c>
      <c r="C3388" s="2" t="s">
        <v>4312</v>
      </c>
      <c r="D3388" s="2" t="s">
        <v>4313</v>
      </c>
      <c r="E3388" s="4">
        <v>40000</v>
      </c>
    </row>
    <row r="3389" spans="1:5">
      <c r="A3389" s="2" t="s">
        <v>5</v>
      </c>
      <c r="B3389" s="2" t="s">
        <v>4314</v>
      </c>
      <c r="C3389" s="2" t="str">
        <f>"1714748002985"</f>
        <v>1714748002985</v>
      </c>
      <c r="D3389" s="2" t="s">
        <v>4315</v>
      </c>
      <c r="E3389" s="2">
        <v>0</v>
      </c>
    </row>
    <row r="3390" spans="1:5">
      <c r="A3390" s="2" t="s">
        <v>5</v>
      </c>
      <c r="B3390" s="2" t="s">
        <v>4316</v>
      </c>
      <c r="C3390" s="2" t="s">
        <v>4317</v>
      </c>
      <c r="D3390" s="2" t="s">
        <v>4318</v>
      </c>
      <c r="E3390" s="4">
        <v>70000</v>
      </c>
    </row>
    <row r="3391" spans="1:5">
      <c r="A3391" s="2" t="s">
        <v>165</v>
      </c>
      <c r="B3391" s="2" t="str">
        <f>"100080"</f>
        <v>100080</v>
      </c>
      <c r="C3391" s="2" t="s">
        <v>4319</v>
      </c>
      <c r="D3391" s="2" t="s">
        <v>4320</v>
      </c>
      <c r="E3391" s="4">
        <v>3900</v>
      </c>
    </row>
    <row r="3392" spans="1:5">
      <c r="A3392" s="2" t="s">
        <v>2076</v>
      </c>
      <c r="B3392" s="2" t="str">
        <f>"2922047-6"</f>
        <v>2922047-6</v>
      </c>
      <c r="C3392" s="2" t="str">
        <f>"2922047-6"</f>
        <v>2922047-6</v>
      </c>
      <c r="D3392" s="2" t="s">
        <v>4321</v>
      </c>
      <c r="E3392" s="4">
        <v>32000</v>
      </c>
    </row>
    <row r="3393" spans="1:5">
      <c r="A3393" s="2" t="s">
        <v>2076</v>
      </c>
      <c r="B3393" s="2" t="str">
        <f>"4222001-9"</f>
        <v>4222001-9</v>
      </c>
      <c r="C3393" s="2" t="str">
        <f>"4222001-9"</f>
        <v>4222001-9</v>
      </c>
      <c r="D3393" s="2" t="s">
        <v>4322</v>
      </c>
      <c r="E3393" s="4">
        <v>28600</v>
      </c>
    </row>
    <row r="3394" spans="1:5">
      <c r="A3394" s="2" t="s">
        <v>2076</v>
      </c>
      <c r="B3394" s="2" t="str">
        <f>"3922004-0"</f>
        <v>3922004-0</v>
      </c>
      <c r="C3394" s="2" t="str">
        <f>"3922004-0"</f>
        <v>3922004-0</v>
      </c>
      <c r="D3394" s="2" t="s">
        <v>4323</v>
      </c>
      <c r="E3394" s="4">
        <v>28000</v>
      </c>
    </row>
    <row r="3395" spans="1:5">
      <c r="A3395" s="2" t="s">
        <v>2076</v>
      </c>
      <c r="B3395" s="2" t="str">
        <f>"020717"</f>
        <v>020717</v>
      </c>
      <c r="C3395" s="2" t="str">
        <f>"020717"</f>
        <v>020717</v>
      </c>
      <c r="D3395" s="2" t="s">
        <v>4324</v>
      </c>
      <c r="E3395" s="4">
        <v>38500</v>
      </c>
    </row>
    <row r="3396" spans="1:5">
      <c r="A3396" s="2" t="s">
        <v>2076</v>
      </c>
      <c r="B3396" s="2" t="str">
        <f>"321668"</f>
        <v>321668</v>
      </c>
      <c r="C3396" s="2" t="str">
        <f>"321668"</f>
        <v>321668</v>
      </c>
      <c r="D3396" s="2" t="s">
        <v>4325</v>
      </c>
      <c r="E3396" s="4">
        <v>59000</v>
      </c>
    </row>
    <row r="3397" spans="1:5">
      <c r="A3397" s="2" t="s">
        <v>2076</v>
      </c>
      <c r="B3397" s="2" t="str">
        <f>"1422048-8"</f>
        <v>1422048-8</v>
      </c>
      <c r="C3397" s="2" t="str">
        <f>"1422048-8"</f>
        <v>1422048-8</v>
      </c>
      <c r="D3397" s="2" t="s">
        <v>4326</v>
      </c>
      <c r="E3397" s="4">
        <v>22300</v>
      </c>
    </row>
    <row r="3398" spans="1:5">
      <c r="A3398" s="2" t="s">
        <v>2076</v>
      </c>
      <c r="B3398" s="2" t="str">
        <f>"286761"</f>
        <v>286761</v>
      </c>
      <c r="C3398" s="2" t="str">
        <f>"286761"</f>
        <v>286761</v>
      </c>
      <c r="D3398" s="2" t="s">
        <v>4327</v>
      </c>
      <c r="E3398" s="4">
        <v>25000</v>
      </c>
    </row>
    <row r="3399" spans="1:5">
      <c r="A3399" s="2" t="s">
        <v>2076</v>
      </c>
      <c r="B3399" s="2" t="str">
        <f>"020720"</f>
        <v>020720</v>
      </c>
      <c r="C3399" s="2" t="str">
        <f>"020720"</f>
        <v>020720</v>
      </c>
      <c r="D3399" s="2" t="s">
        <v>4328</v>
      </c>
      <c r="E3399" s="4">
        <v>59000</v>
      </c>
    </row>
    <row r="3400" spans="1:5">
      <c r="A3400" s="2" t="s">
        <v>2076</v>
      </c>
      <c r="B3400" s="2" t="str">
        <f>"1422005-4"</f>
        <v>1422005-4</v>
      </c>
      <c r="C3400" s="2" t="str">
        <f>"1422005-4"</f>
        <v>1422005-4</v>
      </c>
      <c r="D3400" s="2" t="s">
        <v>4329</v>
      </c>
      <c r="E3400" s="4">
        <v>42000</v>
      </c>
    </row>
    <row r="3401" spans="1:5">
      <c r="A3401" s="2" t="s">
        <v>2076</v>
      </c>
      <c r="B3401" s="2" t="str">
        <f>"015600"</f>
        <v>015600</v>
      </c>
      <c r="C3401" s="2" t="str">
        <f>"015600"</f>
        <v>015600</v>
      </c>
      <c r="D3401" s="2" t="s">
        <v>4330</v>
      </c>
      <c r="E3401" s="4">
        <v>25000</v>
      </c>
    </row>
    <row r="3402" spans="1:5">
      <c r="A3402" s="2" t="s">
        <v>2076</v>
      </c>
      <c r="B3402" s="2" t="str">
        <f>"281023"</f>
        <v>281023</v>
      </c>
      <c r="C3402" s="2" t="str">
        <f>"281023"</f>
        <v>281023</v>
      </c>
      <c r="D3402" s="2" t="s">
        <v>4331</v>
      </c>
      <c r="E3402" s="4">
        <v>25000</v>
      </c>
    </row>
    <row r="3403" spans="1:5">
      <c r="A3403" s="2" t="s">
        <v>2076</v>
      </c>
      <c r="B3403" s="2" t="str">
        <f>"1522005"</f>
        <v>1522005</v>
      </c>
      <c r="C3403" s="2" t="str">
        <f>"1522005"</f>
        <v>1522005</v>
      </c>
      <c r="D3403" s="2" t="s">
        <v>4332</v>
      </c>
      <c r="E3403" s="4">
        <v>18700</v>
      </c>
    </row>
    <row r="3404" spans="1:5">
      <c r="A3404" s="2" t="s">
        <v>2076</v>
      </c>
      <c r="B3404" s="2" t="str">
        <f>"1422093-3"</f>
        <v>1422093-3</v>
      </c>
      <c r="C3404" s="2" t="str">
        <f>"1422093-3"</f>
        <v>1422093-3</v>
      </c>
      <c r="D3404" s="2" t="s">
        <v>4333</v>
      </c>
      <c r="E3404" s="4">
        <v>43000</v>
      </c>
    </row>
    <row r="3405" spans="1:5">
      <c r="A3405" s="2" t="s">
        <v>2076</v>
      </c>
      <c r="B3405" s="2" t="str">
        <f>"321504"</f>
        <v>321504</v>
      </c>
      <c r="C3405" s="2" t="str">
        <f>"321504"</f>
        <v>321504</v>
      </c>
      <c r="D3405" s="2" t="s">
        <v>4334</v>
      </c>
      <c r="E3405" s="4">
        <v>69000</v>
      </c>
    </row>
    <row r="3406" spans="1:5">
      <c r="A3406" s="2" t="s">
        <v>2076</v>
      </c>
      <c r="B3406" s="2" t="str">
        <f>"160210"</f>
        <v>160210</v>
      </c>
      <c r="C3406" s="2" t="str">
        <f>"160210"</f>
        <v>160210</v>
      </c>
      <c r="D3406" s="2" t="s">
        <v>4335</v>
      </c>
      <c r="E3406" s="4">
        <v>21400</v>
      </c>
    </row>
    <row r="3407" spans="1:5">
      <c r="A3407" s="2" t="s">
        <v>2076</v>
      </c>
      <c r="B3407" s="2" t="str">
        <f>"321447"</f>
        <v>321447</v>
      </c>
      <c r="C3407" s="2" t="str">
        <f>"321447"</f>
        <v>321447</v>
      </c>
      <c r="D3407" s="2" t="s">
        <v>4336</v>
      </c>
      <c r="E3407" s="4">
        <v>31900</v>
      </c>
    </row>
    <row r="3408" spans="1:5">
      <c r="A3408" s="2" t="s">
        <v>2076</v>
      </c>
      <c r="B3408" s="2" t="str">
        <f>"001122012-6"</f>
        <v>001122012-6</v>
      </c>
      <c r="C3408" s="2" t="str">
        <f>"1122012-6"</f>
        <v>1122012-6</v>
      </c>
      <c r="D3408" s="2" t="s">
        <v>4336</v>
      </c>
      <c r="E3408" s="4">
        <v>28500</v>
      </c>
    </row>
    <row r="3409" spans="1:5">
      <c r="A3409" s="2" t="s">
        <v>2076</v>
      </c>
      <c r="B3409" s="2" t="str">
        <f>"1122005-3"</f>
        <v>1122005-3</v>
      </c>
      <c r="C3409" s="2" t="str">
        <f>"1122005-3"</f>
        <v>1122005-3</v>
      </c>
      <c r="D3409" s="2" t="s">
        <v>4337</v>
      </c>
      <c r="E3409" s="4">
        <v>18900</v>
      </c>
    </row>
    <row r="3410" spans="1:5">
      <c r="A3410" s="2" t="s">
        <v>2076</v>
      </c>
      <c r="B3410" s="2" t="str">
        <f>"160211"</f>
        <v>160211</v>
      </c>
      <c r="C3410" s="2" t="str">
        <f>"160211"</f>
        <v>160211</v>
      </c>
      <c r="D3410" s="2" t="s">
        <v>4337</v>
      </c>
      <c r="E3410" s="4">
        <v>21400</v>
      </c>
    </row>
    <row r="3411" spans="1:5">
      <c r="A3411" s="2" t="s">
        <v>2076</v>
      </c>
      <c r="B3411" s="2" t="str">
        <f>"160216"</f>
        <v>160216</v>
      </c>
      <c r="C3411" s="2" t="str">
        <f>"160216"</f>
        <v>160216</v>
      </c>
      <c r="D3411" s="2" t="s">
        <v>4338</v>
      </c>
      <c r="E3411" s="4">
        <v>43000</v>
      </c>
    </row>
    <row r="3412" spans="1:5">
      <c r="A3412" s="2" t="s">
        <v>2076</v>
      </c>
      <c r="B3412" s="2" t="str">
        <f>"321446"</f>
        <v>321446</v>
      </c>
      <c r="C3412" s="2" t="str">
        <f>"321446"</f>
        <v>321446</v>
      </c>
      <c r="D3412" s="2" t="s">
        <v>4339</v>
      </c>
      <c r="E3412" s="4">
        <v>48400</v>
      </c>
    </row>
    <row r="3413" spans="1:5">
      <c r="A3413" s="2" t="s">
        <v>2076</v>
      </c>
      <c r="B3413" s="2" t="str">
        <f>"311088"</f>
        <v>311088</v>
      </c>
      <c r="C3413" s="2" t="str">
        <f>"311088"</f>
        <v>311088</v>
      </c>
      <c r="D3413" s="2" t="s">
        <v>4340</v>
      </c>
      <c r="E3413" s="4">
        <v>34900</v>
      </c>
    </row>
    <row r="3414" spans="1:5">
      <c r="A3414" s="2" t="s">
        <v>2076</v>
      </c>
      <c r="B3414" s="2" t="str">
        <f>"225009"</f>
        <v>225009</v>
      </c>
      <c r="C3414" s="2" t="str">
        <f>"225009"</f>
        <v>225009</v>
      </c>
      <c r="D3414" s="2" t="s">
        <v>4341</v>
      </c>
      <c r="E3414" s="4">
        <v>25000</v>
      </c>
    </row>
    <row r="3415" spans="1:5">
      <c r="A3415" s="2" t="s">
        <v>2076</v>
      </c>
      <c r="B3415" s="2" t="str">
        <f>"003414"</f>
        <v>003414</v>
      </c>
      <c r="C3415" s="2" t="str">
        <f>"003414"</f>
        <v>003414</v>
      </c>
      <c r="D3415" s="2" t="s">
        <v>4342</v>
      </c>
      <c r="E3415" s="4">
        <v>170000</v>
      </c>
    </row>
    <row r="3416" spans="1:5">
      <c r="A3416" s="2" t="s">
        <v>2076</v>
      </c>
      <c r="B3416" s="2" t="str">
        <f>"245012"</f>
        <v>245012</v>
      </c>
      <c r="C3416" s="2" t="str">
        <f>"245012"</f>
        <v>245012</v>
      </c>
      <c r="D3416" s="2" t="s">
        <v>4343</v>
      </c>
      <c r="E3416" s="4">
        <v>29500</v>
      </c>
    </row>
    <row r="3417" spans="1:5">
      <c r="A3417" s="2" t="s">
        <v>2076</v>
      </c>
      <c r="B3417" s="2" t="str">
        <f>"1322059-K"</f>
        <v>1322059-K</v>
      </c>
      <c r="C3417" s="2" t="str">
        <f>"1322059-K"</f>
        <v>1322059-K</v>
      </c>
      <c r="D3417" s="2" t="s">
        <v>4344</v>
      </c>
      <c r="E3417" s="4">
        <v>22300</v>
      </c>
    </row>
    <row r="3418" spans="1:5">
      <c r="A3418" s="2" t="s">
        <v>2076</v>
      </c>
      <c r="B3418" s="2" t="str">
        <f>"1122050"</f>
        <v>1122050</v>
      </c>
      <c r="C3418" s="2" t="str">
        <f>"1122050"</f>
        <v>1122050</v>
      </c>
      <c r="D3418" s="2" t="s">
        <v>4345</v>
      </c>
      <c r="E3418" s="4">
        <v>17800</v>
      </c>
    </row>
    <row r="3419" spans="1:5">
      <c r="A3419" s="2" t="s">
        <v>2076</v>
      </c>
      <c r="B3419" s="2" t="str">
        <f>"050076"</f>
        <v>050076</v>
      </c>
      <c r="C3419" s="2" t="str">
        <f>"050076"</f>
        <v>050076</v>
      </c>
      <c r="D3419" s="2" t="s">
        <v>4345</v>
      </c>
      <c r="E3419" s="4">
        <v>18700</v>
      </c>
    </row>
    <row r="3420" spans="1:5">
      <c r="A3420" s="2" t="s">
        <v>2076</v>
      </c>
      <c r="B3420" s="2" t="str">
        <f>"321225"</f>
        <v>321225</v>
      </c>
      <c r="C3420" s="2" t="str">
        <f>"321225"</f>
        <v>321225</v>
      </c>
      <c r="D3420" s="2" t="s">
        <v>4346</v>
      </c>
      <c r="E3420" s="4">
        <v>18700</v>
      </c>
    </row>
    <row r="3421" spans="1:5">
      <c r="A3421" s="2" t="s">
        <v>2076</v>
      </c>
      <c r="B3421" s="2" t="str">
        <f>"321822"</f>
        <v>321822</v>
      </c>
      <c r="C3421" s="2" t="str">
        <f>"321822"</f>
        <v>321822</v>
      </c>
      <c r="D3421" s="2" t="s">
        <v>4347</v>
      </c>
      <c r="E3421" s="4">
        <v>34000</v>
      </c>
    </row>
    <row r="3422" spans="1:5">
      <c r="A3422" s="2" t="s">
        <v>2076</v>
      </c>
      <c r="B3422" s="2" t="str">
        <f>"280002"</f>
        <v>280002</v>
      </c>
      <c r="C3422" s="2" t="str">
        <f>"280002"</f>
        <v>280002</v>
      </c>
      <c r="D3422" s="2" t="s">
        <v>4348</v>
      </c>
      <c r="E3422" s="4">
        <v>17500</v>
      </c>
    </row>
    <row r="3423" spans="1:5">
      <c r="A3423" s="2" t="s">
        <v>2076</v>
      </c>
      <c r="B3423" s="2" t="str">
        <f>"250015"</f>
        <v>250015</v>
      </c>
      <c r="C3423" s="2" t="str">
        <f>"250015"</f>
        <v>250015</v>
      </c>
      <c r="D3423" s="2" t="s">
        <v>4349</v>
      </c>
      <c r="E3423" s="4">
        <v>18700</v>
      </c>
    </row>
    <row r="3424" spans="1:5">
      <c r="A3424" s="2" t="s">
        <v>2076</v>
      </c>
      <c r="B3424" s="2" t="str">
        <f>"321283"</f>
        <v>321283</v>
      </c>
      <c r="C3424" s="2" t="str">
        <f>"321283"</f>
        <v>321283</v>
      </c>
      <c r="D3424" s="2" t="s">
        <v>4350</v>
      </c>
      <c r="E3424" s="4">
        <v>29500</v>
      </c>
    </row>
    <row r="3425" spans="1:5">
      <c r="A3425" s="2" t="s">
        <v>2076</v>
      </c>
      <c r="B3425" s="2" t="str">
        <f>"000802180-5"</f>
        <v>000802180-5</v>
      </c>
      <c r="C3425" s="2" t="str">
        <f>"000802180-5"</f>
        <v>000802180-5</v>
      </c>
      <c r="D3425" s="2" t="s">
        <v>4351</v>
      </c>
      <c r="E3425" s="4">
        <v>14200</v>
      </c>
    </row>
    <row r="3426" spans="1:5">
      <c r="A3426" s="2" t="s">
        <v>2076</v>
      </c>
      <c r="B3426" s="2" t="str">
        <f>"000802175-9"</f>
        <v>000802175-9</v>
      </c>
      <c r="C3426" s="2" t="str">
        <f>"802175-9"</f>
        <v>802175-9</v>
      </c>
      <c r="D3426" s="2" t="s">
        <v>4352</v>
      </c>
      <c r="E3426" s="4">
        <v>25000</v>
      </c>
    </row>
    <row r="3427" spans="1:5">
      <c r="A3427" s="2" t="s">
        <v>2076</v>
      </c>
      <c r="B3427" s="2" t="str">
        <f>"260002"</f>
        <v>260002</v>
      </c>
      <c r="C3427" s="2" t="str">
        <f>"260002"</f>
        <v>260002</v>
      </c>
      <c r="D3427" s="2" t="s">
        <v>4353</v>
      </c>
      <c r="E3427" s="4">
        <v>21000</v>
      </c>
    </row>
    <row r="3428" spans="1:5">
      <c r="A3428" s="2" t="s">
        <v>2076</v>
      </c>
      <c r="B3428" s="2" t="str">
        <f>"260007"</f>
        <v>260007</v>
      </c>
      <c r="C3428" s="2" t="str">
        <f>"260007"</f>
        <v>260007</v>
      </c>
      <c r="D3428" s="2" t="s">
        <v>4354</v>
      </c>
      <c r="E3428" s="4">
        <v>14000</v>
      </c>
    </row>
    <row r="3429" spans="1:5">
      <c r="A3429" s="2" t="s">
        <v>2076</v>
      </c>
      <c r="B3429" s="2" t="str">
        <f>"260009"</f>
        <v>260009</v>
      </c>
      <c r="C3429" s="2" t="str">
        <f>"260009"</f>
        <v>260009</v>
      </c>
      <c r="D3429" s="2" t="s">
        <v>4354</v>
      </c>
      <c r="E3429" s="4">
        <v>16660</v>
      </c>
    </row>
    <row r="3430" spans="1:5">
      <c r="A3430" s="2" t="s">
        <v>2076</v>
      </c>
      <c r="B3430" s="2" t="str">
        <f>"0802219-4"</f>
        <v>0802219-4</v>
      </c>
      <c r="C3430" s="2" t="str">
        <f>"1485979105220"</f>
        <v>1485979105220</v>
      </c>
      <c r="D3430" s="2" t="s">
        <v>4355</v>
      </c>
      <c r="E3430" s="4">
        <v>25000</v>
      </c>
    </row>
    <row r="3431" spans="1:5">
      <c r="A3431" s="2" t="s">
        <v>2076</v>
      </c>
      <c r="B3431" s="2" t="str">
        <f>"070013"</f>
        <v>070013</v>
      </c>
      <c r="C3431" s="2" t="str">
        <f>"070013"</f>
        <v>070013</v>
      </c>
      <c r="D3431" s="2" t="s">
        <v>4356</v>
      </c>
      <c r="E3431" s="4">
        <v>39500</v>
      </c>
    </row>
    <row r="3432" spans="1:5">
      <c r="A3432" s="2" t="s">
        <v>2076</v>
      </c>
      <c r="B3432" s="2" t="str">
        <f>"225010"</f>
        <v>225010</v>
      </c>
      <c r="C3432" s="2" t="str">
        <f>"225010"</f>
        <v>225010</v>
      </c>
      <c r="D3432" s="2" t="s">
        <v>4357</v>
      </c>
      <c r="E3432" s="4">
        <v>34000</v>
      </c>
    </row>
    <row r="3433" spans="1:5">
      <c r="A3433" s="2" t="s">
        <v>2076</v>
      </c>
      <c r="B3433" s="2" t="str">
        <f>"270027"</f>
        <v>270027</v>
      </c>
      <c r="C3433" s="2" t="str">
        <f>"270027"</f>
        <v>270027</v>
      </c>
      <c r="D3433" s="2" t="s">
        <v>4358</v>
      </c>
      <c r="E3433" s="4">
        <v>105000</v>
      </c>
    </row>
    <row r="3434" spans="1:5">
      <c r="A3434" s="2" t="s">
        <v>2076</v>
      </c>
      <c r="B3434" s="2" t="str">
        <f>"1322000-K"</f>
        <v>1322000-K</v>
      </c>
      <c r="C3434" s="2" t="str">
        <f>"1322000-K"</f>
        <v>1322000-K</v>
      </c>
      <c r="D3434" s="2" t="s">
        <v>4359</v>
      </c>
      <c r="E3434" s="4">
        <v>16900</v>
      </c>
    </row>
    <row r="3435" spans="1:5">
      <c r="A3435" s="2" t="s">
        <v>2076</v>
      </c>
      <c r="B3435" s="2" t="str">
        <f>"002022040-6"</f>
        <v>002022040-6</v>
      </c>
      <c r="C3435" s="2" t="str">
        <f>"002022040-6"</f>
        <v>002022040-6</v>
      </c>
      <c r="D3435" s="2" t="s">
        <v>4360</v>
      </c>
      <c r="E3435" s="4">
        <v>22500</v>
      </c>
    </row>
    <row r="3436" spans="1:5">
      <c r="A3436" s="2" t="s">
        <v>2076</v>
      </c>
      <c r="B3436" s="2" t="str">
        <f>"2222015-2"</f>
        <v>2222015-2</v>
      </c>
      <c r="C3436" s="2" t="str">
        <f>"2222015-2"</f>
        <v>2222015-2</v>
      </c>
      <c r="D3436" s="2" t="s">
        <v>4361</v>
      </c>
      <c r="E3436" s="4">
        <v>19600</v>
      </c>
    </row>
    <row r="3437" spans="1:5">
      <c r="A3437" s="2" t="s">
        <v>2076</v>
      </c>
      <c r="B3437" s="2" t="str">
        <f>"00222238-1"</f>
        <v>00222238-1</v>
      </c>
      <c r="C3437" s="2" t="str">
        <f>"00222238-1"</f>
        <v>00222238-1</v>
      </c>
      <c r="D3437" s="2" t="s">
        <v>4362</v>
      </c>
      <c r="E3437" s="4">
        <v>15100</v>
      </c>
    </row>
    <row r="3438" spans="1:5">
      <c r="A3438" s="2" t="s">
        <v>2076</v>
      </c>
      <c r="B3438" s="2" t="str">
        <f>"60131"</f>
        <v>60131</v>
      </c>
      <c r="C3438" s="2" t="str">
        <f>"60131"</f>
        <v>60131</v>
      </c>
      <c r="D3438" s="2" t="s">
        <v>4363</v>
      </c>
      <c r="E3438" s="4">
        <v>16800</v>
      </c>
    </row>
    <row r="3439" spans="1:5">
      <c r="A3439" s="2" t="s">
        <v>2076</v>
      </c>
      <c r="B3439" s="2" t="str">
        <f>"50131"</f>
        <v>50131</v>
      </c>
      <c r="C3439" s="2" t="str">
        <f>"50131"</f>
        <v>50131</v>
      </c>
      <c r="D3439" s="2" t="s">
        <v>4364</v>
      </c>
      <c r="E3439" s="4">
        <v>16800</v>
      </c>
    </row>
    <row r="3440" spans="1:5">
      <c r="A3440" s="2" t="s">
        <v>2076</v>
      </c>
      <c r="B3440" s="2" t="str">
        <f>"2222000-4"</f>
        <v>2222000-4</v>
      </c>
      <c r="C3440" s="2" t="str">
        <f>"2222000-4"</f>
        <v>2222000-4</v>
      </c>
      <c r="D3440" s="2" t="s">
        <v>4365</v>
      </c>
      <c r="E3440" s="4">
        <v>14200</v>
      </c>
    </row>
    <row r="3441" spans="1:5">
      <c r="A3441" s="2" t="s">
        <v>2076</v>
      </c>
      <c r="B3441" s="2" t="str">
        <f>"2225010-8"</f>
        <v>2225010-8</v>
      </c>
      <c r="C3441" s="2" t="str">
        <f>"2225010-8"</f>
        <v>2225010-8</v>
      </c>
      <c r="D3441" s="2" t="s">
        <v>4366</v>
      </c>
      <c r="E3441" s="4">
        <v>24100</v>
      </c>
    </row>
    <row r="3442" spans="1:5">
      <c r="A3442" s="2" t="s">
        <v>2076</v>
      </c>
      <c r="B3442" s="2" t="str">
        <f>"2222008-K"</f>
        <v>2222008-K</v>
      </c>
      <c r="C3442" s="2" t="str">
        <f>"2222008-K"</f>
        <v>2222008-K</v>
      </c>
      <c r="D3442" s="2" t="s">
        <v>4367</v>
      </c>
      <c r="E3442" s="4">
        <v>19600</v>
      </c>
    </row>
    <row r="3443" spans="1:5">
      <c r="A3443" s="2" t="s">
        <v>2076</v>
      </c>
      <c r="B3443" s="2" t="str">
        <f>"002022028-7"</f>
        <v>002022028-7</v>
      </c>
      <c r="C3443" s="2" t="str">
        <f>"002022028-7"</f>
        <v>002022028-7</v>
      </c>
      <c r="D3443" s="2" t="s">
        <v>4368</v>
      </c>
      <c r="E3443" s="4">
        <v>24000</v>
      </c>
    </row>
    <row r="3444" spans="1:5">
      <c r="A3444" s="2" t="s">
        <v>2076</v>
      </c>
      <c r="B3444" s="2" t="str">
        <f>"003479"</f>
        <v>003479</v>
      </c>
      <c r="C3444" s="2" t="str">
        <f>"003479"</f>
        <v>003479</v>
      </c>
      <c r="D3444" s="2" t="s">
        <v>4369</v>
      </c>
      <c r="E3444" s="4">
        <v>35000</v>
      </c>
    </row>
    <row r="3445" spans="1:5">
      <c r="A3445" s="2" t="s">
        <v>2076</v>
      </c>
      <c r="B3445" s="2" t="s">
        <v>4370</v>
      </c>
      <c r="C3445" s="2" t="s">
        <v>4370</v>
      </c>
      <c r="D3445" s="2" t="s">
        <v>4371</v>
      </c>
      <c r="E3445" s="4">
        <v>115000</v>
      </c>
    </row>
    <row r="3446" spans="1:5">
      <c r="A3446" s="2" t="s">
        <v>2076</v>
      </c>
      <c r="B3446" s="2" t="str">
        <f>"2022000-7"</f>
        <v>2022000-7</v>
      </c>
      <c r="C3446" s="2" t="str">
        <f>"2022000-7"</f>
        <v>2022000-7</v>
      </c>
      <c r="D3446" s="2" t="s">
        <v>4372</v>
      </c>
      <c r="E3446" s="4">
        <v>38500</v>
      </c>
    </row>
    <row r="3447" spans="1:5">
      <c r="A3447" s="2" t="s">
        <v>2076</v>
      </c>
      <c r="B3447" s="2" t="str">
        <f>"2022024-4"</f>
        <v>2022024-4</v>
      </c>
      <c r="C3447" s="2" t="str">
        <f>"2022024-4"</f>
        <v>2022024-4</v>
      </c>
      <c r="D3447" s="2" t="s">
        <v>4373</v>
      </c>
      <c r="E3447" s="4">
        <v>43000</v>
      </c>
    </row>
    <row r="3448" spans="1:5">
      <c r="A3448" s="2" t="s">
        <v>2076</v>
      </c>
      <c r="B3448" s="2" t="str">
        <f>"1222138"</f>
        <v>1222138</v>
      </c>
      <c r="C3448" s="2" t="str">
        <f>"1222138"</f>
        <v>1222138</v>
      </c>
      <c r="D3448" s="2" t="s">
        <v>4374</v>
      </c>
      <c r="E3448" s="4">
        <v>38800</v>
      </c>
    </row>
    <row r="3449" spans="1:5">
      <c r="A3449" s="2" t="s">
        <v>2076</v>
      </c>
      <c r="B3449" s="2" t="str">
        <f>"1222055-3"</f>
        <v>1222055-3</v>
      </c>
      <c r="C3449" s="2" t="str">
        <f>"1222055-3"</f>
        <v>1222055-3</v>
      </c>
      <c r="D3449" s="2" t="s">
        <v>4375</v>
      </c>
      <c r="E3449" s="4">
        <v>39000</v>
      </c>
    </row>
    <row r="3450" spans="1:5">
      <c r="A3450" s="2" t="s">
        <v>2076</v>
      </c>
      <c r="B3450" s="2" t="str">
        <f>"24700"</f>
        <v>24700</v>
      </c>
      <c r="C3450" s="2" t="str">
        <f>"24700"</f>
        <v>24700</v>
      </c>
      <c r="D3450" s="2" t="s">
        <v>4376</v>
      </c>
      <c r="E3450" s="4">
        <v>28600</v>
      </c>
    </row>
    <row r="3451" spans="1:5">
      <c r="A3451" s="2" t="s">
        <v>2076</v>
      </c>
      <c r="B3451" s="2" t="str">
        <f>"210006"</f>
        <v>210006</v>
      </c>
      <c r="C3451" s="2" t="str">
        <f>"210006"</f>
        <v>210006</v>
      </c>
      <c r="D3451" s="2" t="s">
        <v>4377</v>
      </c>
      <c r="E3451" s="4">
        <v>17800</v>
      </c>
    </row>
    <row r="3452" spans="1:5">
      <c r="A3452" s="2" t="s">
        <v>2076</v>
      </c>
      <c r="B3452" s="2" t="str">
        <f>"210009"</f>
        <v>210009</v>
      </c>
      <c r="C3452" s="2" t="str">
        <f>"210009"</f>
        <v>210009</v>
      </c>
      <c r="D3452" s="2" t="s">
        <v>4378</v>
      </c>
      <c r="E3452" s="4">
        <v>28000</v>
      </c>
    </row>
    <row r="3453" spans="1:5">
      <c r="A3453" s="2" t="s">
        <v>2076</v>
      </c>
      <c r="B3453" s="2" t="str">
        <f>"286005"</f>
        <v>286005</v>
      </c>
      <c r="C3453" s="2" t="str">
        <f>"286005"</f>
        <v>286005</v>
      </c>
      <c r="D3453" s="2" t="s">
        <v>4379</v>
      </c>
      <c r="E3453" s="4">
        <v>43000</v>
      </c>
    </row>
    <row r="3454" spans="1:5">
      <c r="A3454" s="2" t="s">
        <v>2076</v>
      </c>
      <c r="B3454" s="2" t="str">
        <f>"281028"</f>
        <v>281028</v>
      </c>
      <c r="C3454" s="2" t="str">
        <f>"281028"</f>
        <v>281028</v>
      </c>
      <c r="D3454" s="2" t="s">
        <v>4380</v>
      </c>
      <c r="E3454" s="4">
        <v>25000</v>
      </c>
    </row>
    <row r="3455" spans="1:5">
      <c r="A3455" s="2" t="s">
        <v>2076</v>
      </c>
      <c r="B3455" s="2" t="s">
        <v>4381</v>
      </c>
      <c r="C3455" s="2" t="str">
        <f>"1222107-K"</f>
        <v>1222107-K</v>
      </c>
      <c r="D3455" s="2" t="s">
        <v>4382</v>
      </c>
      <c r="E3455" s="4">
        <v>28900</v>
      </c>
    </row>
    <row r="3456" spans="1:5">
      <c r="A3456" s="2" t="s">
        <v>2076</v>
      </c>
      <c r="B3456" s="2" t="str">
        <f>"0302083"</f>
        <v>0302083</v>
      </c>
      <c r="C3456" s="2" t="str">
        <f>"0302083"</f>
        <v>0302083</v>
      </c>
      <c r="D3456" s="2" t="s">
        <v>4383</v>
      </c>
      <c r="E3456" s="4">
        <v>48000</v>
      </c>
    </row>
    <row r="3457" spans="1:5">
      <c r="A3457" s="2" t="s">
        <v>2076</v>
      </c>
      <c r="B3457" s="2" t="str">
        <f>"1222000-6"</f>
        <v>1222000-6</v>
      </c>
      <c r="C3457" s="2" t="str">
        <f>"1222000-6"</f>
        <v>1222000-6</v>
      </c>
      <c r="D3457" s="2" t="s">
        <v>4384</v>
      </c>
      <c r="E3457" s="4">
        <v>17800</v>
      </c>
    </row>
    <row r="3458" spans="1:5">
      <c r="A3458" s="2" t="s">
        <v>2076</v>
      </c>
      <c r="B3458" s="2" t="str">
        <f>"12222272-6"</f>
        <v>12222272-6</v>
      </c>
      <c r="C3458" s="2" t="str">
        <f>"12222272-6"</f>
        <v>12222272-6</v>
      </c>
      <c r="D3458" s="2" t="s">
        <v>4385</v>
      </c>
      <c r="E3458" s="4">
        <v>43000</v>
      </c>
    </row>
    <row r="3459" spans="1:5">
      <c r="A3459" s="2" t="s">
        <v>2076</v>
      </c>
      <c r="B3459" s="2" t="str">
        <f>"1225055-5"</f>
        <v>1225055-5</v>
      </c>
      <c r="C3459" s="2" t="str">
        <f>"1225055-5"</f>
        <v>1225055-5</v>
      </c>
      <c r="D3459" s="2" t="s">
        <v>4386</v>
      </c>
      <c r="E3459" s="4">
        <v>28500</v>
      </c>
    </row>
    <row r="3460" spans="1:5">
      <c r="A3460" s="2" t="s">
        <v>2076</v>
      </c>
      <c r="B3460" s="2" t="str">
        <f>"122272-6"</f>
        <v>122272-6</v>
      </c>
      <c r="C3460" s="2" t="str">
        <f>"122272-6"</f>
        <v>122272-6</v>
      </c>
      <c r="D3460" s="2" t="s">
        <v>4387</v>
      </c>
      <c r="E3460" s="4">
        <v>32346</v>
      </c>
    </row>
    <row r="3461" spans="1:5">
      <c r="A3461" s="2" t="s">
        <v>2076</v>
      </c>
      <c r="B3461" s="2" t="str">
        <f>"247001"</f>
        <v>247001</v>
      </c>
      <c r="C3461" s="2" t="str">
        <f>"247001"</f>
        <v>247001</v>
      </c>
      <c r="D3461" s="2" t="s">
        <v>4388</v>
      </c>
      <c r="E3461" s="4">
        <v>28600</v>
      </c>
    </row>
    <row r="3462" spans="1:5">
      <c r="A3462" s="2" t="s">
        <v>2076</v>
      </c>
      <c r="B3462" s="2" t="str">
        <f>"001822104-7"</f>
        <v>001822104-7</v>
      </c>
      <c r="C3462" s="2" t="str">
        <f>"001822104-7"</f>
        <v>001822104-7</v>
      </c>
      <c r="D3462" s="2" t="s">
        <v>4389</v>
      </c>
      <c r="E3462" s="4">
        <v>29500</v>
      </c>
    </row>
    <row r="3463" spans="1:5">
      <c r="A3463" s="2" t="s">
        <v>2076</v>
      </c>
      <c r="B3463" s="2" t="str">
        <f>"008520"</f>
        <v>008520</v>
      </c>
      <c r="C3463" s="2" t="str">
        <f>"008520"</f>
        <v>008520</v>
      </c>
      <c r="D3463" s="2" t="s">
        <v>4390</v>
      </c>
      <c r="E3463" s="4">
        <v>34000</v>
      </c>
    </row>
    <row r="3464" spans="1:5">
      <c r="A3464" s="2" t="s">
        <v>2076</v>
      </c>
      <c r="B3464" s="2" t="str">
        <f>"281012"</f>
        <v>281012</v>
      </c>
      <c r="C3464" s="2" t="str">
        <f>"281012"</f>
        <v>281012</v>
      </c>
      <c r="D3464" s="2" t="s">
        <v>4391</v>
      </c>
      <c r="E3464" s="4">
        <v>34000</v>
      </c>
    </row>
    <row r="3465" spans="1:5">
      <c r="A3465" s="2" t="s">
        <v>2076</v>
      </c>
      <c r="B3465" s="2" t="str">
        <f>"2810113"</f>
        <v>2810113</v>
      </c>
      <c r="C3465" s="2" t="str">
        <f>"2810113"</f>
        <v>2810113</v>
      </c>
      <c r="D3465" s="2" t="s">
        <v>4392</v>
      </c>
      <c r="E3465" s="4">
        <v>17500</v>
      </c>
    </row>
    <row r="3466" spans="1:5">
      <c r="A3466" s="2" t="s">
        <v>2076</v>
      </c>
      <c r="B3466" s="2" t="str">
        <f>"281010"</f>
        <v>281010</v>
      </c>
      <c r="C3466" s="2" t="str">
        <f>"281010"</f>
        <v>281010</v>
      </c>
      <c r="D3466" s="2" t="s">
        <v>4393</v>
      </c>
      <c r="E3466" s="4">
        <v>18500</v>
      </c>
    </row>
    <row r="3467" spans="1:5">
      <c r="A3467" s="2" t="s">
        <v>2076</v>
      </c>
      <c r="B3467" s="2" t="str">
        <f>"1222015-4"</f>
        <v>1222015-4</v>
      </c>
      <c r="C3467" s="2" t="str">
        <f>"1222015-4"</f>
        <v>1222015-4</v>
      </c>
      <c r="D3467" s="2" t="s">
        <v>4394</v>
      </c>
      <c r="E3467" s="4">
        <v>16000</v>
      </c>
    </row>
    <row r="3468" spans="1:5">
      <c r="A3468" s="2" t="s">
        <v>2076</v>
      </c>
      <c r="B3468" s="2" t="str">
        <f>"302083"</f>
        <v>302083</v>
      </c>
      <c r="C3468" s="2" t="str">
        <f>"302083"</f>
        <v>302083</v>
      </c>
      <c r="D3468" s="2" t="s">
        <v>4395</v>
      </c>
      <c r="E3468" s="4">
        <v>27383</v>
      </c>
    </row>
    <row r="3469" spans="1:5">
      <c r="A3469" s="2" t="s">
        <v>2076</v>
      </c>
      <c r="B3469" s="2" t="str">
        <f>"022543"</f>
        <v>022543</v>
      </c>
      <c r="C3469" s="2" t="str">
        <f>"022543"</f>
        <v>022543</v>
      </c>
      <c r="D3469" s="2" t="s">
        <v>4396</v>
      </c>
      <c r="E3469" s="4">
        <v>52000</v>
      </c>
    </row>
    <row r="3470" spans="1:5">
      <c r="A3470" s="2" t="s">
        <v>2076</v>
      </c>
      <c r="B3470" s="2" t="str">
        <f>"180346"</f>
        <v>180346</v>
      </c>
      <c r="C3470" s="2" t="str">
        <f>"2122020-5"</f>
        <v>2122020-5</v>
      </c>
      <c r="D3470" s="2" t="s">
        <v>4397</v>
      </c>
      <c r="E3470" s="4">
        <v>28000</v>
      </c>
    </row>
    <row r="3471" spans="1:5">
      <c r="A3471" s="2" t="s">
        <v>2076</v>
      </c>
      <c r="B3471" s="2" t="str">
        <f>"1822035-0"</f>
        <v>1822035-0</v>
      </c>
      <c r="C3471" s="2" t="str">
        <f>"1822035-0"</f>
        <v>1822035-0</v>
      </c>
      <c r="D3471" s="2" t="s">
        <v>4398</v>
      </c>
      <c r="E3471" s="4">
        <v>25500</v>
      </c>
    </row>
    <row r="3472" spans="1:5">
      <c r="A3472" s="2" t="s">
        <v>2076</v>
      </c>
      <c r="B3472" s="2" t="str">
        <f>"180360"</f>
        <v>180360</v>
      </c>
      <c r="C3472" s="2" t="str">
        <f>"180360"</f>
        <v>180360</v>
      </c>
      <c r="D3472" s="2" t="s">
        <v>4399</v>
      </c>
      <c r="E3472" s="4">
        <v>43000</v>
      </c>
    </row>
    <row r="3473" spans="1:5">
      <c r="A3473" s="2" t="s">
        <v>2076</v>
      </c>
      <c r="B3473" s="2" t="s">
        <v>4400</v>
      </c>
      <c r="C3473" s="2" t="s">
        <v>4400</v>
      </c>
      <c r="D3473" s="2" t="s">
        <v>4401</v>
      </c>
      <c r="E3473" s="4">
        <v>12495</v>
      </c>
    </row>
    <row r="3474" spans="1:5">
      <c r="A3474" s="2" t="s">
        <v>2076</v>
      </c>
      <c r="B3474" s="2" t="s">
        <v>4402</v>
      </c>
      <c r="C3474" s="2" t="s">
        <v>4402</v>
      </c>
      <c r="D3474" s="2" t="s">
        <v>4403</v>
      </c>
      <c r="E3474" s="4">
        <v>10500</v>
      </c>
    </row>
    <row r="3475" spans="1:5">
      <c r="A3475" s="2" t="s">
        <v>2076</v>
      </c>
      <c r="B3475" s="2" t="str">
        <f>"180367"</f>
        <v>180367</v>
      </c>
      <c r="C3475" s="2" t="str">
        <f>"180367"</f>
        <v>180367</v>
      </c>
      <c r="D3475" s="2" t="s">
        <v>4404</v>
      </c>
      <c r="E3475" s="4">
        <v>19000</v>
      </c>
    </row>
    <row r="3476" spans="1:5">
      <c r="A3476" s="2" t="s">
        <v>2076</v>
      </c>
      <c r="B3476" s="2" t="str">
        <f>"285794"</f>
        <v>285794</v>
      </c>
      <c r="C3476" s="2" t="str">
        <f>"285794"</f>
        <v>285794</v>
      </c>
      <c r="D3476" s="2" t="s">
        <v>4405</v>
      </c>
      <c r="E3476" s="4">
        <v>21400</v>
      </c>
    </row>
    <row r="3477" spans="1:5">
      <c r="A3477" s="2" t="s">
        <v>2076</v>
      </c>
      <c r="B3477" s="2" t="str">
        <f>"302300"</f>
        <v>302300</v>
      </c>
      <c r="C3477" s="2" t="str">
        <f>"302300"</f>
        <v>302300</v>
      </c>
      <c r="D3477" s="2" t="s">
        <v>4406</v>
      </c>
      <c r="E3477" s="4">
        <v>71000</v>
      </c>
    </row>
    <row r="3478" spans="1:5">
      <c r="A3478" s="2" t="s">
        <v>2076</v>
      </c>
      <c r="B3478" s="2" t="str">
        <f>"18355"</f>
        <v>18355</v>
      </c>
      <c r="C3478" s="2" t="str">
        <f>"18355"</f>
        <v>18355</v>
      </c>
      <c r="D3478" s="2" t="s">
        <v>4407</v>
      </c>
      <c r="E3478" s="4">
        <v>22300</v>
      </c>
    </row>
    <row r="3479" spans="1:5">
      <c r="A3479" s="2" t="s">
        <v>2076</v>
      </c>
      <c r="B3479" s="2" t="str">
        <f>"2022004-K"</f>
        <v>2022004-K</v>
      </c>
      <c r="C3479" s="2" t="str">
        <f>"2022004-K"</f>
        <v>2022004-K</v>
      </c>
      <c r="D3479" s="2" t="s">
        <v>4408</v>
      </c>
      <c r="E3479" s="4">
        <v>28600</v>
      </c>
    </row>
    <row r="3480" spans="1:5">
      <c r="A3480" s="2" t="s">
        <v>2076</v>
      </c>
      <c r="B3480" s="2" t="str">
        <f>"20220004-K"</f>
        <v>20220004-K</v>
      </c>
      <c r="C3480" s="2" t="str">
        <f>"20220004-K"</f>
        <v>20220004-K</v>
      </c>
      <c r="D3480" s="2" t="s">
        <v>4409</v>
      </c>
      <c r="E3480" s="4">
        <v>38500</v>
      </c>
    </row>
    <row r="3481" spans="1:5">
      <c r="A3481" s="2" t="s">
        <v>2076</v>
      </c>
      <c r="B3481" s="2" t="str">
        <f>"287032"</f>
        <v>287032</v>
      </c>
      <c r="C3481" s="2" t="str">
        <f>"287032"</f>
        <v>287032</v>
      </c>
      <c r="D3481" s="2" t="s">
        <v>4410</v>
      </c>
      <c r="E3481" s="4">
        <v>160000</v>
      </c>
    </row>
    <row r="3482" spans="1:5">
      <c r="A3482" s="2" t="s">
        <v>2076</v>
      </c>
      <c r="B3482" s="2" t="str">
        <f>"5000000043323"</f>
        <v>5000000043323</v>
      </c>
      <c r="C3482" s="2" t="str">
        <f>"141301"</f>
        <v>141301</v>
      </c>
      <c r="D3482" s="2" t="s">
        <v>4411</v>
      </c>
      <c r="E3482" s="4">
        <v>38000</v>
      </c>
    </row>
    <row r="3483" spans="1:5">
      <c r="A3483" s="2" t="s">
        <v>2076</v>
      </c>
      <c r="B3483" s="2" t="str">
        <f>"020602"</f>
        <v>020602</v>
      </c>
      <c r="C3483" s="2" t="str">
        <f>"020602"</f>
        <v>020602</v>
      </c>
      <c r="D3483" s="2" t="s">
        <v>4412</v>
      </c>
      <c r="E3483" s="4">
        <v>52000</v>
      </c>
    </row>
    <row r="3484" spans="1:5">
      <c r="A3484" s="2" t="s">
        <v>2076</v>
      </c>
      <c r="B3484" s="2" t="str">
        <f>"321380"</f>
        <v>321380</v>
      </c>
      <c r="C3484" s="2" t="str">
        <f>"321380"</f>
        <v>321380</v>
      </c>
      <c r="D3484" s="2" t="s">
        <v>4413</v>
      </c>
      <c r="E3484" s="4">
        <v>61000</v>
      </c>
    </row>
    <row r="3485" spans="1:5">
      <c r="A3485" s="2" t="s">
        <v>2076</v>
      </c>
      <c r="B3485" s="2" t="str">
        <f>"2922049"</f>
        <v>2922049</v>
      </c>
      <c r="C3485" s="2" t="str">
        <f>"2922049"</f>
        <v>2922049</v>
      </c>
      <c r="D3485" s="2" t="s">
        <v>4414</v>
      </c>
      <c r="E3485" s="4">
        <v>19600</v>
      </c>
    </row>
    <row r="3486" spans="1:5">
      <c r="A3486" s="2" t="s">
        <v>2076</v>
      </c>
      <c r="B3486" s="2" t="str">
        <f>"285681"</f>
        <v>285681</v>
      </c>
      <c r="C3486" s="2" t="str">
        <f>"285681"</f>
        <v>285681</v>
      </c>
      <c r="D3486" s="2" t="s">
        <v>4415</v>
      </c>
      <c r="E3486" s="4">
        <v>34000</v>
      </c>
    </row>
    <row r="3487" spans="1:5">
      <c r="A3487" s="2" t="s">
        <v>2076</v>
      </c>
      <c r="B3487" s="2" t="str">
        <f>"286003"</f>
        <v>286003</v>
      </c>
      <c r="C3487" s="2" t="str">
        <f>"286003"</f>
        <v>286003</v>
      </c>
      <c r="D3487" s="2" t="s">
        <v>4416</v>
      </c>
      <c r="E3487" s="4">
        <v>35800</v>
      </c>
    </row>
    <row r="3488" spans="1:5">
      <c r="A3488" s="2" t="s">
        <v>2076</v>
      </c>
      <c r="B3488" s="2" t="str">
        <f>"285841"</f>
        <v>285841</v>
      </c>
      <c r="C3488" s="2" t="str">
        <f>"285841"</f>
        <v>285841</v>
      </c>
      <c r="D3488" s="2" t="s">
        <v>4417</v>
      </c>
      <c r="E3488" s="4">
        <v>70000</v>
      </c>
    </row>
    <row r="3489" spans="1:5">
      <c r="A3489" s="2" t="s">
        <v>2076</v>
      </c>
      <c r="B3489" s="2" t="str">
        <f>"2922049-2"</f>
        <v>2922049-2</v>
      </c>
      <c r="C3489" s="2" t="str">
        <f>"2922049-2"</f>
        <v>2922049-2</v>
      </c>
      <c r="D3489" s="2" t="s">
        <v>4418</v>
      </c>
      <c r="E3489" s="4">
        <v>19600</v>
      </c>
    </row>
    <row r="3490" spans="1:5">
      <c r="A3490" s="2" t="s">
        <v>2076</v>
      </c>
      <c r="B3490" s="2" t="str">
        <f>"2922068-9"</f>
        <v>2922068-9</v>
      </c>
      <c r="C3490" s="2" t="str">
        <f>"2922068-9"</f>
        <v>2922068-9</v>
      </c>
      <c r="D3490" s="2" t="s">
        <v>4419</v>
      </c>
      <c r="E3490" s="4">
        <v>38000</v>
      </c>
    </row>
    <row r="3491" spans="1:5">
      <c r="A3491" s="2" t="s">
        <v>2076</v>
      </c>
      <c r="B3491" s="2" t="str">
        <f>"002922079-4"</f>
        <v>002922079-4</v>
      </c>
      <c r="C3491" s="2" t="str">
        <f>"00292279-4"</f>
        <v>00292279-4</v>
      </c>
      <c r="D3491" s="2" t="s">
        <v>4420</v>
      </c>
      <c r="E3491" s="4">
        <v>61000</v>
      </c>
    </row>
    <row r="3492" spans="1:5">
      <c r="A3492" s="2" t="s">
        <v>2076</v>
      </c>
      <c r="B3492" s="2" t="str">
        <f>"003070"</f>
        <v>003070</v>
      </c>
      <c r="C3492" s="2" t="str">
        <f>"003070"</f>
        <v>003070</v>
      </c>
      <c r="D3492" s="2" t="s">
        <v>4421</v>
      </c>
      <c r="E3492" s="4">
        <v>68000</v>
      </c>
    </row>
    <row r="3493" spans="1:5">
      <c r="A3493" s="2" t="s">
        <v>2076</v>
      </c>
      <c r="B3493" s="2" t="str">
        <f>"170685"</f>
        <v>170685</v>
      </c>
      <c r="C3493" s="2" t="str">
        <f>"170685"</f>
        <v>170685</v>
      </c>
      <c r="D3493" s="2" t="s">
        <v>4422</v>
      </c>
      <c r="E3493" s="4">
        <v>21400</v>
      </c>
    </row>
    <row r="3494" spans="1:5">
      <c r="A3494" s="2" t="s">
        <v>2076</v>
      </c>
      <c r="B3494" s="2" t="str">
        <f>"321387"</f>
        <v>321387</v>
      </c>
      <c r="C3494" s="2" t="str">
        <f>"321387"</f>
        <v>321387</v>
      </c>
      <c r="D3494" s="2" t="s">
        <v>4423</v>
      </c>
      <c r="E3494" s="4">
        <v>34000</v>
      </c>
    </row>
    <row r="3495" spans="1:5">
      <c r="A3495" s="2" t="s">
        <v>2076</v>
      </c>
      <c r="B3495" s="2" t="str">
        <f>"170692"</f>
        <v>170692</v>
      </c>
      <c r="C3495" s="2" t="str">
        <f>"170692"</f>
        <v>170692</v>
      </c>
      <c r="D3495" s="2" t="s">
        <v>4424</v>
      </c>
      <c r="E3495" s="4">
        <v>19600</v>
      </c>
    </row>
    <row r="3496" spans="1:5">
      <c r="A3496" s="2" t="s">
        <v>2076</v>
      </c>
      <c r="B3496" s="2" t="str">
        <f>"421123-5"</f>
        <v>421123-5</v>
      </c>
      <c r="C3496" s="2" t="str">
        <f>"421123-5"</f>
        <v>421123-5</v>
      </c>
      <c r="D3496" s="2" t="s">
        <v>4425</v>
      </c>
      <c r="E3496" s="4">
        <v>39400</v>
      </c>
    </row>
    <row r="3497" spans="1:5">
      <c r="A3497" s="2" t="s">
        <v>2076</v>
      </c>
      <c r="B3497" s="2" t="str">
        <f>"285360"</f>
        <v>285360</v>
      </c>
      <c r="C3497" s="2" t="str">
        <f>"285360"</f>
        <v>285360</v>
      </c>
      <c r="D3497" s="2" t="s">
        <v>4426</v>
      </c>
      <c r="E3497" s="4">
        <v>34000</v>
      </c>
    </row>
    <row r="3498" spans="1:5">
      <c r="A3498" s="2" t="s">
        <v>2076</v>
      </c>
      <c r="B3498" s="2" t="str">
        <f>"170691"</f>
        <v>170691</v>
      </c>
      <c r="C3498" s="2" t="str">
        <f>"170691"</f>
        <v>170691</v>
      </c>
      <c r="D3498" s="2" t="s">
        <v>4427</v>
      </c>
      <c r="E3498" s="4">
        <v>29500</v>
      </c>
    </row>
    <row r="3499" spans="1:5">
      <c r="A3499" s="2" t="s">
        <v>2076</v>
      </c>
      <c r="B3499" s="2" t="str">
        <f>"402181-9"</f>
        <v>402181-9</v>
      </c>
      <c r="C3499" s="2" t="str">
        <f>"402181-9"</f>
        <v>402181-9</v>
      </c>
      <c r="D3499" s="2" t="s">
        <v>4428</v>
      </c>
      <c r="E3499" s="4">
        <v>21900</v>
      </c>
    </row>
    <row r="3500" spans="1:5">
      <c r="A3500" s="2" t="s">
        <v>2076</v>
      </c>
      <c r="B3500" s="2" t="str">
        <f>"170690"</f>
        <v>170690</v>
      </c>
      <c r="C3500" s="2" t="str">
        <f>"170690"</f>
        <v>170690</v>
      </c>
      <c r="D3500" s="2" t="s">
        <v>4429</v>
      </c>
      <c r="E3500" s="4">
        <v>22300</v>
      </c>
    </row>
    <row r="3501" spans="1:5">
      <c r="A3501" s="2" t="s">
        <v>2076</v>
      </c>
      <c r="B3501" s="2" t="s">
        <v>4430</v>
      </c>
      <c r="C3501" s="2" t="s">
        <v>4431</v>
      </c>
      <c r="D3501" s="2" t="s">
        <v>4432</v>
      </c>
      <c r="E3501" s="4">
        <v>35500</v>
      </c>
    </row>
    <row r="3502" spans="1:5">
      <c r="A3502" s="2" t="s">
        <v>2076</v>
      </c>
      <c r="B3502" s="2" t="str">
        <f>"281016"</f>
        <v>281016</v>
      </c>
      <c r="C3502" s="2" t="str">
        <f>"281016"</f>
        <v>281016</v>
      </c>
      <c r="D3502" s="2" t="s">
        <v>4433</v>
      </c>
      <c r="E3502" s="4">
        <v>48000</v>
      </c>
    </row>
    <row r="3503" spans="1:5">
      <c r="A3503" s="2" t="s">
        <v>2076</v>
      </c>
      <c r="B3503" s="2" t="str">
        <f>"0421125-1"</f>
        <v>0421125-1</v>
      </c>
      <c r="C3503" s="2" t="str">
        <f>"0421125-1"</f>
        <v>0421125-1</v>
      </c>
      <c r="D3503" s="2" t="s">
        <v>4434</v>
      </c>
      <c r="E3503" s="4">
        <v>49300</v>
      </c>
    </row>
    <row r="3504" spans="1:5">
      <c r="A3504" s="2" t="s">
        <v>2076</v>
      </c>
      <c r="B3504" s="2" t="str">
        <f>"287050"</f>
        <v>287050</v>
      </c>
      <c r="C3504" s="2" t="str">
        <f>"287050"</f>
        <v>287050</v>
      </c>
      <c r="D3504" s="2" t="s">
        <v>4435</v>
      </c>
      <c r="E3504" s="4">
        <v>48400</v>
      </c>
    </row>
    <row r="3505" spans="1:5">
      <c r="A3505" s="2" t="s">
        <v>2076</v>
      </c>
      <c r="B3505" s="2" t="str">
        <f>"000402250-5"</f>
        <v>000402250-5</v>
      </c>
      <c r="C3505" s="2" t="str">
        <f>"402250-5"</f>
        <v>402250-5</v>
      </c>
      <c r="D3505" s="2" t="s">
        <v>4436</v>
      </c>
      <c r="E3505" s="4">
        <v>34000</v>
      </c>
    </row>
    <row r="3506" spans="1:5">
      <c r="A3506" s="2" t="s">
        <v>2076</v>
      </c>
      <c r="B3506" s="2" t="str">
        <f>"402243-2"</f>
        <v>402243-2</v>
      </c>
      <c r="C3506" s="2" t="str">
        <f>"402243-2"</f>
        <v>402243-2</v>
      </c>
      <c r="D3506" s="2" t="s">
        <v>4437</v>
      </c>
      <c r="E3506" s="4">
        <v>36700</v>
      </c>
    </row>
    <row r="3507" spans="1:5">
      <c r="A3507" s="2" t="s">
        <v>2076</v>
      </c>
      <c r="B3507" s="2" t="str">
        <f>"0402243-2"</f>
        <v>0402243-2</v>
      </c>
      <c r="C3507" s="2" t="str">
        <f>"0402243-2"</f>
        <v>0402243-2</v>
      </c>
      <c r="D3507" s="2" t="s">
        <v>4438</v>
      </c>
      <c r="E3507" s="4">
        <v>34000</v>
      </c>
    </row>
    <row r="3508" spans="1:5">
      <c r="A3508" s="2" t="s">
        <v>2076</v>
      </c>
      <c r="B3508" s="2" t="str">
        <f>"402249-1"</f>
        <v>402249-1</v>
      </c>
      <c r="C3508" s="2" t="str">
        <f>"402249-1"</f>
        <v>402249-1</v>
      </c>
      <c r="D3508" s="2" t="s">
        <v>4439</v>
      </c>
      <c r="E3508" s="4">
        <v>34000</v>
      </c>
    </row>
    <row r="3509" spans="1:5">
      <c r="A3509" s="2" t="s">
        <v>2076</v>
      </c>
      <c r="B3509" s="2" t="str">
        <f>"160238"</f>
        <v>160238</v>
      </c>
      <c r="C3509" s="2" t="str">
        <f>"160238"</f>
        <v>160238</v>
      </c>
      <c r="D3509" s="2" t="s">
        <v>4436</v>
      </c>
      <c r="E3509" s="4">
        <v>34000</v>
      </c>
    </row>
    <row r="3510" spans="1:5">
      <c r="A3510" s="2" t="s">
        <v>2076</v>
      </c>
      <c r="B3510" s="2" t="str">
        <f>"000402241-6"</f>
        <v>000402241-6</v>
      </c>
      <c r="C3510" s="2" t="str">
        <f>"00402241-6"</f>
        <v>00402241-6</v>
      </c>
      <c r="D3510" s="2" t="s">
        <v>4440</v>
      </c>
      <c r="E3510" s="4">
        <v>16000</v>
      </c>
    </row>
    <row r="3511" spans="1:5">
      <c r="A3511" s="2" t="s">
        <v>2076</v>
      </c>
      <c r="B3511" s="2" t="str">
        <f>"055301"</f>
        <v>055301</v>
      </c>
      <c r="C3511" s="2" t="str">
        <f>"055301"</f>
        <v>055301</v>
      </c>
      <c r="D3511" s="2" t="s">
        <v>4441</v>
      </c>
      <c r="E3511" s="4">
        <v>23000</v>
      </c>
    </row>
    <row r="3512" spans="1:5">
      <c r="A3512" s="2" t="s">
        <v>2076</v>
      </c>
      <c r="B3512" s="2" t="str">
        <f>"202199-4"</f>
        <v>202199-4</v>
      </c>
      <c r="C3512" s="2" t="str">
        <f>"202199-4"</f>
        <v>202199-4</v>
      </c>
      <c r="D3512" s="2" t="s">
        <v>4442</v>
      </c>
      <c r="E3512" s="4">
        <v>22300</v>
      </c>
    </row>
    <row r="3513" spans="1:5">
      <c r="A3513" s="2" t="s">
        <v>2076</v>
      </c>
      <c r="B3513" s="2" t="str">
        <f>"321511"</f>
        <v>321511</v>
      </c>
      <c r="C3513" s="2" t="str">
        <f>"321511"</f>
        <v>321511</v>
      </c>
      <c r="D3513" s="2" t="s">
        <v>4443</v>
      </c>
      <c r="E3513" s="4">
        <v>29500</v>
      </c>
    </row>
    <row r="3514" spans="1:5">
      <c r="A3514" s="2" t="s">
        <v>2076</v>
      </c>
      <c r="B3514" s="2" t="str">
        <f>"321448"</f>
        <v>321448</v>
      </c>
      <c r="C3514" s="2" t="str">
        <f>"321448"</f>
        <v>321448</v>
      </c>
      <c r="D3514" s="2" t="s">
        <v>4444</v>
      </c>
      <c r="E3514" s="4">
        <v>28700</v>
      </c>
    </row>
    <row r="3515" spans="1:5">
      <c r="A3515" s="2" t="s">
        <v>2076</v>
      </c>
      <c r="B3515" s="2" t="str">
        <f>"3722009-4"</f>
        <v>3722009-4</v>
      </c>
      <c r="C3515" s="2" t="str">
        <f>"3722009-4"</f>
        <v>3722009-4</v>
      </c>
      <c r="D3515" s="2" t="s">
        <v>4445</v>
      </c>
      <c r="E3515" s="4">
        <v>34000</v>
      </c>
    </row>
    <row r="3516" spans="1:5">
      <c r="A3516" s="2" t="s">
        <v>2076</v>
      </c>
      <c r="B3516" s="2" t="str">
        <f>"321449"</f>
        <v>321449</v>
      </c>
      <c r="C3516" s="2" t="str">
        <f>"321449"</f>
        <v>321449</v>
      </c>
      <c r="D3516" s="2" t="s">
        <v>4446</v>
      </c>
      <c r="E3516" s="4">
        <v>43000</v>
      </c>
    </row>
    <row r="3517" spans="1:5">
      <c r="A3517" s="2" t="s">
        <v>2076</v>
      </c>
      <c r="B3517" s="2" t="str">
        <f>"311448"</f>
        <v>311448</v>
      </c>
      <c r="C3517" s="2" t="str">
        <f>"311448"</f>
        <v>311448</v>
      </c>
      <c r="D3517" s="2" t="s">
        <v>4447</v>
      </c>
      <c r="E3517" s="4">
        <v>28500</v>
      </c>
    </row>
    <row r="3518" spans="1:5">
      <c r="A3518" s="2" t="s">
        <v>2076</v>
      </c>
      <c r="B3518" s="2" t="str">
        <f>"3722001-9"</f>
        <v>3722001-9</v>
      </c>
      <c r="C3518" s="2" t="str">
        <f>"3722001-9"</f>
        <v>3722001-9</v>
      </c>
      <c r="D3518" s="2" t="s">
        <v>4448</v>
      </c>
      <c r="E3518" s="4">
        <v>34000</v>
      </c>
    </row>
    <row r="3519" spans="1:5">
      <c r="A3519" s="2" t="s">
        <v>2076</v>
      </c>
      <c r="B3519" s="2" t="str">
        <f>"00701SM3"</f>
        <v>00701SM3</v>
      </c>
      <c r="C3519" s="2" t="str">
        <f>"00701SM3"</f>
        <v>00701SM3</v>
      </c>
      <c r="D3519" s="2" t="s">
        <v>4449</v>
      </c>
      <c r="E3519" s="4">
        <v>19500</v>
      </c>
    </row>
    <row r="3520" spans="1:5">
      <c r="A3520" s="2" t="s">
        <v>2076</v>
      </c>
      <c r="B3520" s="2" t="str">
        <f>"1422054-2"</f>
        <v>1422054-2</v>
      </c>
      <c r="C3520" s="2" t="str">
        <f>"1422054-2"</f>
        <v>1422054-2</v>
      </c>
      <c r="D3520" s="2" t="s">
        <v>4450</v>
      </c>
      <c r="E3520" s="4">
        <v>18000</v>
      </c>
    </row>
    <row r="3521" spans="1:5">
      <c r="A3521" s="2" t="s">
        <v>2076</v>
      </c>
      <c r="B3521" s="2" t="str">
        <f>"001422056-9"</f>
        <v>001422056-9</v>
      </c>
      <c r="C3521" s="2" t="str">
        <f>"1422056-9"</f>
        <v>1422056-9</v>
      </c>
      <c r="D3521" s="2" t="s">
        <v>4451</v>
      </c>
      <c r="E3521" s="4">
        <v>25000</v>
      </c>
    </row>
    <row r="3522" spans="1:5">
      <c r="A3522" s="2" t="s">
        <v>2076</v>
      </c>
      <c r="B3522" s="2" t="str">
        <f>"321513"</f>
        <v>321513</v>
      </c>
      <c r="C3522" s="2" t="str">
        <f>"321513"</f>
        <v>321513</v>
      </c>
      <c r="D3522" s="2" t="s">
        <v>4452</v>
      </c>
      <c r="E3522" s="4">
        <v>48500</v>
      </c>
    </row>
    <row r="3523" spans="1:5">
      <c r="A3523" s="2" t="s">
        <v>2076</v>
      </c>
      <c r="B3523" s="2" t="str">
        <f>"33453"</f>
        <v>33453</v>
      </c>
      <c r="C3523" s="2" t="str">
        <f>"33453"</f>
        <v>33453</v>
      </c>
      <c r="D3523" s="2" t="s">
        <v>4453</v>
      </c>
      <c r="E3523" s="4">
        <v>48500</v>
      </c>
    </row>
    <row r="3524" spans="1:5">
      <c r="A3524" s="2" t="s">
        <v>2076</v>
      </c>
      <c r="B3524" s="2" t="str">
        <f>"286840"</f>
        <v>286840</v>
      </c>
      <c r="C3524" s="2" t="str">
        <f>"286840"</f>
        <v>286840</v>
      </c>
      <c r="D3524" s="2" t="s">
        <v>4454</v>
      </c>
      <c r="E3524" s="4">
        <v>61000</v>
      </c>
    </row>
    <row r="3525" spans="1:5">
      <c r="A3525" s="2" t="s">
        <v>2076</v>
      </c>
      <c r="B3525" s="2" t="str">
        <f>"270010"</f>
        <v>270010</v>
      </c>
      <c r="C3525" s="2" t="str">
        <f>"270010"</f>
        <v>270010</v>
      </c>
      <c r="D3525" s="2" t="s">
        <v>4455</v>
      </c>
      <c r="E3525" s="4">
        <v>24100</v>
      </c>
    </row>
    <row r="3526" spans="1:5">
      <c r="A3526" s="2" t="s">
        <v>2076</v>
      </c>
      <c r="B3526" s="2" t="str">
        <f>"270015"</f>
        <v>270015</v>
      </c>
      <c r="C3526" s="2" t="str">
        <f>"270015"</f>
        <v>270015</v>
      </c>
      <c r="D3526" s="2" t="s">
        <v>4456</v>
      </c>
      <c r="E3526" s="4">
        <v>24100</v>
      </c>
    </row>
    <row r="3527" spans="1:5">
      <c r="A3527" s="2" t="s">
        <v>2076</v>
      </c>
      <c r="B3527" s="2" t="str">
        <f>"302034"</f>
        <v>302034</v>
      </c>
      <c r="C3527" s="2" t="str">
        <f>"302034"</f>
        <v>302034</v>
      </c>
      <c r="D3527" s="2" t="s">
        <v>4457</v>
      </c>
      <c r="E3527" s="4">
        <v>78000</v>
      </c>
    </row>
    <row r="3528" spans="1:5">
      <c r="A3528" s="2" t="s">
        <v>2076</v>
      </c>
      <c r="B3528" s="2" t="str">
        <f>"280114"</f>
        <v>280114</v>
      </c>
      <c r="C3528" s="2" t="str">
        <f>"280114"</f>
        <v>280114</v>
      </c>
      <c r="D3528" s="2" t="s">
        <v>4458</v>
      </c>
      <c r="E3528" s="4">
        <v>42500</v>
      </c>
    </row>
    <row r="3529" spans="1:5">
      <c r="A3529" s="2" t="s">
        <v>2076</v>
      </c>
      <c r="B3529" s="2" t="str">
        <f>"1722040-3"</f>
        <v>1722040-3</v>
      </c>
      <c r="C3529" s="2" t="str">
        <f>"1722040-3"</f>
        <v>1722040-3</v>
      </c>
      <c r="D3529" s="2" t="s">
        <v>4459</v>
      </c>
      <c r="E3529" s="4">
        <v>19900</v>
      </c>
    </row>
    <row r="3530" spans="1:5">
      <c r="A3530" s="2" t="s">
        <v>2076</v>
      </c>
      <c r="B3530" s="2" t="str">
        <f>"280006"</f>
        <v>280006</v>
      </c>
      <c r="C3530" s="2" t="str">
        <f>"280006"</f>
        <v>280006</v>
      </c>
      <c r="D3530" s="2" t="s">
        <v>4460</v>
      </c>
      <c r="E3530" s="4">
        <v>17800</v>
      </c>
    </row>
    <row r="3531" spans="1:5">
      <c r="A3531" s="2" t="s">
        <v>2076</v>
      </c>
      <c r="B3531" s="2" t="str">
        <f>"1722007"</f>
        <v>1722007</v>
      </c>
      <c r="C3531" s="2" t="str">
        <f>"1722007"</f>
        <v>1722007</v>
      </c>
      <c r="D3531" s="2" t="s">
        <v>4461</v>
      </c>
      <c r="E3531" s="4">
        <v>16000</v>
      </c>
    </row>
    <row r="3532" spans="1:5">
      <c r="A3532" s="2" t="s">
        <v>2076</v>
      </c>
      <c r="B3532" s="2" t="str">
        <f>"260008"</f>
        <v>260008</v>
      </c>
      <c r="C3532" s="2" t="str">
        <f>"260008"</f>
        <v>260008</v>
      </c>
      <c r="D3532" s="2" t="s">
        <v>4462</v>
      </c>
      <c r="E3532" s="4">
        <v>18700</v>
      </c>
    </row>
    <row r="3533" spans="1:5">
      <c r="A3533" s="2" t="s">
        <v>2076</v>
      </c>
      <c r="B3533" s="2" t="str">
        <f>"321747"</f>
        <v>321747</v>
      </c>
      <c r="C3533" s="2" t="str">
        <f>"321747"</f>
        <v>321747</v>
      </c>
      <c r="D3533" s="2" t="s">
        <v>4463</v>
      </c>
      <c r="E3533" s="4">
        <v>54000</v>
      </c>
    </row>
    <row r="3534" spans="1:5">
      <c r="A3534" s="2" t="s">
        <v>2076</v>
      </c>
      <c r="B3534" s="2" t="str">
        <f>"020713"</f>
        <v>020713</v>
      </c>
      <c r="C3534" s="2" t="str">
        <f>"020713"</f>
        <v>020713</v>
      </c>
      <c r="D3534" s="2" t="s">
        <v>4464</v>
      </c>
      <c r="E3534" s="4">
        <v>52000</v>
      </c>
    </row>
    <row r="3535" spans="1:5">
      <c r="A3535" s="2" t="s">
        <v>2076</v>
      </c>
      <c r="B3535" s="2" t="str">
        <f>"280192"</f>
        <v>280192</v>
      </c>
      <c r="C3535" s="2" t="str">
        <f>"280192"</f>
        <v>280192</v>
      </c>
      <c r="D3535" s="2" t="s">
        <v>4465</v>
      </c>
      <c r="E3535" s="4">
        <v>36000</v>
      </c>
    </row>
    <row r="3536" spans="1:5">
      <c r="A3536" s="2" t="s">
        <v>2076</v>
      </c>
      <c r="B3536" s="2" t="str">
        <f>"1722025-K"</f>
        <v>1722025-K</v>
      </c>
      <c r="C3536" s="2" t="str">
        <f>"1722025-K"</f>
        <v>1722025-K</v>
      </c>
      <c r="D3536" s="2" t="s">
        <v>4466</v>
      </c>
      <c r="E3536" s="4">
        <v>23200</v>
      </c>
    </row>
    <row r="3537" spans="1:5">
      <c r="A3537" s="2" t="s">
        <v>2076</v>
      </c>
      <c r="B3537" s="2" t="str">
        <f>"1322030"</f>
        <v>1322030</v>
      </c>
      <c r="C3537" s="2" t="str">
        <f>"1322030"</f>
        <v>1322030</v>
      </c>
      <c r="D3537" s="2" t="s">
        <v>4467</v>
      </c>
      <c r="E3537" s="4">
        <v>15100</v>
      </c>
    </row>
    <row r="3538" spans="1:5">
      <c r="A3538" s="2" t="s">
        <v>2076</v>
      </c>
      <c r="B3538" s="2" t="str">
        <f>"00701343"</f>
        <v>00701343</v>
      </c>
      <c r="C3538" s="2" t="str">
        <f>"00701343"</f>
        <v>00701343</v>
      </c>
      <c r="D3538" s="2" t="s">
        <v>4468</v>
      </c>
      <c r="E3538" s="4">
        <v>18700</v>
      </c>
    </row>
    <row r="3539" spans="1:5">
      <c r="A3539" s="2" t="s">
        <v>2076</v>
      </c>
      <c r="B3539" s="2" t="str">
        <f>"1722082-9"</f>
        <v>1722082-9</v>
      </c>
      <c r="C3539" s="2" t="str">
        <f>"1722082-9"</f>
        <v>1722082-9</v>
      </c>
      <c r="D3539" s="2" t="s">
        <v>4469</v>
      </c>
      <c r="E3539" s="4">
        <v>43000</v>
      </c>
    </row>
    <row r="3540" spans="1:5">
      <c r="A3540" s="2" t="s">
        <v>2076</v>
      </c>
      <c r="B3540" s="2" t="str">
        <f>"00701SZ160"</f>
        <v>00701SZ160</v>
      </c>
      <c r="C3540" s="2" t="str">
        <f>"00701SZ160"</f>
        <v>00701SZ160</v>
      </c>
      <c r="D3540" s="2" t="s">
        <v>4470</v>
      </c>
      <c r="E3540" s="4">
        <v>15100</v>
      </c>
    </row>
    <row r="3541" spans="1:5">
      <c r="A3541" s="2" t="s">
        <v>2076</v>
      </c>
      <c r="B3541" s="2" t="str">
        <f>"1722051-9"</f>
        <v>1722051-9</v>
      </c>
      <c r="C3541" s="2" t="str">
        <f>"1722051-9"</f>
        <v>1722051-9</v>
      </c>
      <c r="D3541" s="2" t="s">
        <v>4471</v>
      </c>
      <c r="E3541" s="4">
        <v>31000</v>
      </c>
    </row>
    <row r="3542" spans="1:5">
      <c r="A3542" s="2" t="s">
        <v>2076</v>
      </c>
      <c r="B3542" s="2" t="str">
        <f>"1722035-7"</f>
        <v>1722035-7</v>
      </c>
      <c r="C3542" s="2" t="str">
        <f>"1722035-7"</f>
        <v>1722035-7</v>
      </c>
      <c r="D3542" s="2" t="s">
        <v>4472</v>
      </c>
      <c r="E3542" s="4">
        <v>18700</v>
      </c>
    </row>
    <row r="3543" spans="1:5">
      <c r="A3543" s="2" t="s">
        <v>2076</v>
      </c>
      <c r="B3543" s="2" t="str">
        <f>"1322030-1"</f>
        <v>1322030-1</v>
      </c>
      <c r="C3543" s="2" t="str">
        <f>"1322030-1"</f>
        <v>1322030-1</v>
      </c>
      <c r="D3543" s="2" t="s">
        <v>4473</v>
      </c>
      <c r="E3543" s="4">
        <v>19600</v>
      </c>
    </row>
    <row r="3544" spans="1:5">
      <c r="A3544" s="2" t="s">
        <v>2076</v>
      </c>
      <c r="B3544" s="2" t="str">
        <f>"1722078-0"</f>
        <v>1722078-0</v>
      </c>
      <c r="C3544" s="2" t="str">
        <f>"1722078-0"</f>
        <v>1722078-0</v>
      </c>
      <c r="D3544" s="2" t="s">
        <v>4474</v>
      </c>
      <c r="E3544" s="4">
        <v>34000</v>
      </c>
    </row>
    <row r="3545" spans="1:5">
      <c r="A3545" s="2" t="s">
        <v>2076</v>
      </c>
      <c r="B3545" s="2" t="str">
        <f>"160233"</f>
        <v>160233</v>
      </c>
      <c r="C3545" s="2" t="str">
        <f>"160233"</f>
        <v>160233</v>
      </c>
      <c r="D3545" s="2" t="s">
        <v>4474</v>
      </c>
      <c r="E3545" s="4">
        <v>34000</v>
      </c>
    </row>
    <row r="3546" spans="1:5">
      <c r="A3546" s="2" t="s">
        <v>2076</v>
      </c>
      <c r="B3546" s="2" t="str">
        <f>"1222070-7"</f>
        <v>1222070-7</v>
      </c>
      <c r="C3546" s="2" t="str">
        <f>"1222070-7"</f>
        <v>1222070-7</v>
      </c>
      <c r="D3546" s="2" t="s">
        <v>4475</v>
      </c>
      <c r="E3546" s="4">
        <v>18700</v>
      </c>
    </row>
    <row r="3547" spans="1:5">
      <c r="A3547" s="2" t="s">
        <v>2076</v>
      </c>
      <c r="B3547" s="2" t="str">
        <f>"1222070"</f>
        <v>1222070</v>
      </c>
      <c r="C3547" s="2" t="str">
        <f>"1222070"</f>
        <v>1222070</v>
      </c>
      <c r="D3547" s="2" t="s">
        <v>4475</v>
      </c>
      <c r="E3547" s="4">
        <v>22253</v>
      </c>
    </row>
    <row r="3548" spans="1:5">
      <c r="A3548" s="2" t="s">
        <v>2076</v>
      </c>
      <c r="B3548" s="2" t="str">
        <f>"020725"</f>
        <v>020725</v>
      </c>
      <c r="C3548" s="2" t="str">
        <f>"020725"</f>
        <v>020725</v>
      </c>
      <c r="D3548" s="2" t="s">
        <v>4476</v>
      </c>
      <c r="E3548" s="4">
        <v>34900</v>
      </c>
    </row>
    <row r="3549" spans="1:5">
      <c r="A3549" s="2" t="s">
        <v>2076</v>
      </c>
      <c r="B3549" s="2" t="str">
        <f>"1722086-1"</f>
        <v>1722086-1</v>
      </c>
      <c r="C3549" s="2" t="str">
        <f>"1722086-1"</f>
        <v>1722086-1</v>
      </c>
      <c r="D3549" s="2" t="s">
        <v>4477</v>
      </c>
      <c r="E3549" s="4">
        <v>39000</v>
      </c>
    </row>
    <row r="3550" spans="1:5">
      <c r="A3550" s="2" t="s">
        <v>2076</v>
      </c>
      <c r="B3550" s="2" t="str">
        <f>"001722070-5"</f>
        <v>001722070-5</v>
      </c>
      <c r="C3550" s="2" t="str">
        <f>"1722070-5"</f>
        <v>1722070-5</v>
      </c>
      <c r="D3550" s="2" t="s">
        <v>4478</v>
      </c>
      <c r="E3550" s="4">
        <v>22300</v>
      </c>
    </row>
    <row r="3551" spans="1:5">
      <c r="A3551" s="2" t="s">
        <v>2076</v>
      </c>
      <c r="B3551" s="2" t="str">
        <f>"1722007-1"</f>
        <v>1722007-1</v>
      </c>
      <c r="C3551" s="2" t="str">
        <f>"1722007-1"</f>
        <v>1722007-1</v>
      </c>
      <c r="D3551" s="2" t="s">
        <v>4479</v>
      </c>
      <c r="E3551" s="4">
        <v>18000</v>
      </c>
    </row>
    <row r="3552" spans="1:5">
      <c r="A3552" s="2" t="s">
        <v>2076</v>
      </c>
      <c r="B3552" s="2" t="str">
        <f>"1722000-4"</f>
        <v>1722000-4</v>
      </c>
      <c r="C3552" s="2" t="str">
        <f>"1722000-4"</f>
        <v>1722000-4</v>
      </c>
      <c r="D3552" s="2" t="s">
        <v>4480</v>
      </c>
      <c r="E3552" s="4">
        <v>18700</v>
      </c>
    </row>
    <row r="3553" spans="1:5">
      <c r="A3553" s="2" t="s">
        <v>2076</v>
      </c>
      <c r="B3553" s="2" t="str">
        <f>"020712"</f>
        <v>020712</v>
      </c>
      <c r="C3553" s="2" t="str">
        <f>"020712"</f>
        <v>020712</v>
      </c>
      <c r="D3553" s="2" t="s">
        <v>4481</v>
      </c>
      <c r="E3553" s="4">
        <v>43000</v>
      </c>
    </row>
    <row r="3554" spans="1:5">
      <c r="A3554" s="2" t="s">
        <v>2076</v>
      </c>
      <c r="B3554" s="2" t="str">
        <f>"001722021-7"</f>
        <v>001722021-7</v>
      </c>
      <c r="C3554" s="2" t="str">
        <f>"001722021-7"</f>
        <v>001722021-7</v>
      </c>
      <c r="D3554" s="2" t="s">
        <v>4482</v>
      </c>
      <c r="E3554" s="4">
        <v>22300</v>
      </c>
    </row>
    <row r="3555" spans="1:5">
      <c r="A3555" s="2" t="s">
        <v>2076</v>
      </c>
      <c r="B3555" s="2" t="str">
        <f>"1722094-2"</f>
        <v>1722094-2</v>
      </c>
      <c r="C3555" s="2" t="str">
        <f>"1722094-2"</f>
        <v>1722094-2</v>
      </c>
      <c r="D3555" s="2" t="s">
        <v>4483</v>
      </c>
      <c r="E3555" s="4">
        <v>39000</v>
      </c>
    </row>
    <row r="3556" spans="1:5">
      <c r="A3556" s="2" t="s">
        <v>2076</v>
      </c>
      <c r="B3556" s="2" t="str">
        <f>"190394"</f>
        <v>190394</v>
      </c>
      <c r="C3556" s="2" t="str">
        <f>"190394"</f>
        <v>190394</v>
      </c>
      <c r="D3556" s="2" t="s">
        <v>4484</v>
      </c>
      <c r="E3556" s="4">
        <v>17500</v>
      </c>
    </row>
    <row r="3557" spans="1:5">
      <c r="A3557" s="2" t="s">
        <v>2076</v>
      </c>
      <c r="B3557" s="2" t="str">
        <f>"190400"</f>
        <v>190400</v>
      </c>
      <c r="C3557" s="2" t="str">
        <f>"190400"</f>
        <v>190400</v>
      </c>
      <c r="D3557" s="2" t="s">
        <v>4485</v>
      </c>
      <c r="E3557" s="4">
        <v>21000</v>
      </c>
    </row>
    <row r="3558" spans="1:5">
      <c r="A3558" s="2" t="s">
        <v>2076</v>
      </c>
      <c r="B3558" s="2" t="str">
        <f>"190391"</f>
        <v>190391</v>
      </c>
      <c r="C3558" s="2" t="str">
        <f>"190391"</f>
        <v>190391</v>
      </c>
      <c r="D3558" s="2" t="s">
        <v>4486</v>
      </c>
      <c r="E3558" s="4">
        <v>26800</v>
      </c>
    </row>
    <row r="3559" spans="1:5">
      <c r="A3559" s="2" t="s">
        <v>2076</v>
      </c>
      <c r="B3559" s="2" t="str">
        <f>"2021994"</f>
        <v>2021994</v>
      </c>
      <c r="C3559" s="2" t="str">
        <f>"2021994"</f>
        <v>2021994</v>
      </c>
      <c r="D3559" s="2" t="s">
        <v>4487</v>
      </c>
      <c r="E3559" s="4">
        <v>26800</v>
      </c>
    </row>
    <row r="3560" spans="1:5">
      <c r="A3560" s="2" t="s">
        <v>2076</v>
      </c>
      <c r="B3560" s="2" t="str">
        <f>"180400"</f>
        <v>180400</v>
      </c>
      <c r="C3560" s="2" t="str">
        <f>"180400"</f>
        <v>180400</v>
      </c>
      <c r="D3560" s="2" t="s">
        <v>4488</v>
      </c>
      <c r="E3560" s="4">
        <v>52000</v>
      </c>
    </row>
    <row r="3561" spans="1:5">
      <c r="A3561" s="2" t="s">
        <v>2076</v>
      </c>
      <c r="B3561" s="2" t="str">
        <f>"902766-1"</f>
        <v>902766-1</v>
      </c>
      <c r="C3561" s="2" t="str">
        <f>"902766-1"</f>
        <v>902766-1</v>
      </c>
      <c r="D3561" s="2" t="s">
        <v>4489</v>
      </c>
      <c r="E3561" s="4">
        <v>42000</v>
      </c>
    </row>
    <row r="3562" spans="1:5">
      <c r="A3562" s="2" t="s">
        <v>2076</v>
      </c>
      <c r="B3562" s="2" t="str">
        <f>"902184-1"</f>
        <v>902184-1</v>
      </c>
      <c r="C3562" s="2" t="str">
        <f>"190406"</f>
        <v>190406</v>
      </c>
      <c r="D3562" s="2" t="s">
        <v>4490</v>
      </c>
      <c r="E3562" s="4">
        <v>21000</v>
      </c>
    </row>
    <row r="3563" spans="1:5">
      <c r="A3563" s="2" t="s">
        <v>2076</v>
      </c>
      <c r="B3563" s="2" t="str">
        <f>"902216-3"</f>
        <v>902216-3</v>
      </c>
      <c r="C3563" s="2" t="str">
        <f>"902216-3"</f>
        <v>902216-3</v>
      </c>
      <c r="D3563" s="2" t="s">
        <v>4491</v>
      </c>
      <c r="E3563" s="4">
        <v>21400</v>
      </c>
    </row>
    <row r="3564" spans="1:5">
      <c r="A3564" s="2" t="s">
        <v>2076</v>
      </c>
      <c r="B3564" s="2" t="str">
        <f>"4022009-7"</f>
        <v>4022009-7</v>
      </c>
      <c r="C3564" s="2" t="str">
        <f>"4022009-7"</f>
        <v>4022009-7</v>
      </c>
      <c r="D3564" s="2" t="s">
        <v>4492</v>
      </c>
      <c r="E3564" s="4">
        <v>88000</v>
      </c>
    </row>
    <row r="3565" spans="1:5">
      <c r="A3565" s="2" t="s">
        <v>4493</v>
      </c>
      <c r="B3565" s="2" t="s">
        <v>4494</v>
      </c>
      <c r="C3565" s="2" t="s">
        <v>4494</v>
      </c>
      <c r="D3565" s="2" t="s">
        <v>4495</v>
      </c>
      <c r="E3565" s="4">
        <v>35000</v>
      </c>
    </row>
    <row r="3566" spans="1:5">
      <c r="A3566" s="2" t="s">
        <v>4493</v>
      </c>
      <c r="B3566" s="2" t="str">
        <f>"09032002"</f>
        <v>09032002</v>
      </c>
      <c r="C3566" s="2" t="str">
        <f>"090320002"</f>
        <v>090320002</v>
      </c>
      <c r="D3566" s="2" t="s">
        <v>4496</v>
      </c>
      <c r="E3566" s="4">
        <v>24000</v>
      </c>
    </row>
    <row r="3567" spans="1:5">
      <c r="A3567" s="2" t="s">
        <v>4493</v>
      </c>
      <c r="B3567" s="2" t="str">
        <f>"001163000-6"</f>
        <v>001163000-6</v>
      </c>
      <c r="C3567" s="2" t="str">
        <f>"0011630006"</f>
        <v>0011630006</v>
      </c>
      <c r="D3567" s="2" t="s">
        <v>4497</v>
      </c>
      <c r="E3567" s="4">
        <v>36000</v>
      </c>
    </row>
    <row r="3568" spans="1:5">
      <c r="A3568" s="2" t="s">
        <v>4493</v>
      </c>
      <c r="B3568" s="2" t="str">
        <f>"30YM"</f>
        <v>30YM</v>
      </c>
      <c r="C3568" s="2" t="str">
        <f>"30YM"</f>
        <v>30YM</v>
      </c>
      <c r="D3568" s="2" t="s">
        <v>4498</v>
      </c>
      <c r="E3568" s="4">
        <v>17000</v>
      </c>
    </row>
    <row r="3569" spans="1:5">
      <c r="A3569" s="2" t="s">
        <v>4493</v>
      </c>
      <c r="B3569" s="2" t="s">
        <v>4499</v>
      </c>
      <c r="C3569" s="2" t="s">
        <v>4499</v>
      </c>
      <c r="D3569" s="2" t="s">
        <v>4498</v>
      </c>
      <c r="E3569" s="4">
        <v>14000</v>
      </c>
    </row>
    <row r="3570" spans="1:5">
      <c r="A3570" s="2" t="s">
        <v>4493</v>
      </c>
      <c r="B3570" s="2" t="str">
        <f>"001462034-6"</f>
        <v>001462034-6</v>
      </c>
      <c r="C3570" s="2" t="str">
        <f>"001462034-6"</f>
        <v>001462034-6</v>
      </c>
      <c r="D3570" s="2" t="s">
        <v>4500</v>
      </c>
      <c r="E3570" s="4">
        <v>26800</v>
      </c>
    </row>
    <row r="3571" spans="1:5">
      <c r="A3571" s="2" t="s">
        <v>4493</v>
      </c>
      <c r="B3571" s="2" t="str">
        <f>"0027214"</f>
        <v>0027214</v>
      </c>
      <c r="C3571" s="2" t="str">
        <f>"0027214"</f>
        <v>0027214</v>
      </c>
      <c r="D3571" s="2" t="s">
        <v>4501</v>
      </c>
      <c r="E3571" s="4">
        <v>22300</v>
      </c>
    </row>
    <row r="3572" spans="1:5">
      <c r="A3572" s="2" t="s">
        <v>4493</v>
      </c>
      <c r="B3572" s="2" t="s">
        <v>4502</v>
      </c>
      <c r="C3572" s="2" t="s">
        <v>4502</v>
      </c>
      <c r="D3572" s="2" t="s">
        <v>4503</v>
      </c>
      <c r="E3572" s="4">
        <v>8800</v>
      </c>
    </row>
    <row r="3573" spans="1:5">
      <c r="A3573" s="2" t="s">
        <v>4493</v>
      </c>
      <c r="B3573" s="2" t="str">
        <f>"090320176"</f>
        <v>090320176</v>
      </c>
      <c r="C3573" s="2" t="str">
        <f>"090320176"</f>
        <v>090320176</v>
      </c>
      <c r="D3573" s="2" t="s">
        <v>4504</v>
      </c>
      <c r="E3573" s="4">
        <v>28600</v>
      </c>
    </row>
    <row r="3574" spans="1:5">
      <c r="A3574" s="2" t="s">
        <v>4493</v>
      </c>
      <c r="B3574" s="2" t="str">
        <f>"30-27"</f>
        <v>30-27</v>
      </c>
      <c r="C3574" s="2" t="str">
        <f>"30-27"</f>
        <v>30-27</v>
      </c>
      <c r="D3574" s="2" t="s">
        <v>4505</v>
      </c>
      <c r="E3574" s="4">
        <v>15000</v>
      </c>
    </row>
    <row r="3575" spans="1:5">
      <c r="A3575" s="2" t="s">
        <v>4493</v>
      </c>
      <c r="B3575" s="2" t="str">
        <f>"1523738"</f>
        <v>1523738</v>
      </c>
      <c r="C3575" s="2" t="str">
        <f>"1523738"</f>
        <v>1523738</v>
      </c>
      <c r="D3575" s="2" t="s">
        <v>4506</v>
      </c>
      <c r="E3575" s="4">
        <v>21400</v>
      </c>
    </row>
    <row r="3576" spans="1:5">
      <c r="A3576" s="2" t="s">
        <v>4493</v>
      </c>
      <c r="B3576" s="2" t="str">
        <f>"30-29"</f>
        <v>30-29</v>
      </c>
      <c r="C3576" s="2" t="str">
        <f>"30-29"</f>
        <v>30-29</v>
      </c>
      <c r="D3576" s="2" t="s">
        <v>4507</v>
      </c>
      <c r="E3576" s="4">
        <v>18500</v>
      </c>
    </row>
    <row r="3577" spans="1:5">
      <c r="A3577" s="2" t="s">
        <v>4493</v>
      </c>
      <c r="B3577" s="2" t="s">
        <v>4508</v>
      </c>
      <c r="C3577" s="2" t="s">
        <v>4508</v>
      </c>
      <c r="D3577" s="2" t="s">
        <v>4509</v>
      </c>
      <c r="E3577" s="4">
        <v>18500</v>
      </c>
    </row>
    <row r="3578" spans="1:5">
      <c r="A3578" s="2" t="s">
        <v>4493</v>
      </c>
      <c r="B3578" s="2" t="str">
        <f>"46-58F"</f>
        <v>46-58F</v>
      </c>
      <c r="C3578" s="2" t="str">
        <f>"46-58F"</f>
        <v>46-58F</v>
      </c>
      <c r="D3578" s="2" t="s">
        <v>4510</v>
      </c>
      <c r="E3578" s="4">
        <v>28000</v>
      </c>
    </row>
    <row r="3579" spans="1:5">
      <c r="A3579" s="2" t="s">
        <v>4493</v>
      </c>
      <c r="B3579" s="2" t="str">
        <f>"46-23F"</f>
        <v>46-23F</v>
      </c>
      <c r="C3579" s="2" t="str">
        <f>"46-23F"</f>
        <v>46-23F</v>
      </c>
      <c r="D3579" s="2" t="s">
        <v>4511</v>
      </c>
      <c r="E3579" s="4">
        <v>38500</v>
      </c>
    </row>
    <row r="3580" spans="1:5">
      <c r="A3580" s="2" t="s">
        <v>4493</v>
      </c>
      <c r="B3580" s="2" t="str">
        <f>"5 000000 258123"</f>
        <v>5 000000 258123</v>
      </c>
      <c r="C3580" s="2" t="str">
        <f>"248423"</f>
        <v>248423</v>
      </c>
      <c r="D3580" s="2" t="s">
        <v>4512</v>
      </c>
      <c r="E3580" s="4">
        <v>24500</v>
      </c>
    </row>
    <row r="3581" spans="1:5">
      <c r="A3581" s="2" t="s">
        <v>4493</v>
      </c>
      <c r="B3581" s="2" t="str">
        <f>"58129-44520"</f>
        <v>58129-44520</v>
      </c>
      <c r="C3581" s="2" t="str">
        <f>"58129-44520"</f>
        <v>58129-44520</v>
      </c>
      <c r="D3581" s="2" t="s">
        <v>4513</v>
      </c>
      <c r="E3581" s="4">
        <v>18700</v>
      </c>
    </row>
    <row r="3582" spans="1:5">
      <c r="A3582" s="2" t="s">
        <v>4493</v>
      </c>
      <c r="B3582" s="2" t="str">
        <f>"284818"</f>
        <v>284818</v>
      </c>
      <c r="C3582" s="2" t="str">
        <f>"284818"</f>
        <v>284818</v>
      </c>
      <c r="D3582" s="2" t="s">
        <v>4514</v>
      </c>
      <c r="E3582" s="4">
        <v>28000</v>
      </c>
    </row>
    <row r="3583" spans="1:5">
      <c r="A3583" s="2" t="s">
        <v>4493</v>
      </c>
      <c r="B3583" s="2" t="str">
        <f>"37-24F"</f>
        <v>37-24F</v>
      </c>
      <c r="C3583" s="2" t="str">
        <f>"37-24F"</f>
        <v>37-24F</v>
      </c>
      <c r="D3583" s="2" t="s">
        <v>4515</v>
      </c>
      <c r="E3583" s="4">
        <v>52000</v>
      </c>
    </row>
    <row r="3584" spans="1:5">
      <c r="A3584" s="2" t="s">
        <v>4493</v>
      </c>
      <c r="B3584" s="2" t="str">
        <f>"131603"</f>
        <v>131603</v>
      </c>
      <c r="C3584" s="2" t="str">
        <f>"131603"</f>
        <v>131603</v>
      </c>
      <c r="D3584" s="2" t="s">
        <v>4516</v>
      </c>
      <c r="E3584" s="4">
        <v>11800</v>
      </c>
    </row>
    <row r="3585" spans="1:5">
      <c r="A3585" s="2" t="s">
        <v>4493</v>
      </c>
      <c r="B3585" s="2" t="str">
        <f>"017131"</f>
        <v>017131</v>
      </c>
      <c r="C3585" s="2" t="str">
        <f>"017131"</f>
        <v>017131</v>
      </c>
      <c r="D3585" s="2" t="s">
        <v>4517</v>
      </c>
      <c r="E3585" s="4">
        <v>25000</v>
      </c>
    </row>
    <row r="3586" spans="1:5">
      <c r="A3586" s="2" t="s">
        <v>4493</v>
      </c>
      <c r="B3586" s="2" t="str">
        <f>"0900208"</f>
        <v>0900208</v>
      </c>
      <c r="C3586" s="2" t="str">
        <f>"0900208"</f>
        <v>0900208</v>
      </c>
      <c r="D3586" s="2" t="s">
        <v>4518</v>
      </c>
      <c r="E3586" s="4">
        <v>32100</v>
      </c>
    </row>
    <row r="3587" spans="1:5">
      <c r="A3587" s="2" t="s">
        <v>4493</v>
      </c>
      <c r="B3587" s="2" t="s">
        <v>4519</v>
      </c>
      <c r="C3587" s="2" t="s">
        <v>4520</v>
      </c>
      <c r="D3587" s="2" t="s">
        <v>4521</v>
      </c>
      <c r="E3587" s="4">
        <v>34000</v>
      </c>
    </row>
    <row r="3588" spans="1:5">
      <c r="A3588" s="2" t="s">
        <v>4493</v>
      </c>
      <c r="B3588" s="2" t="str">
        <f>"0016589"</f>
        <v>0016589</v>
      </c>
      <c r="C3588" s="2" t="str">
        <f>"0016589"</f>
        <v>0016589</v>
      </c>
      <c r="D3588" s="2" t="s">
        <v>4522</v>
      </c>
      <c r="E3588" s="4">
        <v>25000</v>
      </c>
    </row>
    <row r="3589" spans="1:5">
      <c r="A3589" s="2" t="s">
        <v>4493</v>
      </c>
      <c r="B3589" s="2" t="s">
        <v>4523</v>
      </c>
      <c r="C3589" s="2" t="s">
        <v>4523</v>
      </c>
      <c r="D3589" s="2" t="s">
        <v>4524</v>
      </c>
      <c r="E3589" s="4">
        <v>11500</v>
      </c>
    </row>
    <row r="3590" spans="1:5">
      <c r="A3590" s="2" t="s">
        <v>4493</v>
      </c>
      <c r="B3590" s="2" t="s">
        <v>4525</v>
      </c>
      <c r="C3590" s="2" t="s">
        <v>4525</v>
      </c>
      <c r="D3590" s="2" t="s">
        <v>4526</v>
      </c>
      <c r="E3590" s="4">
        <v>12400</v>
      </c>
    </row>
    <row r="3591" spans="1:5">
      <c r="A3591" s="2" t="s">
        <v>4493</v>
      </c>
      <c r="B3591" s="2" t="str">
        <f>"015518"</f>
        <v>015518</v>
      </c>
      <c r="C3591" s="2" t="str">
        <f>"0155180"</f>
        <v>0155180</v>
      </c>
      <c r="D3591" s="2" t="s">
        <v>4526</v>
      </c>
      <c r="E3591" s="4">
        <v>14200</v>
      </c>
    </row>
    <row r="3592" spans="1:5">
      <c r="A3592" s="2" t="s">
        <v>4493</v>
      </c>
      <c r="B3592" s="2" t="str">
        <f>"015518S"</f>
        <v>015518S</v>
      </c>
      <c r="C3592" s="2" t="str">
        <f>"015518S"</f>
        <v>015518S</v>
      </c>
      <c r="D3592" s="2" t="s">
        <v>4527</v>
      </c>
      <c r="E3592" s="4">
        <v>18700</v>
      </c>
    </row>
    <row r="3593" spans="1:5">
      <c r="A3593" s="2" t="s">
        <v>4493</v>
      </c>
      <c r="B3593" s="2" t="str">
        <f>"0016603"</f>
        <v>0016603</v>
      </c>
      <c r="C3593" s="2" t="str">
        <f>"0007968"</f>
        <v>0007968</v>
      </c>
      <c r="D3593" s="2" t="s">
        <v>4528</v>
      </c>
      <c r="E3593" s="4">
        <v>18700</v>
      </c>
    </row>
    <row r="3594" spans="1:5">
      <c r="A3594" s="2" t="s">
        <v>4493</v>
      </c>
      <c r="B3594" s="2" t="str">
        <f>"0016604"</f>
        <v>0016604</v>
      </c>
      <c r="C3594" s="2" t="str">
        <f>"0016604"</f>
        <v>0016604</v>
      </c>
      <c r="D3594" s="2" t="s">
        <v>4529</v>
      </c>
      <c r="E3594" s="4">
        <v>25000</v>
      </c>
    </row>
    <row r="3595" spans="1:5">
      <c r="A3595" s="2" t="s">
        <v>4493</v>
      </c>
      <c r="B3595" s="2" t="str">
        <f>"090320155"</f>
        <v>090320155</v>
      </c>
      <c r="C3595" s="2" t="str">
        <f>"090320155"</f>
        <v>090320155</v>
      </c>
      <c r="D3595" s="2" t="s">
        <v>4530</v>
      </c>
      <c r="E3595" s="4">
        <v>28600</v>
      </c>
    </row>
    <row r="3596" spans="1:5">
      <c r="A3596" s="2" t="s">
        <v>4493</v>
      </c>
      <c r="B3596" s="2" t="s">
        <v>4531</v>
      </c>
      <c r="C3596" s="2" t="s">
        <v>4531</v>
      </c>
      <c r="D3596" s="2" t="s">
        <v>4532</v>
      </c>
      <c r="E3596" s="4">
        <v>14200</v>
      </c>
    </row>
    <row r="3597" spans="1:5">
      <c r="A3597" s="2" t="s">
        <v>4493</v>
      </c>
      <c r="B3597" s="2" t="str">
        <f>"0016609"</f>
        <v>0016609</v>
      </c>
      <c r="C3597" s="2" t="str">
        <f>"0016609"</f>
        <v>0016609</v>
      </c>
      <c r="D3597" s="2" t="s">
        <v>4533</v>
      </c>
      <c r="E3597" s="4">
        <v>29500</v>
      </c>
    </row>
    <row r="3598" spans="1:5">
      <c r="A3598" s="2" t="s">
        <v>4493</v>
      </c>
      <c r="B3598" s="2" t="str">
        <f>"0011839"</f>
        <v>0011839</v>
      </c>
      <c r="C3598" s="2" t="str">
        <f>"0011839"</f>
        <v>0011839</v>
      </c>
      <c r="D3598" s="2" t="s">
        <v>4534</v>
      </c>
      <c r="E3598" s="4">
        <v>14200</v>
      </c>
    </row>
    <row r="3599" spans="1:5">
      <c r="A3599" s="2" t="s">
        <v>4493</v>
      </c>
      <c r="B3599" s="2" t="s">
        <v>4535</v>
      </c>
      <c r="C3599" s="2" t="s">
        <v>4535</v>
      </c>
      <c r="D3599" s="2" t="s">
        <v>4536</v>
      </c>
      <c r="E3599" s="4">
        <v>12400</v>
      </c>
    </row>
    <row r="3600" spans="1:5">
      <c r="A3600" s="2" t="s">
        <v>4493</v>
      </c>
      <c r="B3600" s="2" t="str">
        <f>"55311-60B11"</f>
        <v>55311-60B11</v>
      </c>
      <c r="C3600" s="2" t="str">
        <f>"55311-60B11"</f>
        <v>55311-60B11</v>
      </c>
      <c r="D3600" s="2" t="s">
        <v>4537</v>
      </c>
      <c r="E3600" s="4">
        <v>14000</v>
      </c>
    </row>
    <row r="3601" spans="1:5">
      <c r="A3601" s="2" t="s">
        <v>4493</v>
      </c>
      <c r="B3601" s="2" t="str">
        <f>"93-15"</f>
        <v>93-15</v>
      </c>
      <c r="C3601" s="2" t="str">
        <f>"93-15"</f>
        <v>93-15</v>
      </c>
      <c r="D3601" s="2" t="s">
        <v>4538</v>
      </c>
      <c r="E3601" s="4">
        <v>15000</v>
      </c>
    </row>
    <row r="3602" spans="1:5">
      <c r="A3602" s="2" t="s">
        <v>4493</v>
      </c>
      <c r="B3602" s="2" t="str">
        <f>"090320058"</f>
        <v>090320058</v>
      </c>
      <c r="C3602" s="2" t="str">
        <f>"090320058"</f>
        <v>090320058</v>
      </c>
      <c r="D3602" s="2" t="s">
        <v>4539</v>
      </c>
      <c r="E3602" s="4">
        <v>25000</v>
      </c>
    </row>
    <row r="3603" spans="1:5">
      <c r="A3603" s="2" t="s">
        <v>4493</v>
      </c>
      <c r="B3603" s="2" t="s">
        <v>4540</v>
      </c>
      <c r="C3603" s="2" t="s">
        <v>4540</v>
      </c>
      <c r="D3603" s="2" t="s">
        <v>4541</v>
      </c>
      <c r="E3603" s="4">
        <v>19000</v>
      </c>
    </row>
    <row r="3604" spans="1:5">
      <c r="A3604" s="2" t="s">
        <v>4493</v>
      </c>
      <c r="B3604" s="2" t="str">
        <f>"93-16"</f>
        <v>93-16</v>
      </c>
      <c r="C3604" s="2" t="str">
        <f>"93-16"</f>
        <v>93-16</v>
      </c>
      <c r="D3604" s="2" t="s">
        <v>4542</v>
      </c>
      <c r="E3604" s="4">
        <v>19600</v>
      </c>
    </row>
    <row r="3605" spans="1:5">
      <c r="A3605" s="2" t="s">
        <v>4493</v>
      </c>
      <c r="B3605" s="2" t="s">
        <v>4543</v>
      </c>
      <c r="C3605" s="2" t="s">
        <v>4543</v>
      </c>
      <c r="D3605" s="2" t="s">
        <v>4544</v>
      </c>
      <c r="E3605" s="4">
        <v>29500</v>
      </c>
    </row>
    <row r="3606" spans="1:5">
      <c r="A3606" s="2" t="s">
        <v>4493</v>
      </c>
      <c r="B3606" s="2" t="s">
        <v>4545</v>
      </c>
      <c r="C3606" s="2" t="s">
        <v>4545</v>
      </c>
      <c r="D3606" s="2" t="s">
        <v>4546</v>
      </c>
      <c r="E3606" s="4">
        <v>9700</v>
      </c>
    </row>
    <row r="3607" spans="1:5">
      <c r="A3607" s="2" t="s">
        <v>2544</v>
      </c>
      <c r="B3607" s="2" t="str">
        <f>"0400100"</f>
        <v>0400100</v>
      </c>
      <c r="C3607" s="2" t="str">
        <f>"0400100"</f>
        <v>0400100</v>
      </c>
      <c r="D3607" s="2" t="s">
        <v>4547</v>
      </c>
      <c r="E3607" s="4">
        <v>133000</v>
      </c>
    </row>
    <row r="3608" spans="1:5" ht="27.6">
      <c r="A3608" s="2" t="s">
        <v>426</v>
      </c>
      <c r="B3608" s="2" t="s">
        <v>4548</v>
      </c>
      <c r="C3608" s="2" t="str">
        <f>"1609272802817"</f>
        <v>1609272802817</v>
      </c>
      <c r="D3608" s="2" t="s">
        <v>4549</v>
      </c>
      <c r="E3608" s="4">
        <v>25000</v>
      </c>
    </row>
    <row r="3609" spans="1:5">
      <c r="A3609" s="2" t="s">
        <v>1478</v>
      </c>
      <c r="B3609" s="2" t="s">
        <v>4550</v>
      </c>
      <c r="C3609" s="2" t="s">
        <v>4550</v>
      </c>
      <c r="D3609" s="2" t="s">
        <v>4551</v>
      </c>
      <c r="E3609" s="4">
        <v>16000</v>
      </c>
    </row>
    <row r="3610" spans="1:5">
      <c r="A3610" s="2" t="s">
        <v>421</v>
      </c>
      <c r="B3610" s="2" t="s">
        <v>4552</v>
      </c>
      <c r="C3610" s="2" t="str">
        <f>"1728999367339"</f>
        <v>1728999367339</v>
      </c>
      <c r="D3610" s="2" t="s">
        <v>4553</v>
      </c>
      <c r="E3610" s="2">
        <v>0</v>
      </c>
    </row>
    <row r="3611" spans="1:5">
      <c r="A3611" s="2" t="s">
        <v>296</v>
      </c>
      <c r="B3611" s="2" t="str">
        <f>"8163418"</f>
        <v>8163418</v>
      </c>
      <c r="C3611" s="2" t="str">
        <f>"8163418"</f>
        <v>8163418</v>
      </c>
      <c r="D3611" s="2" t="s">
        <v>4554</v>
      </c>
      <c r="E3611" s="4">
        <v>45000</v>
      </c>
    </row>
    <row r="3612" spans="1:5">
      <c r="A3612" s="2" t="s">
        <v>296</v>
      </c>
      <c r="B3612" s="2" t="str">
        <f>"0014124"</f>
        <v>0014124</v>
      </c>
      <c r="C3612" s="2" t="str">
        <f>"0014124"</f>
        <v>0014124</v>
      </c>
      <c r="D3612" s="2" t="s">
        <v>4555</v>
      </c>
      <c r="E3612" s="4">
        <v>38000</v>
      </c>
    </row>
    <row r="3613" spans="1:5">
      <c r="A3613" s="2" t="s">
        <v>296</v>
      </c>
      <c r="B3613" s="2" t="str">
        <f>"0005449"</f>
        <v>0005449</v>
      </c>
      <c r="C3613" s="2" t="str">
        <f>"0005449"</f>
        <v>0005449</v>
      </c>
      <c r="D3613" s="2" t="s">
        <v>4556</v>
      </c>
      <c r="E3613" s="4">
        <v>68000</v>
      </c>
    </row>
    <row r="3614" spans="1:5">
      <c r="A3614" s="2" t="s">
        <v>296</v>
      </c>
      <c r="B3614" s="2" t="str">
        <f>"0001710"</f>
        <v>0001710</v>
      </c>
      <c r="C3614" s="2" t="str">
        <f>"0001710"</f>
        <v>0001710</v>
      </c>
      <c r="D3614" s="2" t="s">
        <v>4557</v>
      </c>
      <c r="E3614" s="4">
        <v>39000</v>
      </c>
    </row>
    <row r="3615" spans="1:5">
      <c r="A3615" s="2" t="s">
        <v>296</v>
      </c>
      <c r="B3615" s="2" t="s">
        <v>4558</v>
      </c>
      <c r="C3615" s="2" t="s">
        <v>4558</v>
      </c>
      <c r="D3615" s="2" t="s">
        <v>4559</v>
      </c>
      <c r="E3615" s="4">
        <v>38500</v>
      </c>
    </row>
    <row r="3616" spans="1:5">
      <c r="A3616" s="2" t="s">
        <v>296</v>
      </c>
      <c r="B3616" s="2" t="str">
        <f>"141297"</f>
        <v>141297</v>
      </c>
      <c r="C3616" s="2" t="str">
        <f>"141297"</f>
        <v>141297</v>
      </c>
      <c r="D3616" s="2" t="s">
        <v>4560</v>
      </c>
      <c r="E3616" s="4">
        <v>350000</v>
      </c>
    </row>
    <row r="3617" spans="1:5">
      <c r="A3617" s="2" t="s">
        <v>296</v>
      </c>
      <c r="B3617" s="2" t="str">
        <f>"248349"</f>
        <v>248349</v>
      </c>
      <c r="C3617" s="2" t="str">
        <f>"248349"</f>
        <v>248349</v>
      </c>
      <c r="D3617" s="2" t="s">
        <v>4561</v>
      </c>
      <c r="E3617" s="4">
        <v>58300</v>
      </c>
    </row>
    <row r="3618" spans="1:5">
      <c r="A3618" s="2" t="s">
        <v>1478</v>
      </c>
      <c r="B3618" s="2" t="str">
        <f>"0008562"</f>
        <v>0008562</v>
      </c>
      <c r="C3618" s="2" t="str">
        <f>"0008562"</f>
        <v>0008562</v>
      </c>
      <c r="D3618" s="2" t="s">
        <v>4562</v>
      </c>
      <c r="E3618" s="4">
        <v>75000</v>
      </c>
    </row>
    <row r="3619" spans="1:5">
      <c r="A3619" s="2" t="s">
        <v>1478</v>
      </c>
      <c r="B3619" s="2" t="s">
        <v>4563</v>
      </c>
      <c r="C3619" s="2" t="s">
        <v>4563</v>
      </c>
      <c r="D3619" s="2" t="s">
        <v>4564</v>
      </c>
      <c r="E3619" s="4">
        <v>89000</v>
      </c>
    </row>
    <row r="3620" spans="1:5">
      <c r="A3620" s="2" t="s">
        <v>1478</v>
      </c>
      <c r="B3620" s="2" t="s">
        <v>4565</v>
      </c>
      <c r="C3620" s="2" t="s">
        <v>4565</v>
      </c>
      <c r="D3620" s="2" t="s">
        <v>4566</v>
      </c>
      <c r="E3620" s="4">
        <v>62000</v>
      </c>
    </row>
    <row r="3621" spans="1:5">
      <c r="A3621" s="2" t="s">
        <v>1478</v>
      </c>
      <c r="B3621" s="2" t="str">
        <f>"0002805"</f>
        <v>0002805</v>
      </c>
      <c r="C3621" s="2" t="str">
        <f>"002805"</f>
        <v>002805</v>
      </c>
      <c r="D3621" s="2" t="s">
        <v>4567</v>
      </c>
      <c r="E3621" s="4">
        <v>43000</v>
      </c>
    </row>
    <row r="3622" spans="1:5">
      <c r="A3622" s="2" t="s">
        <v>1478</v>
      </c>
      <c r="B3622" s="2" t="str">
        <f>"0007447"</f>
        <v>0007447</v>
      </c>
      <c r="C3622" s="2" t="str">
        <f>"0007447"</f>
        <v>0007447</v>
      </c>
      <c r="D3622" s="2" t="s">
        <v>4568</v>
      </c>
      <c r="E3622" s="4">
        <v>39000</v>
      </c>
    </row>
    <row r="3623" spans="1:5">
      <c r="A3623" s="2" t="s">
        <v>1478</v>
      </c>
      <c r="B3623" s="2" t="str">
        <f>"090830021"</f>
        <v>090830021</v>
      </c>
      <c r="C3623" s="2" t="str">
        <f>"090830021"</f>
        <v>090830021</v>
      </c>
      <c r="D3623" s="2" t="s">
        <v>4569</v>
      </c>
      <c r="E3623" s="4">
        <v>59000</v>
      </c>
    </row>
    <row r="3624" spans="1:5">
      <c r="A3624" s="2" t="s">
        <v>365</v>
      </c>
      <c r="B3624" s="2" t="str">
        <f>"57954"</f>
        <v>57954</v>
      </c>
      <c r="C3624" s="2" t="str">
        <f>"57954"</f>
        <v>57954</v>
      </c>
      <c r="D3624" s="2" t="s">
        <v>4570</v>
      </c>
      <c r="E3624" s="4">
        <v>1200</v>
      </c>
    </row>
    <row r="3625" spans="1:5">
      <c r="A3625" s="2" t="s">
        <v>365</v>
      </c>
      <c r="B3625" s="2" t="str">
        <f>"57921"</f>
        <v>57921</v>
      </c>
      <c r="C3625" s="2" t="str">
        <f>"57921"</f>
        <v>57921</v>
      </c>
      <c r="D3625" s="2" t="s">
        <v>4571</v>
      </c>
      <c r="E3625" s="4">
        <v>2600</v>
      </c>
    </row>
    <row r="3626" spans="1:5">
      <c r="A3626" s="2" t="s">
        <v>365</v>
      </c>
      <c r="B3626" s="2" t="str">
        <f>"57952"</f>
        <v>57952</v>
      </c>
      <c r="C3626" s="2" t="str">
        <f>"57952"</f>
        <v>57952</v>
      </c>
      <c r="D3626" s="2" t="s">
        <v>4572</v>
      </c>
      <c r="E3626" s="4">
        <v>2600</v>
      </c>
    </row>
    <row r="3627" spans="1:5">
      <c r="A3627" s="2" t="s">
        <v>365</v>
      </c>
      <c r="B3627" s="2" t="str">
        <f>"57951"</f>
        <v>57951</v>
      </c>
      <c r="C3627" s="2" t="str">
        <f>"57951"</f>
        <v>57951</v>
      </c>
      <c r="D3627" s="2" t="s">
        <v>4573</v>
      </c>
      <c r="E3627" s="4">
        <v>1400</v>
      </c>
    </row>
    <row r="3628" spans="1:5">
      <c r="A3628" s="2" t="s">
        <v>365</v>
      </c>
      <c r="B3628" s="2" t="str">
        <f>"011641"</f>
        <v>011641</v>
      </c>
      <c r="C3628" s="2" t="str">
        <f>"011641"</f>
        <v>011641</v>
      </c>
      <c r="D3628" s="2" t="s">
        <v>4574</v>
      </c>
      <c r="E3628" s="4">
        <v>9500</v>
      </c>
    </row>
    <row r="3629" spans="1:5">
      <c r="A3629" s="2" t="s">
        <v>365</v>
      </c>
      <c r="B3629" s="2" t="str">
        <f>"030780257"</f>
        <v>030780257</v>
      </c>
      <c r="C3629" s="2" t="str">
        <f>"0499"</f>
        <v>0499</v>
      </c>
      <c r="D3629" s="2" t="s">
        <v>4575</v>
      </c>
      <c r="E3629" s="4">
        <v>12500</v>
      </c>
    </row>
    <row r="3630" spans="1:5">
      <c r="A3630" s="2" t="s">
        <v>365</v>
      </c>
      <c r="B3630" s="2" t="str">
        <f>"011639"</f>
        <v>011639</v>
      </c>
      <c r="C3630" s="2" t="str">
        <f>"011639"</f>
        <v>011639</v>
      </c>
      <c r="D3630" s="2" t="s">
        <v>4576</v>
      </c>
      <c r="E3630" s="4">
        <v>15000</v>
      </c>
    </row>
    <row r="3631" spans="1:5">
      <c r="A3631" s="2" t="s">
        <v>365</v>
      </c>
      <c r="B3631" s="2" t="str">
        <f>"012036"</f>
        <v>012036</v>
      </c>
      <c r="C3631" s="2" t="str">
        <f>"012036"</f>
        <v>012036</v>
      </c>
      <c r="D3631" s="2" t="s">
        <v>4577</v>
      </c>
      <c r="E3631" s="4">
        <v>58500</v>
      </c>
    </row>
    <row r="3632" spans="1:5">
      <c r="A3632" s="2" t="s">
        <v>365</v>
      </c>
      <c r="B3632" s="2" t="str">
        <f>"030780283"</f>
        <v>030780283</v>
      </c>
      <c r="C3632" s="2" t="str">
        <f>"0701"</f>
        <v>0701</v>
      </c>
      <c r="D3632" s="2" t="s">
        <v>4578</v>
      </c>
      <c r="E3632" s="4">
        <v>14800</v>
      </c>
    </row>
    <row r="3633" spans="1:5">
      <c r="A3633" s="2" t="s">
        <v>365</v>
      </c>
      <c r="B3633" s="2" t="s">
        <v>4579</v>
      </c>
      <c r="C3633" s="2" t="s">
        <v>4579</v>
      </c>
      <c r="D3633" s="2" t="s">
        <v>4580</v>
      </c>
      <c r="E3633" s="4">
        <v>1700</v>
      </c>
    </row>
    <row r="3634" spans="1:5">
      <c r="A3634" s="2" t="s">
        <v>365</v>
      </c>
      <c r="B3634" s="2" t="s">
        <v>4581</v>
      </c>
      <c r="C3634" s="2" t="s">
        <v>4581</v>
      </c>
      <c r="D3634" s="2" t="s">
        <v>4582</v>
      </c>
      <c r="E3634" s="4">
        <v>1500</v>
      </c>
    </row>
    <row r="3635" spans="1:5">
      <c r="A3635" s="2" t="s">
        <v>365</v>
      </c>
      <c r="B3635" s="2" t="str">
        <f>"54321046"</f>
        <v>54321046</v>
      </c>
      <c r="C3635" s="2" t="str">
        <f>"54321046"</f>
        <v>54321046</v>
      </c>
      <c r="D3635" s="2" t="s">
        <v>4583</v>
      </c>
      <c r="E3635" s="2">
        <v>100</v>
      </c>
    </row>
    <row r="3636" spans="1:5">
      <c r="A3636" s="2" t="s">
        <v>365</v>
      </c>
      <c r="B3636" s="2" t="str">
        <f>"54321050"</f>
        <v>54321050</v>
      </c>
      <c r="C3636" s="2" t="str">
        <f>"54321050"</f>
        <v>54321050</v>
      </c>
      <c r="D3636" s="2" t="s">
        <v>4584</v>
      </c>
      <c r="E3636" s="2">
        <v>100</v>
      </c>
    </row>
    <row r="3637" spans="1:5">
      <c r="A3637" s="2" t="s">
        <v>365</v>
      </c>
      <c r="B3637" s="2" t="s">
        <v>4585</v>
      </c>
      <c r="C3637" s="2" t="s">
        <v>4586</v>
      </c>
      <c r="D3637" s="2" t="s">
        <v>4587</v>
      </c>
      <c r="E3637" s="4">
        <v>1000</v>
      </c>
    </row>
    <row r="3638" spans="1:5">
      <c r="A3638" s="2" t="s">
        <v>165</v>
      </c>
      <c r="B3638" s="2" t="str">
        <f>"022028GL"</f>
        <v>022028GL</v>
      </c>
      <c r="C3638" s="2" t="str">
        <f>"022028GL"</f>
        <v>022028GL</v>
      </c>
      <c r="D3638" s="2" t="s">
        <v>4588</v>
      </c>
      <c r="E3638" s="4">
        <v>9700</v>
      </c>
    </row>
    <row r="3639" spans="1:5">
      <c r="A3639" s="2" t="s">
        <v>2541</v>
      </c>
      <c r="B3639" s="2" t="s">
        <v>4589</v>
      </c>
      <c r="C3639" s="2" t="s">
        <v>4589</v>
      </c>
      <c r="D3639" s="2" t="s">
        <v>4590</v>
      </c>
      <c r="E3639" s="4">
        <v>261800</v>
      </c>
    </row>
    <row r="3640" spans="1:5">
      <c r="A3640" s="2" t="s">
        <v>2541</v>
      </c>
      <c r="B3640" s="2" t="s">
        <v>4591</v>
      </c>
      <c r="C3640" s="2" t="str">
        <f>"1688400156439"</f>
        <v>1688400156439</v>
      </c>
      <c r="D3640" s="2" t="s">
        <v>4592</v>
      </c>
      <c r="E3640" s="4">
        <v>79000</v>
      </c>
    </row>
    <row r="3641" spans="1:5">
      <c r="A3641" s="2" t="s">
        <v>2064</v>
      </c>
      <c r="B3641" s="2" t="str">
        <f>"1483009-K"</f>
        <v>1483009-K</v>
      </c>
      <c r="C3641" s="2" t="str">
        <f>"1483009-K"</f>
        <v>1483009-K</v>
      </c>
      <c r="D3641" s="2" t="s">
        <v>4593</v>
      </c>
      <c r="E3641" s="4">
        <v>34900</v>
      </c>
    </row>
    <row r="3642" spans="1:5">
      <c r="A3642" s="2" t="s">
        <v>2064</v>
      </c>
      <c r="B3642" s="2" t="str">
        <f>"0002808"</f>
        <v>0002808</v>
      </c>
      <c r="C3642" s="2" t="str">
        <f>"0002808"</f>
        <v>0002808</v>
      </c>
      <c r="D3642" s="2" t="s">
        <v>4594</v>
      </c>
      <c r="E3642" s="4">
        <v>43000</v>
      </c>
    </row>
    <row r="3643" spans="1:5">
      <c r="A3643" s="2" t="s">
        <v>2064</v>
      </c>
      <c r="B3643" s="2" t="str">
        <f>"001593032-2"</f>
        <v>001593032-2</v>
      </c>
      <c r="C3643" s="2" t="str">
        <f>"001593032-2"</f>
        <v>001593032-2</v>
      </c>
      <c r="D3643" s="2" t="s">
        <v>4595</v>
      </c>
      <c r="E3643" s="4">
        <v>59000</v>
      </c>
    </row>
    <row r="3644" spans="1:5">
      <c r="A3644" s="2" t="s">
        <v>2064</v>
      </c>
      <c r="B3644" s="2" t="s">
        <v>4596</v>
      </c>
      <c r="C3644" s="2" t="s">
        <v>4597</v>
      </c>
      <c r="D3644" s="2" t="s">
        <v>4598</v>
      </c>
      <c r="E3644" s="4">
        <v>39000</v>
      </c>
    </row>
    <row r="3645" spans="1:5">
      <c r="A3645" s="2" t="s">
        <v>2064</v>
      </c>
      <c r="B3645" s="2" t="str">
        <f>"001483046-4"</f>
        <v>001483046-4</v>
      </c>
      <c r="C3645" s="2" t="str">
        <f>"001483046-4"</f>
        <v>001483046-4</v>
      </c>
      <c r="D3645" s="2" t="s">
        <v>4599</v>
      </c>
      <c r="E3645" s="4">
        <v>88000</v>
      </c>
    </row>
    <row r="3646" spans="1:5">
      <c r="A3646" s="2" t="s">
        <v>2064</v>
      </c>
      <c r="B3646" s="2" t="str">
        <f>"1483046-4"</f>
        <v>1483046-4</v>
      </c>
      <c r="C3646" s="2" t="str">
        <f>"1483046-4"</f>
        <v>1483046-4</v>
      </c>
      <c r="D3646" s="2" t="s">
        <v>4600</v>
      </c>
      <c r="E3646" s="4">
        <v>82000</v>
      </c>
    </row>
    <row r="3647" spans="1:5">
      <c r="A3647" s="2" t="s">
        <v>2064</v>
      </c>
      <c r="B3647" s="2" t="str">
        <f>"0030836"</f>
        <v>0030836</v>
      </c>
      <c r="C3647" s="2" t="str">
        <f>"0030836"</f>
        <v>0030836</v>
      </c>
      <c r="D3647" s="2" t="s">
        <v>4601</v>
      </c>
      <c r="E3647" s="4">
        <v>105000</v>
      </c>
    </row>
    <row r="3648" spans="1:5" ht="27.6">
      <c r="A3648" s="2" t="s">
        <v>2064</v>
      </c>
      <c r="B3648" s="2" t="str">
        <f>"0033374"</f>
        <v>0033374</v>
      </c>
      <c r="C3648" s="2" t="str">
        <f>"0033374"</f>
        <v>0033374</v>
      </c>
      <c r="D3648" s="2" t="s">
        <v>4602</v>
      </c>
      <c r="E3648" s="4">
        <v>68000</v>
      </c>
    </row>
    <row r="3649" spans="1:5">
      <c r="A3649" s="2" t="s">
        <v>2064</v>
      </c>
      <c r="B3649" s="2" t="str">
        <f>"002451980-5"</f>
        <v>002451980-5</v>
      </c>
      <c r="C3649" s="2" t="str">
        <f>"002451980-5"</f>
        <v>002451980-5</v>
      </c>
      <c r="D3649" s="2" t="s">
        <v>4603</v>
      </c>
      <c r="E3649" s="4">
        <v>65000</v>
      </c>
    </row>
    <row r="3650" spans="1:5">
      <c r="A3650" s="2" t="s">
        <v>2064</v>
      </c>
      <c r="B3650" s="2" t="str">
        <f>"001214048-7"</f>
        <v>001214048-7</v>
      </c>
      <c r="C3650" s="2" t="str">
        <f>"001214048-7"</f>
        <v>001214048-7</v>
      </c>
      <c r="D3650" s="2" t="s">
        <v>4604</v>
      </c>
      <c r="E3650" s="4">
        <v>43000</v>
      </c>
    </row>
    <row r="3651" spans="1:5">
      <c r="A3651" s="2" t="s">
        <v>2064</v>
      </c>
      <c r="B3651" s="2" t="str">
        <f>"0003959"</f>
        <v>0003959</v>
      </c>
      <c r="C3651" s="2" t="str">
        <f>"0003959"</f>
        <v>0003959</v>
      </c>
      <c r="D3651" s="2" t="s">
        <v>4605</v>
      </c>
      <c r="E3651" s="4">
        <v>75000</v>
      </c>
    </row>
    <row r="3652" spans="1:5">
      <c r="A3652" s="2" t="s">
        <v>2064</v>
      </c>
      <c r="B3652" s="2" t="str">
        <f>"25350-1W050"</f>
        <v>25350-1W050</v>
      </c>
      <c r="C3652" s="2" t="str">
        <f>"25350-1W050"</f>
        <v>25350-1W050</v>
      </c>
      <c r="D3652" s="2" t="s">
        <v>4606</v>
      </c>
      <c r="E3652" s="4">
        <v>89000</v>
      </c>
    </row>
    <row r="3653" spans="1:5">
      <c r="A3653" s="2" t="s">
        <v>2064</v>
      </c>
      <c r="B3653" s="2" t="str">
        <f>"001214037-1"</f>
        <v>001214037-1</v>
      </c>
      <c r="C3653" s="2" t="str">
        <f>"001214037-1"</f>
        <v>001214037-1</v>
      </c>
      <c r="D3653" s="2" t="s">
        <v>4607</v>
      </c>
      <c r="E3653" s="4">
        <v>110000</v>
      </c>
    </row>
    <row r="3654" spans="1:5">
      <c r="A3654" s="2" t="s">
        <v>2064</v>
      </c>
      <c r="B3654" s="2" t="str">
        <f>"071230898"</f>
        <v>071230898</v>
      </c>
      <c r="C3654" s="2" t="str">
        <f>"071230898"</f>
        <v>071230898</v>
      </c>
      <c r="D3654" s="2" t="s">
        <v>4608</v>
      </c>
      <c r="E3654" s="4">
        <v>89000</v>
      </c>
    </row>
    <row r="3655" spans="1:5">
      <c r="A3655" s="2" t="s">
        <v>2064</v>
      </c>
      <c r="B3655" s="2" t="str">
        <f>"090830027"</f>
        <v>090830027</v>
      </c>
      <c r="C3655" s="2" t="str">
        <f>"090830027"</f>
        <v>090830027</v>
      </c>
      <c r="D3655" s="2" t="s">
        <v>4609</v>
      </c>
      <c r="E3655" s="4">
        <v>79000</v>
      </c>
    </row>
    <row r="3656" spans="1:5">
      <c r="A3656" s="2" t="s">
        <v>2064</v>
      </c>
      <c r="B3656" s="2" t="s">
        <v>4610</v>
      </c>
      <c r="C3656" s="2" t="s">
        <v>4610</v>
      </c>
      <c r="D3656" s="2" t="s">
        <v>4611</v>
      </c>
      <c r="E3656" s="4">
        <v>72000</v>
      </c>
    </row>
    <row r="3657" spans="1:5">
      <c r="A3657" s="2" t="s">
        <v>2064</v>
      </c>
      <c r="B3657" s="2" t="str">
        <f>"0002806"</f>
        <v>0002806</v>
      </c>
      <c r="C3657" s="2" t="str">
        <f>"0002806"</f>
        <v>0002806</v>
      </c>
      <c r="D3657" s="2" t="s">
        <v>4612</v>
      </c>
      <c r="E3657" s="4">
        <v>52000</v>
      </c>
    </row>
    <row r="3658" spans="1:5">
      <c r="A3658" s="2" t="s">
        <v>2064</v>
      </c>
      <c r="B3658" s="2" t="str">
        <f>"090830046"</f>
        <v>090830046</v>
      </c>
      <c r="C3658" s="2" t="str">
        <f>"090830046"</f>
        <v>090830046</v>
      </c>
      <c r="D3658" s="2" t="s">
        <v>4613</v>
      </c>
      <c r="E3658" s="4">
        <v>59000</v>
      </c>
    </row>
    <row r="3659" spans="1:5" ht="27.6">
      <c r="A3659" s="2" t="s">
        <v>2064</v>
      </c>
      <c r="B3659" s="2" t="str">
        <f>"0002858"</f>
        <v>0002858</v>
      </c>
      <c r="C3659" s="2" t="str">
        <f>"0002858 090830021"</f>
        <v>0002858 090830021</v>
      </c>
      <c r="D3659" s="2" t="s">
        <v>4614</v>
      </c>
      <c r="E3659" s="4">
        <v>78000</v>
      </c>
    </row>
    <row r="3660" spans="1:5">
      <c r="A3660" s="2" t="s">
        <v>2064</v>
      </c>
      <c r="B3660" s="2" t="str">
        <f>"0002857"</f>
        <v>0002857</v>
      </c>
      <c r="C3660" s="2" t="str">
        <f>"0002857"</f>
        <v>0002857</v>
      </c>
      <c r="D3660" s="2" t="s">
        <v>4615</v>
      </c>
      <c r="E3660" s="4">
        <v>59000</v>
      </c>
    </row>
    <row r="3661" spans="1:5">
      <c r="A3661" s="2" t="s">
        <v>2064</v>
      </c>
      <c r="B3661" s="2" t="str">
        <f>"090830024"</f>
        <v>090830024</v>
      </c>
      <c r="C3661" s="2" t="str">
        <f>"090830022 0002856"</f>
        <v>090830022 0002856</v>
      </c>
      <c r="D3661" s="2" t="s">
        <v>4616</v>
      </c>
      <c r="E3661" s="4">
        <v>88000</v>
      </c>
    </row>
    <row r="3662" spans="1:5">
      <c r="A3662" s="2" t="s">
        <v>3442</v>
      </c>
      <c r="B3662" s="2" t="s">
        <v>4617</v>
      </c>
      <c r="C3662" s="2" t="s">
        <v>4617</v>
      </c>
      <c r="D3662" s="2" t="s">
        <v>4618</v>
      </c>
      <c r="E3662" s="4">
        <v>250000</v>
      </c>
    </row>
    <row r="3663" spans="1:5">
      <c r="A3663" s="2" t="s">
        <v>3442</v>
      </c>
      <c r="B3663" s="2" t="str">
        <f>"287705"</f>
        <v>287705</v>
      </c>
      <c r="C3663" s="2" t="str">
        <f>"287705"</f>
        <v>287705</v>
      </c>
      <c r="D3663" s="2" t="s">
        <v>4619</v>
      </c>
      <c r="E3663" s="4">
        <v>34000</v>
      </c>
    </row>
    <row r="3664" spans="1:5">
      <c r="A3664" s="2" t="s">
        <v>3442</v>
      </c>
      <c r="B3664" s="2" t="str">
        <f>"287723"</f>
        <v>287723</v>
      </c>
      <c r="C3664" s="2" t="str">
        <f>"287723"</f>
        <v>287723</v>
      </c>
      <c r="D3664" s="2" t="s">
        <v>4620</v>
      </c>
      <c r="E3664" s="4">
        <v>34000</v>
      </c>
    </row>
    <row r="3665" spans="1:5">
      <c r="A3665" s="2" t="s">
        <v>2064</v>
      </c>
      <c r="B3665" s="2" t="str">
        <f>"001214033-9"</f>
        <v>001214033-9</v>
      </c>
      <c r="C3665" s="2" t="str">
        <f>"001214033-9"</f>
        <v>001214033-9</v>
      </c>
      <c r="D3665" s="2" t="s">
        <v>4621</v>
      </c>
      <c r="E3665" s="4">
        <v>61000</v>
      </c>
    </row>
    <row r="3666" spans="1:5">
      <c r="A3666" s="2" t="s">
        <v>4622</v>
      </c>
      <c r="B3666" s="2" t="str">
        <f>"013348"</f>
        <v>013348</v>
      </c>
      <c r="C3666" s="2" t="str">
        <f>"013348"</f>
        <v>013348</v>
      </c>
      <c r="D3666" s="2" t="s">
        <v>4623</v>
      </c>
      <c r="E3666" s="4">
        <v>3500</v>
      </c>
    </row>
    <row r="3667" spans="1:5">
      <c r="A3667" s="2" t="s">
        <v>4622</v>
      </c>
      <c r="B3667" s="2" t="str">
        <f>"282167"</f>
        <v>282167</v>
      </c>
      <c r="C3667" s="2" t="str">
        <f>"282167"</f>
        <v>282167</v>
      </c>
      <c r="D3667" s="2" t="s">
        <v>4624</v>
      </c>
      <c r="E3667" s="4">
        <v>3200</v>
      </c>
    </row>
    <row r="3668" spans="1:5">
      <c r="A3668" s="2" t="s">
        <v>4622</v>
      </c>
      <c r="B3668" s="2" t="str">
        <f>"260213"</f>
        <v>260213</v>
      </c>
      <c r="C3668" s="2" t="str">
        <f>"260213"</f>
        <v>260213</v>
      </c>
      <c r="D3668" s="2" t="s">
        <v>4625</v>
      </c>
      <c r="E3668" s="4">
        <v>1800</v>
      </c>
    </row>
    <row r="3669" spans="1:5">
      <c r="A3669" s="2" t="s">
        <v>4622</v>
      </c>
      <c r="B3669" s="2" t="str">
        <f>"301501"</f>
        <v>301501</v>
      </c>
      <c r="C3669" s="2" t="str">
        <f>"301501"</f>
        <v>301501</v>
      </c>
      <c r="D3669" s="2" t="s">
        <v>4626</v>
      </c>
      <c r="E3669" s="4">
        <v>7500</v>
      </c>
    </row>
    <row r="3670" spans="1:5">
      <c r="A3670" s="2" t="s">
        <v>4622</v>
      </c>
      <c r="B3670" s="2" t="str">
        <f>"210414"</f>
        <v>210414</v>
      </c>
      <c r="C3670" s="2" t="str">
        <f>"210414"</f>
        <v>210414</v>
      </c>
      <c r="D3670" s="2" t="s">
        <v>4627</v>
      </c>
      <c r="E3670" s="4">
        <v>8500</v>
      </c>
    </row>
    <row r="3671" spans="1:5">
      <c r="A3671" s="2" t="s">
        <v>4622</v>
      </c>
      <c r="B3671" s="2" t="str">
        <f>"002538"</f>
        <v>002538</v>
      </c>
      <c r="C3671" s="2" t="str">
        <f>"002538"</f>
        <v>002538</v>
      </c>
      <c r="D3671" s="2" t="s">
        <v>4628</v>
      </c>
      <c r="E3671" s="4">
        <v>1500</v>
      </c>
    </row>
    <row r="3672" spans="1:5">
      <c r="A3672" s="2" t="s">
        <v>4622</v>
      </c>
      <c r="B3672" s="2" t="str">
        <f>"230172"</f>
        <v>230172</v>
      </c>
      <c r="C3672" s="2" t="str">
        <f>"230172"</f>
        <v>230172</v>
      </c>
      <c r="D3672" s="2" t="s">
        <v>4629</v>
      </c>
      <c r="E3672" s="4">
        <v>6800</v>
      </c>
    </row>
    <row r="3673" spans="1:5">
      <c r="A3673" s="2" t="s">
        <v>4622</v>
      </c>
      <c r="B3673" s="2" t="str">
        <f>"288772"</f>
        <v>288772</v>
      </c>
      <c r="C3673" s="2" t="str">
        <f>"288772"</f>
        <v>288772</v>
      </c>
      <c r="D3673" s="2" t="s">
        <v>4630</v>
      </c>
      <c r="E3673" s="4">
        <v>3800</v>
      </c>
    </row>
    <row r="3674" spans="1:5">
      <c r="A3674" s="2" t="s">
        <v>4622</v>
      </c>
      <c r="B3674" s="2" t="str">
        <f>"002783"</f>
        <v>002783</v>
      </c>
      <c r="C3674" s="2" t="str">
        <f>"002783"</f>
        <v>002783</v>
      </c>
      <c r="D3674" s="2" t="s">
        <v>4631</v>
      </c>
      <c r="E3674" s="4">
        <v>6000</v>
      </c>
    </row>
    <row r="3675" spans="1:5">
      <c r="A3675" s="2" t="s">
        <v>4622</v>
      </c>
      <c r="B3675" s="2" t="s">
        <v>4632</v>
      </c>
      <c r="C3675" s="2" t="s">
        <v>4632</v>
      </c>
      <c r="D3675" s="2" t="s">
        <v>4633</v>
      </c>
      <c r="E3675" s="4">
        <v>2000</v>
      </c>
    </row>
    <row r="3676" spans="1:5">
      <c r="A3676" s="2" t="s">
        <v>4622</v>
      </c>
      <c r="B3676" s="2" t="str">
        <f>"302071"</f>
        <v>302071</v>
      </c>
      <c r="C3676" s="2" t="str">
        <f>"302071"</f>
        <v>302071</v>
      </c>
      <c r="D3676" s="2" t="s">
        <v>4634</v>
      </c>
      <c r="E3676" s="4">
        <v>3500</v>
      </c>
    </row>
    <row r="3677" spans="1:5">
      <c r="A3677" s="2" t="s">
        <v>4622</v>
      </c>
      <c r="B3677" s="2" t="str">
        <f>"401005"</f>
        <v>401005</v>
      </c>
      <c r="C3677" s="2" t="str">
        <f>"401005"</f>
        <v>401005</v>
      </c>
      <c r="D3677" s="2" t="s">
        <v>4635</v>
      </c>
      <c r="E3677" s="4">
        <v>1500</v>
      </c>
    </row>
    <row r="3678" spans="1:5">
      <c r="A3678" s="2" t="s">
        <v>4622</v>
      </c>
      <c r="B3678" s="2" t="str">
        <f>"194105"</f>
        <v>194105</v>
      </c>
      <c r="C3678" s="2" t="str">
        <f>"194105"</f>
        <v>194105</v>
      </c>
      <c r="D3678" s="2" t="s">
        <v>4636</v>
      </c>
      <c r="E3678" s="4">
        <v>8500</v>
      </c>
    </row>
    <row r="3679" spans="1:5">
      <c r="A3679" s="2" t="s">
        <v>4622</v>
      </c>
      <c r="B3679" s="2" t="str">
        <f>"020340523"</f>
        <v>020340523</v>
      </c>
      <c r="C3679" s="2" t="str">
        <f>"020340523"</f>
        <v>020340523</v>
      </c>
      <c r="D3679" s="2" t="s">
        <v>4637</v>
      </c>
      <c r="E3679" s="4">
        <v>1600</v>
      </c>
    </row>
    <row r="3680" spans="1:5">
      <c r="A3680" s="2" t="s">
        <v>4622</v>
      </c>
      <c r="B3680" s="2" t="str">
        <f>"300881"</f>
        <v>300881</v>
      </c>
      <c r="C3680" s="2" t="str">
        <f>"300881"</f>
        <v>300881</v>
      </c>
      <c r="D3680" s="2" t="s">
        <v>4638</v>
      </c>
      <c r="E3680" s="4">
        <v>2500</v>
      </c>
    </row>
    <row r="3681" spans="1:5">
      <c r="A3681" s="2" t="s">
        <v>4622</v>
      </c>
      <c r="B3681" s="2" t="s">
        <v>4639</v>
      </c>
      <c r="C3681" s="2" t="s">
        <v>4639</v>
      </c>
      <c r="D3681" s="2" t="s">
        <v>4640</v>
      </c>
      <c r="E3681" s="4">
        <v>1800</v>
      </c>
    </row>
    <row r="3682" spans="1:5">
      <c r="A3682" s="2" t="s">
        <v>4622</v>
      </c>
      <c r="B3682" s="2" t="str">
        <f>"1601690"</f>
        <v>1601690</v>
      </c>
      <c r="C3682" s="2" t="str">
        <f>"1601690"</f>
        <v>1601690</v>
      </c>
      <c r="D3682" s="2" t="s">
        <v>4641</v>
      </c>
      <c r="E3682" s="4">
        <v>2000</v>
      </c>
    </row>
    <row r="3683" spans="1:5">
      <c r="A3683" s="2" t="s">
        <v>4622</v>
      </c>
      <c r="B3683" s="2" t="str">
        <f>"0004208"</f>
        <v>0004208</v>
      </c>
      <c r="C3683" s="2" t="str">
        <f>"0004208"</f>
        <v>0004208</v>
      </c>
      <c r="D3683" s="2" t="s">
        <v>4642</v>
      </c>
      <c r="E3683" s="4">
        <v>1500</v>
      </c>
    </row>
    <row r="3684" spans="1:5">
      <c r="A3684" s="2" t="s">
        <v>4622</v>
      </c>
      <c r="B3684" s="2" t="s">
        <v>4643</v>
      </c>
      <c r="C3684" s="2" t="s">
        <v>4643</v>
      </c>
      <c r="D3684" s="2" t="s">
        <v>4644</v>
      </c>
      <c r="E3684" s="4">
        <v>1800</v>
      </c>
    </row>
    <row r="3685" spans="1:5">
      <c r="A3685" s="2" t="s">
        <v>4622</v>
      </c>
      <c r="B3685" s="2" t="s">
        <v>4645</v>
      </c>
      <c r="C3685" s="2" t="s">
        <v>4645</v>
      </c>
      <c r="D3685" s="2" t="s">
        <v>4646</v>
      </c>
      <c r="E3685" s="4">
        <v>3000</v>
      </c>
    </row>
    <row r="3686" spans="1:5">
      <c r="A3686" s="2" t="s">
        <v>4622</v>
      </c>
      <c r="B3686" s="2" t="str">
        <f>"1900880"</f>
        <v>1900880</v>
      </c>
      <c r="C3686" s="2" t="str">
        <f>"0004157"</f>
        <v>0004157</v>
      </c>
      <c r="D3686" s="2" t="s">
        <v>4647</v>
      </c>
      <c r="E3686" s="4">
        <v>6100</v>
      </c>
    </row>
    <row r="3687" spans="1:5">
      <c r="A3687" s="2" t="s">
        <v>4622</v>
      </c>
      <c r="B3687" s="2" t="s">
        <v>4648</v>
      </c>
      <c r="C3687" s="2" t="s">
        <v>4648</v>
      </c>
      <c r="D3687" s="2" t="s">
        <v>4649</v>
      </c>
      <c r="E3687" s="4">
        <v>10000</v>
      </c>
    </row>
    <row r="3688" spans="1:5">
      <c r="A3688" s="2" t="s">
        <v>1478</v>
      </c>
      <c r="B3688" s="2" t="str">
        <f>"020340236"</f>
        <v>020340236</v>
      </c>
      <c r="C3688" s="2" t="str">
        <f>"020340236"</f>
        <v>020340236</v>
      </c>
      <c r="D3688" s="2" t="s">
        <v>4650</v>
      </c>
      <c r="E3688" s="4">
        <v>2000</v>
      </c>
    </row>
    <row r="3689" spans="1:5">
      <c r="A3689" s="2" t="s">
        <v>1478</v>
      </c>
      <c r="B3689" s="2" t="str">
        <f>"160356"</f>
        <v>160356</v>
      </c>
      <c r="C3689" s="2" t="str">
        <f>"160356"</f>
        <v>160356</v>
      </c>
      <c r="D3689" s="2" t="s">
        <v>4651</v>
      </c>
      <c r="E3689" s="4">
        <v>1200</v>
      </c>
    </row>
    <row r="3690" spans="1:5">
      <c r="A3690" s="2" t="s">
        <v>1478</v>
      </c>
      <c r="B3690" s="2" t="str">
        <f>"183173"</f>
        <v>183173</v>
      </c>
      <c r="C3690" s="2" t="str">
        <f>"183173"</f>
        <v>183173</v>
      </c>
      <c r="D3690" s="2" t="s">
        <v>4652</v>
      </c>
      <c r="E3690" s="4">
        <v>1500</v>
      </c>
    </row>
    <row r="3691" spans="1:5">
      <c r="A3691" s="2" t="s">
        <v>1478</v>
      </c>
      <c r="B3691" s="2" t="str">
        <f>"140810"</f>
        <v>140810</v>
      </c>
      <c r="C3691" s="2" t="str">
        <f>"140810"</f>
        <v>140810</v>
      </c>
      <c r="D3691" s="2" t="s">
        <v>4653</v>
      </c>
      <c r="E3691" s="4">
        <v>2200</v>
      </c>
    </row>
    <row r="3692" spans="1:5">
      <c r="A3692" s="2" t="s">
        <v>1478</v>
      </c>
      <c r="B3692" s="2" t="str">
        <f>"0108836"</f>
        <v>0108836</v>
      </c>
      <c r="C3692" s="2" t="str">
        <f>"0108836"</f>
        <v>0108836</v>
      </c>
      <c r="D3692" s="2" t="s">
        <v>4654</v>
      </c>
      <c r="E3692" s="4">
        <v>1200</v>
      </c>
    </row>
    <row r="3693" spans="1:5">
      <c r="A3693" s="2" t="s">
        <v>1478</v>
      </c>
      <c r="B3693" s="2" t="str">
        <f>"171656"</f>
        <v>171656</v>
      </c>
      <c r="C3693" s="2" t="str">
        <f>"171656"</f>
        <v>171656</v>
      </c>
      <c r="D3693" s="2" t="s">
        <v>4655</v>
      </c>
      <c r="E3693" s="4">
        <v>1500</v>
      </c>
    </row>
    <row r="3694" spans="1:5">
      <c r="A3694" s="2" t="s">
        <v>1478</v>
      </c>
      <c r="B3694" s="2" t="str">
        <f>"321656"</f>
        <v>321656</v>
      </c>
      <c r="C3694" s="2" t="str">
        <f>"321656"</f>
        <v>321656</v>
      </c>
      <c r="D3694" s="2" t="s">
        <v>4656</v>
      </c>
      <c r="E3694" s="4">
        <v>3000</v>
      </c>
    </row>
    <row r="3695" spans="1:5">
      <c r="A3695" s="2" t="s">
        <v>1478</v>
      </c>
      <c r="B3695" s="2" t="str">
        <f>"020340063"</f>
        <v>020340063</v>
      </c>
      <c r="C3695" s="2" t="str">
        <f>"14035-01M25"</f>
        <v>14035-01M25</v>
      </c>
      <c r="D3695" s="2" t="s">
        <v>4657</v>
      </c>
      <c r="E3695" s="4">
        <v>1500</v>
      </c>
    </row>
    <row r="3696" spans="1:5">
      <c r="A3696" s="2" t="s">
        <v>1478</v>
      </c>
      <c r="B3696" s="2" t="str">
        <f>"302073"</f>
        <v>302073</v>
      </c>
      <c r="C3696" s="2" t="str">
        <f>"302073"</f>
        <v>302073</v>
      </c>
      <c r="D3696" s="2" t="s">
        <v>4658</v>
      </c>
      <c r="E3696" s="4">
        <v>2800</v>
      </c>
    </row>
    <row r="3697" spans="1:5">
      <c r="A3697" s="2" t="s">
        <v>1478</v>
      </c>
      <c r="B3697" s="2" t="str">
        <f>"282175"</f>
        <v>282175</v>
      </c>
      <c r="C3697" s="2" t="str">
        <f>"282175"</f>
        <v>282175</v>
      </c>
      <c r="D3697" s="2" t="s">
        <v>4659</v>
      </c>
      <c r="E3697" s="4">
        <v>1800</v>
      </c>
    </row>
    <row r="3698" spans="1:5">
      <c r="A3698" s="2" t="s">
        <v>1478</v>
      </c>
      <c r="B3698" s="2" t="str">
        <f>"020340090"</f>
        <v>020340090</v>
      </c>
      <c r="C3698" s="2" t="str">
        <f>"020340090"</f>
        <v>020340090</v>
      </c>
      <c r="D3698" s="2" t="s">
        <v>4660</v>
      </c>
      <c r="E3698" s="4">
        <v>3900</v>
      </c>
    </row>
    <row r="3699" spans="1:5">
      <c r="A3699" s="2" t="s">
        <v>1478</v>
      </c>
      <c r="B3699" s="2" t="str">
        <f>"0002414"</f>
        <v>0002414</v>
      </c>
      <c r="C3699" s="2" t="str">
        <f>"0002414"</f>
        <v>0002414</v>
      </c>
      <c r="D3699" s="2" t="s">
        <v>4661</v>
      </c>
      <c r="E3699" s="4">
        <v>5500</v>
      </c>
    </row>
    <row r="3700" spans="1:5">
      <c r="A3700" s="2" t="s">
        <v>1478</v>
      </c>
      <c r="B3700" s="2" t="str">
        <f>"161381"</f>
        <v>161381</v>
      </c>
      <c r="C3700" s="2" t="str">
        <f>"161381"</f>
        <v>161381</v>
      </c>
      <c r="D3700" s="2" t="s">
        <v>4662</v>
      </c>
      <c r="E3700" s="4">
        <v>2800</v>
      </c>
    </row>
    <row r="3701" spans="1:5">
      <c r="A3701" s="2" t="s">
        <v>1478</v>
      </c>
      <c r="B3701" s="2" t="str">
        <f>"020340095"</f>
        <v>020340095</v>
      </c>
      <c r="C3701" s="2" t="str">
        <f>"020340095"</f>
        <v>020340095</v>
      </c>
      <c r="D3701" s="2" t="s">
        <v>4663</v>
      </c>
      <c r="E3701" s="4">
        <v>2500</v>
      </c>
    </row>
    <row r="3702" spans="1:5">
      <c r="A3702" s="2" t="s">
        <v>1478</v>
      </c>
      <c r="B3702" s="2" t="str">
        <f>"0023278"</f>
        <v>0023278</v>
      </c>
      <c r="C3702" s="2" t="str">
        <f>"0023278"</f>
        <v>0023278</v>
      </c>
      <c r="D3702" s="2" t="s">
        <v>4664</v>
      </c>
      <c r="E3702" s="4">
        <v>15000</v>
      </c>
    </row>
    <row r="3703" spans="1:5">
      <c r="A3703" s="2" t="s">
        <v>1478</v>
      </c>
      <c r="B3703" s="2" t="str">
        <f>"013031"</f>
        <v>013031</v>
      </c>
      <c r="C3703" s="2" t="str">
        <f>"013031"</f>
        <v>013031</v>
      </c>
      <c r="D3703" s="2" t="s">
        <v>4665</v>
      </c>
      <c r="E3703" s="4">
        <v>6000</v>
      </c>
    </row>
    <row r="3704" spans="1:5">
      <c r="A3704" s="2" t="s">
        <v>1478</v>
      </c>
      <c r="B3704" s="2" t="str">
        <f>"160813"</f>
        <v>160813</v>
      </c>
      <c r="C3704" s="2" t="str">
        <f>"160813"</f>
        <v>160813</v>
      </c>
      <c r="D3704" s="2" t="s">
        <v>4666</v>
      </c>
      <c r="E3704" s="4">
        <v>5500</v>
      </c>
    </row>
    <row r="3705" spans="1:5">
      <c r="A3705" s="2" t="s">
        <v>1478</v>
      </c>
      <c r="B3705" s="2" t="str">
        <f>"140818"</f>
        <v>140818</v>
      </c>
      <c r="C3705" s="2" t="str">
        <f>"140818"</f>
        <v>140818</v>
      </c>
      <c r="D3705" s="2" t="s">
        <v>4667</v>
      </c>
      <c r="E3705" s="4">
        <v>3800</v>
      </c>
    </row>
    <row r="3706" spans="1:5">
      <c r="A3706" s="2" t="s">
        <v>1478</v>
      </c>
      <c r="B3706" s="2" t="str">
        <f>"180230"</f>
        <v>180230</v>
      </c>
      <c r="C3706" s="2" t="str">
        <f>"180230"</f>
        <v>180230</v>
      </c>
      <c r="D3706" s="2" t="s">
        <v>4668</v>
      </c>
      <c r="E3706" s="4">
        <v>2000</v>
      </c>
    </row>
    <row r="3707" spans="1:5">
      <c r="A3707" s="2" t="s">
        <v>1478</v>
      </c>
      <c r="B3707" s="2" t="str">
        <f>"1300120"</f>
        <v>1300120</v>
      </c>
      <c r="C3707" s="2" t="str">
        <f>"1300120"</f>
        <v>1300120</v>
      </c>
      <c r="D3707" s="2" t="s">
        <v>4669</v>
      </c>
      <c r="E3707" s="4">
        <v>2000</v>
      </c>
    </row>
    <row r="3708" spans="1:5">
      <c r="A3708" s="2" t="s">
        <v>1478</v>
      </c>
      <c r="B3708" s="2" t="str">
        <f>"0012865"</f>
        <v>0012865</v>
      </c>
      <c r="C3708" s="2" t="str">
        <f>"0012865"</f>
        <v>0012865</v>
      </c>
      <c r="D3708" s="2" t="s">
        <v>4670</v>
      </c>
      <c r="E3708" s="4">
        <v>185000</v>
      </c>
    </row>
    <row r="3709" spans="1:5">
      <c r="A3709" s="2" t="s">
        <v>1478</v>
      </c>
      <c r="B3709" s="2" t="str">
        <f>"002848"</f>
        <v>002848</v>
      </c>
      <c r="C3709" s="2" t="str">
        <f>"002848"</f>
        <v>002848</v>
      </c>
      <c r="D3709" s="2" t="s">
        <v>4671</v>
      </c>
      <c r="E3709" s="4">
        <v>3500</v>
      </c>
    </row>
    <row r="3710" spans="1:5">
      <c r="A3710" s="2" t="s">
        <v>1478</v>
      </c>
      <c r="B3710" s="2" t="str">
        <f>"302280"</f>
        <v>302280</v>
      </c>
      <c r="C3710" s="2" t="str">
        <f>"302280"</f>
        <v>302280</v>
      </c>
      <c r="D3710" s="2" t="s">
        <v>4672</v>
      </c>
      <c r="E3710" s="4">
        <v>7500</v>
      </c>
    </row>
    <row r="3711" spans="1:5">
      <c r="A3711" s="2" t="s">
        <v>1478</v>
      </c>
      <c r="B3711" s="2" t="str">
        <f>"0002591"</f>
        <v>0002591</v>
      </c>
      <c r="C3711" s="2" t="str">
        <f>"0002591"</f>
        <v>0002591</v>
      </c>
      <c r="D3711" s="2" t="s">
        <v>4673</v>
      </c>
      <c r="E3711" s="4">
        <v>3500</v>
      </c>
    </row>
    <row r="3712" spans="1:5">
      <c r="A3712" s="2" t="s">
        <v>1478</v>
      </c>
      <c r="B3712" s="2" t="s">
        <v>4674</v>
      </c>
      <c r="C3712" s="2" t="str">
        <f>"2227"</f>
        <v>2227</v>
      </c>
      <c r="D3712" s="2" t="s">
        <v>4675</v>
      </c>
      <c r="E3712" s="4">
        <v>1500</v>
      </c>
    </row>
    <row r="3713" spans="1:5">
      <c r="A3713" s="2" t="s">
        <v>1478</v>
      </c>
      <c r="B3713" s="2" t="str">
        <f>"281637"</f>
        <v>281637</v>
      </c>
      <c r="C3713" s="2" t="str">
        <f>"281637"</f>
        <v>281637</v>
      </c>
      <c r="D3713" s="2" t="s">
        <v>4676</v>
      </c>
      <c r="E3713" s="4">
        <v>3800</v>
      </c>
    </row>
    <row r="3714" spans="1:5">
      <c r="A3714" s="2" t="s">
        <v>1478</v>
      </c>
      <c r="B3714" s="2" t="str">
        <f>"270656"</f>
        <v>270656</v>
      </c>
      <c r="C3714" s="2" t="str">
        <f>"270656"</f>
        <v>270656</v>
      </c>
      <c r="D3714" s="2" t="s">
        <v>4676</v>
      </c>
      <c r="E3714" s="4">
        <v>3800</v>
      </c>
    </row>
    <row r="3715" spans="1:5">
      <c r="A3715" s="2" t="s">
        <v>1478</v>
      </c>
      <c r="B3715" s="2" t="str">
        <f>"281639"</f>
        <v>281639</v>
      </c>
      <c r="C3715" s="2" t="str">
        <f>"281639"</f>
        <v>281639</v>
      </c>
      <c r="D3715" s="2" t="s">
        <v>4677</v>
      </c>
      <c r="E3715" s="4">
        <v>1800</v>
      </c>
    </row>
    <row r="3716" spans="1:5">
      <c r="A3716" s="2" t="s">
        <v>1478</v>
      </c>
      <c r="B3716" s="2" t="str">
        <f>"02034162"</f>
        <v>02034162</v>
      </c>
      <c r="C3716" s="2" t="str">
        <f>"02034162"</f>
        <v>02034162</v>
      </c>
      <c r="D3716" s="2" t="s">
        <v>4678</v>
      </c>
      <c r="E3716" s="4">
        <v>1900</v>
      </c>
    </row>
    <row r="3717" spans="1:5">
      <c r="A3717" s="2" t="s">
        <v>296</v>
      </c>
      <c r="B3717" s="2" t="str">
        <f>"0290-005-06"</f>
        <v>0290-005-06</v>
      </c>
      <c r="C3717" s="2" t="str">
        <f>"0290-005-06"</f>
        <v>0290-005-06</v>
      </c>
      <c r="D3717" s="2" t="s">
        <v>4679</v>
      </c>
      <c r="E3717" s="4">
        <v>9700</v>
      </c>
    </row>
    <row r="3718" spans="1:5">
      <c r="A3718" s="2" t="s">
        <v>296</v>
      </c>
      <c r="B3718" s="2" t="str">
        <f>"0290-011"</f>
        <v>0290-011</v>
      </c>
      <c r="C3718" s="2" t="str">
        <f>"0290-011"</f>
        <v>0290-011</v>
      </c>
      <c r="D3718" s="2" t="s">
        <v>4680</v>
      </c>
      <c r="E3718" s="4">
        <v>8500</v>
      </c>
    </row>
    <row r="3719" spans="1:5">
      <c r="A3719" s="2" t="s">
        <v>296</v>
      </c>
      <c r="B3719" s="2" t="str">
        <f>"1116610"</f>
        <v>1116610</v>
      </c>
      <c r="C3719" s="2" t="str">
        <f>"1116610"</f>
        <v>1116610</v>
      </c>
      <c r="D3719" s="2" t="s">
        <v>4681</v>
      </c>
      <c r="E3719" s="4">
        <v>4800</v>
      </c>
    </row>
    <row r="3720" spans="1:5">
      <c r="A3720" s="2" t="s">
        <v>1478</v>
      </c>
      <c r="B3720" s="2" t="str">
        <f>"1103770"</f>
        <v>1103770</v>
      </c>
      <c r="C3720" s="2" t="str">
        <f>"1103770"</f>
        <v>1103770</v>
      </c>
      <c r="D3720" s="2" t="s">
        <v>4682</v>
      </c>
      <c r="E3720" s="4">
        <v>8800</v>
      </c>
    </row>
    <row r="3721" spans="1:5">
      <c r="A3721" s="2" t="s">
        <v>296</v>
      </c>
      <c r="B3721" s="2" t="str">
        <f>"002858"</f>
        <v>002858</v>
      </c>
      <c r="C3721" s="2" t="str">
        <f>"002858"</f>
        <v>002858</v>
      </c>
      <c r="D3721" s="2" t="s">
        <v>4683</v>
      </c>
      <c r="E3721" s="4">
        <v>5200</v>
      </c>
    </row>
    <row r="3722" spans="1:5">
      <c r="A3722" s="2" t="s">
        <v>1478</v>
      </c>
      <c r="B3722" s="2" t="str">
        <f>"020340290"</f>
        <v>020340290</v>
      </c>
      <c r="C3722" s="2" t="str">
        <f>"020340290"</f>
        <v>020340290</v>
      </c>
      <c r="D3722" s="2" t="s">
        <v>4684</v>
      </c>
      <c r="E3722" s="4">
        <v>4000</v>
      </c>
    </row>
    <row r="3723" spans="1:5">
      <c r="A3723" s="2" t="s">
        <v>1478</v>
      </c>
      <c r="B3723" s="2" t="str">
        <f>"020340092"</f>
        <v>020340092</v>
      </c>
      <c r="C3723" s="2" t="str">
        <f>"020340092"</f>
        <v>020340092</v>
      </c>
      <c r="D3723" s="2" t="s">
        <v>4685</v>
      </c>
      <c r="E3723" s="4">
        <v>3400</v>
      </c>
    </row>
    <row r="3724" spans="1:5">
      <c r="A3724" s="2" t="s">
        <v>296</v>
      </c>
      <c r="B3724" s="2" t="str">
        <f>"1116930"</f>
        <v>1116930</v>
      </c>
      <c r="C3724" s="2" t="str">
        <f>"1116930"</f>
        <v>1116930</v>
      </c>
      <c r="D3724" s="2" t="s">
        <v>4686</v>
      </c>
      <c r="E3724" s="4">
        <v>8800</v>
      </c>
    </row>
    <row r="3725" spans="1:5">
      <c r="A3725" s="2" t="s">
        <v>296</v>
      </c>
      <c r="B3725" s="2" t="str">
        <f>"160786"</f>
        <v>160786</v>
      </c>
      <c r="C3725" s="2" t="str">
        <f>"160786"</f>
        <v>160786</v>
      </c>
      <c r="D3725" s="2" t="s">
        <v>4687</v>
      </c>
      <c r="E3725" s="4">
        <v>25000</v>
      </c>
    </row>
    <row r="3726" spans="1:5">
      <c r="A3726" s="2" t="s">
        <v>296</v>
      </c>
      <c r="B3726" s="2" t="str">
        <f>"289303"</f>
        <v>289303</v>
      </c>
      <c r="C3726" s="2" t="str">
        <f>"289303"</f>
        <v>289303</v>
      </c>
      <c r="D3726" s="2" t="s">
        <v>4688</v>
      </c>
      <c r="E3726" s="4">
        <v>38000</v>
      </c>
    </row>
    <row r="3727" spans="1:5">
      <c r="A3727" s="2" t="s">
        <v>296</v>
      </c>
      <c r="B3727" s="2" t="str">
        <f>"288230"</f>
        <v>288230</v>
      </c>
      <c r="C3727" s="2" t="str">
        <f>"288230"</f>
        <v>288230</v>
      </c>
      <c r="D3727" s="2" t="s">
        <v>4689</v>
      </c>
      <c r="E3727" s="4">
        <v>34000</v>
      </c>
    </row>
    <row r="3728" spans="1:5">
      <c r="A3728" s="2" t="s">
        <v>296</v>
      </c>
      <c r="B3728" s="2" t="str">
        <f>"0000625"</f>
        <v>0000625</v>
      </c>
      <c r="C3728" s="2" t="str">
        <f>"0000625"</f>
        <v>0000625</v>
      </c>
      <c r="D3728" s="2" t="s">
        <v>4690</v>
      </c>
      <c r="E3728" s="4">
        <v>18700</v>
      </c>
    </row>
    <row r="3729" spans="1:5">
      <c r="A3729" s="2" t="s">
        <v>296</v>
      </c>
      <c r="B3729" s="2" t="str">
        <f>"301847"</f>
        <v>301847</v>
      </c>
      <c r="C3729" s="2" t="str">
        <f>"301847"</f>
        <v>301847</v>
      </c>
      <c r="D3729" s="2" t="s">
        <v>4691</v>
      </c>
      <c r="E3729" s="4">
        <v>34000</v>
      </c>
    </row>
    <row r="3730" spans="1:5">
      <c r="A3730" s="2" t="s">
        <v>296</v>
      </c>
      <c r="B3730" s="2" t="str">
        <f>"1002038"</f>
        <v>1002038</v>
      </c>
      <c r="C3730" s="2" t="str">
        <f>"1002038"</f>
        <v>1002038</v>
      </c>
      <c r="D3730" s="2" t="s">
        <v>4692</v>
      </c>
      <c r="E3730" s="2">
        <v>3</v>
      </c>
    </row>
    <row r="3731" spans="1:5">
      <c r="A3731" s="2" t="s">
        <v>296</v>
      </c>
      <c r="B3731" s="2" t="str">
        <f>"300435"</f>
        <v>300435</v>
      </c>
      <c r="C3731" s="2" t="str">
        <f>"300435"</f>
        <v>300435</v>
      </c>
      <c r="D3731" s="2" t="s">
        <v>4693</v>
      </c>
      <c r="E3731" s="4">
        <v>5200</v>
      </c>
    </row>
    <row r="3732" spans="1:5">
      <c r="A3732" s="2" t="s">
        <v>296</v>
      </c>
      <c r="B3732" s="2" t="str">
        <f>"070650"</f>
        <v>070650</v>
      </c>
      <c r="C3732" s="2" t="str">
        <f>"070650"</f>
        <v>070650</v>
      </c>
      <c r="D3732" s="2" t="s">
        <v>4694</v>
      </c>
      <c r="E3732" s="4">
        <v>4800</v>
      </c>
    </row>
    <row r="3733" spans="1:5">
      <c r="A3733" s="2" t="s">
        <v>296</v>
      </c>
      <c r="B3733" s="2" t="str">
        <f>"300437"</f>
        <v>300437</v>
      </c>
      <c r="C3733" s="2" t="str">
        <f>"300437"</f>
        <v>300437</v>
      </c>
      <c r="D3733" s="2" t="s">
        <v>4695</v>
      </c>
      <c r="E3733" s="4">
        <v>3400</v>
      </c>
    </row>
    <row r="3734" spans="1:5">
      <c r="A3734" s="2" t="s">
        <v>296</v>
      </c>
      <c r="B3734" s="2" t="str">
        <f>"020340005"</f>
        <v>020340005</v>
      </c>
      <c r="C3734" s="2" t="str">
        <f>"020340005"</f>
        <v>020340005</v>
      </c>
      <c r="D3734" s="2" t="s">
        <v>4696</v>
      </c>
      <c r="E3734" s="4">
        <v>9700</v>
      </c>
    </row>
    <row r="3735" spans="1:5">
      <c r="A3735" s="2" t="s">
        <v>296</v>
      </c>
      <c r="B3735" s="2" t="str">
        <f>"003162"</f>
        <v>003162</v>
      </c>
      <c r="C3735" s="2" t="str">
        <f>"003162"</f>
        <v>003162</v>
      </c>
      <c r="D3735" s="2" t="s">
        <v>4697</v>
      </c>
      <c r="E3735" s="4">
        <v>5200</v>
      </c>
    </row>
    <row r="3736" spans="1:5">
      <c r="A3736" s="2" t="s">
        <v>296</v>
      </c>
      <c r="B3736" s="2" t="str">
        <f>"003141"</f>
        <v>003141</v>
      </c>
      <c r="C3736" s="2" t="str">
        <f>"003141"</f>
        <v>003141</v>
      </c>
      <c r="D3736" s="2" t="s">
        <v>4698</v>
      </c>
      <c r="E3736" s="4">
        <v>5200</v>
      </c>
    </row>
    <row r="3737" spans="1:5">
      <c r="A3737" s="2" t="s">
        <v>296</v>
      </c>
      <c r="B3737" s="2" t="str">
        <f>"288287"</f>
        <v>288287</v>
      </c>
      <c r="C3737" s="2" t="str">
        <f>"288287"</f>
        <v>288287</v>
      </c>
      <c r="D3737" s="2" t="s">
        <v>4699</v>
      </c>
      <c r="E3737" s="4">
        <v>14200</v>
      </c>
    </row>
    <row r="3738" spans="1:5">
      <c r="A3738" s="2" t="s">
        <v>296</v>
      </c>
      <c r="B3738" s="2" t="str">
        <f>"288286"</f>
        <v>288286</v>
      </c>
      <c r="C3738" s="2" t="str">
        <f>"288286"</f>
        <v>288286</v>
      </c>
      <c r="D3738" s="2" t="s">
        <v>4700</v>
      </c>
      <c r="E3738" s="4">
        <v>14200</v>
      </c>
    </row>
    <row r="3739" spans="1:5">
      <c r="A3739" s="2" t="s">
        <v>296</v>
      </c>
      <c r="B3739" s="2" t="str">
        <f>"288252"</f>
        <v>288252</v>
      </c>
      <c r="C3739" s="2" t="str">
        <f>"288252"</f>
        <v>288252</v>
      </c>
      <c r="D3739" s="2" t="s">
        <v>4701</v>
      </c>
      <c r="E3739" s="4">
        <v>25500</v>
      </c>
    </row>
    <row r="3740" spans="1:5">
      <c r="A3740" s="2" t="s">
        <v>296</v>
      </c>
      <c r="B3740" s="2" t="str">
        <f>"289296"</f>
        <v>289296</v>
      </c>
      <c r="C3740" s="2" t="str">
        <f>"289296"</f>
        <v>289296</v>
      </c>
      <c r="D3740" s="2" t="s">
        <v>4702</v>
      </c>
      <c r="E3740" s="4">
        <v>25000</v>
      </c>
    </row>
    <row r="3741" spans="1:5">
      <c r="A3741" s="2" t="s">
        <v>296</v>
      </c>
      <c r="B3741" s="2" t="str">
        <f>"302129"</f>
        <v>302129</v>
      </c>
      <c r="C3741" s="2" t="str">
        <f>"302129"</f>
        <v>302129</v>
      </c>
      <c r="D3741" s="2" t="s">
        <v>4703</v>
      </c>
      <c r="E3741" s="4">
        <v>42800</v>
      </c>
    </row>
    <row r="3742" spans="1:5">
      <c r="A3742" s="2" t="s">
        <v>296</v>
      </c>
      <c r="B3742" s="2" t="str">
        <f>"210339"</f>
        <v>210339</v>
      </c>
      <c r="C3742" s="2" t="str">
        <f>"210339"</f>
        <v>210339</v>
      </c>
      <c r="D3742" s="2" t="s">
        <v>4704</v>
      </c>
      <c r="E3742" s="4">
        <v>6800</v>
      </c>
    </row>
    <row r="3743" spans="1:5">
      <c r="A3743" s="2" t="s">
        <v>296</v>
      </c>
      <c r="B3743" s="2" t="str">
        <f>"001080930"</f>
        <v>001080930</v>
      </c>
      <c r="C3743" s="2" t="str">
        <f>"001080930"</f>
        <v>001080930</v>
      </c>
      <c r="D3743" s="2" t="s">
        <v>4705</v>
      </c>
      <c r="E3743" s="4">
        <v>1800</v>
      </c>
    </row>
    <row r="3744" spans="1:5">
      <c r="A3744" s="2" t="s">
        <v>296</v>
      </c>
      <c r="B3744" s="2" t="str">
        <f>"289612"</f>
        <v>289612</v>
      </c>
      <c r="C3744" s="2" t="str">
        <f>"289612"</f>
        <v>289612</v>
      </c>
      <c r="D3744" s="2" t="s">
        <v>4706</v>
      </c>
      <c r="E3744" s="4">
        <v>5200</v>
      </c>
    </row>
    <row r="3745" spans="1:5">
      <c r="A3745" s="2" t="s">
        <v>296</v>
      </c>
      <c r="B3745" s="2" t="str">
        <f>"22311-42855-C"</f>
        <v>22311-42855-C</v>
      </c>
      <c r="C3745" s="2" t="str">
        <f>"22311-42855-C"</f>
        <v>22311-42855-C</v>
      </c>
      <c r="D3745" s="2" t="s">
        <v>4707</v>
      </c>
      <c r="E3745" s="4">
        <v>7000</v>
      </c>
    </row>
    <row r="3746" spans="1:5">
      <c r="A3746" s="2" t="s">
        <v>296</v>
      </c>
      <c r="B3746" s="2" t="s">
        <v>4708</v>
      </c>
      <c r="C3746" s="2" t="s">
        <v>4708</v>
      </c>
      <c r="D3746" s="2" t="s">
        <v>4709</v>
      </c>
      <c r="E3746" s="4">
        <v>7000</v>
      </c>
    </row>
    <row r="3747" spans="1:5">
      <c r="A3747" s="2" t="s">
        <v>296</v>
      </c>
      <c r="B3747" s="2" t="str">
        <f>"288575"</f>
        <v>288575</v>
      </c>
      <c r="C3747" s="2" t="str">
        <f>"288575"</f>
        <v>288575</v>
      </c>
      <c r="D3747" s="2" t="s">
        <v>4710</v>
      </c>
      <c r="E3747" s="4">
        <v>9700</v>
      </c>
    </row>
    <row r="3748" spans="1:5">
      <c r="A3748" s="2" t="s">
        <v>296</v>
      </c>
      <c r="B3748" s="2" t="str">
        <f>"001080931"</f>
        <v>001080931</v>
      </c>
      <c r="C3748" s="2" t="str">
        <f>"001080931"</f>
        <v>001080931</v>
      </c>
      <c r="D3748" s="2" t="s">
        <v>4711</v>
      </c>
      <c r="E3748" s="4">
        <v>11800</v>
      </c>
    </row>
    <row r="3749" spans="1:5">
      <c r="A3749" s="2" t="s">
        <v>296</v>
      </c>
      <c r="B3749" s="2" t="str">
        <f>"160783"</f>
        <v>160783</v>
      </c>
      <c r="C3749" s="2" t="str">
        <f>"160783"</f>
        <v>160783</v>
      </c>
      <c r="D3749" s="2" t="s">
        <v>4712</v>
      </c>
      <c r="E3749" s="4">
        <v>19800</v>
      </c>
    </row>
    <row r="3750" spans="1:5">
      <c r="A3750" s="2" t="s">
        <v>296</v>
      </c>
      <c r="B3750" s="2" t="str">
        <f>"288960"</f>
        <v>288960</v>
      </c>
      <c r="C3750" s="2" t="str">
        <f>"288960"</f>
        <v>288960</v>
      </c>
      <c r="D3750" s="2" t="s">
        <v>4713</v>
      </c>
      <c r="E3750" s="4">
        <v>39000</v>
      </c>
    </row>
    <row r="3751" spans="1:5">
      <c r="A3751" s="2" t="s">
        <v>296</v>
      </c>
      <c r="B3751" s="2" t="str">
        <f>"003167"</f>
        <v>003167</v>
      </c>
      <c r="C3751" s="2" t="str">
        <f>"003167"</f>
        <v>003167</v>
      </c>
      <c r="D3751" s="2" t="s">
        <v>4714</v>
      </c>
      <c r="E3751" s="4">
        <v>4300</v>
      </c>
    </row>
    <row r="3752" spans="1:5">
      <c r="A3752" s="2" t="s">
        <v>296</v>
      </c>
      <c r="B3752" s="2" t="str">
        <f>"281706"</f>
        <v>281706</v>
      </c>
      <c r="C3752" s="2" t="str">
        <f>"281706"</f>
        <v>281706</v>
      </c>
      <c r="D3752" s="2" t="s">
        <v>4715</v>
      </c>
      <c r="E3752" s="4">
        <v>5200</v>
      </c>
    </row>
    <row r="3753" spans="1:5">
      <c r="A3753" s="2" t="s">
        <v>296</v>
      </c>
      <c r="B3753" s="2" t="str">
        <f>"003179"</f>
        <v>003179</v>
      </c>
      <c r="C3753" s="2" t="str">
        <f>"003179"</f>
        <v>003179</v>
      </c>
      <c r="D3753" s="2" t="s">
        <v>4716</v>
      </c>
      <c r="E3753" s="4">
        <v>5200</v>
      </c>
    </row>
    <row r="3754" spans="1:5">
      <c r="A3754" s="2" t="s">
        <v>296</v>
      </c>
      <c r="B3754" s="2" t="str">
        <f>"301479"</f>
        <v>301479</v>
      </c>
      <c r="C3754" s="2" t="str">
        <f>"301479"</f>
        <v>301479</v>
      </c>
      <c r="D3754" s="2" t="s">
        <v>4717</v>
      </c>
      <c r="E3754" s="4">
        <v>24100</v>
      </c>
    </row>
    <row r="3755" spans="1:5">
      <c r="A3755" s="2" t="s">
        <v>296</v>
      </c>
      <c r="B3755" s="2" t="str">
        <f>"003156"</f>
        <v>003156</v>
      </c>
      <c r="C3755" s="2" t="str">
        <f>"003156"</f>
        <v>003156</v>
      </c>
      <c r="D3755" s="2" t="s">
        <v>4718</v>
      </c>
      <c r="E3755" s="4">
        <v>7000</v>
      </c>
    </row>
    <row r="3756" spans="1:5">
      <c r="A3756" s="2" t="s">
        <v>296</v>
      </c>
      <c r="B3756" s="2" t="str">
        <f>"002865"</f>
        <v>002865</v>
      </c>
      <c r="C3756" s="2" t="str">
        <f>"002865"</f>
        <v>002865</v>
      </c>
      <c r="D3756" s="2" t="s">
        <v>4719</v>
      </c>
      <c r="E3756" s="4">
        <v>9700</v>
      </c>
    </row>
    <row r="3757" spans="1:5">
      <c r="A3757" s="2" t="s">
        <v>296</v>
      </c>
      <c r="B3757" s="2" t="s">
        <v>4720</v>
      </c>
      <c r="C3757" s="2" t="s">
        <v>4720</v>
      </c>
      <c r="D3757" s="2" t="s">
        <v>4721</v>
      </c>
      <c r="E3757" s="4">
        <v>3800</v>
      </c>
    </row>
    <row r="3758" spans="1:5">
      <c r="A3758" s="2" t="s">
        <v>296</v>
      </c>
      <c r="B3758" s="2" t="str">
        <f>"289004"</f>
        <v>289004</v>
      </c>
      <c r="C3758" s="2" t="str">
        <f>"289004"</f>
        <v>289004</v>
      </c>
      <c r="D3758" s="2" t="s">
        <v>4722</v>
      </c>
      <c r="E3758" s="4">
        <v>6500</v>
      </c>
    </row>
    <row r="3759" spans="1:5">
      <c r="A3759" s="2" t="s">
        <v>296</v>
      </c>
      <c r="B3759" s="2" t="str">
        <f>"290058"</f>
        <v>290058</v>
      </c>
      <c r="C3759" s="2" t="str">
        <f>"290058"</f>
        <v>290058</v>
      </c>
      <c r="D3759" s="2" t="s">
        <v>4723</v>
      </c>
      <c r="E3759" s="4">
        <v>25000</v>
      </c>
    </row>
    <row r="3760" spans="1:5">
      <c r="A3760" s="2" t="s">
        <v>296</v>
      </c>
      <c r="B3760" s="2" t="str">
        <f>"026654"</f>
        <v>026654</v>
      </c>
      <c r="C3760" s="2" t="str">
        <f>"026654"</f>
        <v>026654</v>
      </c>
      <c r="D3760" s="2" t="s">
        <v>4724</v>
      </c>
      <c r="E3760" s="4">
        <v>4000</v>
      </c>
    </row>
    <row r="3761" spans="1:5">
      <c r="A3761" s="2" t="s">
        <v>296</v>
      </c>
      <c r="B3761" s="2" t="str">
        <f>"289214"</f>
        <v>289214</v>
      </c>
      <c r="C3761" s="2" t="str">
        <f>"289214"</f>
        <v>289214</v>
      </c>
      <c r="D3761" s="2" t="s">
        <v>4725</v>
      </c>
      <c r="E3761" s="4">
        <v>21400</v>
      </c>
    </row>
    <row r="3762" spans="1:5">
      <c r="A3762" s="2" t="s">
        <v>296</v>
      </c>
      <c r="B3762" s="2" t="str">
        <f>"230851"</f>
        <v>230851</v>
      </c>
      <c r="C3762" s="2" t="str">
        <f>"230851"</f>
        <v>230851</v>
      </c>
      <c r="D3762" s="2" t="s">
        <v>4726</v>
      </c>
      <c r="E3762" s="4">
        <v>6000</v>
      </c>
    </row>
    <row r="3763" spans="1:5">
      <c r="A3763" s="2" t="s">
        <v>296</v>
      </c>
      <c r="B3763" s="2" t="str">
        <f>"230061"</f>
        <v>230061</v>
      </c>
      <c r="C3763" s="2" t="str">
        <f>"230061"</f>
        <v>230061</v>
      </c>
      <c r="D3763" s="2" t="s">
        <v>4727</v>
      </c>
      <c r="E3763" s="4">
        <v>9000</v>
      </c>
    </row>
    <row r="3764" spans="1:5">
      <c r="A3764" s="2" t="s">
        <v>296</v>
      </c>
      <c r="B3764" s="2" t="str">
        <f>"020340330"</f>
        <v>020340330</v>
      </c>
      <c r="C3764" s="2" t="str">
        <f>"020340330"</f>
        <v>020340330</v>
      </c>
      <c r="D3764" s="2" t="s">
        <v>4728</v>
      </c>
      <c r="E3764" s="4">
        <v>11500</v>
      </c>
    </row>
    <row r="3765" spans="1:5">
      <c r="A3765" s="2" t="s">
        <v>296</v>
      </c>
      <c r="B3765" s="2" t="str">
        <f>"002645"</f>
        <v>002645</v>
      </c>
      <c r="C3765" s="2" t="str">
        <f>"002645"</f>
        <v>002645</v>
      </c>
      <c r="D3765" s="2" t="s">
        <v>4729</v>
      </c>
      <c r="E3765" s="4">
        <v>28000</v>
      </c>
    </row>
    <row r="3766" spans="1:5">
      <c r="A3766" s="2" t="s">
        <v>296</v>
      </c>
      <c r="B3766" s="2" t="str">
        <f>"171489"</f>
        <v>171489</v>
      </c>
      <c r="C3766" s="2" t="str">
        <f>"171489"</f>
        <v>171489</v>
      </c>
      <c r="D3766" s="2" t="s">
        <v>4730</v>
      </c>
      <c r="E3766" s="4">
        <v>5161</v>
      </c>
    </row>
    <row r="3767" spans="1:5">
      <c r="A3767" s="2" t="s">
        <v>1478</v>
      </c>
      <c r="B3767" s="2" t="str">
        <f>"003842"</f>
        <v>003842</v>
      </c>
      <c r="C3767" s="2" t="str">
        <f>"003842"</f>
        <v>003842</v>
      </c>
      <c r="D3767" s="2" t="s">
        <v>4731</v>
      </c>
      <c r="E3767" s="4">
        <v>24000</v>
      </c>
    </row>
    <row r="3768" spans="1:5">
      <c r="A3768" s="2" t="s">
        <v>1478</v>
      </c>
      <c r="B3768" s="2" t="str">
        <f>"003843"</f>
        <v>003843</v>
      </c>
      <c r="C3768" s="2" t="str">
        <f>"003843"</f>
        <v>003843</v>
      </c>
      <c r="D3768" s="2" t="s">
        <v>4732</v>
      </c>
      <c r="E3768" s="4">
        <v>25000</v>
      </c>
    </row>
    <row r="3769" spans="1:5">
      <c r="A3769" s="2" t="s">
        <v>1478</v>
      </c>
      <c r="B3769" s="2" t="str">
        <f>"003275"</f>
        <v>003275</v>
      </c>
      <c r="C3769" s="2" t="str">
        <f>"003275"</f>
        <v>003275</v>
      </c>
      <c r="D3769" s="2" t="s">
        <v>4733</v>
      </c>
      <c r="E3769" s="4">
        <v>28000</v>
      </c>
    </row>
    <row r="3770" spans="1:5">
      <c r="A3770" s="2" t="s">
        <v>1478</v>
      </c>
      <c r="B3770" s="2" t="str">
        <f>"852003"</f>
        <v>852003</v>
      </c>
      <c r="C3770" s="2" t="str">
        <f>"852003"</f>
        <v>852003</v>
      </c>
      <c r="D3770" s="2" t="s">
        <v>4734</v>
      </c>
      <c r="E3770" s="4">
        <v>28500</v>
      </c>
    </row>
    <row r="3771" spans="1:5">
      <c r="A3771" s="2" t="s">
        <v>1478</v>
      </c>
      <c r="B3771" s="2" t="str">
        <f>"11141-75102"</f>
        <v>11141-75102</v>
      </c>
      <c r="C3771" s="2" t="str">
        <f>"11141-75102"</f>
        <v>11141-75102</v>
      </c>
      <c r="D3771" s="2" t="s">
        <v>4735</v>
      </c>
      <c r="E3771" s="4">
        <v>4300</v>
      </c>
    </row>
    <row r="3772" spans="1:5">
      <c r="A3772" s="2" t="s">
        <v>1478</v>
      </c>
      <c r="B3772" s="2" t="str">
        <f>"289955"</f>
        <v>289955</v>
      </c>
      <c r="C3772" s="2" t="str">
        <f>"289955"</f>
        <v>289955</v>
      </c>
      <c r="D3772" s="2" t="s">
        <v>4736</v>
      </c>
      <c r="E3772" s="4">
        <v>25000</v>
      </c>
    </row>
    <row r="3773" spans="1:5">
      <c r="A3773" s="2" t="s">
        <v>1478</v>
      </c>
      <c r="B3773" s="2" t="str">
        <f>"00108ST90"</f>
        <v>00108ST90</v>
      </c>
      <c r="C3773" s="2" t="str">
        <f>"00108ST90"</f>
        <v>00108ST90</v>
      </c>
      <c r="D3773" s="2" t="s">
        <v>4737</v>
      </c>
      <c r="E3773" s="4">
        <v>2800</v>
      </c>
    </row>
    <row r="3774" spans="1:5">
      <c r="A3774" s="2" t="s">
        <v>1478</v>
      </c>
      <c r="B3774" s="2" t="str">
        <f>"020340218"</f>
        <v>020340218</v>
      </c>
      <c r="C3774" s="2" t="str">
        <f>"020340218"</f>
        <v>020340218</v>
      </c>
      <c r="D3774" s="2" t="s">
        <v>4738</v>
      </c>
      <c r="E3774" s="4">
        <v>5200</v>
      </c>
    </row>
    <row r="3775" spans="1:5">
      <c r="A3775" s="2" t="s">
        <v>1478</v>
      </c>
      <c r="B3775" s="2" t="str">
        <f>"001022C250"</f>
        <v>001022C250</v>
      </c>
      <c r="C3775" s="2" t="str">
        <f>"001022C250"</f>
        <v>001022C250</v>
      </c>
      <c r="D3775" s="2" t="s">
        <v>4739</v>
      </c>
      <c r="E3775" s="4">
        <v>3500</v>
      </c>
    </row>
    <row r="3776" spans="1:5">
      <c r="A3776" s="2" t="s">
        <v>296</v>
      </c>
      <c r="B3776" s="2" t="str">
        <f>"003158"</f>
        <v>003158</v>
      </c>
      <c r="C3776" s="2" t="str">
        <f>"003158"</f>
        <v>003158</v>
      </c>
      <c r="D3776" s="2" t="s">
        <v>4740</v>
      </c>
      <c r="E3776" s="4">
        <v>5200</v>
      </c>
    </row>
    <row r="3777" spans="1:5">
      <c r="A3777" s="2" t="s">
        <v>296</v>
      </c>
      <c r="B3777" s="2" t="str">
        <f>"0013301"</f>
        <v>0013301</v>
      </c>
      <c r="C3777" s="2" t="str">
        <f>"0013301"</f>
        <v>0013301</v>
      </c>
      <c r="D3777" s="2" t="s">
        <v>4741</v>
      </c>
      <c r="E3777" s="4">
        <v>11500</v>
      </c>
    </row>
    <row r="3778" spans="1:5">
      <c r="A3778" s="2" t="s">
        <v>1478</v>
      </c>
      <c r="B3778" s="2" t="str">
        <f>"288711"</f>
        <v>288711</v>
      </c>
      <c r="C3778" s="2" t="str">
        <f>"288711"</f>
        <v>288711</v>
      </c>
      <c r="D3778" s="2" t="s">
        <v>4742</v>
      </c>
      <c r="E3778" s="4">
        <v>11000</v>
      </c>
    </row>
    <row r="3779" spans="1:5">
      <c r="A3779" s="2" t="s">
        <v>296</v>
      </c>
      <c r="B3779" s="2" t="str">
        <f>"070871239"</f>
        <v>070871239</v>
      </c>
      <c r="C3779" s="2" t="str">
        <f>"070871239"</f>
        <v>070871239</v>
      </c>
      <c r="D3779" s="2" t="s">
        <v>4743</v>
      </c>
      <c r="E3779" s="4">
        <v>7000</v>
      </c>
    </row>
    <row r="3780" spans="1:5">
      <c r="A3780" s="2" t="s">
        <v>1478</v>
      </c>
      <c r="B3780" s="2" t="str">
        <f>"001413917-6"</f>
        <v>001413917-6</v>
      </c>
      <c r="C3780" s="2" t="str">
        <f>"001413917-6"</f>
        <v>001413917-6</v>
      </c>
      <c r="D3780" s="2" t="s">
        <v>4744</v>
      </c>
      <c r="E3780" s="4">
        <v>22000</v>
      </c>
    </row>
    <row r="3781" spans="1:5">
      <c r="A3781" s="2" t="s">
        <v>296</v>
      </c>
      <c r="B3781" s="2" t="str">
        <f>"003319"</f>
        <v>003319</v>
      </c>
      <c r="C3781" s="2" t="str">
        <f>"003319"</f>
        <v>003319</v>
      </c>
      <c r="D3781" s="2" t="s">
        <v>4745</v>
      </c>
      <c r="E3781" s="4">
        <v>18000</v>
      </c>
    </row>
    <row r="3782" spans="1:5">
      <c r="A3782" s="2" t="s">
        <v>296</v>
      </c>
      <c r="B3782" s="2" t="str">
        <f>"500044"</f>
        <v>500044</v>
      </c>
      <c r="C3782" s="2" t="str">
        <f>"500044"</f>
        <v>500044</v>
      </c>
      <c r="D3782" s="2" t="s">
        <v>4746</v>
      </c>
      <c r="E3782" s="4">
        <v>7900</v>
      </c>
    </row>
    <row r="3783" spans="1:5">
      <c r="A3783" s="2" t="s">
        <v>296</v>
      </c>
      <c r="B3783" s="2" t="str">
        <f>"300801"</f>
        <v>300801</v>
      </c>
      <c r="C3783" s="2" t="str">
        <f>"300801 0013299"</f>
        <v>300801 0013299</v>
      </c>
      <c r="D3783" s="2" t="s">
        <v>4747</v>
      </c>
      <c r="E3783" s="4">
        <v>10600</v>
      </c>
    </row>
    <row r="3784" spans="1:5">
      <c r="A3784" s="2" t="s">
        <v>296</v>
      </c>
      <c r="B3784" s="2" t="str">
        <f>"9941267"</f>
        <v>9941267</v>
      </c>
      <c r="C3784" s="2" t="str">
        <f>"9941267"</f>
        <v>9941267</v>
      </c>
      <c r="D3784" s="2" t="s">
        <v>4748</v>
      </c>
      <c r="E3784" s="4">
        <v>8800</v>
      </c>
    </row>
    <row r="3785" spans="1:5">
      <c r="A3785" s="2" t="s">
        <v>296</v>
      </c>
      <c r="B3785" s="2" t="str">
        <f>"1900910"</f>
        <v>1900910</v>
      </c>
      <c r="C3785" s="2" t="str">
        <f>"1900910"</f>
        <v>1900910</v>
      </c>
      <c r="D3785" s="2" t="s">
        <v>4749</v>
      </c>
      <c r="E3785" s="4">
        <v>6100</v>
      </c>
    </row>
    <row r="3786" spans="1:5">
      <c r="A3786" s="2" t="s">
        <v>1478</v>
      </c>
      <c r="B3786" s="2" t="str">
        <f>"1S00188"</f>
        <v>1S00188</v>
      </c>
      <c r="C3786" s="2" t="str">
        <f>"1S00188"</f>
        <v>1S00188</v>
      </c>
      <c r="D3786" s="2" t="s">
        <v>4750</v>
      </c>
      <c r="E3786" s="4">
        <v>9500</v>
      </c>
    </row>
    <row r="3787" spans="1:5">
      <c r="A3787" s="2" t="s">
        <v>1478</v>
      </c>
      <c r="B3787" s="2" t="str">
        <f>"288237"</f>
        <v>288237</v>
      </c>
      <c r="C3787" s="2" t="str">
        <f>"288237"</f>
        <v>288237</v>
      </c>
      <c r="D3787" s="2" t="s">
        <v>4750</v>
      </c>
      <c r="E3787" s="4">
        <v>12500</v>
      </c>
    </row>
    <row r="3788" spans="1:5">
      <c r="A3788" s="2" t="s">
        <v>296</v>
      </c>
      <c r="B3788" s="2" t="str">
        <f>"1413942-7"</f>
        <v>1413942-7</v>
      </c>
      <c r="C3788" s="2" t="str">
        <f>"1413942-7"</f>
        <v>1413942-7</v>
      </c>
      <c r="D3788" s="2" t="s">
        <v>4751</v>
      </c>
      <c r="E3788" s="4">
        <v>25000</v>
      </c>
    </row>
    <row r="3789" spans="1:5">
      <c r="A3789" s="2" t="s">
        <v>296</v>
      </c>
      <c r="B3789" s="2" t="str">
        <f>"1700678"</f>
        <v>1700678</v>
      </c>
      <c r="C3789" s="2" t="str">
        <f>"1700678"</f>
        <v>1700678</v>
      </c>
      <c r="D3789" s="2" t="s">
        <v>4752</v>
      </c>
      <c r="E3789" s="4">
        <v>4900</v>
      </c>
    </row>
    <row r="3790" spans="1:5">
      <c r="A3790" s="2" t="s">
        <v>296</v>
      </c>
      <c r="B3790" s="2" t="str">
        <f>"0001094"</f>
        <v>0001094</v>
      </c>
      <c r="C3790" s="2" t="str">
        <f>"0001094"</f>
        <v>0001094</v>
      </c>
      <c r="D3790" s="2" t="s">
        <v>4753</v>
      </c>
      <c r="E3790" s="4">
        <v>16000</v>
      </c>
    </row>
    <row r="3791" spans="1:5">
      <c r="A3791" s="2" t="s">
        <v>296</v>
      </c>
      <c r="B3791" s="2" t="str">
        <f>"020340735"</f>
        <v>020340735</v>
      </c>
      <c r="C3791" s="2" t="str">
        <f>"020340735"</f>
        <v>020340735</v>
      </c>
      <c r="D3791" s="2" t="s">
        <v>4754</v>
      </c>
      <c r="E3791" s="4">
        <v>19600</v>
      </c>
    </row>
    <row r="3792" spans="1:5">
      <c r="A3792" s="2" t="s">
        <v>296</v>
      </c>
      <c r="B3792" s="2" t="str">
        <f>"020340734"</f>
        <v>020340734</v>
      </c>
      <c r="C3792" s="2" t="str">
        <f>"020340734"</f>
        <v>020340734</v>
      </c>
      <c r="D3792" s="2" t="s">
        <v>4755</v>
      </c>
      <c r="E3792" s="4">
        <v>19600</v>
      </c>
    </row>
    <row r="3793" spans="1:5">
      <c r="A3793" s="2" t="s">
        <v>1478</v>
      </c>
      <c r="B3793" s="2" t="str">
        <f>"020340088"</f>
        <v>020340088</v>
      </c>
      <c r="C3793" s="2" t="str">
        <f>"020340088"</f>
        <v>020340088</v>
      </c>
      <c r="D3793" s="2" t="s">
        <v>4756</v>
      </c>
      <c r="E3793" s="4">
        <v>4300</v>
      </c>
    </row>
    <row r="3794" spans="1:5">
      <c r="A3794" s="2" t="s">
        <v>1478</v>
      </c>
      <c r="B3794" s="2" t="str">
        <f>"010340579"</f>
        <v>010340579</v>
      </c>
      <c r="C3794" s="2" t="str">
        <f>"010340579"</f>
        <v>010340579</v>
      </c>
      <c r="D3794" s="2" t="s">
        <v>4757</v>
      </c>
      <c r="E3794" s="4">
        <v>8800</v>
      </c>
    </row>
    <row r="3795" spans="1:5">
      <c r="A3795" s="2" t="s">
        <v>1478</v>
      </c>
      <c r="B3795" s="2" t="str">
        <f>"020340094"</f>
        <v>020340094</v>
      </c>
      <c r="C3795" s="2" t="str">
        <f>"020340094"</f>
        <v>020340094</v>
      </c>
      <c r="D3795" s="2" t="s">
        <v>4758</v>
      </c>
      <c r="E3795" s="4">
        <v>5200</v>
      </c>
    </row>
    <row r="3796" spans="1:5">
      <c r="A3796" s="2" t="s">
        <v>296</v>
      </c>
      <c r="B3796" s="2" t="str">
        <f>"0001433"</f>
        <v>0001433</v>
      </c>
      <c r="C3796" s="2" t="str">
        <f>"0001433"</f>
        <v>0001433</v>
      </c>
      <c r="D3796" s="2" t="s">
        <v>4759</v>
      </c>
      <c r="E3796" s="4">
        <v>8800</v>
      </c>
    </row>
    <row r="3797" spans="1:5">
      <c r="A3797" s="2" t="s">
        <v>296</v>
      </c>
      <c r="B3797" s="2" t="str">
        <f>"0023286"</f>
        <v>0023286</v>
      </c>
      <c r="C3797" s="2" t="str">
        <f>"0023286"</f>
        <v>0023286</v>
      </c>
      <c r="D3797" s="2" t="s">
        <v>4760</v>
      </c>
      <c r="E3797" s="4">
        <v>7000</v>
      </c>
    </row>
    <row r="3798" spans="1:5">
      <c r="A3798" s="2" t="s">
        <v>296</v>
      </c>
      <c r="B3798" s="2" t="str">
        <f>"003178"</f>
        <v>003178</v>
      </c>
      <c r="C3798" s="2" t="str">
        <f>"003178"</f>
        <v>003178</v>
      </c>
      <c r="D3798" s="2" t="s">
        <v>4761</v>
      </c>
      <c r="E3798" s="4">
        <v>3400</v>
      </c>
    </row>
    <row r="3799" spans="1:5">
      <c r="A3799" s="2" t="s">
        <v>1478</v>
      </c>
      <c r="B3799" s="2" t="str">
        <f>"289480"</f>
        <v>289480</v>
      </c>
      <c r="C3799" s="2" t="str">
        <f>"289480"</f>
        <v>289480</v>
      </c>
      <c r="D3799" s="2" t="s">
        <v>4762</v>
      </c>
      <c r="E3799" s="4">
        <v>29000</v>
      </c>
    </row>
    <row r="3800" spans="1:5">
      <c r="A3800" s="2" t="s">
        <v>296</v>
      </c>
      <c r="B3800" s="2" t="str">
        <f>"003279"</f>
        <v>003279</v>
      </c>
      <c r="C3800" s="2" t="str">
        <f>"003279"</f>
        <v>003279</v>
      </c>
      <c r="D3800" s="2" t="s">
        <v>4763</v>
      </c>
      <c r="E3800" s="4">
        <v>35000</v>
      </c>
    </row>
    <row r="3801" spans="1:5">
      <c r="A3801" s="2" t="s">
        <v>1478</v>
      </c>
      <c r="B3801" s="2" t="str">
        <f>"0013448"</f>
        <v>0013448</v>
      </c>
      <c r="C3801" s="2" t="str">
        <f>"0013448"</f>
        <v>0013448</v>
      </c>
      <c r="D3801" s="2" t="s">
        <v>4764</v>
      </c>
      <c r="E3801" s="4">
        <v>19500</v>
      </c>
    </row>
    <row r="3802" spans="1:5">
      <c r="A3802" s="2" t="s">
        <v>296</v>
      </c>
      <c r="B3802" s="2" t="str">
        <f>"003618"</f>
        <v>003618</v>
      </c>
      <c r="C3802" s="2" t="str">
        <f>"003618"</f>
        <v>003618</v>
      </c>
      <c r="D3802" s="2" t="s">
        <v>4765</v>
      </c>
      <c r="E3802" s="4">
        <v>14800</v>
      </c>
    </row>
    <row r="3803" spans="1:5">
      <c r="A3803" s="2" t="s">
        <v>1478</v>
      </c>
      <c r="B3803" s="2" t="str">
        <f>"11115-87106"</f>
        <v>11115-87106</v>
      </c>
      <c r="C3803" s="2" t="str">
        <f>"11115-87106"</f>
        <v>11115-87106</v>
      </c>
      <c r="D3803" s="2" t="s">
        <v>4696</v>
      </c>
      <c r="E3803" s="4">
        <v>6100</v>
      </c>
    </row>
    <row r="3804" spans="1:5">
      <c r="A3804" s="2" t="s">
        <v>1478</v>
      </c>
      <c r="B3804" s="2" t="str">
        <f>"260361"</f>
        <v>260361</v>
      </c>
      <c r="C3804" s="2" t="str">
        <f>"260361"</f>
        <v>260361</v>
      </c>
      <c r="D3804" s="2" t="s">
        <v>4766</v>
      </c>
      <c r="E3804" s="4">
        <v>11000</v>
      </c>
    </row>
    <row r="3805" spans="1:5">
      <c r="A3805" s="2" t="s">
        <v>1478</v>
      </c>
      <c r="B3805" s="2" t="str">
        <f>"020340237"</f>
        <v>020340237</v>
      </c>
      <c r="C3805" s="2" t="str">
        <f>"020340237"</f>
        <v>020340237</v>
      </c>
      <c r="D3805" s="2" t="s">
        <v>4767</v>
      </c>
      <c r="E3805" s="4">
        <v>4300</v>
      </c>
    </row>
    <row r="3806" spans="1:5">
      <c r="A3806" s="2" t="s">
        <v>296</v>
      </c>
      <c r="B3806" s="2" t="str">
        <f>"1601768"</f>
        <v>1601768</v>
      </c>
      <c r="C3806" s="2" t="str">
        <f>"1601768"</f>
        <v>1601768</v>
      </c>
      <c r="D3806" s="2" t="s">
        <v>4768</v>
      </c>
      <c r="E3806" s="4">
        <v>7000</v>
      </c>
    </row>
    <row r="3807" spans="1:5">
      <c r="A3807" s="2" t="s">
        <v>296</v>
      </c>
      <c r="B3807" s="2" t="str">
        <f>"002013705-3"</f>
        <v>002013705-3</v>
      </c>
      <c r="C3807" s="2" t="str">
        <f>"2013705-3"</f>
        <v>2013705-3</v>
      </c>
      <c r="D3807" s="2" t="s">
        <v>4769</v>
      </c>
      <c r="E3807" s="4">
        <v>34000</v>
      </c>
    </row>
    <row r="3808" spans="1:5">
      <c r="A3808" s="2" t="s">
        <v>296</v>
      </c>
      <c r="B3808" s="2" t="str">
        <f>"0013320"</f>
        <v>0013320</v>
      </c>
      <c r="C3808" s="2" t="str">
        <f>"0013320"</f>
        <v>0013320</v>
      </c>
      <c r="D3808" s="2" t="s">
        <v>4770</v>
      </c>
      <c r="E3808" s="4">
        <v>18700</v>
      </c>
    </row>
    <row r="3809" spans="1:5">
      <c r="A3809" s="2" t="s">
        <v>296</v>
      </c>
      <c r="B3809" s="2" t="str">
        <f>"301497"</f>
        <v>301497</v>
      </c>
      <c r="C3809" s="2" t="str">
        <f>"301497"</f>
        <v>301497</v>
      </c>
      <c r="D3809" s="2" t="s">
        <v>4771</v>
      </c>
      <c r="E3809" s="4">
        <v>9700</v>
      </c>
    </row>
    <row r="3810" spans="1:5">
      <c r="A3810" s="2" t="s">
        <v>296</v>
      </c>
      <c r="B3810" s="2" t="s">
        <v>4772</v>
      </c>
      <c r="C3810" s="2" t="s">
        <v>4772</v>
      </c>
      <c r="D3810" s="2" t="s">
        <v>4773</v>
      </c>
      <c r="E3810" s="4">
        <v>34000</v>
      </c>
    </row>
    <row r="3811" spans="1:5">
      <c r="A3811" s="2" t="s">
        <v>296</v>
      </c>
      <c r="B3811" s="2" t="str">
        <f>"288253"</f>
        <v>288253</v>
      </c>
      <c r="C3811" s="2" t="str">
        <f>"288253"</f>
        <v>288253</v>
      </c>
      <c r="D3811" s="2" t="s">
        <v>4774</v>
      </c>
      <c r="E3811" s="4">
        <v>25500</v>
      </c>
    </row>
    <row r="3812" spans="1:5">
      <c r="A3812" s="2" t="s">
        <v>296</v>
      </c>
      <c r="B3812" s="2" t="str">
        <f>"002010013-3"</f>
        <v>002010013-3</v>
      </c>
      <c r="C3812" s="2" t="str">
        <f>"2010013-3"</f>
        <v>2010013-3</v>
      </c>
      <c r="D3812" s="2" t="s">
        <v>4775</v>
      </c>
      <c r="E3812" s="4">
        <v>28000</v>
      </c>
    </row>
    <row r="3813" spans="1:5">
      <c r="A3813" s="2" t="s">
        <v>1478</v>
      </c>
      <c r="B3813" s="2" t="str">
        <f>"11141-78400"</f>
        <v>11141-78400</v>
      </c>
      <c r="C3813" s="2" t="str">
        <f>"11141-78400"</f>
        <v>11141-78400</v>
      </c>
      <c r="D3813" s="2" t="s">
        <v>4776</v>
      </c>
      <c r="E3813" s="4">
        <v>3400</v>
      </c>
    </row>
    <row r="3814" spans="1:5">
      <c r="A3814" s="2" t="s">
        <v>296</v>
      </c>
      <c r="B3814" s="2" t="str">
        <f>"289298"</f>
        <v>289298</v>
      </c>
      <c r="C3814" s="2" t="str">
        <f>"289298"</f>
        <v>289298</v>
      </c>
      <c r="D3814" s="2" t="s">
        <v>4777</v>
      </c>
      <c r="E3814" s="4">
        <v>29000</v>
      </c>
    </row>
    <row r="3815" spans="1:5">
      <c r="A3815" s="2" t="s">
        <v>296</v>
      </c>
      <c r="B3815" s="2" t="str">
        <f>"070990777"</f>
        <v>070990777</v>
      </c>
      <c r="C3815" s="2" t="str">
        <f>"070990777"</f>
        <v>070990777</v>
      </c>
      <c r="D3815" s="2" t="s">
        <v>4778</v>
      </c>
      <c r="E3815" s="4">
        <v>8900</v>
      </c>
    </row>
    <row r="3816" spans="1:5">
      <c r="A3816" s="2" t="s">
        <v>296</v>
      </c>
      <c r="B3816" s="2" t="str">
        <f>"070990778"</f>
        <v>070990778</v>
      </c>
      <c r="C3816" s="2" t="str">
        <f>"070990778"</f>
        <v>070990778</v>
      </c>
      <c r="D3816" s="2" t="s">
        <v>4779</v>
      </c>
      <c r="E3816" s="4">
        <v>7000</v>
      </c>
    </row>
    <row r="3817" spans="1:5">
      <c r="A3817" s="2" t="s">
        <v>296</v>
      </c>
      <c r="B3817" s="2" t="str">
        <f>"0004144"</f>
        <v>0004144</v>
      </c>
      <c r="C3817" s="2" t="str">
        <f>"0004144"</f>
        <v>0004144</v>
      </c>
      <c r="D3817" s="2" t="s">
        <v>4780</v>
      </c>
      <c r="E3817" s="4">
        <v>14200</v>
      </c>
    </row>
    <row r="3818" spans="1:5">
      <c r="A3818" s="2" t="s">
        <v>296</v>
      </c>
      <c r="B3818" s="2" t="s">
        <v>4781</v>
      </c>
      <c r="C3818" s="2" t="s">
        <v>4781</v>
      </c>
      <c r="D3818" s="2" t="s">
        <v>4782</v>
      </c>
      <c r="E3818" s="4">
        <v>6100</v>
      </c>
    </row>
    <row r="3819" spans="1:5">
      <c r="A3819" s="2" t="s">
        <v>296</v>
      </c>
      <c r="B3819" s="2" t="s">
        <v>4783</v>
      </c>
      <c r="C3819" s="2" t="s">
        <v>4783</v>
      </c>
      <c r="D3819" s="2" t="s">
        <v>4784</v>
      </c>
      <c r="E3819" s="4">
        <v>7000</v>
      </c>
    </row>
    <row r="3820" spans="1:5">
      <c r="A3820" s="2" t="s">
        <v>296</v>
      </c>
      <c r="B3820" s="2" t="str">
        <f>"070990742"</f>
        <v>070990742</v>
      </c>
      <c r="C3820" s="2" t="str">
        <f>"070990742"</f>
        <v>070990742</v>
      </c>
      <c r="D3820" s="2" t="s">
        <v>4785</v>
      </c>
      <c r="E3820" s="4">
        <v>6100</v>
      </c>
    </row>
    <row r="3821" spans="1:5">
      <c r="A3821" s="2" t="s">
        <v>1478</v>
      </c>
      <c r="B3821" s="2" t="s">
        <v>4786</v>
      </c>
      <c r="C3821" s="2" t="s">
        <v>4786</v>
      </c>
      <c r="D3821" s="2" t="s">
        <v>4787</v>
      </c>
      <c r="E3821" s="4">
        <v>18900</v>
      </c>
    </row>
    <row r="3822" spans="1:5">
      <c r="A3822" s="2" t="s">
        <v>296</v>
      </c>
      <c r="B3822" s="2" t="str">
        <f>"071230024"</f>
        <v>071230024</v>
      </c>
      <c r="C3822" s="2" t="str">
        <f>"071230024"</f>
        <v>071230024</v>
      </c>
      <c r="D3822" s="2" t="s">
        <v>4788</v>
      </c>
      <c r="E3822" s="4">
        <v>8000</v>
      </c>
    </row>
    <row r="3823" spans="1:5">
      <c r="A3823" s="2" t="s">
        <v>1478</v>
      </c>
      <c r="B3823" s="2" t="str">
        <f>"288624"</f>
        <v>288624</v>
      </c>
      <c r="C3823" s="2" t="str">
        <f>"288624"</f>
        <v>288624</v>
      </c>
      <c r="D3823" s="2" t="s">
        <v>4789</v>
      </c>
      <c r="E3823" s="4">
        <v>7000</v>
      </c>
    </row>
    <row r="3824" spans="1:5">
      <c r="A3824" s="2" t="s">
        <v>1478</v>
      </c>
      <c r="B3824" s="2" t="str">
        <f>"003180"</f>
        <v>003180</v>
      </c>
      <c r="C3824" s="2" t="str">
        <f>"003180"</f>
        <v>003180</v>
      </c>
      <c r="D3824" s="2" t="s">
        <v>4790</v>
      </c>
      <c r="E3824" s="4">
        <v>7000</v>
      </c>
    </row>
    <row r="3825" spans="1:5">
      <c r="A3825" s="2" t="s">
        <v>1478</v>
      </c>
      <c r="B3825" s="2" t="str">
        <f>"003163"</f>
        <v>003163</v>
      </c>
      <c r="C3825" s="2" t="str">
        <f>"003163"</f>
        <v>003163</v>
      </c>
      <c r="D3825" s="2" t="s">
        <v>4791</v>
      </c>
      <c r="E3825" s="4">
        <v>7000</v>
      </c>
    </row>
    <row r="3826" spans="1:5">
      <c r="A3826" s="2" t="s">
        <v>1478</v>
      </c>
      <c r="B3826" s="2" t="str">
        <f>"003155"</f>
        <v>003155</v>
      </c>
      <c r="C3826" s="2" t="str">
        <f>"003155"</f>
        <v>003155</v>
      </c>
      <c r="D3826" s="2" t="s">
        <v>4792</v>
      </c>
      <c r="E3826" s="4">
        <v>8800</v>
      </c>
    </row>
    <row r="3827" spans="1:5">
      <c r="A3827" s="2" t="s">
        <v>296</v>
      </c>
      <c r="B3827" s="2" t="str">
        <f>"001213750-8"</f>
        <v>001213750-8</v>
      </c>
      <c r="C3827" s="2" t="str">
        <f>"001213750-8"</f>
        <v>001213750-8</v>
      </c>
      <c r="D3827" s="2" t="s">
        <v>4793</v>
      </c>
      <c r="E3827" s="4">
        <v>20000</v>
      </c>
    </row>
    <row r="3828" spans="1:5">
      <c r="A3828" s="2" t="s">
        <v>296</v>
      </c>
      <c r="B3828" s="2" t="str">
        <f>"289806"</f>
        <v>289806</v>
      </c>
      <c r="C3828" s="2" t="str">
        <f>"289806"</f>
        <v>289806</v>
      </c>
      <c r="D3828" s="2" t="s">
        <v>4794</v>
      </c>
      <c r="E3828" s="4">
        <v>26000</v>
      </c>
    </row>
    <row r="3829" spans="1:5">
      <c r="A3829" s="2" t="s">
        <v>296</v>
      </c>
      <c r="B3829" s="2" t="str">
        <f>"0031610"</f>
        <v>0031610</v>
      </c>
      <c r="C3829" s="2" t="str">
        <f>"0031610"</f>
        <v>0031610</v>
      </c>
      <c r="D3829" s="2" t="s">
        <v>4795</v>
      </c>
      <c r="E3829" s="4">
        <v>9700</v>
      </c>
    </row>
    <row r="3830" spans="1:5">
      <c r="A3830" s="2" t="s">
        <v>296</v>
      </c>
      <c r="B3830" s="2" t="str">
        <f>"0004148"</f>
        <v>0004148</v>
      </c>
      <c r="C3830" s="2" t="str">
        <f>"0004148"</f>
        <v>0004148</v>
      </c>
      <c r="D3830" s="2" t="s">
        <v>4796</v>
      </c>
      <c r="E3830" s="4">
        <v>9700</v>
      </c>
    </row>
    <row r="3831" spans="1:5">
      <c r="A3831" s="2" t="s">
        <v>1478</v>
      </c>
      <c r="B3831" s="2" t="str">
        <f>"003147"</f>
        <v>003147</v>
      </c>
      <c r="C3831" s="2" t="str">
        <f>"1458316760"</f>
        <v>1458316760</v>
      </c>
      <c r="D3831" s="2" t="s">
        <v>4797</v>
      </c>
      <c r="E3831" s="4">
        <v>18900</v>
      </c>
    </row>
    <row r="3832" spans="1:5">
      <c r="A3832" s="2" t="s">
        <v>1478</v>
      </c>
      <c r="B3832" s="2" t="str">
        <f>"001113913-2"</f>
        <v>001113913-2</v>
      </c>
      <c r="C3832" s="2" t="s">
        <v>4798</v>
      </c>
      <c r="D3832" s="2" t="s">
        <v>4799</v>
      </c>
      <c r="E3832" s="4">
        <v>7500</v>
      </c>
    </row>
    <row r="3833" spans="1:5">
      <c r="A3833" s="2" t="s">
        <v>296</v>
      </c>
      <c r="B3833" s="2" t="s">
        <v>4800</v>
      </c>
      <c r="C3833" s="2" t="s">
        <v>4800</v>
      </c>
      <c r="D3833" s="2" t="s">
        <v>4801</v>
      </c>
      <c r="E3833" s="4">
        <v>36134</v>
      </c>
    </row>
    <row r="3834" spans="1:5">
      <c r="A3834" s="2" t="s">
        <v>1478</v>
      </c>
      <c r="B3834" s="2" t="str">
        <f>"002883"</f>
        <v>002883</v>
      </c>
      <c r="C3834" s="2" t="str">
        <f>"002883"</f>
        <v>002883</v>
      </c>
      <c r="D3834" s="2" t="s">
        <v>4802</v>
      </c>
      <c r="E3834" s="4">
        <v>5000</v>
      </c>
    </row>
    <row r="3835" spans="1:5">
      <c r="A3835" s="2" t="s">
        <v>296</v>
      </c>
      <c r="B3835" s="2" t="str">
        <f>"321307"</f>
        <v>321307</v>
      </c>
      <c r="C3835" s="2" t="str">
        <f>"321307"</f>
        <v>321307</v>
      </c>
      <c r="D3835" s="2" t="s">
        <v>4803</v>
      </c>
      <c r="E3835" s="4">
        <v>25000</v>
      </c>
    </row>
    <row r="3836" spans="1:5">
      <c r="A3836" s="2" t="s">
        <v>296</v>
      </c>
      <c r="B3836" s="2" t="str">
        <f>"003273"</f>
        <v>003273</v>
      </c>
      <c r="C3836" s="2" t="str">
        <f>"003273"</f>
        <v>003273</v>
      </c>
      <c r="D3836" s="2" t="s">
        <v>4804</v>
      </c>
      <c r="E3836" s="4">
        <v>19600</v>
      </c>
    </row>
    <row r="3837" spans="1:5">
      <c r="A3837" s="2" t="s">
        <v>296</v>
      </c>
      <c r="B3837" s="2" t="str">
        <f>"0013442"</f>
        <v>0013442</v>
      </c>
      <c r="C3837" s="2" t="str">
        <f>"0013442"</f>
        <v>0013442</v>
      </c>
      <c r="D3837" s="2" t="s">
        <v>4805</v>
      </c>
      <c r="E3837" s="4">
        <v>16000</v>
      </c>
    </row>
    <row r="3838" spans="1:5">
      <c r="A3838" s="2" t="s">
        <v>1478</v>
      </c>
      <c r="B3838" s="2" t="str">
        <f>"321614"</f>
        <v>321614</v>
      </c>
      <c r="C3838" s="2" t="str">
        <f>"321614"</f>
        <v>321614</v>
      </c>
      <c r="D3838" s="2" t="s">
        <v>4806</v>
      </c>
      <c r="E3838" s="4">
        <v>68200</v>
      </c>
    </row>
    <row r="3839" spans="1:5">
      <c r="A3839" s="2" t="s">
        <v>296</v>
      </c>
      <c r="B3839" s="2" t="str">
        <f>"0013439"</f>
        <v>0013439</v>
      </c>
      <c r="C3839" s="2" t="str">
        <f>"0013439"</f>
        <v>0013439</v>
      </c>
      <c r="D3839" s="2" t="s">
        <v>4807</v>
      </c>
      <c r="E3839" s="4">
        <v>16000</v>
      </c>
    </row>
    <row r="3840" spans="1:5">
      <c r="A3840" s="2" t="s">
        <v>1478</v>
      </c>
      <c r="B3840" s="2" t="str">
        <f>"002650"</f>
        <v>002650</v>
      </c>
      <c r="C3840" s="2" t="str">
        <f>"002650"</f>
        <v>002650</v>
      </c>
      <c r="D3840" s="2" t="s">
        <v>4808</v>
      </c>
      <c r="E3840" s="4">
        <v>48000</v>
      </c>
    </row>
    <row r="3841" spans="1:5">
      <c r="A3841" s="2" t="s">
        <v>296</v>
      </c>
      <c r="B3841" s="2" t="str">
        <f>"230661"</f>
        <v>230661</v>
      </c>
      <c r="C3841" s="2" t="str">
        <f>"230661"</f>
        <v>230661</v>
      </c>
      <c r="D3841" s="2" t="s">
        <v>4809</v>
      </c>
      <c r="E3841" s="4">
        <v>1150</v>
      </c>
    </row>
    <row r="3842" spans="1:5">
      <c r="A3842" s="2" t="s">
        <v>1478</v>
      </c>
      <c r="B3842" s="2" t="str">
        <f>"230283"</f>
        <v>230283</v>
      </c>
      <c r="C3842" s="2" t="str">
        <f>"230283"</f>
        <v>230283</v>
      </c>
      <c r="D3842" s="2" t="s">
        <v>4810</v>
      </c>
      <c r="E3842" s="4">
        <v>19600</v>
      </c>
    </row>
    <row r="3843" spans="1:5">
      <c r="A3843" s="2" t="s">
        <v>296</v>
      </c>
      <c r="B3843" s="2" t="str">
        <f>"289534"</f>
        <v>289534</v>
      </c>
      <c r="C3843" s="2" t="str">
        <f>"289534"</f>
        <v>289534</v>
      </c>
      <c r="D3843" s="2" t="s">
        <v>4811</v>
      </c>
      <c r="E3843" s="4">
        <v>29000</v>
      </c>
    </row>
    <row r="3844" spans="1:5">
      <c r="A3844" s="2" t="s">
        <v>296</v>
      </c>
      <c r="B3844" s="2" t="str">
        <f>"302108"</f>
        <v>302108</v>
      </c>
      <c r="C3844" s="2" t="str">
        <f>"302108"</f>
        <v>302108</v>
      </c>
      <c r="D3844" s="2" t="s">
        <v>4812</v>
      </c>
      <c r="E3844" s="4">
        <v>26800</v>
      </c>
    </row>
    <row r="3845" spans="1:5">
      <c r="A3845" s="2" t="s">
        <v>296</v>
      </c>
      <c r="B3845" s="2" t="str">
        <f>"300876"</f>
        <v>300876</v>
      </c>
      <c r="C3845" s="2" t="str">
        <f>"300876"</f>
        <v>300876</v>
      </c>
      <c r="D3845" s="2" t="s">
        <v>4813</v>
      </c>
      <c r="E3845" s="4">
        <v>29000</v>
      </c>
    </row>
    <row r="3846" spans="1:5">
      <c r="A3846" s="2" t="s">
        <v>296</v>
      </c>
      <c r="B3846" s="2" t="str">
        <f>"0001447"</f>
        <v>0001447</v>
      </c>
      <c r="C3846" s="2" t="str">
        <f>"0001447"</f>
        <v>0001447</v>
      </c>
      <c r="D3846" s="2" t="s">
        <v>4814</v>
      </c>
      <c r="E3846" s="4">
        <v>39000</v>
      </c>
    </row>
    <row r="3847" spans="1:5">
      <c r="A3847" s="2" t="s">
        <v>296</v>
      </c>
      <c r="B3847" s="2" t="s">
        <v>4815</v>
      </c>
      <c r="C3847" s="2" t="s">
        <v>4815</v>
      </c>
      <c r="D3847" s="2" t="s">
        <v>4816</v>
      </c>
      <c r="E3847" s="4">
        <v>1500</v>
      </c>
    </row>
    <row r="3848" spans="1:5">
      <c r="A3848" s="2" t="s">
        <v>296</v>
      </c>
      <c r="B3848" s="2" t="str">
        <f>"300789"</f>
        <v>300789</v>
      </c>
      <c r="C3848" s="2" t="str">
        <f>"300789"</f>
        <v>300789</v>
      </c>
      <c r="D3848" s="2" t="s">
        <v>4817</v>
      </c>
      <c r="E3848" s="4">
        <v>34800</v>
      </c>
    </row>
    <row r="3849" spans="1:5">
      <c r="A3849" s="2" t="s">
        <v>296</v>
      </c>
      <c r="B3849" s="2" t="str">
        <f>"180225"</f>
        <v>180225</v>
      </c>
      <c r="C3849" s="2" t="str">
        <f>"180225"</f>
        <v>180225</v>
      </c>
      <c r="D3849" s="2" t="s">
        <v>4818</v>
      </c>
      <c r="E3849" s="4">
        <v>9700</v>
      </c>
    </row>
    <row r="3850" spans="1:5">
      <c r="A3850" s="2" t="s">
        <v>296</v>
      </c>
      <c r="B3850" s="2" t="str">
        <f>"321252"</f>
        <v>321252</v>
      </c>
      <c r="C3850" s="2" t="str">
        <f>"321252"</f>
        <v>321252</v>
      </c>
      <c r="D3850" s="2" t="s">
        <v>4819</v>
      </c>
      <c r="E3850" s="4">
        <v>9700</v>
      </c>
    </row>
    <row r="3851" spans="1:5">
      <c r="A3851" s="2" t="s">
        <v>296</v>
      </c>
      <c r="B3851" s="2" t="str">
        <f>"010340612"</f>
        <v>010340612</v>
      </c>
      <c r="C3851" s="2" t="str">
        <f>"010340612"</f>
        <v>010340612</v>
      </c>
      <c r="D3851" s="2" t="s">
        <v>4820</v>
      </c>
      <c r="E3851" s="4">
        <v>6800</v>
      </c>
    </row>
    <row r="3852" spans="1:5">
      <c r="A3852" s="2" t="s">
        <v>296</v>
      </c>
      <c r="B3852" s="2" t="str">
        <f>"288948"</f>
        <v>288948</v>
      </c>
      <c r="C3852" s="2" t="str">
        <f>"288948"</f>
        <v>288948</v>
      </c>
      <c r="D3852" s="2" t="s">
        <v>4821</v>
      </c>
      <c r="E3852" s="4">
        <v>28600</v>
      </c>
    </row>
    <row r="3853" spans="1:5">
      <c r="A3853" s="2" t="s">
        <v>296</v>
      </c>
      <c r="B3853" s="2" t="s">
        <v>4822</v>
      </c>
      <c r="C3853" s="2" t="s">
        <v>4822</v>
      </c>
      <c r="D3853" s="2" t="s">
        <v>4823</v>
      </c>
      <c r="E3853" s="4">
        <v>29000</v>
      </c>
    </row>
    <row r="3854" spans="1:5">
      <c r="A3854" s="2" t="s">
        <v>296</v>
      </c>
      <c r="B3854" s="2" t="str">
        <f>"0194288"</f>
        <v>0194288</v>
      </c>
      <c r="C3854" s="2" t="str">
        <f>"0194288"</f>
        <v>0194288</v>
      </c>
      <c r="D3854" s="2" t="s">
        <v>4824</v>
      </c>
      <c r="E3854" s="4">
        <v>7000</v>
      </c>
    </row>
    <row r="3855" spans="1:5">
      <c r="A3855" s="2" t="s">
        <v>296</v>
      </c>
      <c r="B3855" s="2" t="str">
        <f>"289793"</f>
        <v>289793</v>
      </c>
      <c r="C3855" s="2" t="str">
        <f>"289793"</f>
        <v>289793</v>
      </c>
      <c r="D3855" s="2" t="s">
        <v>4825</v>
      </c>
      <c r="E3855" s="4">
        <v>10900</v>
      </c>
    </row>
    <row r="3856" spans="1:5">
      <c r="A3856" s="2" t="s">
        <v>296</v>
      </c>
      <c r="B3856" s="2" t="str">
        <f>"020340023"</f>
        <v>020340023</v>
      </c>
      <c r="C3856" s="2" t="str">
        <f>"020340023"</f>
        <v>020340023</v>
      </c>
      <c r="D3856" s="2" t="s">
        <v>4826</v>
      </c>
      <c r="E3856" s="4">
        <v>4300</v>
      </c>
    </row>
    <row r="3857" spans="1:5">
      <c r="A3857" s="2" t="s">
        <v>296</v>
      </c>
      <c r="B3857" s="2" t="str">
        <f>"171634"</f>
        <v>171634</v>
      </c>
      <c r="C3857" s="2" t="str">
        <f>"171634"</f>
        <v>171634</v>
      </c>
      <c r="D3857" s="2" t="s">
        <v>4827</v>
      </c>
      <c r="E3857" s="4">
        <v>9700</v>
      </c>
    </row>
    <row r="3858" spans="1:5">
      <c r="A3858" s="2" t="s">
        <v>1478</v>
      </c>
      <c r="B3858" s="2" t="str">
        <f>"010340866"</f>
        <v>010340866</v>
      </c>
      <c r="C3858" s="2" t="str">
        <f>"010340866"</f>
        <v>010340866</v>
      </c>
      <c r="D3858" s="2" t="s">
        <v>4828</v>
      </c>
      <c r="E3858" s="4">
        <v>14200</v>
      </c>
    </row>
    <row r="3859" spans="1:5">
      <c r="A3859" s="2" t="s">
        <v>1478</v>
      </c>
      <c r="B3859" s="2" t="str">
        <f>"0300130"</f>
        <v>0300130</v>
      </c>
      <c r="C3859" s="2" t="str">
        <f>"0300130"</f>
        <v>0300130</v>
      </c>
      <c r="D3859" s="2" t="s">
        <v>4829</v>
      </c>
      <c r="E3859" s="4">
        <v>29500</v>
      </c>
    </row>
    <row r="3860" spans="1:5">
      <c r="A3860" s="2" t="s">
        <v>1478</v>
      </c>
      <c r="B3860" s="2" t="str">
        <f>"311704"</f>
        <v>311704</v>
      </c>
      <c r="C3860" s="2" t="str">
        <f>"311704"</f>
        <v>311704</v>
      </c>
      <c r="D3860" s="2" t="s">
        <v>4830</v>
      </c>
      <c r="E3860" s="4">
        <v>30000</v>
      </c>
    </row>
    <row r="3861" spans="1:5">
      <c r="A3861" s="2" t="s">
        <v>1478</v>
      </c>
      <c r="B3861" s="2" t="str">
        <f>"301624"</f>
        <v>301624</v>
      </c>
      <c r="C3861" s="2" t="str">
        <f>"301624"</f>
        <v>301624</v>
      </c>
      <c r="D3861" s="2" t="s">
        <v>4831</v>
      </c>
      <c r="E3861" s="4">
        <v>28000</v>
      </c>
    </row>
    <row r="3862" spans="1:5">
      <c r="A3862" s="2" t="s">
        <v>1478</v>
      </c>
      <c r="B3862" s="2" t="str">
        <f>"020340057"</f>
        <v>020340057</v>
      </c>
      <c r="C3862" s="2" t="str">
        <f>"020340057"</f>
        <v>020340057</v>
      </c>
      <c r="D3862" s="2" t="s">
        <v>4832</v>
      </c>
      <c r="E3862" s="4">
        <v>2500</v>
      </c>
    </row>
    <row r="3863" spans="1:5">
      <c r="A3863" s="2" t="s">
        <v>296</v>
      </c>
      <c r="B3863" s="2" t="str">
        <f>"0013304"</f>
        <v>0013304</v>
      </c>
      <c r="C3863" s="2" t="str">
        <f>"0013304"</f>
        <v>0013304</v>
      </c>
      <c r="D3863" s="2" t="s">
        <v>4833</v>
      </c>
      <c r="E3863" s="4">
        <v>28600</v>
      </c>
    </row>
    <row r="3864" spans="1:5">
      <c r="A3864" s="2" t="s">
        <v>1478</v>
      </c>
      <c r="B3864" s="2" t="str">
        <f>"0013305"</f>
        <v>0013305</v>
      </c>
      <c r="C3864" s="2" t="str">
        <f>"0013305"</f>
        <v>0013305</v>
      </c>
      <c r="D3864" s="2" t="s">
        <v>4834</v>
      </c>
      <c r="E3864" s="4">
        <v>19700</v>
      </c>
    </row>
    <row r="3865" spans="1:5">
      <c r="A3865" s="2" t="s">
        <v>1478</v>
      </c>
      <c r="B3865" s="2" t="str">
        <f>"0013306"</f>
        <v>0013306</v>
      </c>
      <c r="C3865" s="2" t="str">
        <f>"0013306"</f>
        <v>0013306</v>
      </c>
      <c r="D3865" s="2" t="s">
        <v>4835</v>
      </c>
      <c r="E3865" s="4">
        <v>19000</v>
      </c>
    </row>
    <row r="3866" spans="1:5">
      <c r="A3866" s="2" t="s">
        <v>296</v>
      </c>
      <c r="B3866" s="2" t="str">
        <f>"0013307"</f>
        <v>0013307</v>
      </c>
      <c r="C3866" s="2" t="str">
        <f>"0013307"</f>
        <v>0013307</v>
      </c>
      <c r="D3866" s="2" t="s">
        <v>4836</v>
      </c>
      <c r="E3866" s="4">
        <v>19600</v>
      </c>
    </row>
    <row r="3867" spans="1:5">
      <c r="A3867" s="2" t="s">
        <v>296</v>
      </c>
      <c r="B3867" s="2" t="str">
        <f>"0013308"</f>
        <v>0013308</v>
      </c>
      <c r="C3867" s="2" t="str">
        <f>"0013308"</f>
        <v>0013308</v>
      </c>
      <c r="D3867" s="2" t="s">
        <v>4837</v>
      </c>
      <c r="E3867" s="4">
        <v>19700</v>
      </c>
    </row>
    <row r="3868" spans="1:5">
      <c r="A3868" s="2" t="s">
        <v>296</v>
      </c>
      <c r="B3868" s="2" t="str">
        <f>"0007381"</f>
        <v>0007381</v>
      </c>
      <c r="C3868" s="2" t="str">
        <f>"0007381"</f>
        <v>0007381</v>
      </c>
      <c r="D3868" s="2" t="s">
        <v>4838</v>
      </c>
      <c r="E3868" s="4">
        <v>12400</v>
      </c>
    </row>
    <row r="3869" spans="1:5">
      <c r="A3869" s="2" t="s">
        <v>296</v>
      </c>
      <c r="B3869" s="2" t="str">
        <f>"288962"</f>
        <v>288962</v>
      </c>
      <c r="C3869" s="2" t="str">
        <f>"288962"</f>
        <v>288962</v>
      </c>
      <c r="D3869" s="2" t="s">
        <v>4839</v>
      </c>
      <c r="E3869" s="4">
        <v>7000</v>
      </c>
    </row>
    <row r="3870" spans="1:5">
      <c r="A3870" s="2" t="s">
        <v>296</v>
      </c>
      <c r="B3870" s="2" t="str">
        <f>"020340987"</f>
        <v>020340987</v>
      </c>
      <c r="C3870" s="2" t="str">
        <f>"020340987"</f>
        <v>020340987</v>
      </c>
      <c r="D3870" s="2" t="s">
        <v>4840</v>
      </c>
      <c r="E3870" s="4">
        <v>6100</v>
      </c>
    </row>
    <row r="3871" spans="1:5">
      <c r="A3871" s="2" t="s">
        <v>1478</v>
      </c>
      <c r="B3871" s="2" t="str">
        <f>"020340597"</f>
        <v>020340597</v>
      </c>
      <c r="C3871" s="2" t="str">
        <f>"020340597"</f>
        <v>020340597</v>
      </c>
      <c r="D3871" s="2" t="s">
        <v>4841</v>
      </c>
      <c r="E3871" s="4">
        <v>10600</v>
      </c>
    </row>
    <row r="3872" spans="1:5">
      <c r="A3872" s="2" t="s">
        <v>1478</v>
      </c>
      <c r="B3872" s="2" t="str">
        <f>"010340597"</f>
        <v>010340597</v>
      </c>
      <c r="C3872" s="2" t="str">
        <f>"010340597"</f>
        <v>010340597</v>
      </c>
      <c r="D3872" s="2" t="s">
        <v>4842</v>
      </c>
      <c r="E3872" s="4">
        <v>10600</v>
      </c>
    </row>
    <row r="3873" spans="1:5">
      <c r="A3873" s="2" t="s">
        <v>296</v>
      </c>
      <c r="B3873" s="2" t="str">
        <f>"171550"</f>
        <v>171550</v>
      </c>
      <c r="C3873" s="2" t="str">
        <f>"171550"</f>
        <v>171550</v>
      </c>
      <c r="D3873" s="2" t="s">
        <v>4843</v>
      </c>
      <c r="E3873" s="4">
        <v>8800</v>
      </c>
    </row>
    <row r="3874" spans="1:5">
      <c r="A3874" s="2" t="s">
        <v>296</v>
      </c>
      <c r="B3874" s="2" t="str">
        <f>"020340033"</f>
        <v>020340033</v>
      </c>
      <c r="C3874" s="2" t="str">
        <f>"020340033"</f>
        <v>020340033</v>
      </c>
      <c r="D3874" s="2" t="s">
        <v>4844</v>
      </c>
      <c r="E3874" s="4">
        <v>4900</v>
      </c>
    </row>
    <row r="3875" spans="1:5">
      <c r="A3875" s="2" t="s">
        <v>296</v>
      </c>
      <c r="B3875" s="2" t="str">
        <f>"171536"</f>
        <v>171536</v>
      </c>
      <c r="C3875" s="2" t="str">
        <f>"171536"</f>
        <v>171536</v>
      </c>
      <c r="D3875" s="2" t="s">
        <v>4845</v>
      </c>
      <c r="E3875" s="4">
        <v>6753</v>
      </c>
    </row>
    <row r="3876" spans="1:5">
      <c r="A3876" s="2" t="s">
        <v>296</v>
      </c>
      <c r="B3876" s="2" t="s">
        <v>4846</v>
      </c>
      <c r="C3876" s="2" t="s">
        <v>4847</v>
      </c>
      <c r="D3876" s="2" t="s">
        <v>4848</v>
      </c>
      <c r="E3876" s="4">
        <v>160000</v>
      </c>
    </row>
    <row r="3877" spans="1:5">
      <c r="A3877" s="2" t="s">
        <v>1478</v>
      </c>
      <c r="B3877" s="2" t="str">
        <f>"301617"</f>
        <v>301617</v>
      </c>
      <c r="C3877" s="2" t="str">
        <f>"301617"</f>
        <v>301617</v>
      </c>
      <c r="D3877" s="2" t="s">
        <v>4849</v>
      </c>
      <c r="E3877" s="4">
        <v>32000</v>
      </c>
    </row>
    <row r="3878" spans="1:5">
      <c r="A3878" s="2" t="s">
        <v>296</v>
      </c>
      <c r="B3878" s="2" t="str">
        <f>"301622"</f>
        <v>301622</v>
      </c>
      <c r="C3878" s="2" t="str">
        <f>"301622"</f>
        <v>301622</v>
      </c>
      <c r="D3878" s="2" t="s">
        <v>4850</v>
      </c>
      <c r="E3878" s="4">
        <v>11500</v>
      </c>
    </row>
    <row r="3879" spans="1:5">
      <c r="A3879" s="2" t="s">
        <v>296</v>
      </c>
      <c r="B3879" s="2" t="str">
        <f>"00108ND23"</f>
        <v>00108ND23</v>
      </c>
      <c r="C3879" s="2" t="str">
        <f>"00108ND23"</f>
        <v>00108ND23</v>
      </c>
      <c r="D3879" s="2" t="s">
        <v>4851</v>
      </c>
      <c r="E3879" s="4">
        <v>21000</v>
      </c>
    </row>
    <row r="3880" spans="1:5">
      <c r="A3880" s="2" t="s">
        <v>296</v>
      </c>
      <c r="B3880" s="2" t="str">
        <f>"301615"</f>
        <v>301615</v>
      </c>
      <c r="C3880" s="2" t="str">
        <f>"301615"</f>
        <v>301615</v>
      </c>
      <c r="D3880" s="2" t="s">
        <v>4852</v>
      </c>
      <c r="E3880" s="4">
        <v>28000</v>
      </c>
    </row>
    <row r="3881" spans="1:5">
      <c r="A3881" s="2" t="s">
        <v>296</v>
      </c>
      <c r="B3881" s="2" t="str">
        <f>"003701284-K"</f>
        <v>003701284-K</v>
      </c>
      <c r="C3881" s="2" t="str">
        <f>"003701284-K"</f>
        <v>003701284-K</v>
      </c>
      <c r="D3881" s="2" t="s">
        <v>4853</v>
      </c>
      <c r="E3881" s="4">
        <v>31300</v>
      </c>
    </row>
    <row r="3882" spans="1:5">
      <c r="A3882" s="2" t="s">
        <v>296</v>
      </c>
      <c r="B3882" s="2" t="str">
        <f>"0100168"</f>
        <v>0100168</v>
      </c>
      <c r="C3882" s="2" t="str">
        <f>"0100168"</f>
        <v>0100168</v>
      </c>
      <c r="D3882" s="2" t="s">
        <v>4854</v>
      </c>
      <c r="E3882" s="4">
        <v>5200</v>
      </c>
    </row>
    <row r="3883" spans="1:5">
      <c r="A3883" s="2" t="s">
        <v>1478</v>
      </c>
      <c r="B3883" s="2" t="str">
        <f>"0013309"</f>
        <v>0013309</v>
      </c>
      <c r="C3883" s="2" t="str">
        <f>"0013309"</f>
        <v>0013309</v>
      </c>
      <c r="D3883" s="2" t="s">
        <v>4855</v>
      </c>
      <c r="E3883" s="4">
        <v>19700</v>
      </c>
    </row>
    <row r="3884" spans="1:5">
      <c r="A3884" s="2" t="s">
        <v>296</v>
      </c>
      <c r="B3884" s="2" t="str">
        <f>"003394"</f>
        <v>003394</v>
      </c>
      <c r="C3884" s="2" t="str">
        <f>"003394"</f>
        <v>003394</v>
      </c>
      <c r="D3884" s="2" t="s">
        <v>4856</v>
      </c>
      <c r="E3884" s="4">
        <v>16000</v>
      </c>
    </row>
    <row r="3885" spans="1:5">
      <c r="A3885" s="2" t="s">
        <v>296</v>
      </c>
      <c r="B3885" s="2" t="str">
        <f>"0108730"</f>
        <v>0108730</v>
      </c>
      <c r="C3885" s="2" t="str">
        <f>"0108730"</f>
        <v>0108730</v>
      </c>
      <c r="D3885" s="2" t="s">
        <v>4857</v>
      </c>
      <c r="E3885" s="4">
        <v>25000</v>
      </c>
    </row>
    <row r="3886" spans="1:5">
      <c r="A3886" s="2" t="s">
        <v>1478</v>
      </c>
      <c r="B3886" s="2" t="str">
        <f>"020340713"</f>
        <v>020340713</v>
      </c>
      <c r="C3886" s="2" t="str">
        <f>"020340713"</f>
        <v>020340713</v>
      </c>
      <c r="D3886" s="2" t="s">
        <v>4858</v>
      </c>
      <c r="E3886" s="4">
        <v>25000</v>
      </c>
    </row>
    <row r="3887" spans="1:5">
      <c r="A3887" s="2" t="s">
        <v>296</v>
      </c>
      <c r="B3887" s="2" t="str">
        <f>"0001459"</f>
        <v>0001459</v>
      </c>
      <c r="C3887" s="2" t="str">
        <f>"0001459"</f>
        <v>0001459</v>
      </c>
      <c r="D3887" s="2" t="s">
        <v>4859</v>
      </c>
      <c r="E3887" s="4">
        <v>38500</v>
      </c>
    </row>
    <row r="3888" spans="1:5">
      <c r="A3888" s="2" t="s">
        <v>296</v>
      </c>
      <c r="B3888" s="2" t="str">
        <f>"0301810"</f>
        <v>0301810</v>
      </c>
      <c r="C3888" s="2" t="str">
        <f>"0301810"</f>
        <v>0301810</v>
      </c>
      <c r="D3888" s="2" t="s">
        <v>4860</v>
      </c>
      <c r="E3888" s="4">
        <v>39500</v>
      </c>
    </row>
    <row r="3889" spans="1:5">
      <c r="A3889" s="2" t="s">
        <v>296</v>
      </c>
      <c r="B3889" s="2" t="str">
        <f>"0001460"</f>
        <v>0001460</v>
      </c>
      <c r="C3889" s="2" t="str">
        <f>"0001460"</f>
        <v>0001460</v>
      </c>
      <c r="D3889" s="2" t="s">
        <v>4861</v>
      </c>
      <c r="E3889" s="4">
        <v>38500</v>
      </c>
    </row>
    <row r="3890" spans="1:5">
      <c r="A3890" s="2" t="s">
        <v>296</v>
      </c>
      <c r="B3890" s="2" t="str">
        <f>"0001462"</f>
        <v>0001462</v>
      </c>
      <c r="C3890" s="2" t="str">
        <f>"0001462"</f>
        <v>0001462</v>
      </c>
      <c r="D3890" s="2" t="s">
        <v>4862</v>
      </c>
      <c r="E3890" s="4">
        <v>38500</v>
      </c>
    </row>
    <row r="3891" spans="1:5">
      <c r="A3891" s="2" t="s">
        <v>296</v>
      </c>
      <c r="B3891" s="2" t="str">
        <f>"301935"</f>
        <v>301935</v>
      </c>
      <c r="C3891" s="2" t="str">
        <f>"301935"</f>
        <v>301935</v>
      </c>
      <c r="D3891" s="2" t="s">
        <v>4863</v>
      </c>
      <c r="E3891" s="4">
        <v>27700</v>
      </c>
    </row>
    <row r="3892" spans="1:5">
      <c r="A3892" s="2" t="s">
        <v>296</v>
      </c>
      <c r="B3892" s="2" t="str">
        <f>"288964"</f>
        <v>288964</v>
      </c>
      <c r="C3892" s="2" t="str">
        <f>"288964"</f>
        <v>288964</v>
      </c>
      <c r="D3892" s="2" t="s">
        <v>4864</v>
      </c>
      <c r="E3892" s="4">
        <v>6500</v>
      </c>
    </row>
    <row r="3893" spans="1:5">
      <c r="A3893" s="2" t="s">
        <v>1478</v>
      </c>
      <c r="B3893" s="2" t="str">
        <f>"321704"</f>
        <v>321704</v>
      </c>
      <c r="C3893" s="2" t="str">
        <f>"321704"</f>
        <v>321704</v>
      </c>
      <c r="D3893" s="2" t="s">
        <v>4865</v>
      </c>
      <c r="E3893" s="4">
        <v>29000</v>
      </c>
    </row>
    <row r="3894" spans="1:5">
      <c r="A3894" s="2" t="s">
        <v>296</v>
      </c>
      <c r="B3894" s="2" t="str">
        <f>"0108737"</f>
        <v>0108737</v>
      </c>
      <c r="C3894" s="2" t="str">
        <f>"0108737"</f>
        <v>0108737</v>
      </c>
      <c r="D3894" s="2" t="s">
        <v>4866</v>
      </c>
      <c r="E3894" s="4">
        <v>9700</v>
      </c>
    </row>
    <row r="3895" spans="1:5">
      <c r="A3895" s="2" t="s">
        <v>1478</v>
      </c>
      <c r="B3895" s="2" t="str">
        <f>"020340711"</f>
        <v>020340711</v>
      </c>
      <c r="C3895" s="2" t="str">
        <f>"020340711"</f>
        <v>020340711</v>
      </c>
      <c r="D3895" s="2" t="s">
        <v>4867</v>
      </c>
      <c r="E3895" s="4">
        <v>25000</v>
      </c>
    </row>
    <row r="3896" spans="1:5">
      <c r="A3896" s="2" t="s">
        <v>296</v>
      </c>
      <c r="B3896" s="2" t="str">
        <f>"002789"</f>
        <v>002789</v>
      </c>
      <c r="C3896" s="2" t="str">
        <f>"0013303"</f>
        <v>0013303</v>
      </c>
      <c r="D3896" s="2" t="s">
        <v>4868</v>
      </c>
      <c r="E3896" s="4">
        <v>19600</v>
      </c>
    </row>
    <row r="3897" spans="1:5">
      <c r="A3897" s="2" t="s">
        <v>296</v>
      </c>
      <c r="B3897" s="2" t="str">
        <f>"0001471"</f>
        <v>0001471</v>
      </c>
      <c r="C3897" s="2" t="str">
        <f>"0001471"</f>
        <v>0001471</v>
      </c>
      <c r="D3897" s="2" t="s">
        <v>4869</v>
      </c>
      <c r="E3897" s="4">
        <v>8800</v>
      </c>
    </row>
    <row r="3898" spans="1:5">
      <c r="A3898" s="2" t="s">
        <v>296</v>
      </c>
      <c r="B3898" s="2" t="str">
        <f>"0001472"</f>
        <v>0001472</v>
      </c>
      <c r="C3898" s="2" t="str">
        <f>"0001472"</f>
        <v>0001472</v>
      </c>
      <c r="D3898" s="2" t="s">
        <v>4870</v>
      </c>
      <c r="E3898" s="4">
        <v>3900</v>
      </c>
    </row>
    <row r="3899" spans="1:5">
      <c r="A3899" s="2" t="s">
        <v>1478</v>
      </c>
      <c r="B3899" s="2" t="str">
        <f>"020340626"</f>
        <v>020340626</v>
      </c>
      <c r="C3899" s="2" t="str">
        <f>"020340626"</f>
        <v>020340626</v>
      </c>
      <c r="D3899" s="2" t="s">
        <v>4871</v>
      </c>
      <c r="E3899" s="4">
        <v>7000</v>
      </c>
    </row>
    <row r="3900" spans="1:5">
      <c r="A3900" s="2" t="s">
        <v>1478</v>
      </c>
      <c r="B3900" s="2" t="str">
        <f>"010340598"</f>
        <v>010340598</v>
      </c>
      <c r="C3900" s="2" t="str">
        <f>"010340598"</f>
        <v>010340598</v>
      </c>
      <c r="D3900" s="2" t="s">
        <v>4872</v>
      </c>
      <c r="E3900" s="4">
        <v>9700</v>
      </c>
    </row>
    <row r="3901" spans="1:5">
      <c r="A3901" s="2" t="s">
        <v>296</v>
      </c>
      <c r="B3901" s="2" t="str">
        <f>"0100198"</f>
        <v>0100198</v>
      </c>
      <c r="C3901" s="2" t="str">
        <f>"0100198"</f>
        <v>0100198</v>
      </c>
      <c r="D3901" s="2" t="s">
        <v>4873</v>
      </c>
      <c r="E3901" s="4">
        <v>8800</v>
      </c>
    </row>
    <row r="3902" spans="1:5">
      <c r="A3902" s="2" t="s">
        <v>296</v>
      </c>
      <c r="B3902" s="2" t="str">
        <f>"020340044"</f>
        <v>020340044</v>
      </c>
      <c r="C3902" s="2" t="str">
        <f>"020340044"</f>
        <v>020340044</v>
      </c>
      <c r="D3902" s="2" t="s">
        <v>4874</v>
      </c>
      <c r="E3902" s="4">
        <v>7000</v>
      </c>
    </row>
    <row r="3903" spans="1:5">
      <c r="A3903" s="2" t="s">
        <v>296</v>
      </c>
      <c r="B3903" s="2" t="str">
        <f>"0203-510"</f>
        <v>0203-510</v>
      </c>
      <c r="C3903" s="2" t="str">
        <f>"0203-510"</f>
        <v>0203-510</v>
      </c>
      <c r="D3903" s="2" t="s">
        <v>4875</v>
      </c>
      <c r="E3903" s="4">
        <v>9800</v>
      </c>
    </row>
    <row r="3904" spans="1:5">
      <c r="A3904" s="2" t="s">
        <v>296</v>
      </c>
      <c r="B3904" s="2" t="str">
        <f>"369010"</f>
        <v>369010</v>
      </c>
      <c r="C3904" s="2" t="str">
        <f>"369010"</f>
        <v>369010</v>
      </c>
      <c r="D3904" s="2" t="s">
        <v>4876</v>
      </c>
      <c r="E3904" s="4">
        <v>9800</v>
      </c>
    </row>
    <row r="3905" spans="1:5">
      <c r="A3905" s="2" t="s">
        <v>296</v>
      </c>
      <c r="B3905" s="2" t="str">
        <f>"000210256-0"</f>
        <v>000210256-0</v>
      </c>
      <c r="C3905" s="2" t="str">
        <f>"000210256-0"</f>
        <v>000210256-0</v>
      </c>
      <c r="D3905" s="2" t="s">
        <v>4877</v>
      </c>
      <c r="E3905" s="4">
        <v>6100</v>
      </c>
    </row>
    <row r="3906" spans="1:5">
      <c r="A3906" s="2" t="s">
        <v>296</v>
      </c>
      <c r="B3906" s="2" t="str">
        <f>"0006968"</f>
        <v>0006968</v>
      </c>
      <c r="C3906" s="2" t="str">
        <f>"0006968"</f>
        <v>0006968</v>
      </c>
      <c r="D3906" s="2" t="s">
        <v>4878</v>
      </c>
      <c r="E3906" s="4">
        <v>8800</v>
      </c>
    </row>
    <row r="3907" spans="1:5">
      <c r="A3907" s="2" t="s">
        <v>1478</v>
      </c>
      <c r="B3907" s="2" t="str">
        <f>"301909"</f>
        <v>301909</v>
      </c>
      <c r="C3907" s="2" t="str">
        <f>"301909"</f>
        <v>301909</v>
      </c>
      <c r="D3907" s="2" t="s">
        <v>4879</v>
      </c>
      <c r="E3907" s="4">
        <v>1800</v>
      </c>
    </row>
    <row r="3908" spans="1:5">
      <c r="A3908" s="2" t="s">
        <v>1478</v>
      </c>
      <c r="B3908" s="2" t="str">
        <f>"0002437"</f>
        <v>0002437</v>
      </c>
      <c r="C3908" s="2" t="str">
        <f>"0002437"</f>
        <v>0002437</v>
      </c>
      <c r="D3908" s="2" t="s">
        <v>4880</v>
      </c>
      <c r="E3908" s="4">
        <v>78000</v>
      </c>
    </row>
    <row r="3909" spans="1:5">
      <c r="A3909" s="2" t="s">
        <v>1478</v>
      </c>
      <c r="B3909" s="2" t="str">
        <f>"289997"</f>
        <v>289997</v>
      </c>
      <c r="C3909" s="2" t="str">
        <f>"289997"</f>
        <v>289997</v>
      </c>
      <c r="D3909" s="2" t="s">
        <v>4881</v>
      </c>
      <c r="E3909" s="4">
        <v>24000</v>
      </c>
    </row>
    <row r="3910" spans="1:5">
      <c r="A3910" s="2" t="s">
        <v>296</v>
      </c>
      <c r="B3910" s="2" t="str">
        <f>"281609"</f>
        <v>281609</v>
      </c>
      <c r="C3910" s="2" t="str">
        <f>"281609"</f>
        <v>281609</v>
      </c>
      <c r="D3910" s="2" t="s">
        <v>4882</v>
      </c>
      <c r="E3910" s="4">
        <v>9800</v>
      </c>
    </row>
    <row r="3911" spans="1:5">
      <c r="A3911" s="2" t="s">
        <v>296</v>
      </c>
      <c r="B3911" s="2" t="str">
        <f>"0013319"</f>
        <v>0013319</v>
      </c>
      <c r="C3911" s="2" t="str">
        <f>"0013319"</f>
        <v>0013319</v>
      </c>
      <c r="D3911" s="2" t="s">
        <v>4883</v>
      </c>
      <c r="E3911" s="4">
        <v>15000</v>
      </c>
    </row>
    <row r="3912" spans="1:5">
      <c r="A3912" s="2" t="s">
        <v>296</v>
      </c>
      <c r="B3912" s="2" t="str">
        <f>"002887"</f>
        <v>002887</v>
      </c>
      <c r="C3912" s="2" t="str">
        <f>"002887"</f>
        <v>002887</v>
      </c>
      <c r="D3912" s="2" t="s">
        <v>4884</v>
      </c>
      <c r="E3912" s="4">
        <v>5200</v>
      </c>
    </row>
    <row r="3913" spans="1:5">
      <c r="A3913" s="2" t="s">
        <v>296</v>
      </c>
      <c r="B3913" s="2" t="str">
        <f>"002899"</f>
        <v>002899</v>
      </c>
      <c r="C3913" s="2" t="str">
        <f>"002899"</f>
        <v>002899</v>
      </c>
      <c r="D3913" s="2" t="s">
        <v>4885</v>
      </c>
      <c r="E3913" s="4">
        <v>12400</v>
      </c>
    </row>
    <row r="3914" spans="1:5">
      <c r="A3914" s="2" t="s">
        <v>296</v>
      </c>
      <c r="B3914" s="2" t="str">
        <f>"280841"</f>
        <v>280841</v>
      </c>
      <c r="C3914" s="2" t="str">
        <f>"280841"</f>
        <v>280841</v>
      </c>
      <c r="D3914" s="2" t="s">
        <v>4886</v>
      </c>
      <c r="E3914" s="4">
        <v>12800</v>
      </c>
    </row>
    <row r="3915" spans="1:5">
      <c r="A3915" s="2" t="s">
        <v>296</v>
      </c>
      <c r="B3915" s="2" t="str">
        <f>"280812"</f>
        <v>280812</v>
      </c>
      <c r="C3915" s="2" t="str">
        <f>"280812"</f>
        <v>280812</v>
      </c>
      <c r="D3915" s="2" t="s">
        <v>4887</v>
      </c>
      <c r="E3915" s="4">
        <v>9800</v>
      </c>
    </row>
    <row r="3916" spans="1:5">
      <c r="A3916" s="2" t="s">
        <v>296</v>
      </c>
      <c r="B3916" s="2" t="str">
        <f>"003514"</f>
        <v>003514</v>
      </c>
      <c r="C3916" s="2" t="str">
        <f>"003514"</f>
        <v>003514</v>
      </c>
      <c r="D3916" s="2" t="s">
        <v>4888</v>
      </c>
      <c r="E3916" s="4">
        <v>28600</v>
      </c>
    </row>
    <row r="3917" spans="1:5">
      <c r="A3917" s="2" t="s">
        <v>296</v>
      </c>
      <c r="B3917" s="2" t="str">
        <f>"020340782"</f>
        <v>020340782</v>
      </c>
      <c r="C3917" s="2" t="str">
        <f>"020340782"</f>
        <v>020340782</v>
      </c>
      <c r="D3917" s="2" t="s">
        <v>4889</v>
      </c>
      <c r="E3917" s="4">
        <v>25000</v>
      </c>
    </row>
    <row r="3918" spans="1:5">
      <c r="A3918" s="2" t="s">
        <v>296</v>
      </c>
      <c r="B3918" s="2" t="str">
        <f>"02340167"</f>
        <v>02340167</v>
      </c>
      <c r="C3918" s="2" t="str">
        <f>"02340167"</f>
        <v>02340167</v>
      </c>
      <c r="D3918" s="2" t="s">
        <v>4890</v>
      </c>
      <c r="E3918" s="2">
        <v>280</v>
      </c>
    </row>
    <row r="3919" spans="1:5">
      <c r="A3919" s="2" t="s">
        <v>296</v>
      </c>
      <c r="B3919" s="2" t="str">
        <f>"020340786"</f>
        <v>020340786</v>
      </c>
      <c r="C3919" s="2" t="str">
        <f>"020340786"</f>
        <v>020340786</v>
      </c>
      <c r="D3919" s="2" t="s">
        <v>4891</v>
      </c>
      <c r="E3919" s="4">
        <v>6100</v>
      </c>
    </row>
    <row r="3920" spans="1:5">
      <c r="A3920" s="2" t="s">
        <v>296</v>
      </c>
      <c r="B3920" s="2" t="s">
        <v>4892</v>
      </c>
      <c r="C3920" s="2" t="s">
        <v>4892</v>
      </c>
      <c r="D3920" s="2" t="s">
        <v>4893</v>
      </c>
      <c r="E3920" s="4">
        <v>7000</v>
      </c>
    </row>
    <row r="3921" spans="1:5">
      <c r="A3921" s="2" t="s">
        <v>296</v>
      </c>
      <c r="B3921" s="2" t="str">
        <f>"010340650"</f>
        <v>010340650</v>
      </c>
      <c r="C3921" s="2" t="str">
        <f>"010340650"</f>
        <v>010340650</v>
      </c>
      <c r="D3921" s="2" t="s">
        <v>4894</v>
      </c>
      <c r="E3921" s="2">
        <v>6</v>
      </c>
    </row>
    <row r="3922" spans="1:5">
      <c r="A3922" s="2" t="s">
        <v>296</v>
      </c>
      <c r="B3922" s="2" t="str">
        <f>"020340780"</f>
        <v>020340780</v>
      </c>
      <c r="C3922" s="2" t="str">
        <f>"020340780"</f>
        <v>020340780</v>
      </c>
      <c r="D3922" s="2" t="s">
        <v>4895</v>
      </c>
      <c r="E3922" s="4">
        <v>10600</v>
      </c>
    </row>
    <row r="3923" spans="1:5">
      <c r="A3923" s="2" t="s">
        <v>1478</v>
      </c>
      <c r="B3923" s="2" t="str">
        <f>"0007390"</f>
        <v>0007390</v>
      </c>
      <c r="C3923" s="2" t="str">
        <f>"0007390"</f>
        <v>0007390</v>
      </c>
      <c r="D3923" s="2" t="s">
        <v>4896</v>
      </c>
      <c r="E3923" s="4">
        <v>9900</v>
      </c>
    </row>
    <row r="3924" spans="1:5">
      <c r="A3924" s="2" t="s">
        <v>296</v>
      </c>
      <c r="B3924" s="2" t="str">
        <f>"080470103"</f>
        <v>080470103</v>
      </c>
      <c r="C3924" s="2" t="str">
        <f>"080470103"</f>
        <v>080470103</v>
      </c>
      <c r="D3924" s="2" t="s">
        <v>4897</v>
      </c>
      <c r="E3924" s="4">
        <v>9700</v>
      </c>
    </row>
    <row r="3925" spans="1:5">
      <c r="A3925" s="2" t="s">
        <v>296</v>
      </c>
      <c r="B3925" s="2" t="str">
        <f>"020340158"</f>
        <v>020340158</v>
      </c>
      <c r="C3925" s="2" t="str">
        <f>"11141-73002"</f>
        <v>11141-73002</v>
      </c>
      <c r="D3925" s="2" t="s">
        <v>4898</v>
      </c>
      <c r="E3925" s="4">
        <v>2800</v>
      </c>
    </row>
    <row r="3926" spans="1:5">
      <c r="A3926" s="2" t="s">
        <v>296</v>
      </c>
      <c r="B3926" s="2" t="str">
        <f>"11141-73003J"</f>
        <v>11141-73003J</v>
      </c>
      <c r="C3926" s="2" t="str">
        <f>"11141-73003J"</f>
        <v>11141-73003J</v>
      </c>
      <c r="D3926" s="2" t="s">
        <v>4898</v>
      </c>
      <c r="E3926" s="4">
        <v>6100</v>
      </c>
    </row>
    <row r="3927" spans="1:5">
      <c r="A3927" s="2" t="s">
        <v>1478</v>
      </c>
      <c r="B3927" s="2" t="str">
        <f>"003310"</f>
        <v>003310</v>
      </c>
      <c r="C3927" s="2" t="str">
        <f>"003310"</f>
        <v>003310</v>
      </c>
      <c r="D3927" s="2" t="s">
        <v>4899</v>
      </c>
      <c r="E3927" s="4">
        <v>65000</v>
      </c>
    </row>
    <row r="3928" spans="1:5">
      <c r="A3928" s="2" t="s">
        <v>296</v>
      </c>
      <c r="B3928" s="2" t="str">
        <f>"280810"</f>
        <v>280810</v>
      </c>
      <c r="C3928" s="2" t="str">
        <f>"280810"</f>
        <v>280810</v>
      </c>
      <c r="D3928" s="2" t="s">
        <v>4900</v>
      </c>
      <c r="E3928" s="4">
        <v>6100</v>
      </c>
    </row>
    <row r="3929" spans="1:5">
      <c r="A3929" s="2" t="s">
        <v>296</v>
      </c>
      <c r="B3929" s="2" t="str">
        <f>"300752"</f>
        <v>300752</v>
      </c>
      <c r="C3929" s="2" t="str">
        <f>"300752"</f>
        <v>300752</v>
      </c>
      <c r="D3929" s="2" t="s">
        <v>4901</v>
      </c>
      <c r="E3929" s="4">
        <v>28000</v>
      </c>
    </row>
    <row r="3930" spans="1:5">
      <c r="A3930" s="2" t="s">
        <v>296</v>
      </c>
      <c r="B3930" s="2" t="str">
        <f>"280848"</f>
        <v>280848</v>
      </c>
      <c r="C3930" s="2" t="str">
        <f>"280848"</f>
        <v>280848</v>
      </c>
      <c r="D3930" s="2" t="s">
        <v>4902</v>
      </c>
      <c r="E3930" s="4">
        <v>8800</v>
      </c>
    </row>
    <row r="3931" spans="1:5">
      <c r="A3931" s="2" t="s">
        <v>296</v>
      </c>
      <c r="B3931" s="2" t="str">
        <f>"5000000117895"</f>
        <v>5000000117895</v>
      </c>
      <c r="C3931" s="2" t="str">
        <f>"288972"</f>
        <v>288972</v>
      </c>
      <c r="D3931" s="2" t="s">
        <v>4903</v>
      </c>
      <c r="E3931" s="4">
        <v>7900</v>
      </c>
    </row>
    <row r="3932" spans="1:5">
      <c r="A3932" s="2" t="s">
        <v>1478</v>
      </c>
      <c r="B3932" s="2" t="str">
        <f>"020340777"</f>
        <v>020340777</v>
      </c>
      <c r="C3932" s="2" t="str">
        <f>"020340777"</f>
        <v>020340777</v>
      </c>
      <c r="D3932" s="2" t="s">
        <v>4904</v>
      </c>
      <c r="E3932" s="4">
        <v>7900</v>
      </c>
    </row>
    <row r="3933" spans="1:5">
      <c r="A3933" s="2" t="s">
        <v>296</v>
      </c>
      <c r="B3933" s="2" t="s">
        <v>4905</v>
      </c>
      <c r="C3933" s="2" t="s">
        <v>4905</v>
      </c>
      <c r="D3933" s="2" t="s">
        <v>4906</v>
      </c>
      <c r="E3933" s="4">
        <v>5200</v>
      </c>
    </row>
    <row r="3934" spans="1:5">
      <c r="A3934" s="2" t="s">
        <v>1478</v>
      </c>
      <c r="B3934" s="2" t="str">
        <f>"020340164"</f>
        <v>020340164</v>
      </c>
      <c r="C3934" s="2" t="str">
        <f>"020340164"</f>
        <v>020340164</v>
      </c>
      <c r="D3934" s="2" t="s">
        <v>4907</v>
      </c>
      <c r="E3934" s="4">
        <v>4500</v>
      </c>
    </row>
    <row r="3935" spans="1:5">
      <c r="A3935" s="2" t="s">
        <v>296</v>
      </c>
      <c r="B3935" s="2" t="str">
        <f>"0001476"</f>
        <v>0001476</v>
      </c>
      <c r="C3935" s="2" t="str">
        <f>"0001476"</f>
        <v>0001476</v>
      </c>
      <c r="D3935" s="2" t="s">
        <v>4908</v>
      </c>
      <c r="E3935" s="4">
        <v>8800</v>
      </c>
    </row>
    <row r="3936" spans="1:5">
      <c r="A3936" s="2" t="s">
        <v>296</v>
      </c>
      <c r="B3936" s="2" t="str">
        <f>"020340167"</f>
        <v>020340167</v>
      </c>
      <c r="C3936" s="2" t="str">
        <f>"020340167"</f>
        <v>020340167</v>
      </c>
      <c r="D3936" s="2" t="s">
        <v>4909</v>
      </c>
      <c r="E3936" s="4">
        <v>2900</v>
      </c>
    </row>
    <row r="3937" spans="1:5">
      <c r="A3937" s="2" t="s">
        <v>1478</v>
      </c>
      <c r="B3937" s="2" t="str">
        <f>"020340997"</f>
        <v>020340997</v>
      </c>
      <c r="C3937" s="2" t="str">
        <f>"020340997"</f>
        <v>020340997</v>
      </c>
      <c r="D3937" s="2" t="s">
        <v>4910</v>
      </c>
      <c r="E3937" s="4">
        <v>1800</v>
      </c>
    </row>
    <row r="3938" spans="1:5">
      <c r="A3938" s="2" t="s">
        <v>1478</v>
      </c>
      <c r="B3938" s="2" t="str">
        <f>"210322"</f>
        <v>210322</v>
      </c>
      <c r="C3938" s="2" t="str">
        <f>"210322"</f>
        <v>210322</v>
      </c>
      <c r="D3938" s="2" t="s">
        <v>4911</v>
      </c>
      <c r="E3938" s="4">
        <v>6900</v>
      </c>
    </row>
    <row r="3939" spans="1:5">
      <c r="A3939" s="2" t="s">
        <v>296</v>
      </c>
      <c r="B3939" s="2" t="str">
        <f>"002845"</f>
        <v>002845</v>
      </c>
      <c r="C3939" s="2" t="str">
        <f>"002845"</f>
        <v>002845</v>
      </c>
      <c r="D3939" s="2" t="s">
        <v>4912</v>
      </c>
      <c r="E3939" s="4">
        <v>5200</v>
      </c>
    </row>
    <row r="3940" spans="1:5">
      <c r="A3940" s="2" t="s">
        <v>296</v>
      </c>
      <c r="B3940" s="2" t="str">
        <f>"12541-12900"</f>
        <v>12541-12900</v>
      </c>
      <c r="C3940" s="2" t="str">
        <f>"12541-12900"</f>
        <v>12541-12900</v>
      </c>
      <c r="D3940" s="2" t="s">
        <v>4913</v>
      </c>
      <c r="E3940" s="4">
        <v>9700</v>
      </c>
    </row>
    <row r="3941" spans="1:5">
      <c r="A3941" s="2" t="s">
        <v>296</v>
      </c>
      <c r="B3941" s="2" t="str">
        <f>"020340189"</f>
        <v>020340189</v>
      </c>
      <c r="C3941" s="2" t="str">
        <f>"020340189"</f>
        <v>020340189</v>
      </c>
      <c r="D3941" s="2" t="s">
        <v>4914</v>
      </c>
      <c r="E3941" s="4">
        <v>4800</v>
      </c>
    </row>
    <row r="3942" spans="1:5">
      <c r="A3942" s="2" t="s">
        <v>296</v>
      </c>
      <c r="B3942" s="2" t="str">
        <f>"020340634"</f>
        <v>020340634</v>
      </c>
      <c r="C3942" s="2" t="str">
        <f>"020340634"</f>
        <v>020340634</v>
      </c>
      <c r="D3942" s="2" t="s">
        <v>4915</v>
      </c>
      <c r="E3942" s="4">
        <v>25000</v>
      </c>
    </row>
    <row r="3943" spans="1:5">
      <c r="A3943" s="2" t="s">
        <v>296</v>
      </c>
      <c r="B3943" s="2" t="str">
        <f>"300928"</f>
        <v>300928</v>
      </c>
      <c r="C3943" s="2" t="str">
        <f>"300928"</f>
        <v>300928</v>
      </c>
      <c r="D3943" s="2" t="s">
        <v>4916</v>
      </c>
      <c r="E3943" s="4">
        <v>25000</v>
      </c>
    </row>
    <row r="3944" spans="1:5">
      <c r="A3944" s="2" t="s">
        <v>296</v>
      </c>
      <c r="B3944" s="2" t="str">
        <f>"290037"</f>
        <v>290037</v>
      </c>
      <c r="C3944" s="2" t="str">
        <f>"290037"</f>
        <v>290037</v>
      </c>
      <c r="D3944" s="2" t="s">
        <v>4917</v>
      </c>
      <c r="E3944" s="4">
        <v>58300</v>
      </c>
    </row>
    <row r="3945" spans="1:5">
      <c r="A3945" s="2" t="s">
        <v>296</v>
      </c>
      <c r="B3945" s="2" t="str">
        <f>"010340828"</f>
        <v>010340828</v>
      </c>
      <c r="C3945" s="2" t="str">
        <f>"010340828"</f>
        <v>010340828</v>
      </c>
      <c r="D3945" s="2" t="s">
        <v>4918</v>
      </c>
      <c r="E3945" s="4">
        <v>18700</v>
      </c>
    </row>
    <row r="3946" spans="1:5">
      <c r="A3946" s="2" t="s">
        <v>296</v>
      </c>
      <c r="B3946" s="2" t="str">
        <f>"010340630"</f>
        <v>010340630</v>
      </c>
      <c r="C3946" s="2" t="str">
        <f>"010340630"</f>
        <v>010340630</v>
      </c>
      <c r="D3946" s="2" t="s">
        <v>4919</v>
      </c>
      <c r="E3946" s="4">
        <v>9700</v>
      </c>
    </row>
    <row r="3947" spans="1:5">
      <c r="A3947" s="2" t="s">
        <v>1478</v>
      </c>
      <c r="B3947" s="2" t="str">
        <f>"003882"</f>
        <v>003882</v>
      </c>
      <c r="C3947" s="2" t="str">
        <f>"003882"</f>
        <v>003882</v>
      </c>
      <c r="D3947" s="2" t="s">
        <v>4920</v>
      </c>
      <c r="E3947" s="4">
        <v>45000</v>
      </c>
    </row>
    <row r="3948" spans="1:5">
      <c r="A3948" s="2" t="s">
        <v>296</v>
      </c>
      <c r="B3948" s="2" t="str">
        <f>"010340636"</f>
        <v>010340636</v>
      </c>
      <c r="C3948" s="2" t="str">
        <f>"010340636"</f>
        <v>010340636</v>
      </c>
      <c r="D3948" s="2" t="s">
        <v>4921</v>
      </c>
      <c r="E3948" s="4">
        <v>25000</v>
      </c>
    </row>
    <row r="3949" spans="1:5">
      <c r="A3949" s="2" t="s">
        <v>1478</v>
      </c>
      <c r="B3949" s="2" t="str">
        <f>"020340314"</f>
        <v>020340314</v>
      </c>
      <c r="C3949" s="2" t="str">
        <f>"020340314"</f>
        <v>020340314</v>
      </c>
      <c r="D3949" s="2" t="s">
        <v>4922</v>
      </c>
      <c r="E3949" s="4">
        <v>8800</v>
      </c>
    </row>
    <row r="3950" spans="1:5">
      <c r="A3950" s="2" t="s">
        <v>296</v>
      </c>
      <c r="B3950" s="2" t="str">
        <f>"290070"</f>
        <v>290070</v>
      </c>
      <c r="C3950" s="2" t="str">
        <f>"290070"</f>
        <v>290070</v>
      </c>
      <c r="D3950" s="2" t="s">
        <v>4923</v>
      </c>
      <c r="E3950" s="4">
        <v>6500</v>
      </c>
    </row>
    <row r="3951" spans="1:5">
      <c r="A3951" s="2" t="s">
        <v>296</v>
      </c>
      <c r="B3951" s="2" t="str">
        <f>"020340974"</f>
        <v>020340974</v>
      </c>
      <c r="C3951" s="2" t="str">
        <f>"020340974"</f>
        <v>020340974</v>
      </c>
      <c r="D3951" s="2" t="s">
        <v>4924</v>
      </c>
      <c r="E3951" s="4">
        <v>6400</v>
      </c>
    </row>
    <row r="3952" spans="1:5">
      <c r="A3952" s="2" t="s">
        <v>296</v>
      </c>
      <c r="B3952" s="2" t="s">
        <v>4925</v>
      </c>
      <c r="C3952" s="2" t="s">
        <v>4925</v>
      </c>
      <c r="D3952" s="2" t="s">
        <v>4926</v>
      </c>
      <c r="E3952" s="4">
        <v>6100</v>
      </c>
    </row>
    <row r="3953" spans="1:5">
      <c r="A3953" s="2" t="s">
        <v>296</v>
      </c>
      <c r="B3953" s="2" t="str">
        <f>"5000000115785"</f>
        <v>5000000115785</v>
      </c>
      <c r="C3953" s="2" t="str">
        <f>"190248"</f>
        <v>190248</v>
      </c>
      <c r="D3953" s="2" t="s">
        <v>4927</v>
      </c>
      <c r="E3953" s="4">
        <v>6100</v>
      </c>
    </row>
    <row r="3954" spans="1:5">
      <c r="A3954" s="2" t="s">
        <v>296</v>
      </c>
      <c r="B3954" s="2" t="str">
        <f>"289790"</f>
        <v>289790</v>
      </c>
      <c r="C3954" s="2" t="str">
        <f>"249790"</f>
        <v>249790</v>
      </c>
      <c r="D3954" s="2" t="s">
        <v>4928</v>
      </c>
      <c r="E3954" s="4">
        <v>11500</v>
      </c>
    </row>
    <row r="3955" spans="1:5">
      <c r="A3955" s="2" t="s">
        <v>296</v>
      </c>
      <c r="B3955" s="2" t="str">
        <f>"289788"</f>
        <v>289788</v>
      </c>
      <c r="C3955" s="2" t="str">
        <f>"289788"</f>
        <v>289788</v>
      </c>
      <c r="D3955" s="2" t="s">
        <v>4929</v>
      </c>
      <c r="E3955" s="4">
        <v>25000</v>
      </c>
    </row>
    <row r="3956" spans="1:5">
      <c r="A3956" s="2" t="s">
        <v>296</v>
      </c>
      <c r="B3956" s="2" t="str">
        <f>"000913332-1"</f>
        <v>000913332-1</v>
      </c>
      <c r="C3956" s="2" t="str">
        <f>"000913332-1"</f>
        <v>000913332-1</v>
      </c>
      <c r="D3956" s="2" t="s">
        <v>4930</v>
      </c>
      <c r="E3956" s="4">
        <v>7000</v>
      </c>
    </row>
    <row r="3957" spans="1:5">
      <c r="A3957" s="2" t="s">
        <v>1478</v>
      </c>
      <c r="B3957" s="2" t="str">
        <f>"020340200"</f>
        <v>020340200</v>
      </c>
      <c r="C3957" s="2" t="str">
        <f>"020340200"</f>
        <v>020340200</v>
      </c>
      <c r="D3957" s="2" t="s">
        <v>4930</v>
      </c>
      <c r="E3957" s="4">
        <v>7000</v>
      </c>
    </row>
    <row r="3958" spans="1:5">
      <c r="A3958" s="2" t="s">
        <v>296</v>
      </c>
      <c r="B3958" s="2" t="str">
        <f>"281728"</f>
        <v>281728</v>
      </c>
      <c r="C3958" s="2" t="str">
        <f>"281728"</f>
        <v>281728</v>
      </c>
      <c r="D3958" s="2" t="s">
        <v>4931</v>
      </c>
      <c r="E3958" s="4">
        <v>21400</v>
      </c>
    </row>
    <row r="3959" spans="1:5">
      <c r="A3959" s="2" t="s">
        <v>296</v>
      </c>
      <c r="B3959" s="2" t="str">
        <f>"190270"</f>
        <v>190270</v>
      </c>
      <c r="C3959" s="2" t="str">
        <f>"190270"</f>
        <v>190270</v>
      </c>
      <c r="D3959" s="2" t="s">
        <v>4932</v>
      </c>
      <c r="E3959" s="4">
        <v>6800</v>
      </c>
    </row>
    <row r="3960" spans="1:5">
      <c r="A3960" s="2" t="s">
        <v>296</v>
      </c>
      <c r="B3960" s="2" t="str">
        <f>"020340197"</f>
        <v>020340197</v>
      </c>
      <c r="C3960" s="2" t="str">
        <f>"11115-71010"</f>
        <v>11115-71010</v>
      </c>
      <c r="D3960" s="2" t="s">
        <v>4933</v>
      </c>
      <c r="E3960" s="4">
        <v>5200</v>
      </c>
    </row>
    <row r="3961" spans="1:5">
      <c r="A3961" s="2" t="s">
        <v>296</v>
      </c>
      <c r="B3961" s="2" t="str">
        <f>"003264"</f>
        <v>003264</v>
      </c>
      <c r="C3961" s="2" t="str">
        <f>"003264"</f>
        <v>003264</v>
      </c>
      <c r="D3961" s="2" t="s">
        <v>4934</v>
      </c>
      <c r="E3961" s="4">
        <v>38000</v>
      </c>
    </row>
    <row r="3962" spans="1:5">
      <c r="A3962" s="2" t="s">
        <v>296</v>
      </c>
      <c r="B3962" s="2" t="str">
        <f>"194005"</f>
        <v>194005</v>
      </c>
      <c r="C3962" s="2" t="str">
        <f>"194005"</f>
        <v>194005</v>
      </c>
      <c r="D3962" s="2" t="s">
        <v>4935</v>
      </c>
      <c r="E3962" s="4">
        <v>10600</v>
      </c>
    </row>
    <row r="3963" spans="1:5">
      <c r="A3963" s="2" t="s">
        <v>296</v>
      </c>
      <c r="B3963" s="2" t="str">
        <f>"194114"</f>
        <v>194114</v>
      </c>
      <c r="C3963" s="2" t="str">
        <f>"194114"</f>
        <v>194114</v>
      </c>
      <c r="D3963" s="2" t="s">
        <v>4936</v>
      </c>
      <c r="E3963" s="4">
        <v>8800</v>
      </c>
    </row>
    <row r="3964" spans="1:5">
      <c r="A3964" s="2" t="s">
        <v>296</v>
      </c>
      <c r="B3964" s="2" t="str">
        <f>"010340635"</f>
        <v>010340635</v>
      </c>
      <c r="C3964" s="2" t="str">
        <f>"010340635"</f>
        <v>010340635</v>
      </c>
      <c r="D3964" s="2" t="s">
        <v>4937</v>
      </c>
      <c r="E3964" s="4">
        <v>9700</v>
      </c>
    </row>
    <row r="3965" spans="1:5">
      <c r="A3965" s="2" t="s">
        <v>296</v>
      </c>
      <c r="B3965" s="2" t="str">
        <f>"0007386"</f>
        <v>0007386</v>
      </c>
      <c r="C3965" s="2" t="str">
        <f>"0007386"</f>
        <v>0007386</v>
      </c>
      <c r="D3965" s="2" t="s">
        <v>4938</v>
      </c>
      <c r="E3965" s="4">
        <v>8800</v>
      </c>
    </row>
    <row r="3966" spans="1:5">
      <c r="A3966" s="2" t="s">
        <v>296</v>
      </c>
      <c r="B3966" s="2" t="str">
        <f>"020340207"</f>
        <v>020340207</v>
      </c>
      <c r="C3966" s="2" t="str">
        <f>"020340207"</f>
        <v>020340207</v>
      </c>
      <c r="D3966" s="2" t="s">
        <v>4939</v>
      </c>
      <c r="E3966" s="4">
        <v>4300</v>
      </c>
    </row>
    <row r="3967" spans="1:5">
      <c r="A3967" s="2" t="s">
        <v>1478</v>
      </c>
      <c r="B3967" s="2" t="str">
        <f>"194022"</f>
        <v>194022</v>
      </c>
      <c r="C3967" s="2" t="str">
        <f>"194022"</f>
        <v>194022</v>
      </c>
      <c r="D3967" s="2" t="s">
        <v>4940</v>
      </c>
      <c r="E3967" s="4">
        <v>10600</v>
      </c>
    </row>
    <row r="3968" spans="1:5">
      <c r="A3968" s="2" t="s">
        <v>296</v>
      </c>
      <c r="B3968" s="2" t="str">
        <f>"02340314"</f>
        <v>02340314</v>
      </c>
      <c r="C3968" s="2" t="str">
        <f>"02340314"</f>
        <v>02340314</v>
      </c>
      <c r="D3968" s="2" t="s">
        <v>4941</v>
      </c>
      <c r="E3968" s="4">
        <v>7000</v>
      </c>
    </row>
    <row r="3969" spans="1:5">
      <c r="A3969" s="2" t="s">
        <v>296</v>
      </c>
      <c r="B3969" s="2" t="str">
        <f>"020340991"</f>
        <v>020340991</v>
      </c>
      <c r="C3969" s="2" t="str">
        <f>"020340991"</f>
        <v>020340991</v>
      </c>
      <c r="D3969" s="2" t="s">
        <v>4941</v>
      </c>
      <c r="E3969" s="4">
        <v>7000</v>
      </c>
    </row>
    <row r="3970" spans="1:5">
      <c r="A3970" s="2" t="s">
        <v>296</v>
      </c>
      <c r="B3970" s="2" t="str">
        <f>"0001565"</f>
        <v>0001565</v>
      </c>
      <c r="C3970" s="2" t="str">
        <f>"0001565 TY51070"</f>
        <v>0001565 TY51070</v>
      </c>
      <c r="D3970" s="2" t="s">
        <v>4942</v>
      </c>
      <c r="E3970" s="4">
        <v>28000</v>
      </c>
    </row>
    <row r="3971" spans="1:5">
      <c r="A3971" s="2" t="s">
        <v>296</v>
      </c>
      <c r="B3971" s="2" t="str">
        <f>"290017"</f>
        <v>290017</v>
      </c>
      <c r="C3971" s="2" t="str">
        <f>"290017"</f>
        <v>290017</v>
      </c>
      <c r="D3971" s="2" t="s">
        <v>4943</v>
      </c>
      <c r="E3971" s="4">
        <v>25900</v>
      </c>
    </row>
    <row r="3972" spans="1:5">
      <c r="A3972" s="2" t="s">
        <v>296</v>
      </c>
      <c r="B3972" s="2" t="str">
        <f>"000910028-8"</f>
        <v>000910028-8</v>
      </c>
      <c r="C3972" s="2" t="str">
        <f>"000910028-8"</f>
        <v>000910028-8</v>
      </c>
      <c r="D3972" s="2" t="s">
        <v>4944</v>
      </c>
      <c r="E3972" s="4">
        <v>28600</v>
      </c>
    </row>
    <row r="3973" spans="1:5">
      <c r="A3973" s="2" t="s">
        <v>1478</v>
      </c>
      <c r="B3973" s="2" t="str">
        <f>"1000280"</f>
        <v>1000280</v>
      </c>
      <c r="C3973" s="2" t="str">
        <f>"1000280"</f>
        <v>1000280</v>
      </c>
      <c r="D3973" s="2" t="s">
        <v>4945</v>
      </c>
      <c r="E3973" s="4">
        <v>4300</v>
      </c>
    </row>
    <row r="3974" spans="1:5">
      <c r="A3974" s="2" t="s">
        <v>1478</v>
      </c>
      <c r="B3974" s="2" t="str">
        <f>"183172"</f>
        <v>183172</v>
      </c>
      <c r="C3974" s="2" t="str">
        <f>"183172"</f>
        <v>183172</v>
      </c>
      <c r="D3974" s="2" t="s">
        <v>4946</v>
      </c>
      <c r="E3974" s="4">
        <v>3500</v>
      </c>
    </row>
    <row r="3975" spans="1:5">
      <c r="A3975" s="2" t="s">
        <v>1478</v>
      </c>
      <c r="B3975" s="2" t="str">
        <f>"0002674"</f>
        <v>0002674</v>
      </c>
      <c r="C3975" s="2" t="str">
        <f>"0002674"</f>
        <v>0002674</v>
      </c>
      <c r="D3975" s="2" t="s">
        <v>4947</v>
      </c>
      <c r="E3975" s="4">
        <v>6100</v>
      </c>
    </row>
    <row r="3976" spans="1:5">
      <c r="A3976" s="2" t="s">
        <v>1478</v>
      </c>
      <c r="B3976" s="2" t="str">
        <f>"300942"</f>
        <v>300942</v>
      </c>
      <c r="C3976" s="2" t="str">
        <f>"300942"</f>
        <v>300942</v>
      </c>
      <c r="D3976" s="2" t="s">
        <v>4948</v>
      </c>
      <c r="E3976" s="4">
        <v>3800</v>
      </c>
    </row>
    <row r="3977" spans="1:5">
      <c r="A3977" s="2" t="s">
        <v>1478</v>
      </c>
      <c r="B3977" s="2" t="str">
        <f>"321580 0002673"</f>
        <v>321580 0002673</v>
      </c>
      <c r="C3977" s="2" t="str">
        <f>"321580"</f>
        <v>321580</v>
      </c>
      <c r="D3977" s="2" t="s">
        <v>4949</v>
      </c>
      <c r="E3977" s="4">
        <v>4300</v>
      </c>
    </row>
    <row r="3978" spans="1:5">
      <c r="A3978" s="2" t="s">
        <v>1478</v>
      </c>
      <c r="B3978" s="2" t="str">
        <f>"0004211"</f>
        <v>0004211</v>
      </c>
      <c r="C3978" s="2" t="str">
        <f>"0004211"</f>
        <v>0004211</v>
      </c>
      <c r="D3978" s="2" t="s">
        <v>4950</v>
      </c>
      <c r="E3978" s="4">
        <v>3400</v>
      </c>
    </row>
    <row r="3979" spans="1:5">
      <c r="A3979" s="2" t="s">
        <v>1478</v>
      </c>
      <c r="B3979" s="2" t="str">
        <f>"9458083"</f>
        <v>9458083</v>
      </c>
      <c r="C3979" s="2" t="str">
        <f>"9458083"</f>
        <v>9458083</v>
      </c>
      <c r="D3979" s="2" t="s">
        <v>4951</v>
      </c>
      <c r="E3979" s="4">
        <v>1500</v>
      </c>
    </row>
    <row r="3980" spans="1:5">
      <c r="A3980" s="2" t="s">
        <v>1478</v>
      </c>
      <c r="B3980" s="2" t="s">
        <v>4952</v>
      </c>
      <c r="C3980" s="2" t="str">
        <f>"0423-103-066"</f>
        <v>0423-103-066</v>
      </c>
      <c r="D3980" s="2" t="s">
        <v>4953</v>
      </c>
      <c r="E3980" s="4">
        <v>3000</v>
      </c>
    </row>
    <row r="3981" spans="1:5">
      <c r="A3981" s="2" t="s">
        <v>1478</v>
      </c>
      <c r="B3981" s="2" t="str">
        <f>"0002676"</f>
        <v>0002676</v>
      </c>
      <c r="C3981" s="2" t="str">
        <f>"0002676"</f>
        <v>0002676</v>
      </c>
      <c r="D3981" s="2" t="s">
        <v>4954</v>
      </c>
      <c r="E3981" s="4">
        <v>4300</v>
      </c>
    </row>
    <row r="3982" spans="1:5">
      <c r="A3982" s="2" t="s">
        <v>1478</v>
      </c>
      <c r="B3982" s="2" t="str">
        <f>"0002677"</f>
        <v>0002677</v>
      </c>
      <c r="C3982" s="2" t="str">
        <f>"0002677"</f>
        <v>0002677</v>
      </c>
      <c r="D3982" s="2" t="s">
        <v>4955</v>
      </c>
      <c r="E3982" s="4">
        <v>4300</v>
      </c>
    </row>
    <row r="3983" spans="1:5">
      <c r="A3983" s="2" t="s">
        <v>1478</v>
      </c>
      <c r="B3983" s="2" t="str">
        <f>"0001098"</f>
        <v>0001098</v>
      </c>
      <c r="C3983" s="2" t="str">
        <f>"0001098"</f>
        <v>0001098</v>
      </c>
      <c r="D3983" s="2" t="s">
        <v>4956</v>
      </c>
      <c r="E3983" s="4">
        <v>9700</v>
      </c>
    </row>
    <row r="3984" spans="1:5">
      <c r="A3984" s="2" t="s">
        <v>1478</v>
      </c>
      <c r="B3984" s="2" t="str">
        <f>"301827"</f>
        <v>301827</v>
      </c>
      <c r="C3984" s="2" t="str">
        <f>"301827"</f>
        <v>301827</v>
      </c>
      <c r="D3984" s="2" t="s">
        <v>4957</v>
      </c>
      <c r="E3984" s="4">
        <v>4800</v>
      </c>
    </row>
    <row r="3985" spans="1:5">
      <c r="A3985" s="2" t="s">
        <v>1478</v>
      </c>
      <c r="B3985" s="2" t="str">
        <f>"020340089"</f>
        <v>020340089</v>
      </c>
      <c r="C3985" s="2" t="str">
        <f>"020340089"</f>
        <v>020340089</v>
      </c>
      <c r="D3985" s="2" t="s">
        <v>4958</v>
      </c>
      <c r="E3985" s="4">
        <v>2500</v>
      </c>
    </row>
    <row r="3986" spans="1:5">
      <c r="A3986" s="2" t="s">
        <v>1478</v>
      </c>
      <c r="B3986" s="2" t="str">
        <f>"055706"</f>
        <v>055706</v>
      </c>
      <c r="C3986" s="2" t="str">
        <f>"055706"</f>
        <v>055706</v>
      </c>
      <c r="D3986" s="2" t="s">
        <v>4959</v>
      </c>
      <c r="E3986" s="4">
        <v>3400</v>
      </c>
    </row>
    <row r="3987" spans="1:5">
      <c r="A3987" s="2" t="s">
        <v>1478</v>
      </c>
      <c r="B3987" s="2" t="str">
        <f>"300805"</f>
        <v>300805</v>
      </c>
      <c r="C3987" s="2" t="str">
        <f>"300805"</f>
        <v>300805</v>
      </c>
      <c r="D3987" s="2" t="s">
        <v>4960</v>
      </c>
      <c r="E3987" s="4">
        <v>4300</v>
      </c>
    </row>
    <row r="3988" spans="1:5">
      <c r="A3988" s="2" t="s">
        <v>1478</v>
      </c>
      <c r="B3988" s="2" t="str">
        <f>"289483"</f>
        <v>289483</v>
      </c>
      <c r="C3988" s="2" t="str">
        <f>"289483"</f>
        <v>289483</v>
      </c>
      <c r="D3988" s="2" t="s">
        <v>4961</v>
      </c>
      <c r="E3988" s="4">
        <v>6100</v>
      </c>
    </row>
    <row r="3989" spans="1:5">
      <c r="A3989" s="2" t="s">
        <v>1478</v>
      </c>
      <c r="B3989" s="2" t="str">
        <f>"002836"</f>
        <v>002836</v>
      </c>
      <c r="C3989" s="2" t="str">
        <f>"002836"</f>
        <v>002836</v>
      </c>
      <c r="D3989" s="2" t="s">
        <v>4962</v>
      </c>
      <c r="E3989" s="4">
        <v>5200</v>
      </c>
    </row>
    <row r="3990" spans="1:5">
      <c r="A3990" s="2" t="s">
        <v>1478</v>
      </c>
      <c r="B3990" s="2" t="str">
        <f>"8005720"</f>
        <v>8005720</v>
      </c>
      <c r="C3990" s="2" t="str">
        <f>"8005720"</f>
        <v>8005720</v>
      </c>
      <c r="D3990" s="2" t="s">
        <v>4963</v>
      </c>
      <c r="E3990" s="4">
        <v>2800</v>
      </c>
    </row>
    <row r="3991" spans="1:5">
      <c r="A3991" s="2" t="s">
        <v>1478</v>
      </c>
      <c r="B3991" s="2" t="str">
        <f>"070663"</f>
        <v>070663</v>
      </c>
      <c r="C3991" s="2" t="str">
        <f>"070663"</f>
        <v>070663</v>
      </c>
      <c r="D3991" s="2" t="s">
        <v>4964</v>
      </c>
      <c r="E3991" s="4">
        <v>1900</v>
      </c>
    </row>
    <row r="3992" spans="1:5">
      <c r="A3992" s="2" t="s">
        <v>1478</v>
      </c>
      <c r="B3992" s="2" t="str">
        <f>"020340017"</f>
        <v>020340017</v>
      </c>
      <c r="C3992" s="2" t="str">
        <f>"020340017"</f>
        <v>020340017</v>
      </c>
      <c r="D3992" s="2" t="s">
        <v>4965</v>
      </c>
      <c r="E3992" s="4">
        <v>3500</v>
      </c>
    </row>
    <row r="3993" spans="1:5">
      <c r="A3993" s="2" t="s">
        <v>1478</v>
      </c>
      <c r="B3993" s="2" t="s">
        <v>4966</v>
      </c>
      <c r="C3993" s="2" t="str">
        <f>"5-2651"</f>
        <v>5-2651</v>
      </c>
      <c r="D3993" s="2" t="s">
        <v>4967</v>
      </c>
      <c r="E3993" s="4">
        <v>1500</v>
      </c>
    </row>
    <row r="3994" spans="1:5">
      <c r="A3994" s="2" t="s">
        <v>1478</v>
      </c>
      <c r="B3994" s="2" t="str">
        <f>"210524"</f>
        <v>210524</v>
      </c>
      <c r="C3994" s="2" t="str">
        <f>"210524"</f>
        <v>210524</v>
      </c>
      <c r="D3994" s="2" t="s">
        <v>4968</v>
      </c>
      <c r="E3994" s="4">
        <v>3900</v>
      </c>
    </row>
    <row r="3995" spans="1:5">
      <c r="A3995" s="2" t="s">
        <v>1478</v>
      </c>
      <c r="B3995" s="2" t="str">
        <f>"500046"</f>
        <v>500046</v>
      </c>
      <c r="C3995" s="2" t="str">
        <f>"500046"</f>
        <v>500046</v>
      </c>
      <c r="D3995" s="2" t="s">
        <v>4969</v>
      </c>
      <c r="E3995" s="4">
        <v>4900</v>
      </c>
    </row>
    <row r="3996" spans="1:5">
      <c r="A3996" s="2" t="s">
        <v>1478</v>
      </c>
      <c r="B3996" s="2" t="s">
        <v>4970</v>
      </c>
      <c r="C3996" s="2" t="s">
        <v>4970</v>
      </c>
      <c r="D3996" s="2" t="s">
        <v>4971</v>
      </c>
      <c r="E3996" s="4">
        <v>6100</v>
      </c>
    </row>
    <row r="3997" spans="1:5">
      <c r="A3997" s="2" t="s">
        <v>1478</v>
      </c>
      <c r="B3997" s="2" t="str">
        <f>"247203"</f>
        <v>247203</v>
      </c>
      <c r="C3997" s="2" t="str">
        <f>"247203"</f>
        <v>247203</v>
      </c>
      <c r="D3997" s="2" t="s">
        <v>4972</v>
      </c>
      <c r="E3997" s="4">
        <v>2500</v>
      </c>
    </row>
    <row r="3998" spans="1:5">
      <c r="A3998" s="2" t="s">
        <v>1478</v>
      </c>
      <c r="B3998" s="2" t="str">
        <f>"247220"</f>
        <v>247220</v>
      </c>
      <c r="C3998" s="2" t="str">
        <f>"247220"</f>
        <v>247220</v>
      </c>
      <c r="D3998" s="2" t="s">
        <v>4973</v>
      </c>
      <c r="E3998" s="4">
        <v>2700</v>
      </c>
    </row>
    <row r="3999" spans="1:5">
      <c r="A3999" s="2" t="s">
        <v>1478</v>
      </c>
      <c r="B3999" s="2" t="str">
        <f>"247199"</f>
        <v>247199</v>
      </c>
      <c r="C3999" s="2" t="str">
        <f>"247199"</f>
        <v>247199</v>
      </c>
      <c r="D3999" s="2" t="s">
        <v>4974</v>
      </c>
      <c r="E3999" s="4">
        <v>3700</v>
      </c>
    </row>
    <row r="4000" spans="1:5">
      <c r="A4000" s="2" t="s">
        <v>1478</v>
      </c>
      <c r="B4000" s="2" t="str">
        <f>"0004165"</f>
        <v>0004165</v>
      </c>
      <c r="C4000" s="2" t="str">
        <f>"0004165"</f>
        <v>0004165</v>
      </c>
      <c r="D4000" s="2" t="s">
        <v>4975</v>
      </c>
      <c r="E4000" s="4">
        <v>6100</v>
      </c>
    </row>
    <row r="4001" spans="1:5">
      <c r="A4001" s="2" t="s">
        <v>1478</v>
      </c>
      <c r="B4001" s="2" t="str">
        <f>"0023643"</f>
        <v>0023643</v>
      </c>
      <c r="C4001" s="2" t="str">
        <f>"0023643"</f>
        <v>0023643</v>
      </c>
      <c r="D4001" s="2" t="s">
        <v>4976</v>
      </c>
      <c r="E4001" s="4">
        <v>3400</v>
      </c>
    </row>
    <row r="4002" spans="1:5">
      <c r="A4002" s="2" t="s">
        <v>1478</v>
      </c>
      <c r="B4002" s="2" t="str">
        <f>"230069"</f>
        <v>230069</v>
      </c>
      <c r="C4002" s="2" t="str">
        <f>"230069"</f>
        <v>230069</v>
      </c>
      <c r="D4002" s="2" t="s">
        <v>4977</v>
      </c>
      <c r="E4002" s="4">
        <v>6100</v>
      </c>
    </row>
    <row r="4003" spans="1:5">
      <c r="A4003" s="2" t="s">
        <v>1478</v>
      </c>
      <c r="B4003" s="2" t="str">
        <f>"247212"</f>
        <v>247212</v>
      </c>
      <c r="C4003" s="2" t="str">
        <f>"247212"</f>
        <v>247212</v>
      </c>
      <c r="D4003" s="2" t="s">
        <v>4978</v>
      </c>
      <c r="E4003" s="4">
        <v>1800</v>
      </c>
    </row>
    <row r="4004" spans="1:5">
      <c r="A4004" s="2" t="s">
        <v>1478</v>
      </c>
      <c r="B4004" s="2" t="str">
        <f>"321246"</f>
        <v>321246</v>
      </c>
      <c r="C4004" s="2" t="str">
        <f>"321246"</f>
        <v>321246</v>
      </c>
      <c r="D4004" s="2" t="s">
        <v>4979</v>
      </c>
      <c r="E4004" s="4">
        <v>7000</v>
      </c>
    </row>
    <row r="4005" spans="1:5">
      <c r="A4005" s="2" t="s">
        <v>1478</v>
      </c>
      <c r="B4005" s="2" t="str">
        <f>"183184"</f>
        <v>183184</v>
      </c>
      <c r="C4005" s="2" t="str">
        <f>"183184"</f>
        <v>183184</v>
      </c>
      <c r="D4005" s="2" t="s">
        <v>4980</v>
      </c>
      <c r="E4005" s="4">
        <v>5800</v>
      </c>
    </row>
    <row r="4006" spans="1:5">
      <c r="A4006" s="2" t="s">
        <v>1478</v>
      </c>
      <c r="B4006" s="2" t="str">
        <f>"281758"</f>
        <v>281758</v>
      </c>
      <c r="C4006" s="2" t="str">
        <f>"281758"</f>
        <v>281758</v>
      </c>
      <c r="D4006" s="2" t="s">
        <v>4981</v>
      </c>
      <c r="E4006" s="4">
        <v>4300</v>
      </c>
    </row>
    <row r="4007" spans="1:5">
      <c r="A4007" s="2" t="s">
        <v>1478</v>
      </c>
      <c r="B4007" s="2" t="str">
        <f>"141702"</f>
        <v>141702</v>
      </c>
      <c r="C4007" s="2" t="str">
        <f>"141702"</f>
        <v>141702</v>
      </c>
      <c r="D4007" s="2" t="s">
        <v>4982</v>
      </c>
      <c r="E4007" s="4">
        <v>3500</v>
      </c>
    </row>
    <row r="4008" spans="1:5">
      <c r="A4008" s="2" t="s">
        <v>1478</v>
      </c>
      <c r="B4008" s="2" t="str">
        <f>"289413"</f>
        <v>289413</v>
      </c>
      <c r="C4008" s="2" t="str">
        <f>"289413"</f>
        <v>289413</v>
      </c>
      <c r="D4008" s="2" t="s">
        <v>4983</v>
      </c>
      <c r="E4008" s="4">
        <v>4800</v>
      </c>
    </row>
    <row r="4009" spans="1:5">
      <c r="A4009" s="2" t="s">
        <v>1478</v>
      </c>
      <c r="B4009" s="2" t="str">
        <f>"183152"</f>
        <v>183152</v>
      </c>
      <c r="C4009" s="2" t="str">
        <f>"183152"</f>
        <v>183152</v>
      </c>
      <c r="D4009" s="2" t="s">
        <v>4984</v>
      </c>
      <c r="E4009" s="4">
        <v>6000</v>
      </c>
    </row>
    <row r="4010" spans="1:5">
      <c r="A4010" s="2" t="s">
        <v>1478</v>
      </c>
      <c r="B4010" s="2" t="str">
        <f>"013337"</f>
        <v>013337</v>
      </c>
      <c r="C4010" s="2" t="str">
        <f>"013337"</f>
        <v>013337</v>
      </c>
      <c r="D4010" s="2" t="s">
        <v>4985</v>
      </c>
      <c r="E4010" s="4">
        <v>2900</v>
      </c>
    </row>
    <row r="4011" spans="1:5">
      <c r="A4011" s="2" t="s">
        <v>1478</v>
      </c>
      <c r="B4011" s="2" t="s">
        <v>4986</v>
      </c>
      <c r="C4011" s="2" t="s">
        <v>4986</v>
      </c>
      <c r="D4011" s="2" t="s">
        <v>4987</v>
      </c>
      <c r="E4011" s="4">
        <v>6100</v>
      </c>
    </row>
    <row r="4012" spans="1:5">
      <c r="A4012" s="2" t="s">
        <v>1478</v>
      </c>
      <c r="B4012" s="2" t="str">
        <f>"321251"</f>
        <v>321251</v>
      </c>
      <c r="C4012" s="2" t="str">
        <f>"321251"</f>
        <v>321251</v>
      </c>
      <c r="D4012" s="2" t="s">
        <v>4988</v>
      </c>
      <c r="E4012" s="4">
        <v>5200</v>
      </c>
    </row>
    <row r="4013" spans="1:5">
      <c r="A4013" s="2" t="s">
        <v>1478</v>
      </c>
      <c r="B4013" s="2" t="str">
        <f>"321304"</f>
        <v>321304</v>
      </c>
      <c r="C4013" s="2" t="str">
        <f>"321304"</f>
        <v>321304</v>
      </c>
      <c r="D4013" s="2" t="s">
        <v>4989</v>
      </c>
      <c r="E4013" s="4">
        <v>4300</v>
      </c>
    </row>
    <row r="4014" spans="1:5">
      <c r="A4014" s="2" t="s">
        <v>1478</v>
      </c>
      <c r="B4014" s="2" t="str">
        <f>"281687"</f>
        <v>281687</v>
      </c>
      <c r="C4014" s="2" t="str">
        <f>"281687"</f>
        <v>281687</v>
      </c>
      <c r="D4014" s="2" t="s">
        <v>4990</v>
      </c>
      <c r="E4014" s="4">
        <v>4000</v>
      </c>
    </row>
    <row r="4015" spans="1:5">
      <c r="A4015" s="2" t="s">
        <v>1478</v>
      </c>
      <c r="B4015" s="2" t="str">
        <f>"020340524"</f>
        <v>020340524</v>
      </c>
      <c r="C4015" s="2" t="str">
        <f>"020340524"</f>
        <v>020340524</v>
      </c>
      <c r="D4015" s="2" t="s">
        <v>4991</v>
      </c>
      <c r="E4015" s="4">
        <v>3000</v>
      </c>
    </row>
    <row r="4016" spans="1:5">
      <c r="A4016" s="2" t="s">
        <v>1478</v>
      </c>
      <c r="B4016" s="2" t="str">
        <f>"301488"</f>
        <v>301488</v>
      </c>
      <c r="C4016" s="2" t="str">
        <f>"301488"</f>
        <v>301488</v>
      </c>
      <c r="D4016" s="2" t="s">
        <v>4992</v>
      </c>
      <c r="E4016" s="4">
        <v>5000</v>
      </c>
    </row>
    <row r="4017" spans="1:5">
      <c r="A4017" s="2" t="s">
        <v>1478</v>
      </c>
      <c r="B4017" s="2" t="str">
        <f>"171672"</f>
        <v>171672</v>
      </c>
      <c r="C4017" s="2" t="str">
        <f>"171672"</f>
        <v>171672</v>
      </c>
      <c r="D4017" s="2" t="s">
        <v>4993</v>
      </c>
      <c r="E4017" s="4">
        <v>8800</v>
      </c>
    </row>
    <row r="4018" spans="1:5">
      <c r="A4018" s="2" t="s">
        <v>1478</v>
      </c>
      <c r="B4018" s="2" t="s">
        <v>4994</v>
      </c>
      <c r="C4018" s="2" t="s">
        <v>4994</v>
      </c>
      <c r="D4018" s="2" t="s">
        <v>4995</v>
      </c>
      <c r="E4018" s="4">
        <v>3800</v>
      </c>
    </row>
    <row r="4019" spans="1:5">
      <c r="A4019" s="2" t="s">
        <v>1478</v>
      </c>
      <c r="B4019" s="2" t="str">
        <f>"282173"</f>
        <v>282173</v>
      </c>
      <c r="C4019" s="2" t="str">
        <f>"282173"</f>
        <v>282173</v>
      </c>
      <c r="D4019" s="2" t="s">
        <v>4996</v>
      </c>
      <c r="E4019" s="4">
        <v>4300</v>
      </c>
    </row>
    <row r="4020" spans="1:5">
      <c r="A4020" s="2" t="s">
        <v>1478</v>
      </c>
      <c r="B4020" s="2" t="str">
        <f>"0101967"</f>
        <v>0101967</v>
      </c>
      <c r="C4020" s="2" t="str">
        <f>"0101967"</f>
        <v>0101967</v>
      </c>
      <c r="D4020" s="2" t="s">
        <v>4997</v>
      </c>
      <c r="E4020" s="4">
        <v>5200</v>
      </c>
    </row>
    <row r="4021" spans="1:5">
      <c r="A4021" s="2" t="s">
        <v>1478</v>
      </c>
      <c r="B4021" s="2" t="str">
        <f>"301368"</f>
        <v>301368</v>
      </c>
      <c r="C4021" s="2" t="str">
        <f>"301368"</f>
        <v>301368</v>
      </c>
      <c r="D4021" s="2" t="s">
        <v>4998</v>
      </c>
      <c r="E4021" s="4">
        <v>6100</v>
      </c>
    </row>
    <row r="4022" spans="1:5">
      <c r="A4022" s="2" t="s">
        <v>1478</v>
      </c>
      <c r="B4022" s="2" t="str">
        <f>"002824"</f>
        <v>002824</v>
      </c>
      <c r="C4022" s="2" t="str">
        <f>"002824"</f>
        <v>002824</v>
      </c>
      <c r="D4022" s="2" t="s">
        <v>4999</v>
      </c>
      <c r="E4022" s="4">
        <v>2500</v>
      </c>
    </row>
    <row r="4023" spans="1:5">
      <c r="A4023" s="2" t="s">
        <v>1478</v>
      </c>
      <c r="B4023" s="2" t="str">
        <f>"080470094"</f>
        <v>080470094</v>
      </c>
      <c r="C4023" s="2" t="str">
        <f>"080470094"</f>
        <v>080470094</v>
      </c>
      <c r="D4023" s="2" t="s">
        <v>5000</v>
      </c>
      <c r="E4023" s="4">
        <v>7000</v>
      </c>
    </row>
    <row r="4024" spans="1:5">
      <c r="A4024" s="2" t="s">
        <v>1478</v>
      </c>
      <c r="B4024" s="2" t="str">
        <f>"281640"</f>
        <v>281640</v>
      </c>
      <c r="C4024" s="2" t="str">
        <f>"281640"</f>
        <v>281640</v>
      </c>
      <c r="D4024" s="2" t="s">
        <v>5001</v>
      </c>
      <c r="E4024" s="4">
        <v>2500</v>
      </c>
    </row>
    <row r="4025" spans="1:5">
      <c r="A4025" s="2" t="s">
        <v>1478</v>
      </c>
      <c r="B4025" s="2" t="str">
        <f>"281638"</f>
        <v>281638</v>
      </c>
      <c r="C4025" s="2" t="str">
        <f>"281638"</f>
        <v>281638</v>
      </c>
      <c r="D4025" s="2" t="s">
        <v>5002</v>
      </c>
      <c r="E4025" s="4">
        <v>2500</v>
      </c>
    </row>
    <row r="4026" spans="1:5">
      <c r="A4026" s="2" t="s">
        <v>1478</v>
      </c>
      <c r="B4026" s="2" t="str">
        <f>"002886"</f>
        <v>002886</v>
      </c>
      <c r="C4026" s="2" t="str">
        <f>"002886"</f>
        <v>002886</v>
      </c>
      <c r="D4026" s="2" t="s">
        <v>5003</v>
      </c>
      <c r="E4026" s="4">
        <v>2000</v>
      </c>
    </row>
    <row r="4027" spans="1:5">
      <c r="A4027" s="2" t="s">
        <v>1478</v>
      </c>
      <c r="B4027" s="2" t="str">
        <f>"301574"</f>
        <v>301574</v>
      </c>
      <c r="C4027" s="2" t="str">
        <f>"301574"</f>
        <v>301574</v>
      </c>
      <c r="D4027" s="2" t="s">
        <v>5004</v>
      </c>
      <c r="E4027" s="4">
        <v>6500</v>
      </c>
    </row>
    <row r="4028" spans="1:5">
      <c r="A4028" s="2" t="s">
        <v>1478</v>
      </c>
      <c r="B4028" s="2" t="str">
        <f>"194137"</f>
        <v>194137</v>
      </c>
      <c r="C4028" s="2" t="str">
        <f>"194137"</f>
        <v>194137</v>
      </c>
      <c r="D4028" s="2" t="s">
        <v>5005</v>
      </c>
      <c r="E4028" s="4">
        <v>3800</v>
      </c>
    </row>
    <row r="4029" spans="1:5">
      <c r="A4029" s="2" t="s">
        <v>1478</v>
      </c>
      <c r="B4029" s="2" t="str">
        <f>"194115"</f>
        <v>194115</v>
      </c>
      <c r="C4029" s="2" t="str">
        <f>"194115"</f>
        <v>194115</v>
      </c>
      <c r="D4029" s="2" t="s">
        <v>5006</v>
      </c>
      <c r="E4029" s="4">
        <v>6100</v>
      </c>
    </row>
    <row r="4030" spans="1:5">
      <c r="A4030" s="2" t="s">
        <v>1478</v>
      </c>
      <c r="B4030" s="2" t="str">
        <f>"290008"</f>
        <v>290008</v>
      </c>
      <c r="C4030" s="2" t="str">
        <f>"290008"</f>
        <v>290008</v>
      </c>
      <c r="D4030" s="2" t="s">
        <v>5007</v>
      </c>
      <c r="E4030" s="4">
        <v>14900</v>
      </c>
    </row>
    <row r="4031" spans="1:5">
      <c r="A4031" s="2" t="s">
        <v>1478</v>
      </c>
      <c r="B4031" s="2" t="s">
        <v>5008</v>
      </c>
      <c r="C4031" s="2" t="s">
        <v>5008</v>
      </c>
      <c r="D4031" s="2" t="s">
        <v>5009</v>
      </c>
      <c r="E4031" s="4">
        <v>8000</v>
      </c>
    </row>
    <row r="4032" spans="1:5">
      <c r="A4032" s="2" t="s">
        <v>4622</v>
      </c>
      <c r="B4032" s="2" t="s">
        <v>5010</v>
      </c>
      <c r="C4032" s="2" t="str">
        <f>"1692363230015"</f>
        <v>1692363230015</v>
      </c>
      <c r="D4032" s="2" t="s">
        <v>5011</v>
      </c>
      <c r="E4032" s="4">
        <v>150000</v>
      </c>
    </row>
    <row r="4033" spans="1:5">
      <c r="A4033" s="2" t="s">
        <v>4622</v>
      </c>
      <c r="B4033" s="2" t="str">
        <f>"001114141-2"</f>
        <v>001114141-2</v>
      </c>
      <c r="C4033" s="2" t="str">
        <f>"001114141-2"</f>
        <v>001114141-2</v>
      </c>
      <c r="D4033" s="2" t="s">
        <v>5012</v>
      </c>
      <c r="E4033" s="4">
        <v>6500</v>
      </c>
    </row>
    <row r="4034" spans="1:5">
      <c r="A4034" s="2" t="s">
        <v>4622</v>
      </c>
      <c r="B4034" s="2" t="str">
        <f>"1637767993505"</f>
        <v>1637767993505</v>
      </c>
      <c r="C4034" s="2" t="str">
        <f>"1637767993505"</f>
        <v>1637767993505</v>
      </c>
      <c r="D4034" s="2" t="s">
        <v>5013</v>
      </c>
      <c r="E4034" s="4">
        <v>11000</v>
      </c>
    </row>
    <row r="4035" spans="1:5">
      <c r="A4035" s="2" t="s">
        <v>4622</v>
      </c>
      <c r="B4035" s="2">
        <v>0</v>
      </c>
      <c r="C4035" s="2" t="str">
        <f>"1637767988508"</f>
        <v>1637767988508</v>
      </c>
      <c r="D4035" s="2" t="s">
        <v>5014</v>
      </c>
      <c r="E4035" s="2">
        <v>0</v>
      </c>
    </row>
    <row r="4036" spans="1:5">
      <c r="A4036" s="2" t="s">
        <v>4622</v>
      </c>
      <c r="B4036" s="2" t="str">
        <f>"1637768005078"</f>
        <v>1637768005078</v>
      </c>
      <c r="C4036" s="2" t="str">
        <f>"1637768005078"</f>
        <v>1637768005078</v>
      </c>
      <c r="D4036" s="2" t="s">
        <v>5014</v>
      </c>
      <c r="E4036" s="2">
        <v>0</v>
      </c>
    </row>
    <row r="4037" spans="1:5">
      <c r="A4037" s="2" t="s">
        <v>4622</v>
      </c>
      <c r="B4037" s="2" t="str">
        <f>"01102011131"</f>
        <v>01102011131</v>
      </c>
      <c r="C4037" s="2">
        <v>0</v>
      </c>
      <c r="D4037" s="2" t="s">
        <v>5014</v>
      </c>
      <c r="E4037" s="4">
        <v>12000</v>
      </c>
    </row>
    <row r="4038" spans="1:5">
      <c r="A4038" s="2" t="s">
        <v>5</v>
      </c>
      <c r="B4038" s="2" t="str">
        <f>"065016"</f>
        <v>065016</v>
      </c>
      <c r="C4038" s="2" t="str">
        <f>"065016"</f>
        <v>065016</v>
      </c>
      <c r="D4038" s="2" t="s">
        <v>5015</v>
      </c>
      <c r="E4038" s="4">
        <v>2500</v>
      </c>
    </row>
    <row r="4039" spans="1:5">
      <c r="A4039" s="2" t="s">
        <v>5</v>
      </c>
      <c r="B4039" s="2" t="s">
        <v>5016</v>
      </c>
      <c r="C4039" s="2" t="s">
        <v>5016</v>
      </c>
      <c r="D4039" s="2" t="s">
        <v>5017</v>
      </c>
      <c r="E4039" s="4">
        <v>4300</v>
      </c>
    </row>
    <row r="4040" spans="1:5">
      <c r="A4040" s="2" t="s">
        <v>5</v>
      </c>
      <c r="B4040" s="2" t="str">
        <f>"65015"</f>
        <v>65015</v>
      </c>
      <c r="C4040" s="2" t="str">
        <f>"65015"</f>
        <v>65015</v>
      </c>
      <c r="D4040" s="2" t="s">
        <v>5018</v>
      </c>
      <c r="E4040" s="4">
        <v>1800</v>
      </c>
    </row>
    <row r="4041" spans="1:5">
      <c r="A4041" s="2" t="s">
        <v>365</v>
      </c>
      <c r="B4041" s="2" t="s">
        <v>5019</v>
      </c>
      <c r="C4041" s="2" t="s">
        <v>5019</v>
      </c>
      <c r="D4041" s="2" t="s">
        <v>5020</v>
      </c>
      <c r="E4041" s="2">
        <v>500</v>
      </c>
    </row>
    <row r="4042" spans="1:5">
      <c r="A4042" s="2" t="s">
        <v>365</v>
      </c>
      <c r="B4042" s="2" t="s">
        <v>5021</v>
      </c>
      <c r="C4042" s="2" t="s">
        <v>5021</v>
      </c>
      <c r="D4042" s="2" t="s">
        <v>5022</v>
      </c>
      <c r="E4042" s="2">
        <v>900</v>
      </c>
    </row>
    <row r="4043" spans="1:5">
      <c r="A4043" s="2" t="s">
        <v>365</v>
      </c>
      <c r="B4043" s="2" t="str">
        <f>"9004"</f>
        <v>9004</v>
      </c>
      <c r="C4043" s="2" t="str">
        <f>"9004"</f>
        <v>9004</v>
      </c>
      <c r="D4043" s="2" t="s">
        <v>5023</v>
      </c>
      <c r="E4043" s="4">
        <v>2200</v>
      </c>
    </row>
    <row r="4044" spans="1:5">
      <c r="A4044" s="2" t="s">
        <v>365</v>
      </c>
      <c r="B4044" s="2" t="str">
        <f>"77235"</f>
        <v>77235</v>
      </c>
      <c r="C4044" s="2" t="str">
        <f>"77235"</f>
        <v>77235</v>
      </c>
      <c r="D4044" s="2" t="s">
        <v>5024</v>
      </c>
      <c r="E4044" s="4">
        <v>1000</v>
      </c>
    </row>
    <row r="4045" spans="1:5">
      <c r="A4045" s="2" t="s">
        <v>365</v>
      </c>
      <c r="B4045" s="2" t="s">
        <v>5025</v>
      </c>
      <c r="C4045" s="2" t="s">
        <v>5025</v>
      </c>
      <c r="D4045" s="2" t="s">
        <v>5026</v>
      </c>
      <c r="E4045" s="4">
        <v>1500</v>
      </c>
    </row>
    <row r="4046" spans="1:5">
      <c r="A4046" s="2" t="s">
        <v>365</v>
      </c>
      <c r="B4046" s="2" t="s">
        <v>5027</v>
      </c>
      <c r="C4046" s="2" t="s">
        <v>5027</v>
      </c>
      <c r="D4046" s="2" t="s">
        <v>5028</v>
      </c>
      <c r="E4046" s="4">
        <v>14200</v>
      </c>
    </row>
    <row r="4047" spans="1:5">
      <c r="A4047" s="2" t="s">
        <v>365</v>
      </c>
      <c r="B4047" s="2" t="s">
        <v>5029</v>
      </c>
      <c r="C4047" s="2" t="s">
        <v>5029</v>
      </c>
      <c r="D4047" s="2" t="s">
        <v>5030</v>
      </c>
      <c r="E4047" s="4">
        <v>4800</v>
      </c>
    </row>
    <row r="4048" spans="1:5">
      <c r="A4048" s="2" t="s">
        <v>365</v>
      </c>
      <c r="B4048" s="2" t="s">
        <v>5031</v>
      </c>
      <c r="C4048" s="2" t="s">
        <v>5031</v>
      </c>
      <c r="D4048" s="2" t="s">
        <v>5032</v>
      </c>
      <c r="E4048" s="4">
        <v>3000</v>
      </c>
    </row>
    <row r="4049" spans="1:5">
      <c r="A4049" s="2" t="s">
        <v>365</v>
      </c>
      <c r="B4049" s="2" t="s">
        <v>5033</v>
      </c>
      <c r="C4049" s="2" t="s">
        <v>5033</v>
      </c>
      <c r="D4049" s="2" t="s">
        <v>5034</v>
      </c>
      <c r="E4049" s="4">
        <v>15100</v>
      </c>
    </row>
    <row r="4050" spans="1:5">
      <c r="A4050" s="2" t="s">
        <v>365</v>
      </c>
      <c r="B4050" s="2" t="s">
        <v>5035</v>
      </c>
      <c r="C4050" s="2" t="s">
        <v>5035</v>
      </c>
      <c r="D4050" s="2" t="s">
        <v>5036</v>
      </c>
      <c r="E4050" s="4">
        <v>4300</v>
      </c>
    </row>
    <row r="4051" spans="1:5">
      <c r="A4051" s="2" t="s">
        <v>365</v>
      </c>
      <c r="B4051" s="2" t="str">
        <f>"77119"</f>
        <v>77119</v>
      </c>
      <c r="C4051" s="2" t="str">
        <f>"77119"</f>
        <v>77119</v>
      </c>
      <c r="D4051" s="2" t="s">
        <v>5037</v>
      </c>
      <c r="E4051" s="2">
        <v>800</v>
      </c>
    </row>
    <row r="4052" spans="1:5">
      <c r="A4052" s="2" t="s">
        <v>1478</v>
      </c>
      <c r="B4052" s="2" t="str">
        <f>"0300710"</f>
        <v>0300710</v>
      </c>
      <c r="C4052" s="2" t="str">
        <f>"0300710"</f>
        <v>0300710</v>
      </c>
      <c r="D4052" s="2" t="s">
        <v>5038</v>
      </c>
      <c r="E4052" s="4">
        <v>34000</v>
      </c>
    </row>
    <row r="4053" spans="1:5">
      <c r="A4053" s="2" t="s">
        <v>1478</v>
      </c>
      <c r="B4053" s="2" t="str">
        <f>"413940-2"</f>
        <v>413940-2</v>
      </c>
      <c r="C4053" s="2" t="str">
        <f>"0029294"</f>
        <v>0029294</v>
      </c>
      <c r="D4053" s="2" t="s">
        <v>5038</v>
      </c>
      <c r="E4053" s="4">
        <v>29500</v>
      </c>
    </row>
    <row r="4054" spans="1:5">
      <c r="A4054" s="2" t="s">
        <v>1478</v>
      </c>
      <c r="B4054" s="2" t="str">
        <f>"0034422"</f>
        <v>0034422</v>
      </c>
      <c r="C4054" s="2" t="str">
        <f>"0034422"</f>
        <v>0034422</v>
      </c>
      <c r="D4054" s="2" t="s">
        <v>5039</v>
      </c>
      <c r="E4054" s="4">
        <v>75000</v>
      </c>
    </row>
    <row r="4055" spans="1:5">
      <c r="A4055" s="2" t="s">
        <v>2541</v>
      </c>
      <c r="B4055" s="2" t="s">
        <v>5040</v>
      </c>
      <c r="C4055" s="2" t="str">
        <f>"1718631463083"</f>
        <v>1718631463083</v>
      </c>
      <c r="D4055" s="2" t="s">
        <v>5041</v>
      </c>
      <c r="E4055" s="4">
        <v>26000</v>
      </c>
    </row>
    <row r="4056" spans="1:5">
      <c r="A4056" s="2" t="s">
        <v>2541</v>
      </c>
      <c r="B4056" s="2" t="str">
        <f>"1001370"</f>
        <v>1001370</v>
      </c>
      <c r="C4056" s="2" t="str">
        <f>"101370"</f>
        <v>101370</v>
      </c>
      <c r="D4056" s="2" t="s">
        <v>5042</v>
      </c>
      <c r="E4056" s="4">
        <v>28600</v>
      </c>
    </row>
    <row r="4057" spans="1:5">
      <c r="A4057" s="2" t="s">
        <v>2541</v>
      </c>
      <c r="B4057" s="2" t="str">
        <f>"1001360"</f>
        <v>1001360</v>
      </c>
      <c r="C4057" s="2" t="str">
        <f>"1001360"</f>
        <v>1001360</v>
      </c>
      <c r="D4057" s="2" t="s">
        <v>5043</v>
      </c>
      <c r="E4057" s="4">
        <v>28600</v>
      </c>
    </row>
    <row r="4058" spans="1:5">
      <c r="A4058" s="2" t="s">
        <v>2541</v>
      </c>
      <c r="B4058" s="2" t="str">
        <f>"0022627"</f>
        <v>0022627</v>
      </c>
      <c r="C4058" s="2" t="str">
        <f>"0022627"</f>
        <v>0022627</v>
      </c>
      <c r="D4058" s="2" t="s">
        <v>5044</v>
      </c>
      <c r="E4058" s="4">
        <v>9700</v>
      </c>
    </row>
    <row r="4059" spans="1:5">
      <c r="A4059" s="2" t="s">
        <v>2541</v>
      </c>
      <c r="B4059" s="2" t="s">
        <v>5045</v>
      </c>
      <c r="C4059" s="2" t="s">
        <v>5045</v>
      </c>
      <c r="D4059" s="2" t="s">
        <v>5046</v>
      </c>
      <c r="E4059" s="4">
        <v>68200</v>
      </c>
    </row>
    <row r="4060" spans="1:5">
      <c r="A4060" s="2" t="s">
        <v>2541</v>
      </c>
      <c r="B4060" s="2" t="s">
        <v>5047</v>
      </c>
      <c r="C4060" s="2" t="s">
        <v>5047</v>
      </c>
      <c r="D4060" s="2" t="s">
        <v>5048</v>
      </c>
      <c r="E4060" s="4">
        <v>8800</v>
      </c>
    </row>
    <row r="4061" spans="1:5">
      <c r="A4061" s="2" t="s">
        <v>2541</v>
      </c>
      <c r="B4061" s="2" t="str">
        <f>"1600630"</f>
        <v>1600630</v>
      </c>
      <c r="C4061" s="2" t="str">
        <f>"1600630"</f>
        <v>1600630</v>
      </c>
      <c r="D4061" s="2" t="s">
        <v>5049</v>
      </c>
      <c r="E4061" s="4">
        <v>16000</v>
      </c>
    </row>
    <row r="4062" spans="1:5">
      <c r="A4062" s="2" t="s">
        <v>2541</v>
      </c>
      <c r="B4062" s="2" t="s">
        <v>5050</v>
      </c>
      <c r="C4062" s="2" t="str">
        <f>"1600660"</f>
        <v>1600660</v>
      </c>
      <c r="D4062" s="2" t="s">
        <v>5051</v>
      </c>
      <c r="E4062" s="4">
        <v>12400</v>
      </c>
    </row>
    <row r="4063" spans="1:5">
      <c r="A4063" s="2" t="s">
        <v>2541</v>
      </c>
      <c r="B4063" s="2" t="str">
        <f>"0006937"</f>
        <v>0006937</v>
      </c>
      <c r="C4063" s="2" t="str">
        <f>"0006937"</f>
        <v>0006937</v>
      </c>
      <c r="D4063" s="2" t="s">
        <v>5052</v>
      </c>
      <c r="E4063" s="4">
        <v>34000</v>
      </c>
    </row>
    <row r="4064" spans="1:5">
      <c r="A4064" s="2" t="s">
        <v>2541</v>
      </c>
      <c r="B4064" s="2" t="str">
        <f>"0006936"</f>
        <v>0006936</v>
      </c>
      <c r="C4064" s="2" t="str">
        <f>"0006936"</f>
        <v>0006936</v>
      </c>
      <c r="D4064" s="2" t="s">
        <v>5053</v>
      </c>
      <c r="E4064" s="4">
        <v>36000</v>
      </c>
    </row>
    <row r="4065" spans="1:5">
      <c r="A4065" s="2" t="s">
        <v>2541</v>
      </c>
      <c r="B4065" s="2" t="str">
        <f>"090440277"</f>
        <v>090440277</v>
      </c>
      <c r="C4065" s="2" t="str">
        <f>"090440277"</f>
        <v>090440277</v>
      </c>
      <c r="D4065" s="2" t="s">
        <v>5054</v>
      </c>
      <c r="E4065" s="4">
        <v>43000</v>
      </c>
    </row>
    <row r="4066" spans="1:5">
      <c r="A4066" s="2" t="s">
        <v>2541</v>
      </c>
      <c r="B4066" s="2" t="str">
        <f>"9950994"</f>
        <v>9950994</v>
      </c>
      <c r="C4066" s="2" t="str">
        <f>"9950994"</f>
        <v>9950994</v>
      </c>
      <c r="D4066" s="2" t="s">
        <v>5055</v>
      </c>
      <c r="E4066" s="4">
        <v>38500</v>
      </c>
    </row>
    <row r="4067" spans="1:5">
      <c r="A4067" s="2" t="s">
        <v>2541</v>
      </c>
      <c r="B4067" s="2" t="str">
        <f>"9950993"</f>
        <v>9950993</v>
      </c>
      <c r="C4067" s="2" t="str">
        <f>"9950993"</f>
        <v>9950993</v>
      </c>
      <c r="D4067" s="2" t="s">
        <v>5056</v>
      </c>
      <c r="E4067" s="4">
        <v>38500</v>
      </c>
    </row>
    <row r="4068" spans="1:5">
      <c r="A4068" s="2" t="s">
        <v>2541</v>
      </c>
      <c r="B4068" s="2" t="str">
        <f>"1833870"</f>
        <v>1833870</v>
      </c>
      <c r="C4068" s="2" t="str">
        <f>"1833870"</f>
        <v>1833870</v>
      </c>
      <c r="D4068" s="2" t="s">
        <v>5057</v>
      </c>
      <c r="E4068" s="2">
        <v>0</v>
      </c>
    </row>
    <row r="4069" spans="1:5">
      <c r="A4069" s="2" t="s">
        <v>2541</v>
      </c>
      <c r="B4069" s="2" t="str">
        <f>"1833770"</f>
        <v>1833770</v>
      </c>
      <c r="C4069" s="2" t="str">
        <f>"1833770"</f>
        <v>1833770</v>
      </c>
      <c r="D4069" s="2" t="s">
        <v>5058</v>
      </c>
      <c r="E4069" s="4">
        <v>38800</v>
      </c>
    </row>
    <row r="4070" spans="1:5">
      <c r="A4070" s="2" t="s">
        <v>2541</v>
      </c>
      <c r="B4070" s="2" t="str">
        <f>"1500178"</f>
        <v>1500178</v>
      </c>
      <c r="C4070" s="2" t="str">
        <f>"1500178"</f>
        <v>1500178</v>
      </c>
      <c r="D4070" s="2" t="s">
        <v>5059</v>
      </c>
      <c r="E4070" s="2">
        <v>0</v>
      </c>
    </row>
    <row r="4071" spans="1:5">
      <c r="A4071" s="2" t="s">
        <v>2541</v>
      </c>
      <c r="B4071" s="2" t="str">
        <f>"1500238"</f>
        <v>1500238</v>
      </c>
      <c r="C4071" s="2" t="str">
        <f>"1500238"</f>
        <v>1500238</v>
      </c>
      <c r="D4071" s="2" t="s">
        <v>5060</v>
      </c>
      <c r="E4071" s="4">
        <v>25000</v>
      </c>
    </row>
    <row r="4072" spans="1:5">
      <c r="A4072" s="2" t="s">
        <v>2541</v>
      </c>
      <c r="B4072" s="2" t="str">
        <f>"1331121"</f>
        <v>1331121</v>
      </c>
      <c r="C4072" s="2" t="str">
        <f>"1331121"</f>
        <v>1331121</v>
      </c>
      <c r="D4072" s="2" t="s">
        <v>5061</v>
      </c>
      <c r="E4072" s="4">
        <v>32500</v>
      </c>
    </row>
    <row r="4073" spans="1:5">
      <c r="A4073" s="2" t="s">
        <v>2541</v>
      </c>
      <c r="B4073" s="2" t="str">
        <f>"013222"</f>
        <v>013222</v>
      </c>
      <c r="C4073" s="2" t="str">
        <f>"013222"</f>
        <v>013222</v>
      </c>
      <c r="D4073" s="2" t="s">
        <v>5062</v>
      </c>
      <c r="E4073" s="2">
        <v>0</v>
      </c>
    </row>
    <row r="4074" spans="1:5">
      <c r="A4074" s="2" t="s">
        <v>2541</v>
      </c>
      <c r="B4074" s="2" t="str">
        <f>"1701787"</f>
        <v>1701787</v>
      </c>
      <c r="C4074" s="2" t="str">
        <f>"1701787"</f>
        <v>1701787</v>
      </c>
      <c r="D4074" s="2" t="s">
        <v>5063</v>
      </c>
      <c r="E4074" s="2">
        <v>0</v>
      </c>
    </row>
    <row r="4075" spans="1:5">
      <c r="A4075" s="2" t="s">
        <v>2541</v>
      </c>
      <c r="B4075" s="2" t="str">
        <f>"8-94473-716"</f>
        <v>8-94473-716</v>
      </c>
      <c r="C4075" s="2" t="str">
        <f>"8-94473-716"</f>
        <v>8-94473-716</v>
      </c>
      <c r="D4075" s="2" t="s">
        <v>5064</v>
      </c>
      <c r="E4075" s="2">
        <v>0</v>
      </c>
    </row>
    <row r="4076" spans="1:5">
      <c r="A4076" s="2" t="s">
        <v>2541</v>
      </c>
      <c r="B4076" s="2" t="str">
        <f>"8-9473-726"</f>
        <v>8-9473-726</v>
      </c>
      <c r="C4076" s="2" t="str">
        <f>"8-9473-726"</f>
        <v>8-9473-726</v>
      </c>
      <c r="D4076" s="2" t="s">
        <v>5065</v>
      </c>
      <c r="E4076" s="2">
        <v>0</v>
      </c>
    </row>
    <row r="4077" spans="1:5">
      <c r="A4077" s="2" t="s">
        <v>2541</v>
      </c>
      <c r="B4077" s="2" t="str">
        <f>"1831915"</f>
        <v>1831915</v>
      </c>
      <c r="C4077" s="2" t="str">
        <f>"1831915"</f>
        <v>1831915</v>
      </c>
      <c r="D4077" s="2" t="s">
        <v>5066</v>
      </c>
      <c r="E4077" s="4">
        <v>12400</v>
      </c>
    </row>
    <row r="4078" spans="1:5">
      <c r="A4078" s="2" t="s">
        <v>2541</v>
      </c>
      <c r="B4078" s="2" t="str">
        <f>"1600640"</f>
        <v>1600640</v>
      </c>
      <c r="C4078" s="2" t="str">
        <f>"1600640"</f>
        <v>1600640</v>
      </c>
      <c r="D4078" s="2" t="s">
        <v>5067</v>
      </c>
      <c r="E4078" s="4">
        <v>16000</v>
      </c>
    </row>
    <row r="4079" spans="1:5">
      <c r="A4079" s="2" t="s">
        <v>2541</v>
      </c>
      <c r="B4079" s="2" t="str">
        <f>"000615130-3"</f>
        <v>000615130-3</v>
      </c>
      <c r="C4079" s="2" t="str">
        <f>"000615130-3"</f>
        <v>000615130-3</v>
      </c>
      <c r="D4079" s="2" t="s">
        <v>5068</v>
      </c>
      <c r="E4079" s="4">
        <v>38000</v>
      </c>
    </row>
    <row r="4080" spans="1:5">
      <c r="A4080" s="2" t="s">
        <v>2541</v>
      </c>
      <c r="B4080" s="2" t="s">
        <v>5069</v>
      </c>
      <c r="C4080" s="2" t="s">
        <v>5069</v>
      </c>
      <c r="D4080" s="2" t="s">
        <v>5070</v>
      </c>
      <c r="E4080" s="4">
        <v>17800</v>
      </c>
    </row>
    <row r="4081" spans="1:5">
      <c r="A4081" s="2" t="s">
        <v>2541</v>
      </c>
      <c r="B4081" s="2" t="str">
        <f>"0000724"</f>
        <v>0000724</v>
      </c>
      <c r="C4081" s="2" t="str">
        <f>"000724"</f>
        <v>000724</v>
      </c>
      <c r="D4081" s="2" t="s">
        <v>5071</v>
      </c>
      <c r="E4081" s="4">
        <v>38000</v>
      </c>
    </row>
    <row r="4082" spans="1:5">
      <c r="A4082" s="2" t="s">
        <v>2541</v>
      </c>
      <c r="B4082" s="2" t="str">
        <f>"001792765-5"</f>
        <v>001792765-5</v>
      </c>
      <c r="C4082" s="2" t="str">
        <f>"1792765-5"</f>
        <v>1792765-5</v>
      </c>
      <c r="D4082" s="2" t="s">
        <v>5072</v>
      </c>
      <c r="E4082" s="4">
        <v>39500</v>
      </c>
    </row>
    <row r="4083" spans="1:5">
      <c r="A4083" s="2" t="s">
        <v>2541</v>
      </c>
      <c r="B4083" s="2" t="str">
        <f>"0138627"</f>
        <v>0138627</v>
      </c>
      <c r="C4083" s="2" t="str">
        <f>"0138627"</f>
        <v>0138627</v>
      </c>
      <c r="D4083" s="2" t="s">
        <v>5073</v>
      </c>
      <c r="E4083" s="4">
        <v>3500</v>
      </c>
    </row>
    <row r="4084" spans="1:5">
      <c r="A4084" s="2" t="s">
        <v>2541</v>
      </c>
      <c r="B4084" s="2" t="str">
        <f>"0008570"</f>
        <v>0008570</v>
      </c>
      <c r="C4084" s="2" t="str">
        <f>"0008570"</f>
        <v>0008570</v>
      </c>
      <c r="D4084" s="2" t="s">
        <v>5074</v>
      </c>
      <c r="E4084" s="4">
        <v>43000</v>
      </c>
    </row>
    <row r="4085" spans="1:5">
      <c r="A4085" s="2" t="s">
        <v>2541</v>
      </c>
      <c r="B4085" s="2" t="s">
        <v>5075</v>
      </c>
      <c r="C4085" s="2" t="s">
        <v>5075</v>
      </c>
      <c r="D4085" s="2" t="s">
        <v>5076</v>
      </c>
      <c r="E4085" s="4">
        <v>43000</v>
      </c>
    </row>
    <row r="4086" spans="1:5">
      <c r="A4086" s="2" t="s">
        <v>2541</v>
      </c>
      <c r="B4086" s="2" t="s">
        <v>5077</v>
      </c>
      <c r="C4086" s="2" t="s">
        <v>5077</v>
      </c>
      <c r="D4086" s="2" t="s">
        <v>5078</v>
      </c>
      <c r="E4086" s="4">
        <v>39500</v>
      </c>
    </row>
    <row r="4087" spans="1:5">
      <c r="A4087" s="2" t="s">
        <v>2541</v>
      </c>
      <c r="B4087" s="2" t="s">
        <v>5079</v>
      </c>
      <c r="C4087" s="2" t="s">
        <v>5079</v>
      </c>
      <c r="D4087" s="2" t="s">
        <v>5080</v>
      </c>
      <c r="E4087" s="4">
        <v>24100</v>
      </c>
    </row>
    <row r="4088" spans="1:5">
      <c r="A4088" s="2" t="s">
        <v>2541</v>
      </c>
      <c r="B4088" s="2" t="s">
        <v>5081</v>
      </c>
      <c r="C4088" s="2" t="s">
        <v>5081</v>
      </c>
      <c r="D4088" s="2" t="s">
        <v>5082</v>
      </c>
      <c r="E4088" s="4">
        <v>84800</v>
      </c>
    </row>
    <row r="4089" spans="1:5">
      <c r="A4089" s="2" t="s">
        <v>2541</v>
      </c>
      <c r="B4089" s="2" t="str">
        <f>"2192701-5"</f>
        <v>2192701-5</v>
      </c>
      <c r="C4089" s="2" t="str">
        <f>"2192701-5"</f>
        <v>2192701-5</v>
      </c>
      <c r="D4089" s="2" t="s">
        <v>5083</v>
      </c>
      <c r="E4089" s="4">
        <v>9700</v>
      </c>
    </row>
    <row r="4090" spans="1:5">
      <c r="A4090" s="2" t="s">
        <v>2541</v>
      </c>
      <c r="B4090" s="2" t="str">
        <f>"1600478"</f>
        <v>1600478</v>
      </c>
      <c r="C4090" s="2" t="str">
        <f>"1600478"</f>
        <v>1600478</v>
      </c>
      <c r="D4090" s="2" t="s">
        <v>5084</v>
      </c>
      <c r="E4090" s="4">
        <v>11500</v>
      </c>
    </row>
    <row r="4091" spans="1:5">
      <c r="A4091" s="2" t="s">
        <v>2541</v>
      </c>
      <c r="B4091" s="2" t="str">
        <f>"0105317"</f>
        <v>0105317</v>
      </c>
      <c r="C4091" s="2" t="str">
        <f>"0105317"</f>
        <v>0105317</v>
      </c>
      <c r="D4091" s="2" t="s">
        <v>5085</v>
      </c>
      <c r="E4091" s="4">
        <v>15000</v>
      </c>
    </row>
    <row r="4092" spans="1:5">
      <c r="A4092" s="2" t="s">
        <v>2541</v>
      </c>
      <c r="B4092" s="2" t="s">
        <v>5086</v>
      </c>
      <c r="C4092" s="2" t="s">
        <v>5086</v>
      </c>
      <c r="D4092" s="2" t="s">
        <v>5087</v>
      </c>
      <c r="E4092" s="4">
        <v>11500</v>
      </c>
    </row>
    <row r="4093" spans="1:5">
      <c r="A4093" s="2" t="s">
        <v>2541</v>
      </c>
      <c r="B4093" s="2" t="str">
        <f>"000910440-2"</f>
        <v>000910440-2</v>
      </c>
      <c r="C4093" s="2" t="str">
        <f>"000910440-2"</f>
        <v>000910440-2</v>
      </c>
      <c r="D4093" s="2" t="s">
        <v>5088</v>
      </c>
      <c r="E4093" s="4">
        <v>15500</v>
      </c>
    </row>
    <row r="4094" spans="1:5">
      <c r="A4094" s="2" t="s">
        <v>2541</v>
      </c>
      <c r="B4094" s="2" t="str">
        <f>"002992781-2"</f>
        <v>002992781-2</v>
      </c>
      <c r="C4094" s="2" t="str">
        <f>"002992781-2"</f>
        <v>002992781-2</v>
      </c>
      <c r="D4094" s="2" t="s">
        <v>5089</v>
      </c>
      <c r="E4094" s="4">
        <v>68200</v>
      </c>
    </row>
    <row r="4095" spans="1:5">
      <c r="A4095" s="2" t="s">
        <v>2541</v>
      </c>
      <c r="B4095" s="2" t="str">
        <f>"000481511-4"</f>
        <v>000481511-4</v>
      </c>
      <c r="C4095" s="2" t="str">
        <f>"000481511-4"</f>
        <v>000481511-4</v>
      </c>
      <c r="D4095" s="2" t="s">
        <v>5090</v>
      </c>
      <c r="E4095" s="4">
        <v>34000</v>
      </c>
    </row>
    <row r="4096" spans="1:5">
      <c r="A4096" s="2" t="s">
        <v>2541</v>
      </c>
      <c r="B4096" s="2" t="str">
        <f>"8700860"</f>
        <v>8700860</v>
      </c>
      <c r="C4096" s="2" t="str">
        <f>"8700860"</f>
        <v>8700860</v>
      </c>
      <c r="D4096" s="2" t="s">
        <v>5091</v>
      </c>
      <c r="E4096" s="4">
        <v>35800</v>
      </c>
    </row>
    <row r="4097" spans="1:5">
      <c r="A4097" s="2" t="s">
        <v>2541</v>
      </c>
      <c r="B4097" s="2" t="str">
        <f>"0006788"</f>
        <v>0006788</v>
      </c>
      <c r="C4097" s="2" t="str">
        <f>"0006788"</f>
        <v>0006788</v>
      </c>
      <c r="D4097" s="2" t="s">
        <v>5092</v>
      </c>
      <c r="E4097" s="4">
        <v>43000</v>
      </c>
    </row>
    <row r="4098" spans="1:5">
      <c r="A4098" s="2" t="s">
        <v>2541</v>
      </c>
      <c r="B4098" s="2" t="s">
        <v>5093</v>
      </c>
      <c r="C4098" s="2" t="s">
        <v>5093</v>
      </c>
      <c r="D4098" s="2" t="s">
        <v>5094</v>
      </c>
      <c r="E4098" s="4">
        <v>58300</v>
      </c>
    </row>
    <row r="4099" spans="1:5">
      <c r="A4099" s="2" t="s">
        <v>2541</v>
      </c>
      <c r="B4099" s="2" t="str">
        <f>"013202"</f>
        <v>013202</v>
      </c>
      <c r="C4099" s="2" t="str">
        <f>"013202"</f>
        <v>013202</v>
      </c>
      <c r="D4099" s="2" t="s">
        <v>5095</v>
      </c>
      <c r="E4099" s="4">
        <v>18500</v>
      </c>
    </row>
    <row r="4100" spans="1:5">
      <c r="A4100" s="2" t="s">
        <v>2541</v>
      </c>
      <c r="B4100" s="2" t="str">
        <f>"013242"</f>
        <v>013242</v>
      </c>
      <c r="C4100" s="2" t="str">
        <f>"013242"</f>
        <v>013242</v>
      </c>
      <c r="D4100" s="2" t="s">
        <v>5096</v>
      </c>
      <c r="E4100" s="2">
        <v>0</v>
      </c>
    </row>
    <row r="4101" spans="1:5">
      <c r="A4101" s="2" t="s">
        <v>2541</v>
      </c>
      <c r="B4101" s="2" t="s">
        <v>5097</v>
      </c>
      <c r="C4101" s="2" t="s">
        <v>5097</v>
      </c>
      <c r="D4101" s="2" t="s">
        <v>5096</v>
      </c>
      <c r="E4101" s="4">
        <v>24100</v>
      </c>
    </row>
    <row r="4102" spans="1:5">
      <c r="A4102" s="2" t="s">
        <v>2541</v>
      </c>
      <c r="B4102" s="2" t="s">
        <v>5098</v>
      </c>
      <c r="C4102" s="2" t="s">
        <v>5098</v>
      </c>
      <c r="D4102" s="2" t="s">
        <v>5099</v>
      </c>
      <c r="E4102" s="4">
        <v>4000</v>
      </c>
    </row>
    <row r="4103" spans="1:5">
      <c r="A4103" s="2" t="s">
        <v>2541</v>
      </c>
      <c r="B4103" s="2" t="str">
        <f>"233323"</f>
        <v>233323</v>
      </c>
      <c r="C4103" s="2" t="str">
        <f>"067012"</f>
        <v>067012</v>
      </c>
      <c r="D4103" s="2" t="s">
        <v>5100</v>
      </c>
      <c r="E4103" s="4">
        <v>6100</v>
      </c>
    </row>
    <row r="4104" spans="1:5">
      <c r="A4104" s="2" t="s">
        <v>2541</v>
      </c>
      <c r="B4104" s="2" t="s">
        <v>5101</v>
      </c>
      <c r="C4104" s="2" t="s">
        <v>5101</v>
      </c>
      <c r="D4104" s="2" t="s">
        <v>5102</v>
      </c>
      <c r="E4104" s="4">
        <v>40500</v>
      </c>
    </row>
    <row r="4105" spans="1:5">
      <c r="A4105" s="2" t="s">
        <v>2541</v>
      </c>
      <c r="B4105" s="2" t="str">
        <f>"0000723"</f>
        <v>0000723</v>
      </c>
      <c r="C4105" s="2" t="str">
        <f>"0000723"</f>
        <v>0000723</v>
      </c>
      <c r="D4105" s="2" t="s">
        <v>5103</v>
      </c>
      <c r="E4105" s="4">
        <v>38000</v>
      </c>
    </row>
    <row r="4106" spans="1:5">
      <c r="A4106" s="2" t="s">
        <v>2541</v>
      </c>
      <c r="B4106" s="2" t="str">
        <f>"258021"</f>
        <v>258021</v>
      </c>
      <c r="C4106" s="2" t="str">
        <f>"258021"</f>
        <v>258021</v>
      </c>
      <c r="D4106" s="2" t="s">
        <v>5104</v>
      </c>
      <c r="E4106" s="4">
        <v>8000</v>
      </c>
    </row>
    <row r="4107" spans="1:5">
      <c r="A4107" s="2" t="s">
        <v>2541</v>
      </c>
      <c r="B4107" s="2" t="s">
        <v>5105</v>
      </c>
      <c r="C4107" s="2" t="s">
        <v>5105</v>
      </c>
      <c r="D4107" s="2" t="s">
        <v>5106</v>
      </c>
      <c r="E4107" s="4">
        <v>38500</v>
      </c>
    </row>
    <row r="4108" spans="1:5">
      <c r="A4108" s="2" t="s">
        <v>2541</v>
      </c>
      <c r="B4108" s="2" t="str">
        <f>"0008789"</f>
        <v>0008789</v>
      </c>
      <c r="C4108" s="2" t="str">
        <f>"0008789"</f>
        <v>0008789</v>
      </c>
      <c r="D4108" s="2" t="s">
        <v>5107</v>
      </c>
      <c r="E4108" s="4">
        <v>25000</v>
      </c>
    </row>
    <row r="4109" spans="1:5">
      <c r="A4109" s="2" t="s">
        <v>2541</v>
      </c>
      <c r="B4109" s="2" t="str">
        <f>"403202"</f>
        <v>403202</v>
      </c>
      <c r="C4109" s="2" t="str">
        <f>"403202"</f>
        <v>403202</v>
      </c>
      <c r="D4109" s="2" t="s">
        <v>5108</v>
      </c>
      <c r="E4109" s="4">
        <v>9800</v>
      </c>
    </row>
    <row r="4110" spans="1:5">
      <c r="A4110" s="2" t="s">
        <v>2541</v>
      </c>
      <c r="B4110" s="2" t="str">
        <f>"020580385"</f>
        <v>020580385</v>
      </c>
      <c r="C4110" s="2" t="str">
        <f>"020580385"</f>
        <v>020580385</v>
      </c>
      <c r="D4110" s="2" t="s">
        <v>5109</v>
      </c>
      <c r="E4110" s="4">
        <v>34000</v>
      </c>
    </row>
    <row r="4111" spans="1:5">
      <c r="A4111" s="2" t="s">
        <v>2541</v>
      </c>
      <c r="B4111" s="2" t="s">
        <v>5110</v>
      </c>
      <c r="C4111" s="2" t="s">
        <v>5110</v>
      </c>
      <c r="D4111" s="2" t="s">
        <v>5111</v>
      </c>
      <c r="E4111" s="4">
        <v>32500</v>
      </c>
    </row>
    <row r="4112" spans="1:5">
      <c r="A4112" s="2" t="s">
        <v>2541</v>
      </c>
      <c r="B4112" s="2" t="s">
        <v>5112</v>
      </c>
      <c r="C4112" s="2" t="str">
        <f>"7038BL"</f>
        <v>7038BL</v>
      </c>
      <c r="D4112" s="2" t="s">
        <v>5113</v>
      </c>
      <c r="E4112" s="4">
        <v>10800</v>
      </c>
    </row>
    <row r="4113" spans="1:5">
      <c r="A4113" s="2" t="s">
        <v>2541</v>
      </c>
      <c r="B4113" s="2" t="str">
        <f>"503212"</f>
        <v>503212</v>
      </c>
      <c r="C4113" s="2" t="str">
        <f>"503212"</f>
        <v>503212</v>
      </c>
      <c r="D4113" s="2" t="s">
        <v>5114</v>
      </c>
      <c r="E4113" s="4">
        <v>29500</v>
      </c>
    </row>
    <row r="4114" spans="1:5">
      <c r="A4114" s="2" t="s">
        <v>2541</v>
      </c>
      <c r="B4114" s="2" t="str">
        <f>"09103481"</f>
        <v>09103481</v>
      </c>
      <c r="C4114" s="2" t="str">
        <f>"0910348-1"</f>
        <v>0910348-1</v>
      </c>
      <c r="D4114" s="2" t="s">
        <v>5115</v>
      </c>
      <c r="E4114" s="4">
        <v>18000</v>
      </c>
    </row>
    <row r="4115" spans="1:5">
      <c r="A4115" s="2" t="s">
        <v>2541</v>
      </c>
      <c r="B4115" s="2" t="s">
        <v>5116</v>
      </c>
      <c r="C4115" s="2" t="s">
        <v>5116</v>
      </c>
      <c r="D4115" s="2" t="s">
        <v>5117</v>
      </c>
      <c r="E4115" s="4">
        <v>11500</v>
      </c>
    </row>
    <row r="4116" spans="1:5">
      <c r="A4116" s="2" t="s">
        <v>2541</v>
      </c>
      <c r="B4116" s="2" t="s">
        <v>5118</v>
      </c>
      <c r="C4116" s="2" t="s">
        <v>5118</v>
      </c>
      <c r="D4116" s="2" t="s">
        <v>5119</v>
      </c>
      <c r="E4116" s="4">
        <v>16000</v>
      </c>
    </row>
    <row r="4117" spans="1:5">
      <c r="A4117" s="2" t="s">
        <v>2541</v>
      </c>
      <c r="B4117" s="2" t="str">
        <f>"020580106"</f>
        <v>020580106</v>
      </c>
      <c r="C4117" s="2" t="str">
        <f>"020580106"</f>
        <v>020580106</v>
      </c>
      <c r="D4117" s="2" t="s">
        <v>5120</v>
      </c>
      <c r="E4117" s="4">
        <v>7000</v>
      </c>
    </row>
    <row r="4118" spans="1:5">
      <c r="A4118" s="2" t="s">
        <v>2541</v>
      </c>
      <c r="B4118" s="2" t="s">
        <v>5121</v>
      </c>
      <c r="C4118" s="2" t="s">
        <v>5121</v>
      </c>
      <c r="D4118" s="2" t="s">
        <v>5122</v>
      </c>
      <c r="E4118" s="4">
        <v>38500</v>
      </c>
    </row>
    <row r="4119" spans="1:5">
      <c r="A4119" s="2" t="s">
        <v>2541</v>
      </c>
      <c r="B4119" s="2" t="s">
        <v>5123</v>
      </c>
      <c r="C4119" s="2" t="s">
        <v>5123</v>
      </c>
      <c r="D4119" s="2" t="s">
        <v>5124</v>
      </c>
      <c r="E4119" s="4">
        <v>32200</v>
      </c>
    </row>
    <row r="4120" spans="1:5">
      <c r="A4120" s="2" t="s">
        <v>2541</v>
      </c>
      <c r="B4120" s="2" t="str">
        <f>"001892805-1"</f>
        <v>001892805-1</v>
      </c>
      <c r="C4120" s="2" t="str">
        <f>"001892805-1"</f>
        <v>001892805-1</v>
      </c>
      <c r="D4120" s="2" t="s">
        <v>5125</v>
      </c>
      <c r="E4120" s="4">
        <v>74000</v>
      </c>
    </row>
    <row r="4121" spans="1:5">
      <c r="A4121" s="2" t="s">
        <v>2541</v>
      </c>
      <c r="B4121" s="2" t="str">
        <f>"1701767"</f>
        <v>1701767</v>
      </c>
      <c r="C4121" s="2" t="str">
        <f>"1701767"</f>
        <v>1701767</v>
      </c>
      <c r="D4121" s="2" t="s">
        <v>5126</v>
      </c>
      <c r="E4121" s="4">
        <v>17800</v>
      </c>
    </row>
    <row r="4122" spans="1:5">
      <c r="A4122" s="2" t="s">
        <v>2541</v>
      </c>
      <c r="B4122" s="2" t="str">
        <f>"1701757"</f>
        <v>1701757</v>
      </c>
      <c r="C4122" s="2" t="str">
        <f>"1701757"</f>
        <v>1701757</v>
      </c>
      <c r="D4122" s="2" t="s">
        <v>5127</v>
      </c>
      <c r="E4122" s="4">
        <v>16000</v>
      </c>
    </row>
    <row r="4123" spans="1:5">
      <c r="A4123" s="2" t="s">
        <v>2541</v>
      </c>
      <c r="B4123" s="2" t="str">
        <f>"01608L89"</f>
        <v>01608L89</v>
      </c>
      <c r="C4123" s="2" t="str">
        <f>"01608L89"</f>
        <v>01608L89</v>
      </c>
      <c r="D4123" s="2" t="s">
        <v>5128</v>
      </c>
      <c r="E4123" s="4">
        <v>6100</v>
      </c>
    </row>
    <row r="4124" spans="1:5">
      <c r="A4124" s="2" t="s">
        <v>2541</v>
      </c>
      <c r="B4124" s="2" t="str">
        <f>"016011L89"</f>
        <v>016011L89</v>
      </c>
      <c r="C4124" s="2" t="str">
        <f>"016011L89"</f>
        <v>016011L89</v>
      </c>
      <c r="D4124" s="2" t="s">
        <v>5129</v>
      </c>
      <c r="E4124" s="4">
        <v>5800</v>
      </c>
    </row>
    <row r="4125" spans="1:5">
      <c r="A4125" s="2" t="s">
        <v>2541</v>
      </c>
      <c r="B4125" s="2" t="str">
        <f>"1600650"</f>
        <v>1600650</v>
      </c>
      <c r="C4125" s="2" t="str">
        <f>"1600650"</f>
        <v>1600650</v>
      </c>
      <c r="D4125" s="2" t="s">
        <v>5130</v>
      </c>
      <c r="E4125" s="4">
        <v>11500</v>
      </c>
    </row>
    <row r="4126" spans="1:5">
      <c r="A4126" s="2" t="s">
        <v>2541</v>
      </c>
      <c r="B4126" s="2" t="str">
        <f>"1602658"</f>
        <v>1602658</v>
      </c>
      <c r="C4126" s="2" t="str">
        <f>"1602658"</f>
        <v>1602658</v>
      </c>
      <c r="D4126" s="2" t="s">
        <v>5131</v>
      </c>
      <c r="E4126" s="4">
        <v>14200</v>
      </c>
    </row>
    <row r="4127" spans="1:5">
      <c r="A4127" s="2" t="s">
        <v>2541</v>
      </c>
      <c r="B4127" s="2" t="str">
        <f>"1602648"</f>
        <v>1602648</v>
      </c>
      <c r="C4127" s="2" t="str">
        <f>"1602648"</f>
        <v>1602648</v>
      </c>
      <c r="D4127" s="2" t="s">
        <v>5132</v>
      </c>
      <c r="E4127" s="4">
        <v>14200</v>
      </c>
    </row>
    <row r="4128" spans="1:5">
      <c r="A4128" s="2" t="s">
        <v>2541</v>
      </c>
      <c r="B4128" s="2" t="str">
        <f>"016011L98"</f>
        <v>016011L98</v>
      </c>
      <c r="C4128" s="2" t="str">
        <f>"016011L98"</f>
        <v>016011L98</v>
      </c>
      <c r="D4128" s="2" t="s">
        <v>5133</v>
      </c>
      <c r="E4128" s="4">
        <v>9500</v>
      </c>
    </row>
    <row r="4129" spans="1:5">
      <c r="A4129" s="2" t="s">
        <v>2541</v>
      </c>
      <c r="B4129" s="2" t="str">
        <f>"1600488"</f>
        <v>1600488</v>
      </c>
      <c r="C4129" s="2" t="str">
        <f>"1600488"</f>
        <v>1600488</v>
      </c>
      <c r="D4129" s="2" t="s">
        <v>5134</v>
      </c>
      <c r="E4129" s="4">
        <v>11500</v>
      </c>
    </row>
    <row r="4130" spans="1:5">
      <c r="A4130" s="2" t="s">
        <v>2541</v>
      </c>
      <c r="B4130" s="2" t="str">
        <f>"0008356"</f>
        <v>0008356</v>
      </c>
      <c r="C4130" s="2" t="str">
        <f>"0008356"</f>
        <v>0008356</v>
      </c>
      <c r="D4130" s="2" t="s">
        <v>5135</v>
      </c>
      <c r="E4130" s="4">
        <v>34000</v>
      </c>
    </row>
    <row r="4131" spans="1:5">
      <c r="A4131" s="2" t="s">
        <v>2541</v>
      </c>
      <c r="B4131" s="2" t="str">
        <f>"8-94473-720"</f>
        <v>8-94473-720</v>
      </c>
      <c r="C4131" s="2" t="str">
        <f>"8-94473-720"</f>
        <v>8-94473-720</v>
      </c>
      <c r="D4131" s="2" t="s">
        <v>5136</v>
      </c>
      <c r="E4131" s="4">
        <v>5200</v>
      </c>
    </row>
    <row r="4132" spans="1:5">
      <c r="A4132" s="2" t="s">
        <v>2541</v>
      </c>
      <c r="B4132" s="2" t="str">
        <f>"0160112671"</f>
        <v>0160112671</v>
      </c>
      <c r="C4132" s="2" t="str">
        <f>"0160112671"</f>
        <v>0160112671</v>
      </c>
      <c r="D4132" s="2" t="s">
        <v>5137</v>
      </c>
      <c r="E4132" s="4">
        <v>39000</v>
      </c>
    </row>
    <row r="4133" spans="1:5">
      <c r="A4133" s="2" t="s">
        <v>2541</v>
      </c>
      <c r="B4133" s="2" t="str">
        <f>"0500210"</f>
        <v>0500210</v>
      </c>
      <c r="C4133" s="2" t="str">
        <f>"0500210"</f>
        <v>0500210</v>
      </c>
      <c r="D4133" s="2" t="s">
        <v>5138</v>
      </c>
      <c r="E4133" s="4">
        <v>7000</v>
      </c>
    </row>
    <row r="4134" spans="1:5">
      <c r="A4134" s="2" t="s">
        <v>2541</v>
      </c>
      <c r="B4134" s="2" t="str">
        <f>"01608V16"</f>
        <v>01608V16</v>
      </c>
      <c r="C4134" s="2" t="str">
        <f>"01608V16"</f>
        <v>01608V16</v>
      </c>
      <c r="D4134" s="2" t="s">
        <v>5139</v>
      </c>
      <c r="E4134" s="4">
        <v>6100</v>
      </c>
    </row>
    <row r="4135" spans="1:5">
      <c r="A4135" s="2" t="s">
        <v>2541</v>
      </c>
      <c r="B4135" s="2" t="str">
        <f>"000410067-0"</f>
        <v>000410067-0</v>
      </c>
      <c r="C4135" s="2" t="str">
        <f>"000410067-0"</f>
        <v>000410067-0</v>
      </c>
      <c r="D4135" s="2" t="s">
        <v>5140</v>
      </c>
      <c r="E4135" s="4">
        <v>62000</v>
      </c>
    </row>
    <row r="4136" spans="1:5">
      <c r="A4136" s="2" t="s">
        <v>2541</v>
      </c>
      <c r="B4136" s="2" t="s">
        <v>5141</v>
      </c>
      <c r="C4136" s="2" t="s">
        <v>5141</v>
      </c>
      <c r="D4136" s="2" t="s">
        <v>5142</v>
      </c>
      <c r="E4136" s="4">
        <v>48000</v>
      </c>
    </row>
    <row r="4137" spans="1:5">
      <c r="A4137" s="2" t="s">
        <v>2541</v>
      </c>
      <c r="B4137" s="2" t="s">
        <v>5143</v>
      </c>
      <c r="C4137" s="2" t="s">
        <v>5143</v>
      </c>
      <c r="D4137" s="2" t="s">
        <v>5144</v>
      </c>
      <c r="E4137" s="4">
        <v>5200</v>
      </c>
    </row>
    <row r="4138" spans="1:5">
      <c r="A4138" s="2" t="s">
        <v>2541</v>
      </c>
      <c r="B4138" s="2" t="str">
        <f>"067206"</f>
        <v>067206</v>
      </c>
      <c r="C4138" s="2" t="str">
        <f>"067206"</f>
        <v>067206</v>
      </c>
      <c r="D4138" s="2" t="s">
        <v>5145</v>
      </c>
      <c r="E4138" s="4">
        <v>7000</v>
      </c>
    </row>
    <row r="4139" spans="1:5">
      <c r="A4139" s="2" t="s">
        <v>2541</v>
      </c>
      <c r="B4139" s="2" t="s">
        <v>5146</v>
      </c>
      <c r="C4139" s="2" t="s">
        <v>5146</v>
      </c>
      <c r="D4139" s="2" t="s">
        <v>5147</v>
      </c>
      <c r="E4139" s="4">
        <v>11500</v>
      </c>
    </row>
    <row r="4140" spans="1:5">
      <c r="A4140" s="2" t="s">
        <v>2541</v>
      </c>
      <c r="B4140" s="2" t="str">
        <f>"67034"</f>
        <v>67034</v>
      </c>
      <c r="C4140" s="2" t="str">
        <f>"67034"</f>
        <v>67034</v>
      </c>
      <c r="D4140" s="2" t="s">
        <v>5148</v>
      </c>
      <c r="E4140" s="4">
        <v>7000</v>
      </c>
    </row>
    <row r="4141" spans="1:5">
      <c r="A4141" s="2" t="s">
        <v>2541</v>
      </c>
      <c r="B4141" s="2" t="str">
        <f>"67035"</f>
        <v>67035</v>
      </c>
      <c r="C4141" s="2" t="str">
        <f>"67035"</f>
        <v>67035</v>
      </c>
      <c r="D4141" s="2" t="s">
        <v>5148</v>
      </c>
      <c r="E4141" s="4">
        <v>6900</v>
      </c>
    </row>
    <row r="4142" spans="1:5">
      <c r="A4142" s="2" t="s">
        <v>2541</v>
      </c>
      <c r="B4142" s="2" t="str">
        <f>"002992780-4"</f>
        <v>002992780-4</v>
      </c>
      <c r="C4142" s="2" t="str">
        <f>"002992780-4"</f>
        <v>002992780-4</v>
      </c>
      <c r="D4142" s="2" t="s">
        <v>5149</v>
      </c>
      <c r="E4142" s="4">
        <v>61000</v>
      </c>
    </row>
    <row r="4143" spans="1:5">
      <c r="A4143" s="2" t="s">
        <v>2541</v>
      </c>
      <c r="B4143" s="2" t="s">
        <v>5150</v>
      </c>
      <c r="C4143" s="2" t="s">
        <v>5150</v>
      </c>
      <c r="D4143" s="2" t="s">
        <v>5151</v>
      </c>
      <c r="E4143" s="4">
        <v>3400</v>
      </c>
    </row>
    <row r="4144" spans="1:5">
      <c r="A4144" s="2" t="s">
        <v>2541</v>
      </c>
      <c r="B4144" s="2" t="str">
        <f>"0001722"</f>
        <v>0001722</v>
      </c>
      <c r="C4144" s="2" t="str">
        <f>"0001722"</f>
        <v>0001722</v>
      </c>
      <c r="D4144" s="2" t="s">
        <v>5152</v>
      </c>
      <c r="E4144" s="2">
        <v>0</v>
      </c>
    </row>
    <row r="4145" spans="1:5">
      <c r="A4145" s="2" t="s">
        <v>2541</v>
      </c>
      <c r="B4145" s="2" t="str">
        <f>"0001724"</f>
        <v>0001724</v>
      </c>
      <c r="C4145" s="2" t="str">
        <f>"0001724"</f>
        <v>0001724</v>
      </c>
      <c r="D4145" s="2" t="s">
        <v>5153</v>
      </c>
      <c r="E4145" s="2">
        <v>0</v>
      </c>
    </row>
    <row r="4146" spans="1:5">
      <c r="A4146" s="2" t="s">
        <v>2541</v>
      </c>
      <c r="B4146" s="2" t="str">
        <f>"0171140"</f>
        <v>0171140</v>
      </c>
      <c r="C4146" s="2" t="str">
        <f>"0171140"</f>
        <v>0171140</v>
      </c>
      <c r="D4146" s="2" t="s">
        <v>5154</v>
      </c>
      <c r="E4146" s="4">
        <v>34500</v>
      </c>
    </row>
    <row r="4147" spans="1:5">
      <c r="A4147" s="2" t="s">
        <v>2541</v>
      </c>
      <c r="B4147" s="2" t="str">
        <f>"0171150"</f>
        <v>0171150</v>
      </c>
      <c r="C4147" s="2" t="str">
        <f>"0171150"</f>
        <v>0171150</v>
      </c>
      <c r="D4147" s="2" t="s">
        <v>5155</v>
      </c>
      <c r="E4147" s="4">
        <v>21400</v>
      </c>
    </row>
    <row r="4148" spans="1:5">
      <c r="A4148" s="2" t="s">
        <v>2541</v>
      </c>
      <c r="B4148" s="2" t="str">
        <f>"481511-4"</f>
        <v>481511-4</v>
      </c>
      <c r="C4148" s="2" t="str">
        <f>"481511-4"</f>
        <v>481511-4</v>
      </c>
      <c r="D4148" s="2" t="s">
        <v>5156</v>
      </c>
      <c r="E4148" s="4">
        <v>28600</v>
      </c>
    </row>
    <row r="4149" spans="1:5">
      <c r="A4149" s="2" t="s">
        <v>2541</v>
      </c>
      <c r="B4149" s="2" t="str">
        <f>"96301"</f>
        <v>96301</v>
      </c>
      <c r="C4149" s="2" t="str">
        <f>"96301"</f>
        <v>96301</v>
      </c>
      <c r="D4149" s="2" t="s">
        <v>5157</v>
      </c>
      <c r="E4149" s="2">
        <v>0</v>
      </c>
    </row>
    <row r="4150" spans="1:5">
      <c r="A4150" s="2" t="s">
        <v>2541</v>
      </c>
      <c r="B4150" s="2" t="str">
        <f>"453211"</f>
        <v>453211</v>
      </c>
      <c r="C4150" s="2" t="str">
        <f>"453211"</f>
        <v>453211</v>
      </c>
      <c r="D4150" s="2" t="s">
        <v>5158</v>
      </c>
      <c r="E4150" s="2">
        <v>0</v>
      </c>
    </row>
    <row r="4151" spans="1:5">
      <c r="A4151" s="2" t="s">
        <v>2541</v>
      </c>
      <c r="B4151" s="2" t="s">
        <v>5159</v>
      </c>
      <c r="C4151" s="2" t="s">
        <v>5159</v>
      </c>
      <c r="D4151" s="2" t="s">
        <v>5160</v>
      </c>
      <c r="E4151" s="2">
        <v>0</v>
      </c>
    </row>
    <row r="4152" spans="1:5">
      <c r="A4152" s="2" t="s">
        <v>2541</v>
      </c>
      <c r="B4152" s="2" t="str">
        <f>"453212"</f>
        <v>453212</v>
      </c>
      <c r="C4152" s="2" t="str">
        <f>"453212"</f>
        <v>453212</v>
      </c>
      <c r="D4152" s="2" t="s">
        <v>5161</v>
      </c>
      <c r="E4152" s="4">
        <v>26800</v>
      </c>
    </row>
    <row r="4153" spans="1:5">
      <c r="A4153" s="2" t="s">
        <v>2541</v>
      </c>
      <c r="B4153" s="2" t="str">
        <f>"410067-0"</f>
        <v>410067-0</v>
      </c>
      <c r="C4153" s="2" t="str">
        <f>"410067-0"</f>
        <v>410067-0</v>
      </c>
      <c r="D4153" s="2" t="s">
        <v>5162</v>
      </c>
      <c r="E4153" s="4">
        <v>62000</v>
      </c>
    </row>
    <row r="4154" spans="1:5">
      <c r="A4154" s="2" t="s">
        <v>2541</v>
      </c>
      <c r="B4154" s="2" t="str">
        <f>"481529-7"</f>
        <v>481529-7</v>
      </c>
      <c r="C4154" s="2" t="str">
        <f>"481529-7"</f>
        <v>481529-7</v>
      </c>
      <c r="D4154" s="2" t="s">
        <v>5163</v>
      </c>
      <c r="E4154" s="4">
        <v>25000</v>
      </c>
    </row>
    <row r="4155" spans="1:5">
      <c r="A4155" s="2" t="s">
        <v>2541</v>
      </c>
      <c r="B4155" s="2" t="s">
        <v>5164</v>
      </c>
      <c r="C4155" s="2" t="s">
        <v>5164</v>
      </c>
      <c r="D4155" s="2" t="s">
        <v>5165</v>
      </c>
      <c r="E4155" s="4">
        <v>25000</v>
      </c>
    </row>
    <row r="4156" spans="1:5">
      <c r="A4156" s="2" t="s">
        <v>2541</v>
      </c>
      <c r="B4156" s="2" t="str">
        <f>"02958403"</f>
        <v>02958403</v>
      </c>
      <c r="C4156" s="2" t="str">
        <f>"04032058"</f>
        <v>04032058</v>
      </c>
      <c r="D4156" s="2" t="s">
        <v>5166</v>
      </c>
      <c r="E4156" s="4">
        <v>43000</v>
      </c>
    </row>
    <row r="4157" spans="1:5">
      <c r="A4157" s="2" t="s">
        <v>2541</v>
      </c>
      <c r="B4157" s="2" t="str">
        <f>"0147247"</f>
        <v>0147247</v>
      </c>
      <c r="C4157" s="2" t="str">
        <f>"0147247"</f>
        <v>0147247</v>
      </c>
      <c r="D4157" s="2" t="s">
        <v>5167</v>
      </c>
      <c r="E4157" s="4">
        <v>9700</v>
      </c>
    </row>
    <row r="4158" spans="1:5">
      <c r="A4158" s="2" t="s">
        <v>2541</v>
      </c>
      <c r="B4158" s="2" t="s">
        <v>5168</v>
      </c>
      <c r="C4158" s="2" t="s">
        <v>5168</v>
      </c>
      <c r="D4158" s="2" t="s">
        <v>5169</v>
      </c>
      <c r="E4158" s="4">
        <v>10900</v>
      </c>
    </row>
    <row r="4159" spans="1:5">
      <c r="A4159" s="2" t="s">
        <v>2541</v>
      </c>
      <c r="B4159" s="2" t="str">
        <f>"0147147"</f>
        <v>0147147</v>
      </c>
      <c r="C4159" s="2" t="s">
        <v>5170</v>
      </c>
      <c r="D4159" s="2" t="s">
        <v>5171</v>
      </c>
      <c r="E4159" s="4">
        <v>9700</v>
      </c>
    </row>
    <row r="4160" spans="1:5">
      <c r="A4160" s="2" t="s">
        <v>2541</v>
      </c>
      <c r="B4160" s="2" t="s">
        <v>5172</v>
      </c>
      <c r="C4160" s="2" t="s">
        <v>5172</v>
      </c>
      <c r="D4160" s="2" t="s">
        <v>5173</v>
      </c>
      <c r="E4160" s="4">
        <v>4500</v>
      </c>
    </row>
    <row r="4161" spans="1:5">
      <c r="A4161" s="2" t="s">
        <v>2541</v>
      </c>
      <c r="B4161" s="2" t="s">
        <v>5174</v>
      </c>
      <c r="C4161" s="2" t="s">
        <v>5174</v>
      </c>
      <c r="D4161" s="2" t="s">
        <v>5175</v>
      </c>
      <c r="E4161" s="4">
        <v>10900</v>
      </c>
    </row>
    <row r="4162" spans="1:5">
      <c r="A4162" s="2" t="s">
        <v>2541</v>
      </c>
      <c r="B4162" s="2" t="str">
        <f>"020580444"</f>
        <v>020580444</v>
      </c>
      <c r="C4162" s="2" t="s">
        <v>5176</v>
      </c>
      <c r="D4162" s="2" t="s">
        <v>5177</v>
      </c>
      <c r="E4162" s="4">
        <v>8000</v>
      </c>
    </row>
    <row r="4163" spans="1:5">
      <c r="A4163" s="2" t="s">
        <v>2541</v>
      </c>
      <c r="B4163" s="2" t="str">
        <f>"0008779"</f>
        <v>0008779</v>
      </c>
      <c r="C4163" s="2" t="str">
        <f>"0008779"</f>
        <v>0008779</v>
      </c>
      <c r="D4163" s="2" t="s">
        <v>5178</v>
      </c>
      <c r="E4163" s="4">
        <v>25000</v>
      </c>
    </row>
    <row r="4164" spans="1:5">
      <c r="A4164" s="2" t="s">
        <v>2541</v>
      </c>
      <c r="B4164" s="2" t="s">
        <v>5179</v>
      </c>
      <c r="C4164" s="2" t="s">
        <v>5180</v>
      </c>
      <c r="D4164" s="2" t="s">
        <v>5181</v>
      </c>
      <c r="E4164" s="4">
        <v>18700</v>
      </c>
    </row>
    <row r="4165" spans="1:5">
      <c r="A4165" s="2" t="s">
        <v>2541</v>
      </c>
      <c r="B4165" s="2" t="s">
        <v>5182</v>
      </c>
      <c r="C4165" s="2" t="s">
        <v>5182</v>
      </c>
      <c r="D4165" s="2" t="s">
        <v>5183</v>
      </c>
      <c r="E4165" s="4">
        <v>3800</v>
      </c>
    </row>
    <row r="4166" spans="1:5">
      <c r="A4166" s="2" t="s">
        <v>2541</v>
      </c>
      <c r="B4166" s="2" t="str">
        <f>"603202"</f>
        <v>603202</v>
      </c>
      <c r="C4166" s="2" t="str">
        <f>"603202"</f>
        <v>603202</v>
      </c>
      <c r="D4166" s="2" t="s">
        <v>5184</v>
      </c>
      <c r="E4166" s="4">
        <v>28800</v>
      </c>
    </row>
    <row r="4167" spans="1:5">
      <c r="A4167" s="2" t="s">
        <v>2541</v>
      </c>
      <c r="B4167" s="2" t="str">
        <f>"403212"</f>
        <v>403212</v>
      </c>
      <c r="C4167" s="2" t="str">
        <f>"403212"</f>
        <v>403212</v>
      </c>
      <c r="D4167" s="2" t="s">
        <v>5185</v>
      </c>
      <c r="E4167" s="2">
        <v>0</v>
      </c>
    </row>
    <row r="4168" spans="1:5">
      <c r="A4168" s="2" t="s">
        <v>2541</v>
      </c>
      <c r="B4168" s="2" t="s">
        <v>5186</v>
      </c>
      <c r="C4168" s="2" t="s">
        <v>5186</v>
      </c>
      <c r="D4168" s="2" t="s">
        <v>5187</v>
      </c>
      <c r="E4168" s="4">
        <v>19000</v>
      </c>
    </row>
    <row r="4169" spans="1:5">
      <c r="A4169" s="2" t="s">
        <v>2541</v>
      </c>
      <c r="B4169" s="2" t="s">
        <v>5188</v>
      </c>
      <c r="C4169" s="2" t="s">
        <v>5188</v>
      </c>
      <c r="D4169" s="2" t="s">
        <v>5189</v>
      </c>
      <c r="E4169" s="4">
        <v>16000</v>
      </c>
    </row>
    <row r="4170" spans="1:5">
      <c r="A4170" s="2" t="s">
        <v>2541</v>
      </c>
      <c r="B4170" s="2" t="s">
        <v>5190</v>
      </c>
      <c r="C4170" s="2" t="s">
        <v>5190</v>
      </c>
      <c r="D4170" s="2" t="s">
        <v>5191</v>
      </c>
      <c r="E4170" s="4">
        <v>38800</v>
      </c>
    </row>
    <row r="4171" spans="1:5">
      <c r="A4171" s="2" t="s">
        <v>2541</v>
      </c>
      <c r="B4171" s="2" t="str">
        <f>"503251"</f>
        <v>503251</v>
      </c>
      <c r="C4171" s="2" t="str">
        <f>"503251"</f>
        <v>503251</v>
      </c>
      <c r="D4171" s="2" t="s">
        <v>5192</v>
      </c>
      <c r="E4171" s="4">
        <v>32500</v>
      </c>
    </row>
    <row r="4172" spans="1:5">
      <c r="A4172" s="2" t="s">
        <v>2541</v>
      </c>
      <c r="B4172" s="2" t="s">
        <v>5193</v>
      </c>
      <c r="C4172" s="2" t="s">
        <v>5193</v>
      </c>
      <c r="D4172" s="2" t="s">
        <v>5194</v>
      </c>
      <c r="E4172" s="4">
        <v>38800</v>
      </c>
    </row>
    <row r="4173" spans="1:5">
      <c r="A4173" s="2" t="s">
        <v>2541</v>
      </c>
      <c r="B4173" s="2" t="str">
        <f>"503252"</f>
        <v>503252</v>
      </c>
      <c r="C4173" s="2" t="str">
        <f>"503252"</f>
        <v>503252</v>
      </c>
      <c r="D4173" s="2" t="s">
        <v>5195</v>
      </c>
      <c r="E4173" s="4">
        <v>32500</v>
      </c>
    </row>
    <row r="4174" spans="1:5">
      <c r="A4174" s="2" t="s">
        <v>2541</v>
      </c>
      <c r="B4174" s="2" t="str">
        <f>"000910432-1"</f>
        <v>000910432-1</v>
      </c>
      <c r="C4174" s="2" t="str">
        <f>"000910432-1"</f>
        <v>000910432-1</v>
      </c>
      <c r="D4174" s="2" t="s">
        <v>5196</v>
      </c>
      <c r="E4174" s="4">
        <v>38000</v>
      </c>
    </row>
    <row r="4175" spans="1:5">
      <c r="A4175" s="2" t="s">
        <v>2541</v>
      </c>
      <c r="B4175" s="2" t="str">
        <f>"000910446"</f>
        <v>000910446</v>
      </c>
      <c r="C4175" s="2" t="str">
        <f>"000910446"</f>
        <v>000910446</v>
      </c>
      <c r="D4175" s="2" t="s">
        <v>5197</v>
      </c>
      <c r="E4175" s="4">
        <v>34000</v>
      </c>
    </row>
    <row r="4176" spans="1:5">
      <c r="A4176" s="2" t="s">
        <v>2541</v>
      </c>
      <c r="B4176" s="2" t="str">
        <f>"000910447-K"</f>
        <v>000910447-K</v>
      </c>
      <c r="C4176" s="2" t="str">
        <f>"000910447-K"</f>
        <v>000910447-K</v>
      </c>
      <c r="D4176" s="2" t="s">
        <v>5198</v>
      </c>
      <c r="E4176" s="4">
        <v>34000</v>
      </c>
    </row>
    <row r="4177" spans="1:5">
      <c r="A4177" s="2" t="s">
        <v>2541</v>
      </c>
      <c r="B4177" s="2" t="s">
        <v>5199</v>
      </c>
      <c r="C4177" s="2" t="s">
        <v>5199</v>
      </c>
      <c r="D4177" s="2" t="s">
        <v>5200</v>
      </c>
      <c r="E4177" s="4">
        <v>34000</v>
      </c>
    </row>
    <row r="4178" spans="1:5">
      <c r="A4178" s="2" t="s">
        <v>2541</v>
      </c>
      <c r="B4178" s="2" t="s">
        <v>5201</v>
      </c>
      <c r="C4178" s="2" t="s">
        <v>5201</v>
      </c>
      <c r="D4178" s="2" t="s">
        <v>5202</v>
      </c>
      <c r="E4178" s="4">
        <v>29500</v>
      </c>
    </row>
    <row r="4179" spans="1:5">
      <c r="A4179" s="2" t="s">
        <v>2541</v>
      </c>
      <c r="B4179" s="2" t="s">
        <v>5203</v>
      </c>
      <c r="C4179" s="2" t="s">
        <v>5203</v>
      </c>
      <c r="D4179" s="2" t="s">
        <v>5204</v>
      </c>
      <c r="E4179" s="4">
        <v>38500</v>
      </c>
    </row>
    <row r="4180" spans="1:5">
      <c r="A4180" s="2" t="s">
        <v>2541</v>
      </c>
      <c r="B4180" s="2" t="str">
        <f>"000908128-3"</f>
        <v>000908128-3</v>
      </c>
      <c r="C4180" s="2" t="str">
        <f>"000908128-3"</f>
        <v>000908128-3</v>
      </c>
      <c r="D4180" s="2" t="s">
        <v>5205</v>
      </c>
      <c r="E4180" s="4">
        <v>38000</v>
      </c>
    </row>
    <row r="4181" spans="1:5">
      <c r="A4181" s="2" t="s">
        <v>2541</v>
      </c>
      <c r="B4181" s="2" t="str">
        <f>"0022572"</f>
        <v>0022572</v>
      </c>
      <c r="C4181" s="2" t="str">
        <f>"0022572"</f>
        <v>0022572</v>
      </c>
      <c r="D4181" s="2" t="s">
        <v>5206</v>
      </c>
      <c r="E4181" s="4">
        <v>48400</v>
      </c>
    </row>
    <row r="4182" spans="1:5">
      <c r="A4182" s="2" t="s">
        <v>2541</v>
      </c>
      <c r="B4182" s="2" t="s">
        <v>5207</v>
      </c>
      <c r="C4182" s="2" t="s">
        <v>5207</v>
      </c>
      <c r="D4182" s="2" t="s">
        <v>5208</v>
      </c>
      <c r="E4182" s="4">
        <v>28000</v>
      </c>
    </row>
    <row r="4183" spans="1:5">
      <c r="A4183" s="2" t="s">
        <v>2541</v>
      </c>
      <c r="B4183" s="2" t="str">
        <f>"67072"</f>
        <v>67072</v>
      </c>
      <c r="C4183" s="2" t="str">
        <f>"67072"</f>
        <v>67072</v>
      </c>
      <c r="D4183" s="2" t="s">
        <v>5209</v>
      </c>
      <c r="E4183" s="4">
        <v>3500</v>
      </c>
    </row>
    <row r="4184" spans="1:5">
      <c r="A4184" s="2" t="s">
        <v>2541</v>
      </c>
      <c r="B4184" s="2" t="str">
        <f>"4833440"</f>
        <v>4833440</v>
      </c>
      <c r="C4184" s="2" t="str">
        <f>"4833440"</f>
        <v>4833440</v>
      </c>
      <c r="D4184" s="2" t="s">
        <v>5210</v>
      </c>
      <c r="E4184" s="4">
        <v>21400</v>
      </c>
    </row>
    <row r="4185" spans="1:5">
      <c r="A4185" s="2" t="s">
        <v>2541</v>
      </c>
      <c r="B4185" s="2" t="s">
        <v>5211</v>
      </c>
      <c r="C4185" s="2" t="str">
        <f>"1685648592313"</f>
        <v>1685648592313</v>
      </c>
      <c r="D4185" s="2" t="s">
        <v>5212</v>
      </c>
      <c r="E4185" s="4">
        <v>50000</v>
      </c>
    </row>
    <row r="4186" spans="1:5">
      <c r="A4186" s="2" t="s">
        <v>2541</v>
      </c>
      <c r="B4186" s="2" t="s">
        <v>5213</v>
      </c>
      <c r="C4186" s="2" t="str">
        <f>"1697290348677"</f>
        <v>1697290348677</v>
      </c>
      <c r="D4186" s="2" t="s">
        <v>5214</v>
      </c>
      <c r="E4186" s="4">
        <v>59000</v>
      </c>
    </row>
    <row r="4187" spans="1:5">
      <c r="A4187" s="2" t="s">
        <v>421</v>
      </c>
      <c r="B4187" s="2" t="str">
        <f>"0007824"</f>
        <v>0007824</v>
      </c>
      <c r="C4187" s="2" t="str">
        <f>"0007824"</f>
        <v>0007824</v>
      </c>
      <c r="D4187" s="2" t="s">
        <v>5215</v>
      </c>
      <c r="E4187" s="4">
        <v>18700</v>
      </c>
    </row>
    <row r="4188" spans="1:5">
      <c r="A4188" s="2" t="s">
        <v>421</v>
      </c>
      <c r="B4188" s="2" t="str">
        <f>"01107V16"</f>
        <v>01107V16</v>
      </c>
      <c r="C4188" s="2" t="str">
        <f>"0100880"</f>
        <v>0100880</v>
      </c>
      <c r="D4188" s="2" t="s">
        <v>5216</v>
      </c>
      <c r="E4188" s="4">
        <v>15000</v>
      </c>
    </row>
    <row r="4189" spans="1:5">
      <c r="A4189" s="2" t="s">
        <v>421</v>
      </c>
      <c r="B4189" s="2" t="str">
        <f>"9953936"</f>
        <v>9953936</v>
      </c>
      <c r="C4189" s="2" t="str">
        <f>"9953936"</f>
        <v>9953936</v>
      </c>
      <c r="D4189" s="2" t="s">
        <v>5217</v>
      </c>
      <c r="E4189" s="4">
        <v>38000</v>
      </c>
    </row>
    <row r="4190" spans="1:5">
      <c r="A4190" s="2" t="s">
        <v>421</v>
      </c>
      <c r="B4190" s="2" t="str">
        <f>"071230818"</f>
        <v>071230818</v>
      </c>
      <c r="C4190" s="2" t="str">
        <f>"07123818"</f>
        <v>07123818</v>
      </c>
      <c r="D4190" s="2" t="s">
        <v>5218</v>
      </c>
      <c r="E4190" s="4">
        <v>29500</v>
      </c>
    </row>
    <row r="4191" spans="1:5">
      <c r="A4191" s="2" t="s">
        <v>421</v>
      </c>
      <c r="B4191" s="2" t="str">
        <f>"001273551-0"</f>
        <v>001273551-0</v>
      </c>
      <c r="C4191" s="2" t="str">
        <f>"1273551-0"</f>
        <v>1273551-0</v>
      </c>
      <c r="D4191" s="2" t="s">
        <v>5219</v>
      </c>
      <c r="E4191" s="4">
        <v>29500</v>
      </c>
    </row>
    <row r="4192" spans="1:5">
      <c r="A4192" s="2" t="s">
        <v>421</v>
      </c>
      <c r="B4192" s="2" t="str">
        <f>"9953943"</f>
        <v>9953943</v>
      </c>
      <c r="C4192" s="2" t="str">
        <f>"9953943"</f>
        <v>9953943</v>
      </c>
      <c r="D4192" s="2" t="s">
        <v>5220</v>
      </c>
      <c r="E4192" s="4">
        <v>18700</v>
      </c>
    </row>
    <row r="4193" spans="1:5">
      <c r="A4193" s="2" t="s">
        <v>421</v>
      </c>
      <c r="B4193" s="2" t="str">
        <f>"9953944"</f>
        <v>9953944</v>
      </c>
      <c r="C4193" s="2" t="str">
        <f>"9953944"</f>
        <v>9953944</v>
      </c>
      <c r="D4193" s="2" t="s">
        <v>5221</v>
      </c>
      <c r="E4193" s="4">
        <v>18700</v>
      </c>
    </row>
    <row r="4194" spans="1:5">
      <c r="A4194" s="2" t="s">
        <v>421</v>
      </c>
      <c r="B4194" s="2" t="str">
        <f>"0100890"</f>
        <v>0100890</v>
      </c>
      <c r="C4194" s="2" t="str">
        <f>"0100890"</f>
        <v>0100890</v>
      </c>
      <c r="D4194" s="2" t="s">
        <v>5222</v>
      </c>
      <c r="E4194" s="4">
        <v>13300</v>
      </c>
    </row>
    <row r="4195" spans="1:5">
      <c r="A4195" s="2" t="s">
        <v>421</v>
      </c>
      <c r="B4195" s="2" t="str">
        <f>"9953949"</f>
        <v>9953949</v>
      </c>
      <c r="C4195" s="2" t="str">
        <f>"9953949"</f>
        <v>9953949</v>
      </c>
      <c r="D4195" s="2" t="s">
        <v>5223</v>
      </c>
      <c r="E4195" s="4">
        <v>16000</v>
      </c>
    </row>
    <row r="4196" spans="1:5">
      <c r="A4196" s="2" t="s">
        <v>421</v>
      </c>
      <c r="B4196" s="2" t="str">
        <f>"9954101"</f>
        <v>9954101</v>
      </c>
      <c r="C4196" s="2" t="str">
        <f>"9954101"</f>
        <v>9954101</v>
      </c>
      <c r="D4196" s="2" t="s">
        <v>5224</v>
      </c>
      <c r="E4196" s="4">
        <v>34000</v>
      </c>
    </row>
    <row r="4197" spans="1:5">
      <c r="A4197" s="2" t="s">
        <v>421</v>
      </c>
      <c r="B4197" s="2" t="str">
        <f>"9954103"</f>
        <v>9954103</v>
      </c>
      <c r="C4197" s="2" t="str">
        <f>"9954103"</f>
        <v>9954103</v>
      </c>
      <c r="D4197" s="2" t="s">
        <v>5225</v>
      </c>
      <c r="E4197" s="4">
        <v>43000</v>
      </c>
    </row>
    <row r="4198" spans="1:5">
      <c r="A4198" s="2" t="s">
        <v>421</v>
      </c>
      <c r="B4198" s="2" t="str">
        <f>"9953947"</f>
        <v>9953947</v>
      </c>
      <c r="C4198" s="2" t="str">
        <f>"9953947"</f>
        <v>9953947</v>
      </c>
      <c r="D4198" s="2" t="s">
        <v>5226</v>
      </c>
      <c r="E4198" s="4">
        <v>16000</v>
      </c>
    </row>
    <row r="4199" spans="1:5">
      <c r="A4199" s="2" t="s">
        <v>165</v>
      </c>
      <c r="B4199" s="2" t="str">
        <f>"0810183"</f>
        <v>0810183</v>
      </c>
      <c r="C4199" s="2" t="str">
        <f>"0810183"</f>
        <v>0810183</v>
      </c>
      <c r="D4199" s="2" t="s">
        <v>5227</v>
      </c>
      <c r="E4199" s="4">
        <v>6500</v>
      </c>
    </row>
    <row r="4200" spans="1:5">
      <c r="A4200" s="2" t="s">
        <v>296</v>
      </c>
      <c r="B4200" s="2" t="str">
        <f>"090600130"</f>
        <v>090600130</v>
      </c>
      <c r="C4200" s="2" t="str">
        <f>"090600130"</f>
        <v>090600130</v>
      </c>
      <c r="D4200" s="2" t="s">
        <v>5228</v>
      </c>
      <c r="E4200" s="4">
        <v>8000</v>
      </c>
    </row>
    <row r="4201" spans="1:5">
      <c r="A4201" s="2" t="s">
        <v>296</v>
      </c>
      <c r="B4201" s="2" t="s">
        <v>5229</v>
      </c>
      <c r="C4201" s="2" t="s">
        <v>5229</v>
      </c>
      <c r="D4201" s="2" t="s">
        <v>5230</v>
      </c>
      <c r="E4201" s="4">
        <v>3500</v>
      </c>
    </row>
    <row r="4202" spans="1:5">
      <c r="A4202" s="2" t="s">
        <v>296</v>
      </c>
      <c r="B4202" s="2" t="str">
        <f>"1193122"</f>
        <v>1193122</v>
      </c>
      <c r="C4202" s="2" t="str">
        <f>"1193122"</f>
        <v>1193122</v>
      </c>
      <c r="D4202" s="2" t="s">
        <v>5231</v>
      </c>
      <c r="E4202" s="4">
        <v>6100</v>
      </c>
    </row>
    <row r="4203" spans="1:5">
      <c r="A4203" s="2" t="s">
        <v>296</v>
      </c>
      <c r="B4203" s="2" t="str">
        <f>"0700277"</f>
        <v>0700277</v>
      </c>
      <c r="C4203" s="2" t="str">
        <f>"0700277"</f>
        <v>0700277</v>
      </c>
      <c r="D4203" s="2" t="s">
        <v>5232</v>
      </c>
      <c r="E4203" s="4">
        <v>11500</v>
      </c>
    </row>
    <row r="4204" spans="1:5">
      <c r="A4204" s="2" t="s">
        <v>296</v>
      </c>
      <c r="B4204" s="2" t="str">
        <f>"090600087"</f>
        <v>090600087</v>
      </c>
      <c r="C4204" s="2" t="str">
        <f>"090600087"</f>
        <v>090600087</v>
      </c>
      <c r="D4204" s="2" t="s">
        <v>5233</v>
      </c>
      <c r="E4204" s="4">
        <v>3400</v>
      </c>
    </row>
    <row r="4205" spans="1:5">
      <c r="A4205" s="2" t="s">
        <v>1537</v>
      </c>
      <c r="B4205" s="2" t="s">
        <v>5234</v>
      </c>
      <c r="C4205" s="2" t="s">
        <v>5235</v>
      </c>
      <c r="D4205" s="2" t="s">
        <v>5236</v>
      </c>
      <c r="E4205" s="4">
        <v>33500</v>
      </c>
    </row>
    <row r="4206" spans="1:5">
      <c r="A4206" s="2" t="s">
        <v>296</v>
      </c>
      <c r="B4206" s="2" t="s">
        <v>5237</v>
      </c>
      <c r="C4206" s="2" t="s">
        <v>5237</v>
      </c>
      <c r="D4206" s="2" t="s">
        <v>5238</v>
      </c>
      <c r="E4206" s="4">
        <v>7500</v>
      </c>
    </row>
    <row r="4207" spans="1:5">
      <c r="A4207" s="2" t="s">
        <v>296</v>
      </c>
      <c r="B4207" s="2" t="s">
        <v>5239</v>
      </c>
      <c r="C4207" s="2" t="s">
        <v>5239</v>
      </c>
      <c r="D4207" s="2" t="s">
        <v>5240</v>
      </c>
      <c r="E4207" s="4">
        <v>6100</v>
      </c>
    </row>
    <row r="4208" spans="1:5">
      <c r="A4208" s="2" t="s">
        <v>296</v>
      </c>
      <c r="B4208" s="2" t="str">
        <f>"1603147"</f>
        <v>1603147</v>
      </c>
      <c r="C4208" s="2" t="str">
        <f>"1603147"</f>
        <v>1603147</v>
      </c>
      <c r="D4208" s="2" t="s">
        <v>5241</v>
      </c>
      <c r="E4208" s="4">
        <v>55000</v>
      </c>
    </row>
    <row r="4209" spans="1:5">
      <c r="A4209" s="2" t="s">
        <v>296</v>
      </c>
      <c r="B4209" s="2" t="s">
        <v>5242</v>
      </c>
      <c r="C4209" s="2" t="s">
        <v>5243</v>
      </c>
      <c r="D4209" s="2" t="s">
        <v>5244</v>
      </c>
      <c r="E4209" s="4">
        <v>49000</v>
      </c>
    </row>
    <row r="4210" spans="1:5">
      <c r="A4210" s="2" t="s">
        <v>296</v>
      </c>
      <c r="B4210" s="2" t="str">
        <f>"1001300"</f>
        <v>1001300</v>
      </c>
      <c r="C4210" s="2" t="str">
        <f>"1001300"</f>
        <v>1001300</v>
      </c>
      <c r="D4210" s="2" t="s">
        <v>5245</v>
      </c>
      <c r="E4210" s="4">
        <v>25000</v>
      </c>
    </row>
    <row r="4211" spans="1:5">
      <c r="A4211" s="2" t="s">
        <v>296</v>
      </c>
      <c r="B4211" s="2" t="str">
        <f>"1701897"</f>
        <v>1701897</v>
      </c>
      <c r="C4211" s="2" t="str">
        <f>"1701897"</f>
        <v>1701897</v>
      </c>
      <c r="D4211" s="2" t="s">
        <v>5246</v>
      </c>
      <c r="E4211" s="4">
        <v>13500</v>
      </c>
    </row>
    <row r="4212" spans="1:5">
      <c r="A4212" s="2" t="s">
        <v>296</v>
      </c>
      <c r="B4212" s="2" t="str">
        <f>"1701907"</f>
        <v>1701907</v>
      </c>
      <c r="C4212" s="2" t="str">
        <f>"1701907"</f>
        <v>1701907</v>
      </c>
      <c r="D4212" s="2" t="s">
        <v>5247</v>
      </c>
      <c r="E4212" s="4">
        <v>13500</v>
      </c>
    </row>
    <row r="4213" spans="1:5">
      <c r="A4213" s="2" t="s">
        <v>296</v>
      </c>
      <c r="B4213" s="2" t="str">
        <f>"9948097"</f>
        <v>9948097</v>
      </c>
      <c r="C4213" s="2" t="str">
        <f>"9948097"</f>
        <v>9948097</v>
      </c>
      <c r="D4213" s="2" t="s">
        <v>5248</v>
      </c>
      <c r="E4213" s="4">
        <v>38000</v>
      </c>
    </row>
    <row r="4214" spans="1:5">
      <c r="A4214" s="2" t="s">
        <v>296</v>
      </c>
      <c r="B4214" s="2" t="str">
        <f>"1701967"</f>
        <v>1701967</v>
      </c>
      <c r="C4214" s="2" t="str">
        <f>"1701967"</f>
        <v>1701967</v>
      </c>
      <c r="D4214" s="2" t="s">
        <v>5249</v>
      </c>
      <c r="E4214" s="4">
        <v>12400</v>
      </c>
    </row>
    <row r="4215" spans="1:5">
      <c r="A4215" s="2" t="s">
        <v>296</v>
      </c>
      <c r="B4215" s="2" t="str">
        <f>"1642410"</f>
        <v>1642410</v>
      </c>
      <c r="C4215" s="2" t="str">
        <f>"1642410"</f>
        <v>1642410</v>
      </c>
      <c r="D4215" s="2" t="s">
        <v>5250</v>
      </c>
      <c r="E4215" s="4">
        <v>16000</v>
      </c>
    </row>
    <row r="4216" spans="1:5">
      <c r="A4216" s="2" t="s">
        <v>296</v>
      </c>
      <c r="B4216" s="2" t="str">
        <f>"1701048"</f>
        <v>1701048</v>
      </c>
      <c r="C4216" s="2" t="str">
        <f>"1701048"</f>
        <v>1701048</v>
      </c>
      <c r="D4216" s="2" t="s">
        <v>5251</v>
      </c>
      <c r="E4216" s="4">
        <v>12400</v>
      </c>
    </row>
    <row r="4217" spans="1:5">
      <c r="A4217" s="2" t="s">
        <v>296</v>
      </c>
      <c r="B4217" s="2" t="str">
        <f>"013060541"</f>
        <v>013060541</v>
      </c>
      <c r="C4217" s="2" t="str">
        <f>"013060541"</f>
        <v>013060541</v>
      </c>
      <c r="D4217" s="2" t="s">
        <v>5252</v>
      </c>
      <c r="E4217" s="4">
        <v>5260</v>
      </c>
    </row>
    <row r="4218" spans="1:5">
      <c r="A4218" s="2" t="s">
        <v>296</v>
      </c>
      <c r="B4218" s="2" t="str">
        <f>"090230721"</f>
        <v>090230721</v>
      </c>
      <c r="C4218" s="2" t="str">
        <f>"090230721"</f>
        <v>090230721</v>
      </c>
      <c r="D4218" s="2" t="s">
        <v>5253</v>
      </c>
      <c r="E4218" s="4">
        <v>22300</v>
      </c>
    </row>
    <row r="4219" spans="1:5">
      <c r="A4219" s="2" t="s">
        <v>296</v>
      </c>
      <c r="B4219" s="2" t="str">
        <f>"090230722"</f>
        <v>090230722</v>
      </c>
      <c r="C4219" s="2" t="str">
        <f>"090230722"</f>
        <v>090230722</v>
      </c>
      <c r="D4219" s="2" t="s">
        <v>5254</v>
      </c>
      <c r="E4219" s="4">
        <v>22300</v>
      </c>
    </row>
    <row r="4220" spans="1:5">
      <c r="A4220" s="2" t="s">
        <v>296</v>
      </c>
      <c r="B4220" s="2" t="str">
        <f>"090600131"</f>
        <v>090600131</v>
      </c>
      <c r="C4220" s="2" t="str">
        <f>"1444063575"</f>
        <v>1444063575</v>
      </c>
      <c r="D4220" s="2" t="s">
        <v>5255</v>
      </c>
      <c r="E4220" s="4">
        <v>17000</v>
      </c>
    </row>
    <row r="4221" spans="1:5">
      <c r="A4221" s="2" t="s">
        <v>296</v>
      </c>
      <c r="B4221" s="2" t="str">
        <f>"0016292"</f>
        <v>0016292</v>
      </c>
      <c r="C4221" s="2" t="str">
        <f>"0016292"</f>
        <v>0016292</v>
      </c>
      <c r="D4221" s="2" t="s">
        <v>5256</v>
      </c>
      <c r="E4221" s="4">
        <v>25000</v>
      </c>
    </row>
    <row r="4222" spans="1:5">
      <c r="A4222" s="2" t="s">
        <v>296</v>
      </c>
      <c r="B4222" s="2" t="str">
        <f>"0025163"</f>
        <v>0025163</v>
      </c>
      <c r="C4222" s="2" t="str">
        <f>"0025163"</f>
        <v>0025163</v>
      </c>
      <c r="D4222" s="2" t="s">
        <v>5257</v>
      </c>
      <c r="E4222" s="4">
        <v>29000</v>
      </c>
    </row>
    <row r="4223" spans="1:5">
      <c r="A4223" s="2" t="s">
        <v>296</v>
      </c>
      <c r="B4223" s="2" t="str">
        <f>"0025162"</f>
        <v>0025162</v>
      </c>
      <c r="C4223" s="2" t="str">
        <f>"0018766"</f>
        <v>0018766</v>
      </c>
      <c r="D4223" s="2" t="s">
        <v>5258</v>
      </c>
      <c r="E4223" s="4">
        <v>38000</v>
      </c>
    </row>
    <row r="4224" spans="1:5">
      <c r="A4224" s="2" t="s">
        <v>296</v>
      </c>
      <c r="B4224" s="2" t="str">
        <f>"0016748"</f>
        <v>0016748</v>
      </c>
      <c r="C4224" s="2" t="str">
        <f>"0016748"</f>
        <v>0016748</v>
      </c>
      <c r="D4224" s="2" t="s">
        <v>5259</v>
      </c>
      <c r="E4224" s="4">
        <v>38500</v>
      </c>
    </row>
    <row r="4225" spans="1:5">
      <c r="A4225" s="2" t="s">
        <v>1537</v>
      </c>
      <c r="B4225" s="2" t="s">
        <v>5260</v>
      </c>
      <c r="C4225" s="2" t="s">
        <v>5260</v>
      </c>
      <c r="D4225" s="2" t="s">
        <v>5261</v>
      </c>
      <c r="E4225" s="4">
        <v>18700</v>
      </c>
    </row>
    <row r="4226" spans="1:5">
      <c r="A4226" s="2" t="s">
        <v>296</v>
      </c>
      <c r="B4226" s="2" t="str">
        <f>"0024894"</f>
        <v>0024894</v>
      </c>
      <c r="C4226" s="2" t="str">
        <f>"0024894"</f>
        <v>0024894</v>
      </c>
      <c r="D4226" s="2" t="s">
        <v>5262</v>
      </c>
      <c r="E4226" s="4">
        <v>28600</v>
      </c>
    </row>
    <row r="4227" spans="1:5">
      <c r="A4227" s="2" t="s">
        <v>296</v>
      </c>
      <c r="B4227" s="2" t="str">
        <f>"0024893"</f>
        <v>0024893</v>
      </c>
      <c r="C4227" s="2" t="str">
        <f>"0024893"</f>
        <v>0024893</v>
      </c>
      <c r="D4227" s="2" t="s">
        <v>5263</v>
      </c>
      <c r="E4227" s="4">
        <v>28600</v>
      </c>
    </row>
    <row r="4228" spans="1:5">
      <c r="A4228" s="2" t="s">
        <v>296</v>
      </c>
      <c r="B4228" s="2" t="str">
        <f>"001193271-1"</f>
        <v>001193271-1</v>
      </c>
      <c r="C4228" s="2" t="str">
        <f>"090230726"</f>
        <v>090230726</v>
      </c>
      <c r="D4228" s="2" t="s">
        <v>5264</v>
      </c>
      <c r="E4228" s="4">
        <v>38500</v>
      </c>
    </row>
    <row r="4229" spans="1:5">
      <c r="A4229" s="2" t="s">
        <v>296</v>
      </c>
      <c r="B4229" s="2" t="str">
        <f>"1603157"</f>
        <v>1603157</v>
      </c>
      <c r="C4229" s="2" t="str">
        <f>"1603157"</f>
        <v>1603157</v>
      </c>
      <c r="D4229" s="2" t="s">
        <v>5265</v>
      </c>
      <c r="E4229" s="4">
        <v>34000</v>
      </c>
    </row>
    <row r="4230" spans="1:5">
      <c r="A4230" s="2" t="s">
        <v>296</v>
      </c>
      <c r="B4230" s="2" t="s">
        <v>5266</v>
      </c>
      <c r="C4230" s="2" t="s">
        <v>5266</v>
      </c>
      <c r="D4230" s="2" t="s">
        <v>5267</v>
      </c>
      <c r="E4230" s="4">
        <v>15100</v>
      </c>
    </row>
    <row r="4231" spans="1:5">
      <c r="A4231" s="2" t="s">
        <v>296</v>
      </c>
      <c r="B4231" s="2" t="s">
        <v>5268</v>
      </c>
      <c r="C4231" s="2" t="s">
        <v>5268</v>
      </c>
      <c r="D4231" s="2" t="s">
        <v>5269</v>
      </c>
      <c r="E4231" s="4">
        <v>9700</v>
      </c>
    </row>
    <row r="4232" spans="1:5">
      <c r="A4232" s="2" t="s">
        <v>296</v>
      </c>
      <c r="B4232" s="2" t="s">
        <v>5270</v>
      </c>
      <c r="C4232" s="2" t="s">
        <v>5270</v>
      </c>
      <c r="D4232" s="2" t="s">
        <v>5271</v>
      </c>
      <c r="E4232" s="4">
        <v>3400</v>
      </c>
    </row>
    <row r="4233" spans="1:5">
      <c r="A4233" s="2" t="s">
        <v>296</v>
      </c>
      <c r="B4233" s="2" t="str">
        <f>"090600057"</f>
        <v>090600057</v>
      </c>
      <c r="C4233" s="2" t="str">
        <f>"090600057"</f>
        <v>090600057</v>
      </c>
      <c r="D4233" s="2" t="s">
        <v>5272</v>
      </c>
      <c r="E4233" s="4">
        <v>8800</v>
      </c>
    </row>
    <row r="4234" spans="1:5">
      <c r="A4234" s="2" t="s">
        <v>1537</v>
      </c>
      <c r="B4234" s="2" t="str">
        <f>"01306564"</f>
        <v>01306564</v>
      </c>
      <c r="C4234" s="2" t="str">
        <f>"01306564"</f>
        <v>01306564</v>
      </c>
      <c r="D4234" s="2" t="s">
        <v>5273</v>
      </c>
      <c r="E4234" s="4">
        <v>2900</v>
      </c>
    </row>
    <row r="4235" spans="1:5">
      <c r="A4235" s="2" t="s">
        <v>1537</v>
      </c>
      <c r="B4235" s="2" t="s">
        <v>5274</v>
      </c>
      <c r="C4235" s="2" t="s">
        <v>5274</v>
      </c>
      <c r="D4235" s="2" t="s">
        <v>5275</v>
      </c>
      <c r="E4235" s="4">
        <v>9700</v>
      </c>
    </row>
    <row r="4236" spans="1:5">
      <c r="A4236" s="2" t="s">
        <v>1537</v>
      </c>
      <c r="B4236" s="2" t="str">
        <f>"01307564"</f>
        <v>01307564</v>
      </c>
      <c r="C4236" s="2" t="str">
        <f>"01307564"</f>
        <v>01307564</v>
      </c>
      <c r="D4236" s="2" t="s">
        <v>5275</v>
      </c>
      <c r="E4236" s="4">
        <v>2900</v>
      </c>
    </row>
    <row r="4237" spans="1:5">
      <c r="A4237" s="2" t="s">
        <v>296</v>
      </c>
      <c r="B4237" s="2" t="s">
        <v>5276</v>
      </c>
      <c r="C4237" s="2" t="s">
        <v>5276</v>
      </c>
      <c r="D4237" s="2" t="s">
        <v>5277</v>
      </c>
      <c r="E4237" s="4">
        <v>18700</v>
      </c>
    </row>
    <row r="4238" spans="1:5">
      <c r="A4238" s="2" t="s">
        <v>296</v>
      </c>
      <c r="B4238" s="2" t="s">
        <v>5278</v>
      </c>
      <c r="C4238" s="2" t="s">
        <v>5278</v>
      </c>
      <c r="D4238" s="2" t="s">
        <v>5279</v>
      </c>
      <c r="E4238" s="4">
        <v>18700</v>
      </c>
    </row>
    <row r="4239" spans="1:5">
      <c r="A4239" s="2" t="s">
        <v>296</v>
      </c>
      <c r="B4239" s="2" t="s">
        <v>5280</v>
      </c>
      <c r="C4239" s="2" t="s">
        <v>5280</v>
      </c>
      <c r="D4239" s="2" t="s">
        <v>5281</v>
      </c>
      <c r="E4239" s="4">
        <v>3400</v>
      </c>
    </row>
    <row r="4240" spans="1:5">
      <c r="A4240" s="2" t="s">
        <v>296</v>
      </c>
      <c r="B4240" s="2" t="str">
        <f>"9947943"</f>
        <v>9947943</v>
      </c>
      <c r="C4240" s="2" t="str">
        <f>"9947943"</f>
        <v>9947943</v>
      </c>
      <c r="D4240" s="2" t="s">
        <v>5282</v>
      </c>
      <c r="E4240" s="4">
        <v>9700</v>
      </c>
    </row>
    <row r="4241" spans="1:5">
      <c r="A4241" s="2" t="s">
        <v>296</v>
      </c>
      <c r="B4241" s="2" t="str">
        <f>"9947944"</f>
        <v>9947944</v>
      </c>
      <c r="C4241" s="2" t="str">
        <f>"9947944"</f>
        <v>9947944</v>
      </c>
      <c r="D4241" s="2" t="s">
        <v>5283</v>
      </c>
      <c r="E4241" s="4">
        <v>9700</v>
      </c>
    </row>
    <row r="4242" spans="1:5">
      <c r="A4242" s="2" t="s">
        <v>296</v>
      </c>
      <c r="B4242" s="2" t="str">
        <f>"0016294"</f>
        <v>0016294</v>
      </c>
      <c r="C4242" s="2" t="str">
        <f>"0016294"</f>
        <v>0016294</v>
      </c>
      <c r="D4242" s="2" t="s">
        <v>5284</v>
      </c>
      <c r="E4242" s="4">
        <v>14200</v>
      </c>
    </row>
    <row r="4243" spans="1:5">
      <c r="A4243" s="2" t="s">
        <v>296</v>
      </c>
      <c r="B4243" s="2" t="s">
        <v>5285</v>
      </c>
      <c r="C4243" s="2" t="s">
        <v>5285</v>
      </c>
      <c r="D4243" s="2" t="s">
        <v>5286</v>
      </c>
      <c r="E4243" s="4">
        <v>3400</v>
      </c>
    </row>
    <row r="4244" spans="1:5">
      <c r="A4244" s="2" t="s">
        <v>296</v>
      </c>
      <c r="B4244" s="2" t="s">
        <v>5287</v>
      </c>
      <c r="C4244" s="2" t="s">
        <v>5287</v>
      </c>
      <c r="D4244" s="2" t="s">
        <v>5288</v>
      </c>
      <c r="E4244" s="4">
        <v>3400</v>
      </c>
    </row>
    <row r="4245" spans="1:5">
      <c r="A4245" s="2" t="s">
        <v>296</v>
      </c>
      <c r="B4245" s="2" t="s">
        <v>5289</v>
      </c>
      <c r="C4245" s="2" t="s">
        <v>5289</v>
      </c>
      <c r="D4245" s="2" t="s">
        <v>5290</v>
      </c>
      <c r="E4245" s="4">
        <v>3400</v>
      </c>
    </row>
    <row r="4246" spans="1:5">
      <c r="A4246" s="2" t="s">
        <v>1537</v>
      </c>
      <c r="B4246" s="2" t="s">
        <v>5291</v>
      </c>
      <c r="C4246" s="2" t="s">
        <v>5291</v>
      </c>
      <c r="D4246" s="2" t="s">
        <v>5290</v>
      </c>
      <c r="E4246" s="4">
        <v>5200</v>
      </c>
    </row>
    <row r="4247" spans="1:5">
      <c r="A4247" s="2" t="s">
        <v>1537</v>
      </c>
      <c r="B4247" s="2" t="s">
        <v>5292</v>
      </c>
      <c r="C4247" s="2" t="s">
        <v>5292</v>
      </c>
      <c r="D4247" s="2" t="s">
        <v>5293</v>
      </c>
      <c r="E4247" s="4">
        <v>5200</v>
      </c>
    </row>
    <row r="4248" spans="1:5">
      <c r="A4248" s="2" t="s">
        <v>296</v>
      </c>
      <c r="B4248" s="2" t="s">
        <v>5294</v>
      </c>
      <c r="C4248" s="2" t="s">
        <v>5294</v>
      </c>
      <c r="D4248" s="2" t="s">
        <v>5295</v>
      </c>
      <c r="E4248" s="4">
        <v>6100</v>
      </c>
    </row>
    <row r="4249" spans="1:5">
      <c r="A4249" s="2" t="s">
        <v>296</v>
      </c>
      <c r="B4249" s="2" t="s">
        <v>5296</v>
      </c>
      <c r="C4249" s="2" t="s">
        <v>5296</v>
      </c>
      <c r="D4249" s="2" t="s">
        <v>5297</v>
      </c>
      <c r="E4249" s="4">
        <v>11500</v>
      </c>
    </row>
    <row r="4250" spans="1:5">
      <c r="A4250" s="2" t="s">
        <v>296</v>
      </c>
      <c r="B4250" s="2" t="s">
        <v>5298</v>
      </c>
      <c r="C4250" s="2" t="s">
        <v>5298</v>
      </c>
      <c r="D4250" s="2" t="s">
        <v>5299</v>
      </c>
      <c r="E4250" s="4">
        <v>8800</v>
      </c>
    </row>
    <row r="4251" spans="1:5">
      <c r="A4251" s="2" t="s">
        <v>296</v>
      </c>
      <c r="B4251" s="2" t="s">
        <v>5300</v>
      </c>
      <c r="C4251" s="2" t="s">
        <v>5300</v>
      </c>
      <c r="D4251" s="2" t="s">
        <v>5301</v>
      </c>
      <c r="E4251" s="4">
        <v>8800</v>
      </c>
    </row>
    <row r="4252" spans="1:5">
      <c r="A4252" s="2" t="s">
        <v>296</v>
      </c>
      <c r="B4252" s="2" t="str">
        <f>"090600291"</f>
        <v>090600291</v>
      </c>
      <c r="C4252" s="2" t="str">
        <f>"090600291"</f>
        <v>090600291</v>
      </c>
      <c r="D4252" s="2" t="s">
        <v>5302</v>
      </c>
      <c r="E4252" s="4">
        <v>5200</v>
      </c>
    </row>
    <row r="4253" spans="1:5">
      <c r="A4253" s="2" t="s">
        <v>1537</v>
      </c>
      <c r="B4253" s="2" t="str">
        <f>"1604080"</f>
        <v>1604080</v>
      </c>
      <c r="C4253" s="2" t="str">
        <f>"1604080"</f>
        <v>1604080</v>
      </c>
      <c r="D4253" s="2" t="s">
        <v>5303</v>
      </c>
      <c r="E4253" s="4">
        <v>16000</v>
      </c>
    </row>
    <row r="4254" spans="1:5">
      <c r="A4254" s="2" t="s">
        <v>296</v>
      </c>
      <c r="B4254" s="2" t="s">
        <v>5304</v>
      </c>
      <c r="C4254" s="2" t="s">
        <v>5304</v>
      </c>
      <c r="D4254" s="2" t="s">
        <v>5305</v>
      </c>
      <c r="E4254" s="4">
        <v>18700</v>
      </c>
    </row>
    <row r="4255" spans="1:5">
      <c r="A4255" s="2" t="s">
        <v>296</v>
      </c>
      <c r="B4255" s="2" t="str">
        <f>"0000076"</f>
        <v>0000076</v>
      </c>
      <c r="C4255" s="2" t="str">
        <f>"0000076"</f>
        <v>0000076</v>
      </c>
      <c r="D4255" s="2" t="s">
        <v>5306</v>
      </c>
      <c r="E4255" s="4">
        <v>34000</v>
      </c>
    </row>
    <row r="4256" spans="1:5">
      <c r="A4256" s="2" t="s">
        <v>296</v>
      </c>
      <c r="B4256" s="2" t="str">
        <f>"0016291"</f>
        <v>0016291</v>
      </c>
      <c r="C4256" s="2" t="str">
        <f>"0016291"</f>
        <v>0016291</v>
      </c>
      <c r="D4256" s="2" t="s">
        <v>5307</v>
      </c>
      <c r="E4256" s="4">
        <v>25000</v>
      </c>
    </row>
    <row r="4257" spans="1:5">
      <c r="A4257" s="2" t="s">
        <v>1537</v>
      </c>
      <c r="B4257" s="2" t="s">
        <v>5308</v>
      </c>
      <c r="C4257" s="2" t="s">
        <v>5308</v>
      </c>
      <c r="D4257" s="2" t="s">
        <v>5309</v>
      </c>
      <c r="E4257" s="4">
        <v>18700</v>
      </c>
    </row>
    <row r="4258" spans="1:5">
      <c r="A4258" s="2" t="s">
        <v>1537</v>
      </c>
      <c r="B4258" s="2" t="str">
        <f>"1604070"</f>
        <v>1604070</v>
      </c>
      <c r="C4258" s="2" t="str">
        <f>"1604070"</f>
        <v>1604070</v>
      </c>
      <c r="D4258" s="2" t="s">
        <v>5310</v>
      </c>
      <c r="E4258" s="4">
        <v>15100</v>
      </c>
    </row>
    <row r="4259" spans="1:5">
      <c r="A4259" s="2" t="s">
        <v>296</v>
      </c>
      <c r="B4259" s="2" t="str">
        <f>"090600290"</f>
        <v>090600290</v>
      </c>
      <c r="C4259" s="2" t="str">
        <f>"090600290"</f>
        <v>090600290</v>
      </c>
      <c r="D4259" s="2" t="s">
        <v>5311</v>
      </c>
      <c r="E4259" s="4">
        <v>3800</v>
      </c>
    </row>
    <row r="4260" spans="1:5">
      <c r="A4260" s="2" t="s">
        <v>296</v>
      </c>
      <c r="B4260" s="2" t="str">
        <f>"090600050"</f>
        <v>090600050</v>
      </c>
      <c r="C4260" s="2" t="str">
        <f>"090600050"</f>
        <v>090600050</v>
      </c>
      <c r="D4260" s="2" t="s">
        <v>5312</v>
      </c>
      <c r="E4260" s="4">
        <v>1800</v>
      </c>
    </row>
    <row r="4261" spans="1:5">
      <c r="A4261" s="2" t="s">
        <v>296</v>
      </c>
      <c r="B4261" s="2" t="s">
        <v>5313</v>
      </c>
      <c r="C4261" s="2" t="s">
        <v>5313</v>
      </c>
      <c r="D4261" s="2" t="s">
        <v>5314</v>
      </c>
      <c r="E4261" s="4">
        <v>14000</v>
      </c>
    </row>
    <row r="4262" spans="1:5">
      <c r="A4262" s="2" t="s">
        <v>296</v>
      </c>
      <c r="B4262" s="2" t="str">
        <f>"09060058"</f>
        <v>09060058</v>
      </c>
      <c r="C4262" s="2" t="str">
        <f>"09060058"</f>
        <v>09060058</v>
      </c>
      <c r="D4262" s="2" t="s">
        <v>5315</v>
      </c>
      <c r="E4262" s="4">
        <v>8800</v>
      </c>
    </row>
    <row r="4263" spans="1:5">
      <c r="A4263" s="2" t="s">
        <v>296</v>
      </c>
      <c r="B4263" s="2" t="str">
        <f>"090600058"</f>
        <v>090600058</v>
      </c>
      <c r="C4263" s="2" t="str">
        <f>"090600058"</f>
        <v>090600058</v>
      </c>
      <c r="D4263" s="2" t="s">
        <v>5316</v>
      </c>
      <c r="E4263" s="4">
        <v>8800</v>
      </c>
    </row>
    <row r="4264" spans="1:5">
      <c r="A4264" s="2" t="s">
        <v>296</v>
      </c>
      <c r="B4264" s="2" t="str">
        <f>"090600049"</f>
        <v>090600049</v>
      </c>
      <c r="C4264" s="2" t="str">
        <f>"090600049"</f>
        <v>090600049</v>
      </c>
      <c r="D4264" s="2" t="s">
        <v>5317</v>
      </c>
      <c r="E4264" s="4">
        <v>1800</v>
      </c>
    </row>
    <row r="4265" spans="1:5">
      <c r="A4265" s="2" t="s">
        <v>296</v>
      </c>
      <c r="B4265" s="2" t="str">
        <f>"090600129"</f>
        <v>090600129</v>
      </c>
      <c r="C4265" s="2" t="str">
        <f>"090600129"</f>
        <v>090600129</v>
      </c>
      <c r="D4265" s="2" t="s">
        <v>5318</v>
      </c>
      <c r="E4265" s="4">
        <v>8000</v>
      </c>
    </row>
    <row r="4266" spans="1:5">
      <c r="A4266" s="2" t="s">
        <v>296</v>
      </c>
      <c r="B4266" s="2" t="s">
        <v>5319</v>
      </c>
      <c r="C4266" s="2" t="s">
        <v>5319</v>
      </c>
      <c r="D4266" s="2" t="s">
        <v>5320</v>
      </c>
      <c r="E4266" s="4">
        <v>9700</v>
      </c>
    </row>
    <row r="4267" spans="1:5">
      <c r="A4267" s="2" t="s">
        <v>296</v>
      </c>
      <c r="B4267" s="2" t="str">
        <f>"1m00067"</f>
        <v>1m00067</v>
      </c>
      <c r="C4267" s="2" t="str">
        <f>"1M0067"</f>
        <v>1M0067</v>
      </c>
      <c r="D4267" s="2" t="s">
        <v>5321</v>
      </c>
      <c r="E4267" s="4">
        <v>19000</v>
      </c>
    </row>
    <row r="4268" spans="1:5">
      <c r="A4268" s="2" t="s">
        <v>296</v>
      </c>
      <c r="B4268" s="2" t="str">
        <f>"0006933"</f>
        <v>0006933</v>
      </c>
      <c r="C4268" s="2" t="str">
        <f>"0006933"</f>
        <v>0006933</v>
      </c>
      <c r="D4268" s="2" t="s">
        <v>5322</v>
      </c>
      <c r="E4268" s="4">
        <v>38500</v>
      </c>
    </row>
    <row r="4269" spans="1:5">
      <c r="A4269" s="2" t="s">
        <v>296</v>
      </c>
      <c r="B4269" s="2" t="str">
        <f>"0016745"</f>
        <v>0016745</v>
      </c>
      <c r="C4269" s="2" t="str">
        <f>"0016745"</f>
        <v>0016745</v>
      </c>
      <c r="D4269" s="2" t="s">
        <v>5323</v>
      </c>
      <c r="E4269" s="4">
        <v>48400</v>
      </c>
    </row>
    <row r="4270" spans="1:5">
      <c r="A4270" s="2" t="s">
        <v>296</v>
      </c>
      <c r="B4270" s="2" t="str">
        <f>"0016744"</f>
        <v>0016744</v>
      </c>
      <c r="C4270" s="2" t="str">
        <f>"0016744"</f>
        <v>0016744</v>
      </c>
      <c r="D4270" s="2" t="s">
        <v>5324</v>
      </c>
      <c r="E4270" s="4">
        <v>48400</v>
      </c>
    </row>
    <row r="4271" spans="1:5">
      <c r="A4271" s="2" t="s">
        <v>296</v>
      </c>
      <c r="B4271" s="2" t="str">
        <f>"090231113"</f>
        <v>090231113</v>
      </c>
      <c r="C4271" s="2" t="str">
        <f>"090231113"</f>
        <v>090231113</v>
      </c>
      <c r="D4271" s="2" t="s">
        <v>5325</v>
      </c>
      <c r="E4271" s="4">
        <v>59200</v>
      </c>
    </row>
    <row r="4272" spans="1:5">
      <c r="A4272" s="2" t="s">
        <v>296</v>
      </c>
      <c r="B4272" s="2" t="s">
        <v>5326</v>
      </c>
      <c r="C4272" s="2" t="s">
        <v>5327</v>
      </c>
      <c r="D4272" s="2" t="s">
        <v>5328</v>
      </c>
      <c r="E4272" s="4">
        <v>34000</v>
      </c>
    </row>
    <row r="4273" spans="1:5">
      <c r="A4273" s="2" t="s">
        <v>296</v>
      </c>
      <c r="B4273" s="2" t="s">
        <v>5329</v>
      </c>
      <c r="C4273" s="2" t="s">
        <v>5329</v>
      </c>
      <c r="D4273" s="2" t="s">
        <v>5330</v>
      </c>
      <c r="E4273" s="4">
        <v>25000</v>
      </c>
    </row>
    <row r="4274" spans="1:5">
      <c r="A4274" s="2" t="s">
        <v>296</v>
      </c>
      <c r="B4274" s="2" t="str">
        <f>"0016709"</f>
        <v>0016709</v>
      </c>
      <c r="C4274" s="2" t="str">
        <f>"0016709"</f>
        <v>0016709</v>
      </c>
      <c r="D4274" s="2" t="s">
        <v>5331</v>
      </c>
      <c r="E4274" s="4">
        <v>25000</v>
      </c>
    </row>
    <row r="4275" spans="1:5">
      <c r="A4275" s="2" t="s">
        <v>296</v>
      </c>
      <c r="B4275" s="2" t="str">
        <f>"0016742"</f>
        <v>0016742</v>
      </c>
      <c r="C4275" s="2" t="str">
        <f>"021601084"</f>
        <v>021601084</v>
      </c>
      <c r="D4275" s="2" t="s">
        <v>5332</v>
      </c>
      <c r="E4275" s="4">
        <v>38500</v>
      </c>
    </row>
    <row r="4276" spans="1:5">
      <c r="A4276" s="2" t="s">
        <v>296</v>
      </c>
      <c r="B4276" s="2" t="str">
        <f>"0024284"</f>
        <v>0024284</v>
      </c>
      <c r="C4276" s="2" t="str">
        <f>"0024284"</f>
        <v>0024284</v>
      </c>
      <c r="D4276" s="2" t="s">
        <v>5333</v>
      </c>
      <c r="E4276" s="4">
        <v>52000</v>
      </c>
    </row>
    <row r="4277" spans="1:5">
      <c r="A4277" s="2" t="s">
        <v>296</v>
      </c>
      <c r="B4277" s="2" t="s">
        <v>5334</v>
      </c>
      <c r="C4277" s="2" t="s">
        <v>5334</v>
      </c>
      <c r="D4277" s="2" t="s">
        <v>5335</v>
      </c>
      <c r="E4277" s="4">
        <v>16000</v>
      </c>
    </row>
    <row r="4278" spans="1:5">
      <c r="A4278" s="2" t="s">
        <v>1537</v>
      </c>
      <c r="B4278" s="2" t="s">
        <v>5336</v>
      </c>
      <c r="C4278" s="2" t="s">
        <v>5336</v>
      </c>
      <c r="D4278" s="2" t="s">
        <v>5337</v>
      </c>
      <c r="E4278" s="4">
        <v>9700</v>
      </c>
    </row>
    <row r="4279" spans="1:5">
      <c r="A4279" s="2" t="s">
        <v>296</v>
      </c>
      <c r="B4279" s="2" t="str">
        <f>"000603458-6"</f>
        <v>000603458-6</v>
      </c>
      <c r="C4279" s="2" t="str">
        <f>"000603458-6"</f>
        <v>000603458-6</v>
      </c>
      <c r="D4279" s="2" t="s">
        <v>5338</v>
      </c>
      <c r="E4279" s="4">
        <v>48000</v>
      </c>
    </row>
    <row r="4280" spans="1:5">
      <c r="A4280" s="2" t="s">
        <v>296</v>
      </c>
      <c r="B4280" s="2" t="s">
        <v>5339</v>
      </c>
      <c r="C4280" s="2" t="s">
        <v>5340</v>
      </c>
      <c r="D4280" s="2" t="s">
        <v>5341</v>
      </c>
      <c r="E4280" s="4">
        <v>25000</v>
      </c>
    </row>
    <row r="4281" spans="1:5">
      <c r="A4281" s="2" t="s">
        <v>296</v>
      </c>
      <c r="B4281" s="2" t="s">
        <v>5342</v>
      </c>
      <c r="C4281" s="2" t="s">
        <v>5342</v>
      </c>
      <c r="D4281" s="2" t="s">
        <v>5343</v>
      </c>
      <c r="E4281" s="4">
        <v>11900</v>
      </c>
    </row>
    <row r="4282" spans="1:5">
      <c r="A4282" s="2" t="s">
        <v>296</v>
      </c>
      <c r="B4282" s="2" t="str">
        <f>"090600052"</f>
        <v>090600052</v>
      </c>
      <c r="C4282" s="2" t="str">
        <f>"0906000052"</f>
        <v>0906000052</v>
      </c>
      <c r="D4282" s="2" t="s">
        <v>5344</v>
      </c>
      <c r="E4282" s="4">
        <v>3000</v>
      </c>
    </row>
    <row r="4283" spans="1:5">
      <c r="A4283" s="2" t="s">
        <v>1537</v>
      </c>
      <c r="B4283" s="2" t="s">
        <v>5345</v>
      </c>
      <c r="C4283" s="2" t="s">
        <v>5345</v>
      </c>
      <c r="D4283" s="2" t="s">
        <v>5346</v>
      </c>
      <c r="E4283" s="4">
        <v>5200</v>
      </c>
    </row>
    <row r="4284" spans="1:5">
      <c r="A4284" s="2" t="s">
        <v>1537</v>
      </c>
      <c r="B4284" s="2" t="str">
        <f>"1702157"</f>
        <v>1702157</v>
      </c>
      <c r="C4284" s="2" t="str">
        <f>"1702157"</f>
        <v>1702157</v>
      </c>
      <c r="D4284" s="2" t="s">
        <v>5347</v>
      </c>
      <c r="E4284" s="4">
        <v>32200</v>
      </c>
    </row>
    <row r="4285" spans="1:5">
      <c r="A4285" s="2" t="s">
        <v>296</v>
      </c>
      <c r="B4285" s="2" t="s">
        <v>5348</v>
      </c>
      <c r="C4285" s="2" t="s">
        <v>5348</v>
      </c>
      <c r="D4285" s="2" t="s">
        <v>5349</v>
      </c>
      <c r="E4285" s="4">
        <v>25500</v>
      </c>
    </row>
    <row r="4286" spans="1:5">
      <c r="A4286" s="2" t="s">
        <v>1537</v>
      </c>
      <c r="B4286" s="2" t="str">
        <f>"000930304-9"</f>
        <v>000930304-9</v>
      </c>
      <c r="C4286" s="2" t="str">
        <f>"000930304-9"</f>
        <v>000930304-9</v>
      </c>
      <c r="D4286" s="2" t="s">
        <v>5350</v>
      </c>
      <c r="E4286" s="4">
        <v>9800</v>
      </c>
    </row>
    <row r="4287" spans="1:5">
      <c r="A4287" s="2" t="s">
        <v>296</v>
      </c>
      <c r="B4287" s="2" t="str">
        <f>"002196720-3"</f>
        <v>002196720-3</v>
      </c>
      <c r="C4287" s="2" t="str">
        <f>"2196720-3"</f>
        <v>2196720-3</v>
      </c>
      <c r="D4287" s="2" t="s">
        <v>5351</v>
      </c>
      <c r="E4287" s="4">
        <v>14500</v>
      </c>
    </row>
    <row r="4288" spans="1:5">
      <c r="A4288" s="2" t="s">
        <v>296</v>
      </c>
      <c r="B4288" s="2" t="s">
        <v>5352</v>
      </c>
      <c r="C4288" s="2" t="s">
        <v>5352</v>
      </c>
      <c r="D4288" s="2" t="s">
        <v>5353</v>
      </c>
      <c r="E4288" s="4">
        <v>5200</v>
      </c>
    </row>
    <row r="4289" spans="1:5">
      <c r="A4289" s="2" t="s">
        <v>296</v>
      </c>
      <c r="B4289" s="2" t="str">
        <f>"0008399"</f>
        <v>0008399</v>
      </c>
      <c r="C4289" s="2" t="str">
        <f>"0008399"</f>
        <v>0008399</v>
      </c>
      <c r="D4289" s="2" t="s">
        <v>5354</v>
      </c>
      <c r="E4289" s="4">
        <v>27000</v>
      </c>
    </row>
    <row r="4290" spans="1:5">
      <c r="A4290" s="2" t="s">
        <v>1537</v>
      </c>
      <c r="B4290" s="2" t="str">
        <f>"0008400"</f>
        <v>0008400</v>
      </c>
      <c r="C4290" s="2" t="str">
        <f>"0008400"</f>
        <v>0008400</v>
      </c>
      <c r="D4290" s="2" t="s">
        <v>5355</v>
      </c>
      <c r="E4290" s="4">
        <v>14000</v>
      </c>
    </row>
    <row r="4291" spans="1:5">
      <c r="A4291" s="2" t="s">
        <v>296</v>
      </c>
      <c r="B4291" s="2" t="s">
        <v>5356</v>
      </c>
      <c r="C4291" s="2" t="s">
        <v>5356</v>
      </c>
      <c r="D4291" s="2" t="s">
        <v>5357</v>
      </c>
      <c r="E4291" s="4">
        <v>18900</v>
      </c>
    </row>
    <row r="4292" spans="1:5">
      <c r="A4292" s="2" t="s">
        <v>296</v>
      </c>
      <c r="B4292" s="2" t="s">
        <v>5358</v>
      </c>
      <c r="C4292" s="2" t="s">
        <v>5359</v>
      </c>
      <c r="D4292" s="2" t="s">
        <v>5360</v>
      </c>
      <c r="E4292" s="4">
        <v>49000</v>
      </c>
    </row>
    <row r="4293" spans="1:5">
      <c r="A4293" s="2" t="s">
        <v>296</v>
      </c>
      <c r="B4293" s="2" t="str">
        <f>"0002367"</f>
        <v>0002367</v>
      </c>
      <c r="C4293" s="2" t="str">
        <f>"0002367"</f>
        <v>0002367</v>
      </c>
      <c r="D4293" s="2" t="s">
        <v>5361</v>
      </c>
      <c r="E4293" s="4">
        <v>25000</v>
      </c>
    </row>
    <row r="4294" spans="1:5">
      <c r="A4294" s="2" t="s">
        <v>296</v>
      </c>
      <c r="B4294" s="2" t="str">
        <f>"0026523"</f>
        <v>0026523</v>
      </c>
      <c r="C4294" s="2" t="str">
        <f>"0026523"</f>
        <v>0026523</v>
      </c>
      <c r="D4294" s="2" t="s">
        <v>5362</v>
      </c>
      <c r="E4294" s="4">
        <v>29500</v>
      </c>
    </row>
    <row r="4295" spans="1:5">
      <c r="A4295" s="2" t="s">
        <v>296</v>
      </c>
      <c r="B4295" s="2" t="s">
        <v>5363</v>
      </c>
      <c r="C4295" s="2" t="s">
        <v>5363</v>
      </c>
      <c r="D4295" s="2" t="s">
        <v>5364</v>
      </c>
      <c r="E4295" s="4">
        <v>97000</v>
      </c>
    </row>
    <row r="4296" spans="1:5">
      <c r="A4296" s="2" t="s">
        <v>296</v>
      </c>
      <c r="B4296" s="2" t="str">
        <f>"0000730"</f>
        <v>0000730</v>
      </c>
      <c r="C4296" s="2" t="str">
        <f>"0000730"</f>
        <v>0000730</v>
      </c>
      <c r="D4296" s="2" t="s">
        <v>5365</v>
      </c>
      <c r="E4296" s="4">
        <v>52000</v>
      </c>
    </row>
    <row r="4297" spans="1:5">
      <c r="A4297" s="2" t="s">
        <v>296</v>
      </c>
      <c r="B4297" s="2" t="str">
        <f>"001293509-9"</f>
        <v>001293509-9</v>
      </c>
      <c r="C4297" s="2" t="str">
        <f>"001293509-9"</f>
        <v>001293509-9</v>
      </c>
      <c r="D4297" s="2" t="s">
        <v>5366</v>
      </c>
      <c r="E4297" s="4">
        <v>43000</v>
      </c>
    </row>
    <row r="4298" spans="1:5">
      <c r="A4298" s="2" t="s">
        <v>296</v>
      </c>
      <c r="B4298" s="2" t="str">
        <f>"001293738-5"</f>
        <v>001293738-5</v>
      </c>
      <c r="C4298" s="2" t="str">
        <f>"001293738-5"</f>
        <v>001293738-5</v>
      </c>
      <c r="D4298" s="2" t="s">
        <v>5367</v>
      </c>
      <c r="E4298" s="4">
        <v>88000</v>
      </c>
    </row>
    <row r="4299" spans="1:5">
      <c r="A4299" s="2" t="s">
        <v>296</v>
      </c>
      <c r="B4299" s="2" t="s">
        <v>5368</v>
      </c>
      <c r="C4299" s="2" t="s">
        <v>5368</v>
      </c>
      <c r="D4299" s="2" t="s">
        <v>5369</v>
      </c>
      <c r="E4299" s="4">
        <v>4300</v>
      </c>
    </row>
    <row r="4300" spans="1:5">
      <c r="A4300" s="2" t="s">
        <v>296</v>
      </c>
      <c r="B4300" s="2" t="str">
        <f>"001493366-2"</f>
        <v>001493366-2</v>
      </c>
      <c r="C4300" s="2" t="str">
        <f>"01493366-2"</f>
        <v>01493366-2</v>
      </c>
      <c r="D4300" s="2" t="s">
        <v>5370</v>
      </c>
      <c r="E4300" s="4">
        <v>10500</v>
      </c>
    </row>
    <row r="4301" spans="1:5">
      <c r="A4301" s="2" t="s">
        <v>1537</v>
      </c>
      <c r="B4301" s="2" t="str">
        <f>"001493370-0"</f>
        <v>001493370-0</v>
      </c>
      <c r="C4301" s="2" t="str">
        <f>"001493370-0"</f>
        <v>001493370-0</v>
      </c>
      <c r="D4301" s="2" t="s">
        <v>5370</v>
      </c>
      <c r="E4301" s="4">
        <v>10500</v>
      </c>
    </row>
    <row r="4302" spans="1:5">
      <c r="A4302" s="2" t="s">
        <v>296</v>
      </c>
      <c r="B4302" s="2" t="s">
        <v>5371</v>
      </c>
      <c r="C4302" s="2" t="s">
        <v>5371</v>
      </c>
      <c r="D4302" s="2" t="s">
        <v>5372</v>
      </c>
      <c r="E4302" s="4">
        <v>34000</v>
      </c>
    </row>
    <row r="4303" spans="1:5">
      <c r="A4303" s="2" t="s">
        <v>296</v>
      </c>
      <c r="B4303" s="2" t="str">
        <f>"090980570"</f>
        <v>090980570</v>
      </c>
      <c r="C4303" s="2" t="str">
        <f>"090980570"</f>
        <v>090980570</v>
      </c>
      <c r="D4303" s="2" t="s">
        <v>5373</v>
      </c>
      <c r="E4303" s="4">
        <v>8800</v>
      </c>
    </row>
    <row r="4304" spans="1:5">
      <c r="A4304" s="2" t="s">
        <v>296</v>
      </c>
      <c r="B4304" s="2" t="s">
        <v>5374</v>
      </c>
      <c r="C4304" s="2" t="s">
        <v>5374</v>
      </c>
      <c r="D4304" s="2" t="s">
        <v>5375</v>
      </c>
      <c r="E4304" s="4">
        <v>97000</v>
      </c>
    </row>
    <row r="4305" spans="1:5">
      <c r="A4305" s="2" t="s">
        <v>296</v>
      </c>
      <c r="B4305" s="2" t="str">
        <f>"090231046"</f>
        <v>090231046</v>
      </c>
      <c r="C4305" s="2" t="str">
        <f>"090231046"</f>
        <v>090231046</v>
      </c>
      <c r="D4305" s="2" t="s">
        <v>5376</v>
      </c>
      <c r="E4305" s="4">
        <v>39000</v>
      </c>
    </row>
    <row r="4306" spans="1:5">
      <c r="A4306" s="2" t="s">
        <v>296</v>
      </c>
      <c r="B4306" s="2" t="s">
        <v>5377</v>
      </c>
      <c r="C4306" s="2" t="s">
        <v>5377</v>
      </c>
      <c r="D4306" s="2" t="s">
        <v>5378</v>
      </c>
      <c r="E4306" s="4">
        <v>97000</v>
      </c>
    </row>
    <row r="4307" spans="1:5">
      <c r="A4307" s="2" t="s">
        <v>296</v>
      </c>
      <c r="B4307" s="2" t="str">
        <f>"0026396"</f>
        <v>0026396</v>
      </c>
      <c r="C4307" s="2" t="str">
        <f>"9951039"</f>
        <v>9951039</v>
      </c>
      <c r="D4307" s="2" t="s">
        <v>5379</v>
      </c>
      <c r="E4307" s="4">
        <v>34000</v>
      </c>
    </row>
    <row r="4308" spans="1:5">
      <c r="A4308" s="2" t="s">
        <v>296</v>
      </c>
      <c r="B4308" s="2" t="str">
        <f>"0000089"</f>
        <v>0000089</v>
      </c>
      <c r="C4308" s="2" t="str">
        <f>"0000089"</f>
        <v>0000089</v>
      </c>
      <c r="D4308" s="2" t="s">
        <v>5380</v>
      </c>
      <c r="E4308" s="4">
        <v>18000</v>
      </c>
    </row>
    <row r="4309" spans="1:5">
      <c r="A4309" s="2" t="s">
        <v>296</v>
      </c>
      <c r="B4309" s="2" t="s">
        <v>5381</v>
      </c>
      <c r="C4309" s="2" t="s">
        <v>5381</v>
      </c>
      <c r="D4309" s="2" t="s">
        <v>5382</v>
      </c>
      <c r="E4309" s="4">
        <v>34000</v>
      </c>
    </row>
    <row r="4310" spans="1:5">
      <c r="A4310" s="2" t="s">
        <v>296</v>
      </c>
      <c r="B4310" s="2" t="str">
        <f>"021600861"</f>
        <v>021600861</v>
      </c>
      <c r="C4310" s="2" t="str">
        <f>"021600861"</f>
        <v>021600861</v>
      </c>
      <c r="D4310" s="2" t="s">
        <v>5383</v>
      </c>
      <c r="E4310" s="4">
        <v>34000</v>
      </c>
    </row>
    <row r="4311" spans="1:5">
      <c r="A4311" s="2" t="s">
        <v>296</v>
      </c>
      <c r="B4311" s="2" t="s">
        <v>5384</v>
      </c>
      <c r="C4311" s="2" t="s">
        <v>5384</v>
      </c>
      <c r="D4311" s="2" t="s">
        <v>5385</v>
      </c>
      <c r="E4311" s="4">
        <v>34000</v>
      </c>
    </row>
    <row r="4312" spans="1:5">
      <c r="A4312" s="2" t="s">
        <v>296</v>
      </c>
      <c r="B4312" s="2" t="s">
        <v>5386</v>
      </c>
      <c r="C4312" s="2" t="str">
        <f>"2993652-8"</f>
        <v>2993652-8</v>
      </c>
      <c r="D4312" s="2" t="s">
        <v>5387</v>
      </c>
      <c r="E4312" s="4">
        <v>34000</v>
      </c>
    </row>
    <row r="4313" spans="1:5">
      <c r="A4313" s="2" t="s">
        <v>296</v>
      </c>
      <c r="B4313" s="2" t="str">
        <f>"0026397"</f>
        <v>0026397</v>
      </c>
      <c r="C4313" s="2" t="str">
        <f>"0026397"</f>
        <v>0026397</v>
      </c>
      <c r="D4313" s="2" t="s">
        <v>5388</v>
      </c>
      <c r="E4313" s="4">
        <v>34000</v>
      </c>
    </row>
    <row r="4314" spans="1:5">
      <c r="A4314" s="2" t="s">
        <v>296</v>
      </c>
      <c r="B4314" s="2" t="s">
        <v>5389</v>
      </c>
      <c r="C4314" s="2" t="s">
        <v>5389</v>
      </c>
      <c r="D4314" s="2" t="s">
        <v>5390</v>
      </c>
      <c r="E4314" s="4">
        <v>58000</v>
      </c>
    </row>
    <row r="4315" spans="1:5">
      <c r="A4315" s="2" t="s">
        <v>296</v>
      </c>
      <c r="B4315" s="2" t="s">
        <v>5391</v>
      </c>
      <c r="C4315" s="2" t="s">
        <v>5391</v>
      </c>
      <c r="D4315" s="2" t="s">
        <v>5392</v>
      </c>
      <c r="E4315" s="4">
        <v>8800</v>
      </c>
    </row>
    <row r="4316" spans="1:5">
      <c r="A4316" s="2" t="s">
        <v>296</v>
      </c>
      <c r="B4316" s="2" t="s">
        <v>5393</v>
      </c>
      <c r="C4316" s="2" t="s">
        <v>5393</v>
      </c>
      <c r="D4316" s="2" t="s">
        <v>5394</v>
      </c>
      <c r="E4316" s="4">
        <v>14200</v>
      </c>
    </row>
    <row r="4317" spans="1:5">
      <c r="A4317" s="2" t="s">
        <v>296</v>
      </c>
      <c r="B4317" s="2" t="s">
        <v>5395</v>
      </c>
      <c r="C4317" s="2" t="s">
        <v>5395</v>
      </c>
      <c r="D4317" s="2" t="s">
        <v>5396</v>
      </c>
      <c r="E4317" s="4">
        <v>9700</v>
      </c>
    </row>
    <row r="4318" spans="1:5">
      <c r="A4318" s="2" t="s">
        <v>1537</v>
      </c>
      <c r="B4318" s="2" t="s">
        <v>5397</v>
      </c>
      <c r="C4318" s="2" t="s">
        <v>5397</v>
      </c>
      <c r="D4318" s="2" t="s">
        <v>5398</v>
      </c>
      <c r="E4318" s="4">
        <v>9700</v>
      </c>
    </row>
    <row r="4319" spans="1:5">
      <c r="A4319" s="2" t="s">
        <v>296</v>
      </c>
      <c r="B4319" s="2" t="str">
        <f>"021600255"</f>
        <v>021600255</v>
      </c>
      <c r="C4319" s="2" t="str">
        <f>"021600255"</f>
        <v>021600255</v>
      </c>
      <c r="D4319" s="2" t="s">
        <v>5399</v>
      </c>
      <c r="E4319" s="4">
        <v>43000</v>
      </c>
    </row>
    <row r="4320" spans="1:5">
      <c r="A4320" s="2" t="s">
        <v>296</v>
      </c>
      <c r="B4320" s="2" t="str">
        <f>"0145343"</f>
        <v>0145343</v>
      </c>
      <c r="C4320" s="2" t="str">
        <f>"0145343"</f>
        <v>0145343</v>
      </c>
      <c r="D4320" s="2" t="s">
        <v>5400</v>
      </c>
      <c r="E4320" s="4">
        <v>3800</v>
      </c>
    </row>
    <row r="4321" spans="1:5">
      <c r="A4321" s="2" t="s">
        <v>296</v>
      </c>
      <c r="B4321" s="2" t="str">
        <f>"0145443"</f>
        <v>0145443</v>
      </c>
      <c r="C4321" s="2" t="str">
        <f>"0145443"</f>
        <v>0145443</v>
      </c>
      <c r="D4321" s="2" t="s">
        <v>5401</v>
      </c>
      <c r="E4321" s="4">
        <v>3400</v>
      </c>
    </row>
    <row r="4322" spans="1:5">
      <c r="A4322" s="2" t="s">
        <v>296</v>
      </c>
      <c r="B4322" s="2" t="s">
        <v>5402</v>
      </c>
      <c r="C4322" s="2" t="str">
        <f>"0110837"</f>
        <v>0110837</v>
      </c>
      <c r="D4322" s="2" t="s">
        <v>5403</v>
      </c>
      <c r="E4322" s="4">
        <v>6100</v>
      </c>
    </row>
    <row r="4323" spans="1:5">
      <c r="A4323" s="2" t="s">
        <v>296</v>
      </c>
      <c r="B4323" s="2" t="str">
        <f>"0110847"</f>
        <v>0110847</v>
      </c>
      <c r="C4323" s="2" t="str">
        <f>"0110847"</f>
        <v>0110847</v>
      </c>
      <c r="D4323" s="2" t="s">
        <v>5404</v>
      </c>
      <c r="E4323" s="4">
        <v>8800</v>
      </c>
    </row>
    <row r="4324" spans="1:5">
      <c r="A4324" s="2" t="s">
        <v>296</v>
      </c>
      <c r="B4324" s="2" t="str">
        <f>"000433525-2"</f>
        <v>000433525-2</v>
      </c>
      <c r="C4324" s="2" t="str">
        <f>"433552-2"</f>
        <v>433552-2</v>
      </c>
      <c r="D4324" s="2" t="s">
        <v>5405</v>
      </c>
      <c r="E4324" s="4">
        <v>10600</v>
      </c>
    </row>
    <row r="4325" spans="1:5">
      <c r="A4325" s="2" t="s">
        <v>296</v>
      </c>
      <c r="B4325" s="2" t="str">
        <f>"039"</f>
        <v>039</v>
      </c>
      <c r="C4325" s="2" t="str">
        <f>"039"</f>
        <v>039</v>
      </c>
      <c r="D4325" s="2" t="s">
        <v>5406</v>
      </c>
      <c r="E4325" s="4">
        <v>2500</v>
      </c>
    </row>
    <row r="4326" spans="1:5">
      <c r="A4326" s="2" t="s">
        <v>296</v>
      </c>
      <c r="B4326" s="2" t="str">
        <f>"000403298-5"</f>
        <v>000403298-5</v>
      </c>
      <c r="C4326" s="2" t="str">
        <f>"000403298-5"</f>
        <v>000403298-5</v>
      </c>
      <c r="D4326" s="2" t="s">
        <v>5407</v>
      </c>
      <c r="E4326" s="4">
        <v>7000</v>
      </c>
    </row>
    <row r="4327" spans="1:5">
      <c r="A4327" s="2" t="s">
        <v>296</v>
      </c>
      <c r="B4327" s="2" t="str">
        <f>"000403299-3"</f>
        <v>000403299-3</v>
      </c>
      <c r="C4327" s="2" t="str">
        <f>"403299-3"</f>
        <v>403299-3</v>
      </c>
      <c r="D4327" s="2" t="s">
        <v>5408</v>
      </c>
      <c r="E4327" s="4">
        <v>7000</v>
      </c>
    </row>
    <row r="4328" spans="1:5">
      <c r="A4328" s="2" t="s">
        <v>296</v>
      </c>
      <c r="B4328" s="2" t="str">
        <f>"0016304"</f>
        <v>0016304</v>
      </c>
      <c r="C4328" s="2" t="str">
        <f>"0016304"</f>
        <v>0016304</v>
      </c>
      <c r="D4328" s="2" t="s">
        <v>5409</v>
      </c>
      <c r="E4328" s="4">
        <v>3400</v>
      </c>
    </row>
    <row r="4329" spans="1:5">
      <c r="A4329" s="2" t="s">
        <v>296</v>
      </c>
      <c r="B4329" s="2" t="str">
        <f>"0171563"</f>
        <v>0171563</v>
      </c>
      <c r="C4329" s="2" t="str">
        <f>"0171563"</f>
        <v>0171563</v>
      </c>
      <c r="D4329" s="2" t="s">
        <v>5410</v>
      </c>
      <c r="E4329" s="4">
        <v>2900</v>
      </c>
    </row>
    <row r="4330" spans="1:5">
      <c r="A4330" s="2" t="s">
        <v>296</v>
      </c>
      <c r="B4330" s="2" t="str">
        <f>"0157887"</f>
        <v>0157887</v>
      </c>
      <c r="C4330" s="2" t="str">
        <f>"0157887"</f>
        <v>0157887</v>
      </c>
      <c r="D4330" s="2" t="s">
        <v>5411</v>
      </c>
      <c r="E4330" s="4">
        <v>3400</v>
      </c>
    </row>
    <row r="4331" spans="1:5">
      <c r="A4331" s="2" t="s">
        <v>296</v>
      </c>
      <c r="B4331" s="2" t="str">
        <f>"090600086"</f>
        <v>090600086</v>
      </c>
      <c r="C4331" s="2" t="str">
        <f>"090600086"</f>
        <v>090600086</v>
      </c>
      <c r="D4331" s="2" t="s">
        <v>5411</v>
      </c>
      <c r="E4331" s="4">
        <v>3900</v>
      </c>
    </row>
    <row r="4332" spans="1:5">
      <c r="A4332" s="2" t="s">
        <v>296</v>
      </c>
      <c r="B4332" s="2" t="str">
        <f>"0155607"</f>
        <v>0155607</v>
      </c>
      <c r="C4332" s="2" t="str">
        <f>"0155607"</f>
        <v>0155607</v>
      </c>
      <c r="D4332" s="2" t="s">
        <v>5412</v>
      </c>
      <c r="E4332" s="4">
        <v>3800</v>
      </c>
    </row>
    <row r="4333" spans="1:5">
      <c r="A4333" s="2" t="s">
        <v>1537</v>
      </c>
      <c r="B4333" s="2" t="str">
        <f>"0156887"</f>
        <v>0156887</v>
      </c>
      <c r="C4333" s="2" t="str">
        <f>"0156887"</f>
        <v>0156887</v>
      </c>
      <c r="D4333" s="2" t="s">
        <v>5413</v>
      </c>
      <c r="E4333" s="4">
        <v>9700</v>
      </c>
    </row>
    <row r="4334" spans="1:5">
      <c r="A4334" s="2" t="s">
        <v>296</v>
      </c>
      <c r="B4334" s="2" t="str">
        <f>"090600081"</f>
        <v>090600081</v>
      </c>
      <c r="C4334" s="2" t="s">
        <v>5414</v>
      </c>
      <c r="D4334" s="2" t="s">
        <v>5415</v>
      </c>
      <c r="E4334" s="4">
        <v>3900</v>
      </c>
    </row>
    <row r="4335" spans="1:5">
      <c r="A4335" s="2" t="s">
        <v>1537</v>
      </c>
      <c r="B4335" s="2" t="str">
        <f>"0157987"</f>
        <v>0157987</v>
      </c>
      <c r="C4335" s="2" t="str">
        <f>"0157987"</f>
        <v>0157987</v>
      </c>
      <c r="D4335" s="2" t="s">
        <v>5416</v>
      </c>
      <c r="E4335" s="4">
        <v>3400</v>
      </c>
    </row>
    <row r="4336" spans="1:5">
      <c r="A4336" s="2" t="s">
        <v>296</v>
      </c>
      <c r="B4336" s="2" t="str">
        <f>"0016306"</f>
        <v>0016306</v>
      </c>
      <c r="C4336" s="2" t="str">
        <f>"0016306"</f>
        <v>0016306</v>
      </c>
      <c r="D4336" s="2" t="s">
        <v>5417</v>
      </c>
      <c r="E4336" s="4">
        <v>9700</v>
      </c>
    </row>
    <row r="4337" spans="1:5">
      <c r="A4337" s="2" t="s">
        <v>296</v>
      </c>
      <c r="B4337" s="2" t="str">
        <f>"000433550-3"</f>
        <v>000433550-3</v>
      </c>
      <c r="C4337" s="2" t="str">
        <f>"433550-3"</f>
        <v>433550-3</v>
      </c>
      <c r="D4337" s="2" t="s">
        <v>5418</v>
      </c>
      <c r="E4337" s="4">
        <v>25000</v>
      </c>
    </row>
    <row r="4338" spans="1:5">
      <c r="A4338" s="2" t="s">
        <v>296</v>
      </c>
      <c r="B4338" s="2" t="str">
        <f>"0015063"</f>
        <v>0015063</v>
      </c>
      <c r="C4338" s="2" t="str">
        <f>"0015063"</f>
        <v>0015063</v>
      </c>
      <c r="D4338" s="2" t="s">
        <v>5419</v>
      </c>
      <c r="E4338" s="4">
        <v>39000</v>
      </c>
    </row>
    <row r="4339" spans="1:5">
      <c r="A4339" s="2" t="s">
        <v>296</v>
      </c>
      <c r="B4339" s="2" t="str">
        <f>"021600439"</f>
        <v>021600439</v>
      </c>
      <c r="C4339" s="2" t="str">
        <f>"021600439"</f>
        <v>021600439</v>
      </c>
      <c r="D4339" s="2" t="s">
        <v>5420</v>
      </c>
      <c r="E4339" s="4">
        <v>25000</v>
      </c>
    </row>
    <row r="4340" spans="1:5">
      <c r="A4340" s="2" t="s">
        <v>296</v>
      </c>
      <c r="B4340" s="2" t="str">
        <f>"021600438"</f>
        <v>021600438</v>
      </c>
      <c r="C4340" s="2" t="str">
        <f>"021600438"</f>
        <v>021600438</v>
      </c>
      <c r="D4340" s="2" t="s">
        <v>5421</v>
      </c>
      <c r="E4340" s="4">
        <v>25000</v>
      </c>
    </row>
    <row r="4341" spans="1:5">
      <c r="A4341" s="2" t="s">
        <v>296</v>
      </c>
      <c r="B4341" s="2" t="str">
        <f>"020601543"</f>
        <v>020601543</v>
      </c>
      <c r="C4341" s="2" t="str">
        <f>"020601543"</f>
        <v>020601543</v>
      </c>
      <c r="D4341" s="2" t="s">
        <v>5422</v>
      </c>
      <c r="E4341" s="4">
        <v>34000</v>
      </c>
    </row>
    <row r="4342" spans="1:5">
      <c r="A4342" s="2" t="s">
        <v>296</v>
      </c>
      <c r="B4342" s="2" t="str">
        <f>"020601542"</f>
        <v>020601542</v>
      </c>
      <c r="C4342" s="2" t="str">
        <f>"020601542"</f>
        <v>020601542</v>
      </c>
      <c r="D4342" s="2" t="s">
        <v>5423</v>
      </c>
      <c r="E4342" s="4">
        <v>34000</v>
      </c>
    </row>
    <row r="4343" spans="1:5">
      <c r="A4343" s="2" t="s">
        <v>296</v>
      </c>
      <c r="B4343" s="2" t="s">
        <v>5424</v>
      </c>
      <c r="C4343" s="2" t="s">
        <v>5424</v>
      </c>
      <c r="D4343" s="2" t="s">
        <v>5425</v>
      </c>
      <c r="E4343" s="4">
        <v>38500</v>
      </c>
    </row>
    <row r="4344" spans="1:5">
      <c r="A4344" s="2" t="s">
        <v>296</v>
      </c>
      <c r="B4344" s="2" t="s">
        <v>5426</v>
      </c>
      <c r="C4344" s="2" t="s">
        <v>5426</v>
      </c>
      <c r="D4344" s="2" t="s">
        <v>5427</v>
      </c>
      <c r="E4344" s="4">
        <v>38500</v>
      </c>
    </row>
    <row r="4345" spans="1:5">
      <c r="A4345" s="2" t="s">
        <v>296</v>
      </c>
      <c r="B4345" s="2" t="str">
        <f>"9952383"</f>
        <v>9952383</v>
      </c>
      <c r="C4345" s="2" t="str">
        <f>"9952383"</f>
        <v>9952383</v>
      </c>
      <c r="D4345" s="2" t="s">
        <v>5428</v>
      </c>
      <c r="E4345" s="4">
        <v>38500</v>
      </c>
    </row>
    <row r="4346" spans="1:5">
      <c r="A4346" s="2" t="s">
        <v>296</v>
      </c>
      <c r="B4346" s="2" t="s">
        <v>5429</v>
      </c>
      <c r="C4346" s="2" t="s">
        <v>5429</v>
      </c>
      <c r="D4346" s="2" t="s">
        <v>5430</v>
      </c>
      <c r="E4346" s="4">
        <v>38500</v>
      </c>
    </row>
    <row r="4347" spans="1:5">
      <c r="A4347" s="2" t="s">
        <v>296</v>
      </c>
      <c r="B4347" s="2" t="str">
        <f>"0015062"</f>
        <v>0015062</v>
      </c>
      <c r="C4347" s="2" t="str">
        <f>"0015062"</f>
        <v>0015062</v>
      </c>
      <c r="D4347" s="2" t="s">
        <v>5430</v>
      </c>
      <c r="E4347" s="4">
        <v>61000</v>
      </c>
    </row>
    <row r="4348" spans="1:5">
      <c r="A4348" s="2" t="s">
        <v>296</v>
      </c>
      <c r="B4348" s="2" t="s">
        <v>5431</v>
      </c>
      <c r="C4348" s="2" t="s">
        <v>5431</v>
      </c>
      <c r="D4348" s="2" t="s">
        <v>5432</v>
      </c>
      <c r="E4348" s="4">
        <v>38500</v>
      </c>
    </row>
    <row r="4349" spans="1:5">
      <c r="A4349" s="2" t="s">
        <v>296</v>
      </c>
      <c r="B4349" s="2" t="s">
        <v>5433</v>
      </c>
      <c r="C4349" s="2" t="s">
        <v>5433</v>
      </c>
      <c r="D4349" s="2" t="s">
        <v>5434</v>
      </c>
      <c r="E4349" s="4">
        <v>52000</v>
      </c>
    </row>
    <row r="4350" spans="1:5">
      <c r="A4350" s="2" t="s">
        <v>296</v>
      </c>
      <c r="B4350" s="2" t="str">
        <f>"0106063"</f>
        <v>0106063</v>
      </c>
      <c r="C4350" s="2" t="str">
        <f>"0106063"</f>
        <v>0106063</v>
      </c>
      <c r="D4350" s="2" t="s">
        <v>5435</v>
      </c>
      <c r="E4350" s="4">
        <v>43000</v>
      </c>
    </row>
    <row r="4351" spans="1:5">
      <c r="A4351" s="2" t="s">
        <v>296</v>
      </c>
      <c r="B4351" s="2" t="str">
        <f>"0103863"</f>
        <v>0103863</v>
      </c>
      <c r="C4351" s="2" t="str">
        <f>"0103863"</f>
        <v>0103863</v>
      </c>
      <c r="D4351" s="2" t="s">
        <v>5436</v>
      </c>
      <c r="E4351" s="4">
        <v>5500</v>
      </c>
    </row>
    <row r="4352" spans="1:5">
      <c r="A4352" s="2" t="s">
        <v>296</v>
      </c>
      <c r="B4352" s="2" t="str">
        <f>"0106113"</f>
        <v>0106113</v>
      </c>
      <c r="C4352" s="2" t="str">
        <f>"0106113"</f>
        <v>0106113</v>
      </c>
      <c r="D4352" s="2" t="s">
        <v>5437</v>
      </c>
      <c r="E4352" s="4">
        <v>49800</v>
      </c>
    </row>
    <row r="4353" spans="1:5">
      <c r="A4353" s="2" t="s">
        <v>296</v>
      </c>
      <c r="B4353" s="2" t="str">
        <f>"000432300-9"</f>
        <v>000432300-9</v>
      </c>
      <c r="C4353" s="2" t="str">
        <f>"000432300-9"</f>
        <v>000432300-9</v>
      </c>
      <c r="D4353" s="2" t="s">
        <v>5438</v>
      </c>
      <c r="E4353" s="4">
        <v>9500</v>
      </c>
    </row>
    <row r="4354" spans="1:5">
      <c r="A4354" s="2" t="s">
        <v>296</v>
      </c>
      <c r="B4354" s="2" t="str">
        <f>"000433601-1"</f>
        <v>000433601-1</v>
      </c>
      <c r="C4354" s="2" t="str">
        <f>"000433601"</f>
        <v>000433601</v>
      </c>
      <c r="D4354" s="2" t="s">
        <v>5439</v>
      </c>
      <c r="E4354" s="4">
        <v>9500</v>
      </c>
    </row>
    <row r="4355" spans="1:5">
      <c r="A4355" s="2" t="s">
        <v>296</v>
      </c>
      <c r="B4355" s="2" t="str">
        <f>"0600383"</f>
        <v>0600383</v>
      </c>
      <c r="C4355" s="2" t="str">
        <f>"0600383"</f>
        <v>0600383</v>
      </c>
      <c r="D4355" s="2" t="s">
        <v>5440</v>
      </c>
      <c r="E4355" s="4">
        <v>3400</v>
      </c>
    </row>
    <row r="4356" spans="1:5">
      <c r="A4356" s="2" t="s">
        <v>296</v>
      </c>
      <c r="B4356" s="2" t="str">
        <f>"0600373"</f>
        <v>0600373</v>
      </c>
      <c r="C4356" s="2" t="str">
        <f>"0600373"</f>
        <v>0600373</v>
      </c>
      <c r="D4356" s="2" t="s">
        <v>5441</v>
      </c>
      <c r="E4356" s="4">
        <v>3400</v>
      </c>
    </row>
    <row r="4357" spans="1:5">
      <c r="A4357" s="2" t="s">
        <v>296</v>
      </c>
      <c r="B4357" s="2" t="str">
        <f>"090600193"</f>
        <v>090600193</v>
      </c>
      <c r="C4357" s="2" t="str">
        <f>"090600193"</f>
        <v>090600193</v>
      </c>
      <c r="D4357" s="2" t="s">
        <v>5442</v>
      </c>
      <c r="E4357" s="4">
        <v>19600</v>
      </c>
    </row>
    <row r="4358" spans="1:5">
      <c r="A4358" s="2" t="s">
        <v>296</v>
      </c>
      <c r="B4358" s="2" t="str">
        <f>"018398"</f>
        <v>018398</v>
      </c>
      <c r="C4358" s="2" t="str">
        <f>"018398"</f>
        <v>018398</v>
      </c>
      <c r="D4358" s="2" t="s">
        <v>5443</v>
      </c>
      <c r="E4358" s="4">
        <v>17500</v>
      </c>
    </row>
    <row r="4359" spans="1:5">
      <c r="A4359" s="2" t="s">
        <v>296</v>
      </c>
      <c r="B4359" s="2" t="str">
        <f>"090600194"</f>
        <v>090600194</v>
      </c>
      <c r="C4359" s="2" t="str">
        <f>"090600194"</f>
        <v>090600194</v>
      </c>
      <c r="D4359" s="2" t="s">
        <v>5444</v>
      </c>
      <c r="E4359" s="4">
        <v>19600</v>
      </c>
    </row>
    <row r="4360" spans="1:5">
      <c r="A4360" s="2" t="s">
        <v>296</v>
      </c>
      <c r="B4360" s="2" t="str">
        <f>"0011986"</f>
        <v>0011986</v>
      </c>
      <c r="C4360" s="2" t="str">
        <f>"0011986"</f>
        <v>0011986</v>
      </c>
      <c r="D4360" s="2" t="s">
        <v>5445</v>
      </c>
      <c r="E4360" s="4">
        <v>43000</v>
      </c>
    </row>
    <row r="4361" spans="1:5">
      <c r="A4361" s="2" t="s">
        <v>296</v>
      </c>
      <c r="B4361" s="2" t="s">
        <v>5446</v>
      </c>
      <c r="C4361" s="2" t="s">
        <v>5446</v>
      </c>
      <c r="D4361" s="2" t="s">
        <v>5447</v>
      </c>
      <c r="E4361" s="4">
        <v>38500</v>
      </c>
    </row>
    <row r="4362" spans="1:5">
      <c r="A4362" s="2" t="s">
        <v>296</v>
      </c>
      <c r="B4362" s="2" t="s">
        <v>5448</v>
      </c>
      <c r="C4362" s="2" t="s">
        <v>5448</v>
      </c>
      <c r="D4362" s="2" t="s">
        <v>5449</v>
      </c>
      <c r="E4362" s="4">
        <v>38500</v>
      </c>
    </row>
    <row r="4363" spans="1:5">
      <c r="A4363" s="2" t="s">
        <v>296</v>
      </c>
      <c r="B4363" s="2" t="str">
        <f>"000435594-6"</f>
        <v>000435594-6</v>
      </c>
      <c r="C4363" s="2" t="str">
        <f>"000435594-6"</f>
        <v>000435594-6</v>
      </c>
      <c r="D4363" s="2" t="s">
        <v>5450</v>
      </c>
      <c r="E4363" s="4">
        <v>59000</v>
      </c>
    </row>
    <row r="4364" spans="1:5">
      <c r="A4364" s="2" t="s">
        <v>296</v>
      </c>
      <c r="B4364" s="2" t="str">
        <f>"0011987"</f>
        <v>0011987</v>
      </c>
      <c r="C4364" s="2" t="str">
        <f>"0011987"</f>
        <v>0011987</v>
      </c>
      <c r="D4364" s="2" t="s">
        <v>5451</v>
      </c>
      <c r="E4364" s="4">
        <v>38500</v>
      </c>
    </row>
    <row r="4365" spans="1:5">
      <c r="A4365" s="2" t="s">
        <v>296</v>
      </c>
      <c r="B4365" s="2" t="str">
        <f>"000435596-2"</f>
        <v>000435596-2</v>
      </c>
      <c r="C4365" s="2" t="str">
        <f>"000435596-2"</f>
        <v>000435596-2</v>
      </c>
      <c r="D4365" s="2" t="s">
        <v>5452</v>
      </c>
      <c r="E4365" s="4">
        <v>59000</v>
      </c>
    </row>
    <row r="4366" spans="1:5">
      <c r="A4366" s="2" t="s">
        <v>296</v>
      </c>
      <c r="B4366" s="2" t="str">
        <f>"013070268"</f>
        <v>013070268</v>
      </c>
      <c r="C4366" s="2" t="str">
        <f>"013070268"</f>
        <v>013070268</v>
      </c>
      <c r="D4366" s="2" t="s">
        <v>5453</v>
      </c>
      <c r="E4366" s="4">
        <v>3500</v>
      </c>
    </row>
    <row r="4367" spans="1:5">
      <c r="A4367" s="2" t="s">
        <v>296</v>
      </c>
      <c r="B4367" s="2" t="str">
        <f>"0100990"</f>
        <v>0100990</v>
      </c>
      <c r="C4367" s="2" t="str">
        <f>"0100990"</f>
        <v>0100990</v>
      </c>
      <c r="D4367" s="2" t="s">
        <v>5454</v>
      </c>
      <c r="E4367" s="4">
        <v>6500</v>
      </c>
    </row>
    <row r="4368" spans="1:5">
      <c r="A4368" s="2" t="s">
        <v>296</v>
      </c>
      <c r="B4368" s="2" t="str">
        <f>"161306R"</f>
        <v>161306R</v>
      </c>
      <c r="C4368" s="2" t="str">
        <f>"161306R"</f>
        <v>161306R</v>
      </c>
      <c r="D4368" s="2" t="s">
        <v>5455</v>
      </c>
      <c r="E4368" s="4">
        <v>6500</v>
      </c>
    </row>
    <row r="4369" spans="1:5">
      <c r="A4369" s="2" t="s">
        <v>296</v>
      </c>
      <c r="B4369" s="2" t="str">
        <f>"090600092"</f>
        <v>090600092</v>
      </c>
      <c r="C4369" s="2" t="str">
        <f>"090600092"</f>
        <v>090600092</v>
      </c>
      <c r="D4369" s="2" t="s">
        <v>5456</v>
      </c>
      <c r="E4369" s="4">
        <v>9700</v>
      </c>
    </row>
    <row r="4370" spans="1:5">
      <c r="A4370" s="2" t="s">
        <v>296</v>
      </c>
      <c r="B4370" s="2" t="str">
        <f>"0121500"</f>
        <v>0121500</v>
      </c>
      <c r="C4370" s="2" t="str">
        <f>"0121500"</f>
        <v>0121500</v>
      </c>
      <c r="D4370" s="2" t="s">
        <v>5457</v>
      </c>
      <c r="E4370" s="4">
        <v>11500</v>
      </c>
    </row>
    <row r="4371" spans="1:5">
      <c r="A4371" s="2" t="s">
        <v>296</v>
      </c>
      <c r="B4371" s="2" t="str">
        <f>"0121480"</f>
        <v>0121480</v>
      </c>
      <c r="C4371" s="2" t="str">
        <f>"0121480"</f>
        <v>0121480</v>
      </c>
      <c r="D4371" s="2" t="s">
        <v>5458</v>
      </c>
      <c r="E4371" s="4">
        <v>11500</v>
      </c>
    </row>
    <row r="4372" spans="1:5">
      <c r="A4372" s="2" t="s">
        <v>296</v>
      </c>
      <c r="B4372" s="2" t="str">
        <f>"9952362"</f>
        <v>9952362</v>
      </c>
      <c r="C4372" s="2" t="str">
        <f>"9952362"</f>
        <v>9952362</v>
      </c>
      <c r="D4372" s="2" t="s">
        <v>5459</v>
      </c>
      <c r="E4372" s="4">
        <v>14000</v>
      </c>
    </row>
    <row r="4373" spans="1:5">
      <c r="A4373" s="2" t="s">
        <v>1537</v>
      </c>
      <c r="B4373" s="2" t="str">
        <f>"0110040"</f>
        <v>0110040</v>
      </c>
      <c r="C4373" s="2" t="str">
        <f>"0110040"</f>
        <v>0110040</v>
      </c>
      <c r="D4373" s="2" t="s">
        <v>5460</v>
      </c>
      <c r="E4373" s="4">
        <v>3400</v>
      </c>
    </row>
    <row r="4374" spans="1:5">
      <c r="A4374" s="2" t="s">
        <v>296</v>
      </c>
      <c r="B4374" s="2" t="str">
        <f>"000435552-0"</f>
        <v>000435552-0</v>
      </c>
      <c r="C4374" s="2" t="str">
        <f>"9952363"</f>
        <v>9952363</v>
      </c>
      <c r="D4374" s="2" t="s">
        <v>5461</v>
      </c>
      <c r="E4374" s="4">
        <v>16000</v>
      </c>
    </row>
    <row r="4375" spans="1:5">
      <c r="A4375" s="2" t="s">
        <v>296</v>
      </c>
      <c r="B4375" s="2" t="s">
        <v>5462</v>
      </c>
      <c r="C4375" s="2" t="s">
        <v>5462</v>
      </c>
      <c r="D4375" s="2" t="s">
        <v>5461</v>
      </c>
      <c r="E4375" s="4">
        <v>9700</v>
      </c>
    </row>
    <row r="4376" spans="1:5">
      <c r="A4376" s="2" t="s">
        <v>296</v>
      </c>
      <c r="B4376" s="2" t="s">
        <v>5463</v>
      </c>
      <c r="C4376" s="2" t="str">
        <f>"230711"</f>
        <v>230711</v>
      </c>
      <c r="D4376" s="2" t="s">
        <v>5464</v>
      </c>
      <c r="E4376" s="4">
        <v>16000</v>
      </c>
    </row>
    <row r="4377" spans="1:5">
      <c r="A4377" s="2" t="s">
        <v>1537</v>
      </c>
      <c r="B4377" s="2" t="str">
        <f>"000432016-6"</f>
        <v>000432016-6</v>
      </c>
      <c r="C4377" s="2" t="str">
        <f>"432016-6"</f>
        <v>432016-6</v>
      </c>
      <c r="D4377" s="2" t="s">
        <v>5465</v>
      </c>
      <c r="E4377" s="4">
        <v>16000</v>
      </c>
    </row>
    <row r="4378" spans="1:5">
      <c r="A4378" s="2" t="s">
        <v>296</v>
      </c>
      <c r="B4378" s="2" t="s">
        <v>5466</v>
      </c>
      <c r="C4378" s="2" t="s">
        <v>5466</v>
      </c>
      <c r="D4378" s="2" t="s">
        <v>5467</v>
      </c>
      <c r="E4378" s="4">
        <v>25000</v>
      </c>
    </row>
    <row r="4379" spans="1:5">
      <c r="A4379" s="2" t="s">
        <v>296</v>
      </c>
      <c r="B4379" s="2" t="str">
        <f>"090600461"</f>
        <v>090600461</v>
      </c>
      <c r="C4379" s="2" t="str">
        <f>"090600461"</f>
        <v>090600461</v>
      </c>
      <c r="D4379" s="2" t="s">
        <v>5468</v>
      </c>
      <c r="E4379" s="4">
        <v>3400</v>
      </c>
    </row>
    <row r="4380" spans="1:5">
      <c r="A4380" s="2" t="s">
        <v>296</v>
      </c>
      <c r="B4380" s="2" t="str">
        <f>"090600460"</f>
        <v>090600460</v>
      </c>
      <c r="C4380" s="2" t="str">
        <f>"090600460"</f>
        <v>090600460</v>
      </c>
      <c r="D4380" s="2" t="s">
        <v>5469</v>
      </c>
      <c r="E4380" s="4">
        <v>6100</v>
      </c>
    </row>
    <row r="4381" spans="1:5">
      <c r="A4381" s="2" t="s">
        <v>296</v>
      </c>
      <c r="B4381" s="2" t="s">
        <v>5470</v>
      </c>
      <c r="C4381" s="2" t="s">
        <v>5470</v>
      </c>
      <c r="D4381" s="2" t="s">
        <v>5471</v>
      </c>
      <c r="E4381" s="4">
        <v>5200</v>
      </c>
    </row>
    <row r="4382" spans="1:5">
      <c r="A4382" s="2" t="s">
        <v>296</v>
      </c>
      <c r="B4382" s="2" t="str">
        <f>"090600091"</f>
        <v>090600091</v>
      </c>
      <c r="C4382" s="2" t="str">
        <f>"090600091"</f>
        <v>090600091</v>
      </c>
      <c r="D4382" s="2" t="s">
        <v>5472</v>
      </c>
      <c r="E4382" s="4">
        <v>9700</v>
      </c>
    </row>
    <row r="4383" spans="1:5">
      <c r="A4383" s="2" t="s">
        <v>296</v>
      </c>
      <c r="B4383" s="2" t="str">
        <f>"090600990"</f>
        <v>090600990</v>
      </c>
      <c r="C4383" s="2" t="str">
        <f>"090600990"</f>
        <v>090600990</v>
      </c>
      <c r="D4383" s="2" t="s">
        <v>5473</v>
      </c>
      <c r="E4383" s="4">
        <v>11500</v>
      </c>
    </row>
    <row r="4384" spans="1:5">
      <c r="A4384" s="2" t="s">
        <v>296</v>
      </c>
      <c r="B4384" s="2" t="str">
        <f>"090600094"</f>
        <v>090600094</v>
      </c>
      <c r="C4384" s="2" t="str">
        <f>"090600094"</f>
        <v>090600094</v>
      </c>
      <c r="D4384" s="2" t="s">
        <v>5474</v>
      </c>
      <c r="E4384" s="4">
        <v>12400</v>
      </c>
    </row>
    <row r="4385" spans="1:5">
      <c r="A4385" s="2" t="s">
        <v>296</v>
      </c>
      <c r="B4385" s="2" t="str">
        <f>"090600991"</f>
        <v>090600991</v>
      </c>
      <c r="C4385" s="2" t="str">
        <f>"090600991"</f>
        <v>090600991</v>
      </c>
      <c r="D4385" s="2" t="s">
        <v>5475</v>
      </c>
      <c r="E4385" s="4">
        <v>11500</v>
      </c>
    </row>
    <row r="4386" spans="1:5">
      <c r="A4386" s="2" t="s">
        <v>296</v>
      </c>
      <c r="B4386" s="2" t="str">
        <f>"090600093"</f>
        <v>090600093</v>
      </c>
      <c r="C4386" s="2" t="str">
        <f>"090600093"</f>
        <v>090600093</v>
      </c>
      <c r="D4386" s="2" t="s">
        <v>5476</v>
      </c>
      <c r="E4386" s="4">
        <v>19600</v>
      </c>
    </row>
    <row r="4387" spans="1:5">
      <c r="A4387" s="2" t="s">
        <v>296</v>
      </c>
      <c r="B4387" s="2" t="str">
        <f>"76870"</f>
        <v>76870</v>
      </c>
      <c r="C4387" s="2" t="str">
        <f>"76870"</f>
        <v>76870</v>
      </c>
      <c r="D4387" s="2" t="s">
        <v>5477</v>
      </c>
      <c r="E4387" s="4">
        <v>27000</v>
      </c>
    </row>
    <row r="4388" spans="1:5">
      <c r="A4388" s="2" t="s">
        <v>296</v>
      </c>
      <c r="B4388" s="2" t="s">
        <v>5478</v>
      </c>
      <c r="C4388" s="2" t="s">
        <v>5478</v>
      </c>
      <c r="D4388" s="2" t="s">
        <v>5479</v>
      </c>
      <c r="E4388" s="4">
        <v>30000</v>
      </c>
    </row>
    <row r="4389" spans="1:5">
      <c r="A4389" s="2" t="s">
        <v>296</v>
      </c>
      <c r="B4389" s="2" t="str">
        <f>"0025161"</f>
        <v>0025161</v>
      </c>
      <c r="C4389" s="2" t="str">
        <f>"0025161"</f>
        <v>0025161</v>
      </c>
      <c r="D4389" s="2" t="s">
        <v>5480</v>
      </c>
      <c r="E4389" s="4">
        <v>34000</v>
      </c>
    </row>
    <row r="4390" spans="1:5">
      <c r="A4390" s="2" t="s">
        <v>1537</v>
      </c>
      <c r="B4390" s="2" t="s">
        <v>5481</v>
      </c>
      <c r="C4390" s="2" t="s">
        <v>5481</v>
      </c>
      <c r="D4390" s="2" t="s">
        <v>5482</v>
      </c>
      <c r="E4390" s="2">
        <v>0</v>
      </c>
    </row>
    <row r="4391" spans="1:5">
      <c r="A4391" s="2" t="s">
        <v>296</v>
      </c>
      <c r="B4391" s="2" t="s">
        <v>5483</v>
      </c>
      <c r="C4391" s="2" t="s">
        <v>5483</v>
      </c>
      <c r="D4391" s="2" t="s">
        <v>5484</v>
      </c>
      <c r="E4391" s="4">
        <v>90000</v>
      </c>
    </row>
    <row r="4392" spans="1:5">
      <c r="A4392" s="2" t="s">
        <v>1537</v>
      </c>
      <c r="B4392" s="2" t="s">
        <v>5485</v>
      </c>
      <c r="C4392" s="2" t="s">
        <v>5485</v>
      </c>
      <c r="D4392" s="2" t="s">
        <v>5486</v>
      </c>
      <c r="E4392" s="2">
        <v>0</v>
      </c>
    </row>
    <row r="4393" spans="1:5">
      <c r="A4393" s="2" t="s">
        <v>1537</v>
      </c>
      <c r="B4393" s="2" t="str">
        <f>"076077"</f>
        <v>076077</v>
      </c>
      <c r="C4393" s="2" t="str">
        <f>"231003"</f>
        <v>231003</v>
      </c>
      <c r="D4393" s="2" t="s">
        <v>5487</v>
      </c>
      <c r="E4393" s="4">
        <v>2500</v>
      </c>
    </row>
    <row r="4394" spans="1:5">
      <c r="A4394" s="2" t="s">
        <v>296</v>
      </c>
      <c r="B4394" s="2" t="str">
        <f>"076078"</f>
        <v>076078</v>
      </c>
      <c r="C4394" s="2" t="str">
        <f>"076078"</f>
        <v>076078</v>
      </c>
      <c r="D4394" s="2" t="s">
        <v>5488</v>
      </c>
      <c r="E4394" s="4">
        <v>3400</v>
      </c>
    </row>
    <row r="4395" spans="1:5">
      <c r="A4395" s="2" t="s">
        <v>296</v>
      </c>
      <c r="B4395" s="2" t="str">
        <f>"9956346"</f>
        <v>9956346</v>
      </c>
      <c r="C4395" s="2" t="str">
        <f>"9956346"</f>
        <v>9956346</v>
      </c>
      <c r="D4395" s="2" t="s">
        <v>5489</v>
      </c>
      <c r="E4395" s="4">
        <v>8800</v>
      </c>
    </row>
    <row r="4396" spans="1:5">
      <c r="A4396" s="2" t="s">
        <v>296</v>
      </c>
      <c r="B4396" s="2" t="s">
        <v>5490</v>
      </c>
      <c r="C4396" s="2" t="s">
        <v>5490</v>
      </c>
      <c r="D4396" s="2" t="s">
        <v>5491</v>
      </c>
      <c r="E4396" s="4">
        <v>4300</v>
      </c>
    </row>
    <row r="4397" spans="1:5">
      <c r="A4397" s="2" t="s">
        <v>1537</v>
      </c>
      <c r="B4397" s="2" t="str">
        <f>"1401327"</f>
        <v>1401327</v>
      </c>
      <c r="C4397" s="2" t="str">
        <f>"1401327"</f>
        <v>1401327</v>
      </c>
      <c r="D4397" s="2" t="s">
        <v>5492</v>
      </c>
      <c r="E4397" s="2">
        <v>0</v>
      </c>
    </row>
    <row r="4398" spans="1:5">
      <c r="A4398" s="2" t="s">
        <v>1537</v>
      </c>
      <c r="B4398" s="2" t="str">
        <f>"0000080"</f>
        <v>0000080</v>
      </c>
      <c r="C4398" s="2" t="str">
        <f>"0000080"</f>
        <v>0000080</v>
      </c>
      <c r="D4398" s="2" t="s">
        <v>5493</v>
      </c>
      <c r="E4398" s="2">
        <v>0</v>
      </c>
    </row>
    <row r="4399" spans="1:5">
      <c r="A4399" s="2" t="s">
        <v>1537</v>
      </c>
      <c r="B4399" s="2" t="str">
        <f>"090600205"</f>
        <v>090600205</v>
      </c>
      <c r="C4399" s="2" t="str">
        <f>"090600205"</f>
        <v>090600205</v>
      </c>
      <c r="D4399" s="2" t="s">
        <v>5494</v>
      </c>
      <c r="E4399" s="4">
        <v>4300</v>
      </c>
    </row>
    <row r="4400" spans="1:5">
      <c r="A4400" s="2" t="s">
        <v>1537</v>
      </c>
      <c r="B4400" s="2" t="str">
        <f>"000603361-K"</f>
        <v>000603361-K</v>
      </c>
      <c r="C4400" s="2" t="str">
        <f>"000603361-K"</f>
        <v>000603361-K</v>
      </c>
      <c r="D4400" s="2" t="s">
        <v>5495</v>
      </c>
      <c r="E4400" s="4">
        <v>9700</v>
      </c>
    </row>
    <row r="4401" spans="1:5">
      <c r="A4401" s="2" t="s">
        <v>1537</v>
      </c>
      <c r="B4401" s="2" t="str">
        <f>"000603360-1"</f>
        <v>000603360-1</v>
      </c>
      <c r="C4401" s="2" t="str">
        <f>"000603360-1"</f>
        <v>000603360-1</v>
      </c>
      <c r="D4401" s="2" t="s">
        <v>5496</v>
      </c>
      <c r="E4401" s="4">
        <v>9700</v>
      </c>
    </row>
    <row r="4402" spans="1:5">
      <c r="A4402" s="2" t="s">
        <v>296</v>
      </c>
      <c r="B4402" s="2" t="str">
        <f>"0200450"</f>
        <v>0200450</v>
      </c>
      <c r="C4402" s="2" t="str">
        <f>"0200450"</f>
        <v>0200450</v>
      </c>
      <c r="D4402" s="2" t="s">
        <v>5497</v>
      </c>
      <c r="E4402" s="4">
        <v>3800</v>
      </c>
    </row>
    <row r="4403" spans="1:5">
      <c r="A4403" s="2" t="s">
        <v>1537</v>
      </c>
      <c r="B4403" s="2" t="str">
        <f>"1640143"</f>
        <v>1640143</v>
      </c>
      <c r="C4403" s="2" t="str">
        <f>"1640143"</f>
        <v>1640143</v>
      </c>
      <c r="D4403" s="2" t="s">
        <v>5498</v>
      </c>
      <c r="E4403" s="4">
        <v>8800</v>
      </c>
    </row>
    <row r="4404" spans="1:5">
      <c r="A4404" s="2" t="s">
        <v>1537</v>
      </c>
      <c r="B4404" s="2" t="str">
        <f>"090600485"</f>
        <v>090600485</v>
      </c>
      <c r="C4404" s="2" t="str">
        <f>"090600485"</f>
        <v>090600485</v>
      </c>
      <c r="D4404" s="2" t="s">
        <v>5499</v>
      </c>
      <c r="E4404" s="4">
        <v>7500</v>
      </c>
    </row>
    <row r="4405" spans="1:5">
      <c r="A4405" s="2" t="s">
        <v>1537</v>
      </c>
      <c r="B4405" s="2" t="s">
        <v>5500</v>
      </c>
      <c r="C4405" s="2" t="s">
        <v>5500</v>
      </c>
      <c r="D4405" s="2" t="s">
        <v>5501</v>
      </c>
      <c r="E4405" s="2">
        <v>0</v>
      </c>
    </row>
    <row r="4406" spans="1:5">
      <c r="A4406" s="2" t="s">
        <v>1537</v>
      </c>
      <c r="B4406" s="2" t="s">
        <v>5502</v>
      </c>
      <c r="C4406" s="2" t="s">
        <v>5502</v>
      </c>
      <c r="D4406" s="2" t="s">
        <v>5503</v>
      </c>
      <c r="E4406" s="2">
        <v>0</v>
      </c>
    </row>
    <row r="4407" spans="1:5">
      <c r="A4407" s="2" t="s">
        <v>1537</v>
      </c>
      <c r="B4407" s="2" t="str">
        <f>"0008397"</f>
        <v>0008397</v>
      </c>
      <c r="C4407" s="2" t="str">
        <f>"0008397"</f>
        <v>0008397</v>
      </c>
      <c r="D4407" s="2" t="s">
        <v>5504</v>
      </c>
      <c r="E4407" s="2">
        <v>0</v>
      </c>
    </row>
    <row r="4408" spans="1:5">
      <c r="A4408" s="2" t="s">
        <v>1537</v>
      </c>
      <c r="B4408" s="2" t="s">
        <v>5505</v>
      </c>
      <c r="C4408" s="2" t="s">
        <v>5505</v>
      </c>
      <c r="D4408" s="2" t="s">
        <v>5506</v>
      </c>
      <c r="E4408" s="2">
        <v>0</v>
      </c>
    </row>
    <row r="4409" spans="1:5">
      <c r="A4409" s="2" t="s">
        <v>1537</v>
      </c>
      <c r="B4409" s="2" t="s">
        <v>5507</v>
      </c>
      <c r="C4409" s="2" t="s">
        <v>5507</v>
      </c>
      <c r="D4409" s="2" t="s">
        <v>5508</v>
      </c>
      <c r="E4409" s="4">
        <v>48500</v>
      </c>
    </row>
    <row r="4410" spans="1:5">
      <c r="A4410" s="2" t="s">
        <v>296</v>
      </c>
      <c r="B4410" s="2" t="s">
        <v>5509</v>
      </c>
      <c r="C4410" s="2" t="s">
        <v>5509</v>
      </c>
      <c r="D4410" s="2" t="s">
        <v>5510</v>
      </c>
      <c r="E4410" s="4">
        <v>10500</v>
      </c>
    </row>
    <row r="4411" spans="1:5">
      <c r="A4411" s="2" t="s">
        <v>296</v>
      </c>
      <c r="B4411" s="2" t="s">
        <v>5511</v>
      </c>
      <c r="C4411" s="2" t="s">
        <v>5511</v>
      </c>
      <c r="D4411" s="2" t="s">
        <v>5512</v>
      </c>
      <c r="E4411" s="4">
        <v>10500</v>
      </c>
    </row>
    <row r="4412" spans="1:5">
      <c r="A4412" s="2" t="s">
        <v>1537</v>
      </c>
      <c r="B4412" s="2" t="str">
        <f>"330102"</f>
        <v>330102</v>
      </c>
      <c r="C4412" s="2" t="str">
        <f>"330102"</f>
        <v>330102</v>
      </c>
      <c r="D4412" s="2" t="s">
        <v>5513</v>
      </c>
      <c r="E4412" s="4">
        <v>5200</v>
      </c>
    </row>
    <row r="4413" spans="1:5">
      <c r="A4413" s="2" t="s">
        <v>1537</v>
      </c>
      <c r="B4413" s="2" t="str">
        <f>"0702085"</f>
        <v>0702085</v>
      </c>
      <c r="C4413" s="2" t="str">
        <f>"0702085"</f>
        <v>0702085</v>
      </c>
      <c r="D4413" s="2" t="s">
        <v>5514</v>
      </c>
      <c r="E4413" s="4">
        <v>14200</v>
      </c>
    </row>
    <row r="4414" spans="1:5">
      <c r="A4414" s="2" t="s">
        <v>1537</v>
      </c>
      <c r="B4414" s="2" t="str">
        <f>"2193103-9"</f>
        <v>2193103-9</v>
      </c>
      <c r="C4414" s="2" t="str">
        <f>"2193103-9"</f>
        <v>2193103-9</v>
      </c>
      <c r="D4414" s="2" t="s">
        <v>5515</v>
      </c>
      <c r="E4414" s="4">
        <v>8800</v>
      </c>
    </row>
    <row r="4415" spans="1:5">
      <c r="A4415" s="2" t="s">
        <v>1537</v>
      </c>
      <c r="B4415" s="2" t="str">
        <f>"090600484"</f>
        <v>090600484</v>
      </c>
      <c r="C4415" s="2" t="str">
        <f>"090600484"</f>
        <v>090600484</v>
      </c>
      <c r="D4415" s="2" t="s">
        <v>5516</v>
      </c>
      <c r="E4415" s="4">
        <v>7500</v>
      </c>
    </row>
    <row r="4416" spans="1:5">
      <c r="A4416" s="2" t="s">
        <v>1537</v>
      </c>
      <c r="B4416" s="2" t="str">
        <f>"16-1306L"</f>
        <v>16-1306L</v>
      </c>
      <c r="C4416" s="2" t="str">
        <f>"16-1306L"</f>
        <v>16-1306L</v>
      </c>
      <c r="D4416" s="2" t="s">
        <v>5517</v>
      </c>
      <c r="E4416" s="4">
        <v>6500</v>
      </c>
    </row>
    <row r="4417" spans="1:5">
      <c r="A4417" s="2" t="s">
        <v>1537</v>
      </c>
      <c r="B4417" s="2" t="s">
        <v>5518</v>
      </c>
      <c r="C4417" s="2" t="s">
        <v>5518</v>
      </c>
      <c r="D4417" s="2" t="s">
        <v>5519</v>
      </c>
      <c r="E4417" s="2">
        <v>0</v>
      </c>
    </row>
    <row r="4418" spans="1:5">
      <c r="A4418" s="2" t="s">
        <v>1537</v>
      </c>
      <c r="B4418" s="2" t="str">
        <f>"0100813"</f>
        <v>0100813</v>
      </c>
      <c r="C4418" s="2" t="str">
        <f>"0100813"</f>
        <v>0100813</v>
      </c>
      <c r="D4418" s="2" t="s">
        <v>5520</v>
      </c>
      <c r="E4418" s="4">
        <v>8800</v>
      </c>
    </row>
    <row r="4419" spans="1:5">
      <c r="A4419" s="2" t="s">
        <v>1537</v>
      </c>
      <c r="B4419" s="2" t="str">
        <f>"16-1306R"</f>
        <v>16-1306R</v>
      </c>
      <c r="C4419" s="2" t="str">
        <f>"16-1306R"</f>
        <v>16-1306R</v>
      </c>
      <c r="D4419" s="2" t="s">
        <v>5521</v>
      </c>
      <c r="E4419" s="4">
        <v>3500</v>
      </c>
    </row>
    <row r="4420" spans="1:5">
      <c r="A4420" s="2" t="s">
        <v>296</v>
      </c>
      <c r="B4420" s="2" t="str">
        <f>"000432473-0"</f>
        <v>000432473-0</v>
      </c>
      <c r="C4420" s="2" t="str">
        <f>"000432473-0"</f>
        <v>000432473-0</v>
      </c>
      <c r="D4420" s="2" t="s">
        <v>5522</v>
      </c>
      <c r="E4420" s="4">
        <v>16000</v>
      </c>
    </row>
    <row r="4421" spans="1:5">
      <c r="A4421" s="2" t="s">
        <v>1537</v>
      </c>
      <c r="B4421" s="2" t="str">
        <f>"000432017-4"</f>
        <v>000432017-4</v>
      </c>
      <c r="C4421" s="2" t="str">
        <f>"000432017-4"</f>
        <v>000432017-4</v>
      </c>
      <c r="D4421" s="2" t="s">
        <v>5523</v>
      </c>
      <c r="E4421" s="4">
        <v>3400</v>
      </c>
    </row>
    <row r="4422" spans="1:5">
      <c r="A4422" s="2" t="s">
        <v>1537</v>
      </c>
      <c r="B4422" s="2" t="str">
        <f>"0110030"</f>
        <v>0110030</v>
      </c>
      <c r="C4422" s="2" t="str">
        <f>"0110030"</f>
        <v>0110030</v>
      </c>
      <c r="D4422" s="2" t="s">
        <v>5524</v>
      </c>
      <c r="E4422" s="4">
        <v>3400</v>
      </c>
    </row>
    <row r="4423" spans="1:5">
      <c r="A4423" s="2" t="s">
        <v>1537</v>
      </c>
      <c r="B4423" s="2" t="str">
        <f>"0155616"</f>
        <v>0155616</v>
      </c>
      <c r="C4423" s="2" t="str">
        <f>"0155616"</f>
        <v>0155616</v>
      </c>
      <c r="D4423" s="2" t="s">
        <v>5525</v>
      </c>
      <c r="E4423" s="4">
        <v>2800</v>
      </c>
    </row>
    <row r="4424" spans="1:5">
      <c r="A4424" s="2" t="s">
        <v>1537</v>
      </c>
      <c r="B4424" s="2" t="str">
        <f>"0005120"</f>
        <v>0005120</v>
      </c>
      <c r="C4424" s="2" t="str">
        <f>"0005120"</f>
        <v>0005120</v>
      </c>
      <c r="D4424" s="2" t="s">
        <v>5526</v>
      </c>
      <c r="E4424" s="2">
        <v>0</v>
      </c>
    </row>
    <row r="4425" spans="1:5">
      <c r="A4425" s="2" t="s">
        <v>296</v>
      </c>
      <c r="B4425" s="2" t="str">
        <f>"1701857"</f>
        <v>1701857</v>
      </c>
      <c r="C4425" s="2" t="str">
        <f>"1701857"</f>
        <v>1701857</v>
      </c>
      <c r="D4425" s="2" t="s">
        <v>5527</v>
      </c>
      <c r="E4425" s="4">
        <v>29500</v>
      </c>
    </row>
    <row r="4426" spans="1:5">
      <c r="A4426" s="2" t="s">
        <v>1537</v>
      </c>
      <c r="B4426" s="2" t="s">
        <v>5528</v>
      </c>
      <c r="C4426" s="2" t="s">
        <v>5528</v>
      </c>
      <c r="D4426" s="2" t="s">
        <v>5529</v>
      </c>
      <c r="E4426" s="4">
        <v>6200</v>
      </c>
    </row>
    <row r="4427" spans="1:5">
      <c r="A4427" s="2" t="s">
        <v>1537</v>
      </c>
      <c r="B4427" s="2" t="s">
        <v>5530</v>
      </c>
      <c r="C4427" s="2" t="s">
        <v>5530</v>
      </c>
      <c r="D4427" s="2" t="s">
        <v>5531</v>
      </c>
      <c r="E4427" s="4">
        <v>8800</v>
      </c>
    </row>
    <row r="4428" spans="1:5">
      <c r="A4428" s="2" t="s">
        <v>1537</v>
      </c>
      <c r="B4428" s="2" t="s">
        <v>5532</v>
      </c>
      <c r="C4428" s="2" t="s">
        <v>5532</v>
      </c>
      <c r="D4428" s="2" t="s">
        <v>5533</v>
      </c>
      <c r="E4428" s="4">
        <v>9700</v>
      </c>
    </row>
    <row r="4429" spans="1:5">
      <c r="A4429" s="2" t="s">
        <v>1537</v>
      </c>
      <c r="B4429" s="2" t="s">
        <v>5534</v>
      </c>
      <c r="C4429" s="2" t="s">
        <v>5534</v>
      </c>
      <c r="D4429" s="2" t="s">
        <v>5535</v>
      </c>
      <c r="E4429" s="4">
        <v>7900</v>
      </c>
    </row>
    <row r="4430" spans="1:5">
      <c r="A4430" s="2" t="s">
        <v>296</v>
      </c>
      <c r="B4430" s="2" t="s">
        <v>5536</v>
      </c>
      <c r="C4430" s="2" t="s">
        <v>5536</v>
      </c>
      <c r="D4430" s="2" t="s">
        <v>5537</v>
      </c>
      <c r="E4430" s="4">
        <v>8500</v>
      </c>
    </row>
    <row r="4431" spans="1:5">
      <c r="A4431" s="2" t="s">
        <v>296</v>
      </c>
      <c r="B4431" s="2" t="s">
        <v>5538</v>
      </c>
      <c r="C4431" s="2" t="s">
        <v>5538</v>
      </c>
      <c r="D4431" s="2" t="s">
        <v>5539</v>
      </c>
      <c r="E4431" s="4">
        <v>8500</v>
      </c>
    </row>
    <row r="4432" spans="1:5">
      <c r="A4432" s="2" t="s">
        <v>1537</v>
      </c>
      <c r="B4432" s="2" t="s">
        <v>5540</v>
      </c>
      <c r="C4432" s="2" t="s">
        <v>5540</v>
      </c>
      <c r="D4432" s="2" t="s">
        <v>5541</v>
      </c>
      <c r="E4432" s="4">
        <v>8800</v>
      </c>
    </row>
    <row r="4433" spans="1:5">
      <c r="A4433" s="2" t="s">
        <v>1537</v>
      </c>
      <c r="B4433" s="2" t="str">
        <f>"230311"</f>
        <v>230311</v>
      </c>
      <c r="C4433" s="2" t="str">
        <f>"230311"</f>
        <v>230311</v>
      </c>
      <c r="D4433" s="2" t="s">
        <v>5542</v>
      </c>
      <c r="E4433" s="4">
        <v>3400</v>
      </c>
    </row>
    <row r="4434" spans="1:5">
      <c r="A4434" s="2" t="s">
        <v>296</v>
      </c>
      <c r="B4434" s="2" t="str">
        <f>"9956345"</f>
        <v>9956345</v>
      </c>
      <c r="C4434" s="2" t="str">
        <f>"9956345"</f>
        <v>9956345</v>
      </c>
      <c r="D4434" s="2" t="s">
        <v>5543</v>
      </c>
      <c r="E4434" s="4">
        <v>8800</v>
      </c>
    </row>
    <row r="4435" spans="1:5">
      <c r="A4435" s="2" t="s">
        <v>296</v>
      </c>
      <c r="B4435" s="2" t="str">
        <f>"002196730-0"</f>
        <v>002196730-0</v>
      </c>
      <c r="C4435" s="2" t="str">
        <f>"2196730-0"</f>
        <v>2196730-0</v>
      </c>
      <c r="D4435" s="2" t="s">
        <v>5544</v>
      </c>
      <c r="E4435" s="4">
        <v>14500</v>
      </c>
    </row>
    <row r="4436" spans="1:5">
      <c r="A4436" s="2" t="s">
        <v>1537</v>
      </c>
      <c r="B4436" s="2" t="str">
        <f>"002993281-6"</f>
        <v>002993281-6</v>
      </c>
      <c r="C4436" s="2" t="str">
        <f>"002993281-6"</f>
        <v>002993281-6</v>
      </c>
      <c r="D4436" s="2" t="s">
        <v>5545</v>
      </c>
      <c r="E4436" s="4">
        <v>9700</v>
      </c>
    </row>
    <row r="4437" spans="1:5">
      <c r="A4437" s="2" t="s">
        <v>296</v>
      </c>
      <c r="B4437" s="2" t="s">
        <v>5546</v>
      </c>
      <c r="C4437" s="2" t="s">
        <v>5546</v>
      </c>
      <c r="D4437" s="2" t="s">
        <v>5547</v>
      </c>
      <c r="E4437" s="4">
        <v>9700</v>
      </c>
    </row>
    <row r="4438" spans="1:5">
      <c r="A4438" s="2" t="s">
        <v>296</v>
      </c>
      <c r="B4438" s="2" t="str">
        <f>"2193190-K"</f>
        <v>2193190-K</v>
      </c>
      <c r="C4438" s="2" t="str">
        <f>"2193190-K"</f>
        <v>2193190-K</v>
      </c>
      <c r="D4438" s="2" t="s">
        <v>5548</v>
      </c>
      <c r="E4438" s="4">
        <v>14500</v>
      </c>
    </row>
    <row r="4439" spans="1:5">
      <c r="A4439" s="2" t="s">
        <v>296</v>
      </c>
      <c r="B4439" s="2" t="str">
        <f>"1V00617"</f>
        <v>1V00617</v>
      </c>
      <c r="C4439" s="2" t="str">
        <f>"1V00617"</f>
        <v>1V00617</v>
      </c>
      <c r="D4439" s="2" t="s">
        <v>5549</v>
      </c>
      <c r="E4439" s="4">
        <v>14200</v>
      </c>
    </row>
    <row r="4440" spans="1:5">
      <c r="A4440" s="2" t="s">
        <v>1537</v>
      </c>
      <c r="B4440" s="2" t="str">
        <f>"0100823"</f>
        <v>0100823</v>
      </c>
      <c r="C4440" s="2" t="str">
        <f>"0100823"</f>
        <v>0100823</v>
      </c>
      <c r="D4440" s="2" t="s">
        <v>5550</v>
      </c>
      <c r="E4440" s="4">
        <v>7000</v>
      </c>
    </row>
    <row r="4441" spans="1:5">
      <c r="A4441" s="2" t="s">
        <v>1537</v>
      </c>
      <c r="B4441" s="2" t="str">
        <f>"002993271-9"</f>
        <v>002993271-9</v>
      </c>
      <c r="C4441" s="2" t="str">
        <f>"002993271-9"</f>
        <v>002993271-9</v>
      </c>
      <c r="D4441" s="2" t="s">
        <v>5551</v>
      </c>
      <c r="E4441" s="4">
        <v>9700</v>
      </c>
    </row>
    <row r="4442" spans="1:5">
      <c r="A4442" s="2" t="s">
        <v>296</v>
      </c>
      <c r="B4442" s="2" t="str">
        <f>"0010238"</f>
        <v>0010238</v>
      </c>
      <c r="C4442" s="2" t="str">
        <f>"0010238"</f>
        <v>0010238</v>
      </c>
      <c r="D4442" s="2" t="s">
        <v>5552</v>
      </c>
      <c r="E4442" s="4">
        <v>59000</v>
      </c>
    </row>
    <row r="4443" spans="1:5">
      <c r="A4443" s="2" t="s">
        <v>1537</v>
      </c>
      <c r="B4443" s="2" t="s">
        <v>5553</v>
      </c>
      <c r="C4443" s="2" t="s">
        <v>5553</v>
      </c>
      <c r="D4443" s="2" t="s">
        <v>5554</v>
      </c>
      <c r="E4443" s="4">
        <v>15800</v>
      </c>
    </row>
    <row r="4444" spans="1:5">
      <c r="A4444" s="2" t="s">
        <v>296</v>
      </c>
      <c r="B4444" s="2" t="str">
        <f>"090060021"</f>
        <v>090060021</v>
      </c>
      <c r="C4444" s="2" t="str">
        <f>"712A/AM"</f>
        <v>712A/AM</v>
      </c>
      <c r="D4444" s="2" t="s">
        <v>5555</v>
      </c>
      <c r="E4444" s="4">
        <v>1500</v>
      </c>
    </row>
    <row r="4445" spans="1:5">
      <c r="A4445" s="2" t="s">
        <v>296</v>
      </c>
      <c r="B4445" s="2" t="str">
        <f>"090060011"</f>
        <v>090060011</v>
      </c>
      <c r="C4445" s="2" t="str">
        <f>"860R-RO"</f>
        <v>860R-RO</v>
      </c>
      <c r="D4445" s="2" t="s">
        <v>5556</v>
      </c>
      <c r="E4445" s="4">
        <v>1500</v>
      </c>
    </row>
    <row r="4446" spans="1:5">
      <c r="A4446" s="2" t="s">
        <v>296</v>
      </c>
      <c r="B4446" s="2" t="str">
        <f>"090230397"</f>
        <v>090230397</v>
      </c>
      <c r="C4446" s="2" t="str">
        <f>"090230397"</f>
        <v>090230397</v>
      </c>
      <c r="D4446" s="2" t="s">
        <v>5557</v>
      </c>
      <c r="E4446" s="4">
        <v>25000</v>
      </c>
    </row>
    <row r="4447" spans="1:5">
      <c r="A4447" s="2" t="s">
        <v>296</v>
      </c>
      <c r="B4447" s="2" t="str">
        <f>"090230398"</f>
        <v>090230398</v>
      </c>
      <c r="C4447" s="2" t="str">
        <f>"090230398"</f>
        <v>090230398</v>
      </c>
      <c r="D4447" s="2" t="s">
        <v>5558</v>
      </c>
      <c r="E4447" s="4">
        <v>25000</v>
      </c>
    </row>
    <row r="4448" spans="1:5">
      <c r="A4448" s="2" t="s">
        <v>296</v>
      </c>
      <c r="B4448" s="2" t="s">
        <v>5559</v>
      </c>
      <c r="C4448" s="2" t="s">
        <v>5559</v>
      </c>
      <c r="D4448" s="2" t="s">
        <v>5560</v>
      </c>
      <c r="E4448" s="4">
        <v>28000</v>
      </c>
    </row>
    <row r="4449" spans="1:5">
      <c r="A4449" s="2" t="s">
        <v>296</v>
      </c>
      <c r="B4449" s="2" t="str">
        <f>"090230660"</f>
        <v>090230660</v>
      </c>
      <c r="C4449" s="2" t="str">
        <f>"090230660"</f>
        <v>090230660</v>
      </c>
      <c r="D4449" s="2" t="s">
        <v>5561</v>
      </c>
      <c r="E4449" s="4">
        <v>6100</v>
      </c>
    </row>
    <row r="4450" spans="1:5">
      <c r="A4450" s="2" t="s">
        <v>1537</v>
      </c>
      <c r="B4450" s="2" t="str">
        <f>"3893048-6"</f>
        <v>3893048-6</v>
      </c>
      <c r="C4450" s="2" t="str">
        <f>"3893048-6"</f>
        <v>3893048-6</v>
      </c>
      <c r="D4450" s="2" t="s">
        <v>5562</v>
      </c>
      <c r="E4450" s="4">
        <v>84000</v>
      </c>
    </row>
    <row r="4451" spans="1:5">
      <c r="A4451" s="2" t="s">
        <v>296</v>
      </c>
      <c r="B4451" s="2" t="str">
        <f>"002795020-5"</f>
        <v>002795020-5</v>
      </c>
      <c r="C4451" s="2" t="str">
        <f>"2795020-5"</f>
        <v>2795020-5</v>
      </c>
      <c r="D4451" s="2" t="s">
        <v>5563</v>
      </c>
      <c r="E4451" s="4">
        <v>120000</v>
      </c>
    </row>
    <row r="4452" spans="1:5">
      <c r="A4452" s="2" t="s">
        <v>296</v>
      </c>
      <c r="B4452" s="2" t="s">
        <v>5564</v>
      </c>
      <c r="C4452" s="2" t="s">
        <v>5564</v>
      </c>
      <c r="D4452" s="2" t="s">
        <v>5565</v>
      </c>
      <c r="E4452" s="4">
        <v>28000</v>
      </c>
    </row>
    <row r="4453" spans="1:5">
      <c r="A4453" s="2" t="s">
        <v>296</v>
      </c>
      <c r="B4453" s="2" t="str">
        <f>"003793131-4"</f>
        <v>003793131-4</v>
      </c>
      <c r="C4453" s="2" t="str">
        <f>"3793131-4"</f>
        <v>3793131-4</v>
      </c>
      <c r="D4453" s="2" t="s">
        <v>5566</v>
      </c>
      <c r="E4453" s="4">
        <v>35000</v>
      </c>
    </row>
    <row r="4454" spans="1:5">
      <c r="A4454" s="2" t="s">
        <v>296</v>
      </c>
      <c r="B4454" s="2" t="s">
        <v>5567</v>
      </c>
      <c r="C4454" s="2" t="s">
        <v>5567</v>
      </c>
      <c r="D4454" s="2" t="s">
        <v>5568</v>
      </c>
      <c r="E4454" s="4">
        <v>39000</v>
      </c>
    </row>
    <row r="4455" spans="1:5">
      <c r="A4455" s="2" t="s">
        <v>296</v>
      </c>
      <c r="B4455" s="2" t="str">
        <f>"0002387"</f>
        <v>0002387</v>
      </c>
      <c r="C4455" s="2" t="str">
        <f>"0002387"</f>
        <v>0002387</v>
      </c>
      <c r="D4455" s="2" t="s">
        <v>5569</v>
      </c>
      <c r="E4455" s="4">
        <v>62000</v>
      </c>
    </row>
    <row r="4456" spans="1:5">
      <c r="A4456" s="2" t="s">
        <v>296</v>
      </c>
      <c r="B4456" s="2" t="str">
        <f>"0010239"</f>
        <v>0010239</v>
      </c>
      <c r="C4456" s="2" t="str">
        <f>"0010239"</f>
        <v>0010239</v>
      </c>
      <c r="D4456" s="2" t="s">
        <v>5570</v>
      </c>
      <c r="E4456" s="4">
        <v>48000</v>
      </c>
    </row>
    <row r="4457" spans="1:5">
      <c r="A4457" s="2" t="s">
        <v>296</v>
      </c>
      <c r="B4457" s="2" t="s">
        <v>5571</v>
      </c>
      <c r="C4457" s="2" t="s">
        <v>5571</v>
      </c>
      <c r="D4457" s="2" t="s">
        <v>5572</v>
      </c>
      <c r="E4457" s="4">
        <v>22400</v>
      </c>
    </row>
    <row r="4458" spans="1:5">
      <c r="A4458" s="2" t="s">
        <v>296</v>
      </c>
      <c r="B4458" s="2" t="s">
        <v>5573</v>
      </c>
      <c r="C4458" s="2" t="str">
        <f>"003893048-6"</f>
        <v>003893048-6</v>
      </c>
      <c r="D4458" s="2" t="s">
        <v>5574</v>
      </c>
      <c r="E4458" s="4">
        <v>82000</v>
      </c>
    </row>
    <row r="4459" spans="1:5">
      <c r="A4459" s="2" t="s">
        <v>296</v>
      </c>
      <c r="B4459" s="2" t="str">
        <f>"0038930206"</f>
        <v>0038930206</v>
      </c>
      <c r="C4459" s="2" t="str">
        <f>"003930206"</f>
        <v>003930206</v>
      </c>
      <c r="D4459" s="2" t="s">
        <v>5575</v>
      </c>
      <c r="E4459" s="4">
        <v>82000</v>
      </c>
    </row>
    <row r="4460" spans="1:5">
      <c r="A4460" s="2" t="s">
        <v>296</v>
      </c>
      <c r="B4460" s="2" t="str">
        <f>"002193251-5"</f>
        <v>002193251-5</v>
      </c>
      <c r="C4460" s="2" t="str">
        <f>"002193251-5"</f>
        <v>002193251-5</v>
      </c>
      <c r="D4460" s="2" t="s">
        <v>5576</v>
      </c>
      <c r="E4460" s="4">
        <v>65000</v>
      </c>
    </row>
    <row r="4461" spans="1:5">
      <c r="A4461" s="2" t="s">
        <v>296</v>
      </c>
      <c r="B4461" s="2" t="str">
        <f>"002193254-K"</f>
        <v>002193254-K</v>
      </c>
      <c r="C4461" s="2" t="str">
        <f>"002193254-K"</f>
        <v>002193254-K</v>
      </c>
      <c r="D4461" s="2" t="s">
        <v>5577</v>
      </c>
      <c r="E4461" s="4">
        <v>65000</v>
      </c>
    </row>
    <row r="4462" spans="1:5">
      <c r="A4462" s="2" t="s">
        <v>1537</v>
      </c>
      <c r="B4462" s="2" t="s">
        <v>5578</v>
      </c>
      <c r="C4462" s="2" t="str">
        <f>"076052"</f>
        <v>076052</v>
      </c>
      <c r="D4462" s="2" t="s">
        <v>5579</v>
      </c>
      <c r="E4462" s="4">
        <v>11500</v>
      </c>
    </row>
    <row r="4463" spans="1:5">
      <c r="A4463" s="2" t="s">
        <v>1537</v>
      </c>
      <c r="B4463" s="2" t="s">
        <v>5580</v>
      </c>
      <c r="C4463" s="2" t="s">
        <v>5580</v>
      </c>
      <c r="D4463" s="2" t="s">
        <v>5581</v>
      </c>
      <c r="E4463" s="4">
        <v>9700</v>
      </c>
    </row>
    <row r="4464" spans="1:5">
      <c r="A4464" s="2" t="s">
        <v>296</v>
      </c>
      <c r="B4464" s="2" t="str">
        <f>"090600989"</f>
        <v>090600989</v>
      </c>
      <c r="C4464" s="2" t="str">
        <f>"090600989"</f>
        <v>090600989</v>
      </c>
      <c r="D4464" s="2" t="s">
        <v>5582</v>
      </c>
      <c r="E4464" s="4">
        <v>9700</v>
      </c>
    </row>
    <row r="4465" spans="1:5">
      <c r="A4465" s="2" t="s">
        <v>1537</v>
      </c>
      <c r="B4465" s="2" t="str">
        <f>"1701038"</f>
        <v>1701038</v>
      </c>
      <c r="C4465" s="2" t="str">
        <f>"1701038"</f>
        <v>1701038</v>
      </c>
      <c r="D4465" s="2" t="s">
        <v>5583</v>
      </c>
      <c r="E4465" s="4">
        <v>12400</v>
      </c>
    </row>
    <row r="4466" spans="1:5">
      <c r="A4466" s="2" t="s">
        <v>1537</v>
      </c>
      <c r="B4466" s="2" t="str">
        <f>"1642440"</f>
        <v>1642440</v>
      </c>
      <c r="C4466" s="2" t="str">
        <f>"1642440"</f>
        <v>1642440</v>
      </c>
      <c r="D4466" s="2" t="s">
        <v>5584</v>
      </c>
      <c r="E4466" s="4">
        <v>11500</v>
      </c>
    </row>
    <row r="4467" spans="1:5">
      <c r="A4467" s="2" t="s">
        <v>1537</v>
      </c>
      <c r="B4467" s="2" t="str">
        <f>"1642430"</f>
        <v>1642430</v>
      </c>
      <c r="C4467" s="2" t="str">
        <f>"1642430"</f>
        <v>1642430</v>
      </c>
      <c r="D4467" s="2" t="s">
        <v>5585</v>
      </c>
      <c r="E4467" s="4">
        <v>11500</v>
      </c>
    </row>
    <row r="4468" spans="1:5">
      <c r="A4468" s="2" t="s">
        <v>1537</v>
      </c>
      <c r="B4468" s="2" t="str">
        <f>"1642400"</f>
        <v>1642400</v>
      </c>
      <c r="C4468" s="2" t="str">
        <f>"1642400"</f>
        <v>1642400</v>
      </c>
      <c r="D4468" s="2" t="s">
        <v>5586</v>
      </c>
      <c r="E4468" s="4">
        <v>9700</v>
      </c>
    </row>
    <row r="4469" spans="1:5">
      <c r="A4469" s="2" t="s">
        <v>1537</v>
      </c>
      <c r="B4469" s="2" t="str">
        <f>"0000075"</f>
        <v>0000075</v>
      </c>
      <c r="C4469" s="2" t="str">
        <f>"0000075"</f>
        <v>0000075</v>
      </c>
      <c r="D4469" s="2" t="s">
        <v>5587</v>
      </c>
      <c r="E4469" s="4">
        <v>19600</v>
      </c>
    </row>
    <row r="4470" spans="1:5">
      <c r="A4470" s="2" t="s">
        <v>1537</v>
      </c>
      <c r="B4470" s="2" t="str">
        <f>"01308L22"</f>
        <v>01308L22</v>
      </c>
      <c r="C4470" s="2" t="str">
        <f>"01308L22"</f>
        <v>01308L22</v>
      </c>
      <c r="D4470" s="2" t="s">
        <v>5588</v>
      </c>
      <c r="E4470" s="4">
        <v>8800</v>
      </c>
    </row>
    <row r="4471" spans="1:5">
      <c r="A4471" s="2" t="s">
        <v>1537</v>
      </c>
      <c r="B4471" s="2" t="s">
        <v>5589</v>
      </c>
      <c r="C4471" s="2" t="s">
        <v>5589</v>
      </c>
      <c r="D4471" s="2" t="s">
        <v>5590</v>
      </c>
      <c r="E4471" s="4">
        <v>8800</v>
      </c>
    </row>
    <row r="4472" spans="1:5">
      <c r="A4472" s="2" t="s">
        <v>296</v>
      </c>
      <c r="B4472" s="2" t="str">
        <f>"0016293"</f>
        <v>0016293</v>
      </c>
      <c r="C4472" s="2" t="str">
        <f>"0016293"</f>
        <v>0016293</v>
      </c>
      <c r="D4472" s="2" t="s">
        <v>5591</v>
      </c>
      <c r="E4472" s="4">
        <v>14200</v>
      </c>
    </row>
    <row r="4473" spans="1:5">
      <c r="A4473" s="2" t="s">
        <v>1537</v>
      </c>
      <c r="B4473" s="2" t="str">
        <f>"1193122-7"</f>
        <v>1193122-7</v>
      </c>
      <c r="C4473" s="2" t="str">
        <f>"1193122-7"</f>
        <v>1193122-7</v>
      </c>
      <c r="D4473" s="2" t="s">
        <v>5592</v>
      </c>
      <c r="E4473" s="4">
        <v>6100</v>
      </c>
    </row>
    <row r="4474" spans="1:5">
      <c r="A4474" s="2" t="s">
        <v>1537</v>
      </c>
      <c r="B4474" s="2" t="str">
        <f>"1193134-6"</f>
        <v>1193134-6</v>
      </c>
      <c r="C4474" s="2" t="str">
        <f>"1193134-6"</f>
        <v>1193134-6</v>
      </c>
      <c r="D4474" s="2" t="s">
        <v>5593</v>
      </c>
      <c r="E4474" s="4">
        <v>6010</v>
      </c>
    </row>
    <row r="4475" spans="1:5">
      <c r="A4475" s="2" t="s">
        <v>1537</v>
      </c>
      <c r="B4475" s="2" t="str">
        <f>"1193134"</f>
        <v>1193134</v>
      </c>
      <c r="C4475" s="2" t="str">
        <f>"1193134"</f>
        <v>1193134</v>
      </c>
      <c r="D4475" s="2" t="s">
        <v>5594</v>
      </c>
      <c r="E4475" s="4">
        <v>6100</v>
      </c>
    </row>
    <row r="4476" spans="1:5">
      <c r="A4476" s="2" t="s">
        <v>1537</v>
      </c>
      <c r="B4476" s="2" t="str">
        <f>"0000082"</f>
        <v>0000082</v>
      </c>
      <c r="C4476" s="2" t="str">
        <f>"0000082"</f>
        <v>0000082</v>
      </c>
      <c r="D4476" s="2" t="s">
        <v>5595</v>
      </c>
      <c r="E4476" s="4">
        <v>9700</v>
      </c>
    </row>
    <row r="4477" spans="1:5">
      <c r="A4477" s="2" t="s">
        <v>1537</v>
      </c>
      <c r="B4477" s="2" t="str">
        <f>"1500687"</f>
        <v>1500687</v>
      </c>
      <c r="C4477" s="2" t="str">
        <f>"1500687"</f>
        <v>1500687</v>
      </c>
      <c r="D4477" s="2" t="s">
        <v>5596</v>
      </c>
      <c r="E4477" s="4">
        <v>38500</v>
      </c>
    </row>
    <row r="4478" spans="1:5">
      <c r="A4478" s="2" t="s">
        <v>1537</v>
      </c>
      <c r="B4478" s="2" t="str">
        <f>"0004000"</f>
        <v>0004000</v>
      </c>
      <c r="C4478" s="2" t="str">
        <f>"0004000"</f>
        <v>0004000</v>
      </c>
      <c r="D4478" s="2" t="s">
        <v>5597</v>
      </c>
      <c r="E4478" s="2">
        <v>0</v>
      </c>
    </row>
    <row r="4479" spans="1:5">
      <c r="A4479" s="2" t="s">
        <v>296</v>
      </c>
      <c r="B4479" s="2" t="str">
        <f>"0008396"</f>
        <v>0008396</v>
      </c>
      <c r="C4479" s="2" t="str">
        <f>"0008396"</f>
        <v>0008396</v>
      </c>
      <c r="D4479" s="2" t="s">
        <v>5598</v>
      </c>
      <c r="E4479" s="4">
        <v>25000</v>
      </c>
    </row>
    <row r="4480" spans="1:5">
      <c r="A4480" s="2" t="s">
        <v>1537</v>
      </c>
      <c r="B4480" s="2" t="s">
        <v>5599</v>
      </c>
      <c r="C4480" s="2" t="s">
        <v>5599</v>
      </c>
      <c r="D4480" s="2" t="s">
        <v>5600</v>
      </c>
      <c r="E4480" s="4">
        <v>12500</v>
      </c>
    </row>
    <row r="4481" spans="1:5">
      <c r="A4481" s="2" t="s">
        <v>1537</v>
      </c>
      <c r="B4481" s="2" t="s">
        <v>5601</v>
      </c>
      <c r="C4481" s="2" t="s">
        <v>5602</v>
      </c>
      <c r="D4481" s="2" t="s">
        <v>5603</v>
      </c>
      <c r="E4481" s="4">
        <v>23000</v>
      </c>
    </row>
    <row r="4482" spans="1:5">
      <c r="A4482" s="2" t="s">
        <v>1537</v>
      </c>
      <c r="B4482" s="2" t="str">
        <f>"1893276-8"</f>
        <v>1893276-8</v>
      </c>
      <c r="C4482" s="2" t="str">
        <f>"1893276-8"</f>
        <v>1893276-8</v>
      </c>
      <c r="D4482" s="2" t="s">
        <v>5603</v>
      </c>
      <c r="E4482" s="2">
        <v>0</v>
      </c>
    </row>
    <row r="4483" spans="1:5">
      <c r="A4483" s="2" t="s">
        <v>1537</v>
      </c>
      <c r="B4483" s="2" t="str">
        <f>"8022518"</f>
        <v>8022518</v>
      </c>
      <c r="C4483" s="2" t="str">
        <f>"8022518"</f>
        <v>8022518</v>
      </c>
      <c r="D4483" s="2" t="s">
        <v>5604</v>
      </c>
      <c r="E4483" s="4">
        <v>25000</v>
      </c>
    </row>
    <row r="4484" spans="1:5">
      <c r="A4484" s="2" t="s">
        <v>1537</v>
      </c>
      <c r="B4484" s="2" t="s">
        <v>5605</v>
      </c>
      <c r="C4484" s="2" t="s">
        <v>5605</v>
      </c>
      <c r="D4484" s="2" t="s">
        <v>5606</v>
      </c>
      <c r="E4484" s="4">
        <v>8800</v>
      </c>
    </row>
    <row r="4485" spans="1:5">
      <c r="A4485" s="2" t="s">
        <v>1537</v>
      </c>
      <c r="B4485" s="2" t="str">
        <f>"600701"</f>
        <v>600701</v>
      </c>
      <c r="C4485" s="2" t="str">
        <f>"600701"</f>
        <v>600701</v>
      </c>
      <c r="D4485" s="2" t="s">
        <v>5607</v>
      </c>
      <c r="E4485" s="2">
        <v>0</v>
      </c>
    </row>
    <row r="4486" spans="1:5">
      <c r="A4486" s="2" t="s">
        <v>1537</v>
      </c>
      <c r="B4486" s="2" t="s">
        <v>5608</v>
      </c>
      <c r="C4486" s="2" t="s">
        <v>5608</v>
      </c>
      <c r="D4486" s="2" t="s">
        <v>5609</v>
      </c>
      <c r="E4486" s="4">
        <v>43000</v>
      </c>
    </row>
    <row r="4487" spans="1:5">
      <c r="A4487" s="2" t="s">
        <v>1537</v>
      </c>
      <c r="B4487" s="2" t="str">
        <f>"500711"</f>
        <v>500711</v>
      </c>
      <c r="C4487" s="2" t="str">
        <f>"500711"</f>
        <v>500711</v>
      </c>
      <c r="D4487" s="2" t="s">
        <v>5610</v>
      </c>
      <c r="E4487" s="2">
        <v>0</v>
      </c>
    </row>
    <row r="4488" spans="1:5">
      <c r="A4488" s="2" t="s">
        <v>1537</v>
      </c>
      <c r="B4488" s="2" t="s">
        <v>5611</v>
      </c>
      <c r="C4488" s="2" t="s">
        <v>5611</v>
      </c>
      <c r="D4488" s="2" t="s">
        <v>5612</v>
      </c>
      <c r="E4488" s="2">
        <v>0</v>
      </c>
    </row>
    <row r="4489" spans="1:5">
      <c r="A4489" s="2" t="s">
        <v>1537</v>
      </c>
      <c r="B4489" s="2" t="str">
        <f>"1293308"</f>
        <v>1293308</v>
      </c>
      <c r="C4489" s="2" t="str">
        <f>"1293308"</f>
        <v>1293308</v>
      </c>
      <c r="D4489" s="2" t="s">
        <v>5613</v>
      </c>
      <c r="E4489" s="4">
        <v>11500</v>
      </c>
    </row>
    <row r="4490" spans="1:5">
      <c r="A4490" s="2" t="s">
        <v>296</v>
      </c>
      <c r="B4490" s="2" t="str">
        <f>"0600527"</f>
        <v>0600527</v>
      </c>
      <c r="C4490" s="2" t="str">
        <f>"0600527"</f>
        <v>0600527</v>
      </c>
      <c r="D4490" s="2" t="s">
        <v>5614</v>
      </c>
      <c r="E4490" s="4">
        <v>38000</v>
      </c>
    </row>
    <row r="4491" spans="1:5">
      <c r="A4491" s="2" t="s">
        <v>296</v>
      </c>
      <c r="B4491" s="2" t="str">
        <f>"0003216"</f>
        <v>0003216</v>
      </c>
      <c r="C4491" s="2" t="str">
        <f>"0003216"</f>
        <v>0003216</v>
      </c>
      <c r="D4491" s="2" t="s">
        <v>5615</v>
      </c>
      <c r="E4491" s="4">
        <v>85000</v>
      </c>
    </row>
    <row r="4492" spans="1:5">
      <c r="A4492" s="2" t="s">
        <v>1537</v>
      </c>
      <c r="B4492" s="2" t="str">
        <f>"432058"</f>
        <v>432058</v>
      </c>
      <c r="C4492" s="2" t="str">
        <f>"432058"</f>
        <v>432058</v>
      </c>
      <c r="D4492" s="2" t="s">
        <v>5616</v>
      </c>
      <c r="E4492" s="4">
        <v>1600</v>
      </c>
    </row>
    <row r="4493" spans="1:5">
      <c r="A4493" s="2" t="s">
        <v>1537</v>
      </c>
      <c r="B4493" s="2" t="s">
        <v>5617</v>
      </c>
      <c r="C4493" s="2" t="s">
        <v>5617</v>
      </c>
      <c r="D4493" s="2" t="s">
        <v>5618</v>
      </c>
      <c r="E4493" s="4">
        <v>58300</v>
      </c>
    </row>
    <row r="4494" spans="1:5">
      <c r="A4494" s="2" t="s">
        <v>1537</v>
      </c>
      <c r="B4494" s="2" t="s">
        <v>5619</v>
      </c>
      <c r="C4494" s="2" t="s">
        <v>5619</v>
      </c>
      <c r="D4494" s="2" t="s">
        <v>5620</v>
      </c>
      <c r="E4494" s="4">
        <v>23200</v>
      </c>
    </row>
    <row r="4495" spans="1:5">
      <c r="A4495" s="2" t="s">
        <v>1537</v>
      </c>
      <c r="B4495" s="2" t="str">
        <f>"09060092"</f>
        <v>09060092</v>
      </c>
      <c r="C4495" s="2" t="str">
        <f>"09060092"</f>
        <v>09060092</v>
      </c>
      <c r="D4495" s="2" t="s">
        <v>5621</v>
      </c>
      <c r="E4495" s="2">
        <v>0</v>
      </c>
    </row>
    <row r="4496" spans="1:5">
      <c r="A4496" s="2" t="s">
        <v>1537</v>
      </c>
      <c r="B4496" s="2" t="s">
        <v>5622</v>
      </c>
      <c r="C4496" s="2" t="s">
        <v>5622</v>
      </c>
      <c r="D4496" s="2" t="s">
        <v>5623</v>
      </c>
      <c r="E4496" s="4">
        <v>5200</v>
      </c>
    </row>
    <row r="4497" spans="1:5">
      <c r="A4497" s="2" t="s">
        <v>1537</v>
      </c>
      <c r="B4497" s="2" t="s">
        <v>5624</v>
      </c>
      <c r="C4497" s="2" t="s">
        <v>5624</v>
      </c>
      <c r="D4497" s="2" t="s">
        <v>5625</v>
      </c>
      <c r="E4497" s="4">
        <v>18500</v>
      </c>
    </row>
    <row r="4498" spans="1:5">
      <c r="A4498" s="2" t="s">
        <v>1537</v>
      </c>
      <c r="B4498" s="2" t="str">
        <f>"0003264"</f>
        <v>0003264</v>
      </c>
      <c r="C4498" s="2" t="str">
        <f>"0003264"</f>
        <v>0003264</v>
      </c>
      <c r="D4498" s="2" t="s">
        <v>5626</v>
      </c>
      <c r="E4498" s="2">
        <v>0</v>
      </c>
    </row>
    <row r="4499" spans="1:5">
      <c r="A4499" s="2" t="s">
        <v>296</v>
      </c>
      <c r="B4499" s="2" t="s">
        <v>5627</v>
      </c>
      <c r="C4499" s="2" t="s">
        <v>5627</v>
      </c>
      <c r="D4499" s="2" t="s">
        <v>5628</v>
      </c>
      <c r="E4499" s="4">
        <v>38500</v>
      </c>
    </row>
    <row r="4500" spans="1:5">
      <c r="A4500" s="2" t="s">
        <v>1537</v>
      </c>
      <c r="B4500" s="2" t="s">
        <v>5629</v>
      </c>
      <c r="C4500" s="2" t="s">
        <v>5629</v>
      </c>
      <c r="D4500" s="2" t="s">
        <v>5630</v>
      </c>
      <c r="E4500" s="4">
        <v>34000</v>
      </c>
    </row>
    <row r="4501" spans="1:5">
      <c r="A4501" s="2" t="s">
        <v>296</v>
      </c>
      <c r="B4501" s="2" t="s">
        <v>5631</v>
      </c>
      <c r="C4501" s="2" t="str">
        <f>"903584-2"</f>
        <v>903584-2</v>
      </c>
      <c r="D4501" s="2" t="s">
        <v>5632</v>
      </c>
      <c r="E4501" s="4">
        <v>28000</v>
      </c>
    </row>
    <row r="4502" spans="1:5">
      <c r="A4502" s="2" t="s">
        <v>1537</v>
      </c>
      <c r="B4502" s="2" t="s">
        <v>5633</v>
      </c>
      <c r="C4502" s="2" t="s">
        <v>5633</v>
      </c>
      <c r="D4502" s="2" t="s">
        <v>5634</v>
      </c>
      <c r="E4502" s="4">
        <v>32400</v>
      </c>
    </row>
    <row r="4503" spans="1:5">
      <c r="A4503" s="2" t="s">
        <v>1537</v>
      </c>
      <c r="B4503" s="2" t="str">
        <f>"002096045-0"</f>
        <v>002096045-0</v>
      </c>
      <c r="C4503" s="2" t="str">
        <f>"002096045-0"</f>
        <v>002096045-0</v>
      </c>
      <c r="D4503" s="2" t="s">
        <v>5635</v>
      </c>
      <c r="E4503" s="4">
        <v>28000</v>
      </c>
    </row>
    <row r="4504" spans="1:5">
      <c r="A4504" s="2" t="s">
        <v>1537</v>
      </c>
      <c r="B4504" s="2" t="str">
        <f>"0004997"</f>
        <v>0004997</v>
      </c>
      <c r="C4504" s="2" t="str">
        <f>"0004997"</f>
        <v>0004997</v>
      </c>
      <c r="D4504" s="2" t="s">
        <v>5636</v>
      </c>
      <c r="E4504" s="4">
        <v>38500</v>
      </c>
    </row>
    <row r="4505" spans="1:5">
      <c r="A4505" s="2" t="s">
        <v>1537</v>
      </c>
      <c r="B4505" s="2" t="str">
        <f>"0003263"</f>
        <v>0003263</v>
      </c>
      <c r="C4505" s="2" t="str">
        <f>"0003263"</f>
        <v>0003263</v>
      </c>
      <c r="D4505" s="2" t="s">
        <v>5637</v>
      </c>
      <c r="E4505" s="4">
        <v>34000</v>
      </c>
    </row>
    <row r="4506" spans="1:5">
      <c r="A4506" s="2" t="s">
        <v>1537</v>
      </c>
      <c r="B4506" s="2" t="str">
        <f>"1001310"</f>
        <v>1001310</v>
      </c>
      <c r="C4506" s="2" t="str">
        <f>"1001310"</f>
        <v>1001310</v>
      </c>
      <c r="D4506" s="2" t="s">
        <v>5638</v>
      </c>
      <c r="E4506" s="4">
        <v>29500</v>
      </c>
    </row>
    <row r="4507" spans="1:5">
      <c r="A4507" s="2" t="s">
        <v>1537</v>
      </c>
      <c r="B4507" s="2" t="str">
        <f>"1702167"</f>
        <v>1702167</v>
      </c>
      <c r="C4507" s="2" t="str">
        <f>"1702167"</f>
        <v>1702167</v>
      </c>
      <c r="D4507" s="2" t="s">
        <v>5639</v>
      </c>
      <c r="E4507" s="4">
        <v>18700</v>
      </c>
    </row>
    <row r="4508" spans="1:5">
      <c r="A4508" s="2" t="s">
        <v>1537</v>
      </c>
      <c r="B4508" s="2" t="str">
        <f>"1603167"</f>
        <v>1603167</v>
      </c>
      <c r="C4508" s="2" t="str">
        <f>"1603167"</f>
        <v>1603167</v>
      </c>
      <c r="D4508" s="2" t="s">
        <v>5640</v>
      </c>
      <c r="E4508" s="4">
        <v>24100</v>
      </c>
    </row>
    <row r="4509" spans="1:5">
      <c r="A4509" s="2" t="s">
        <v>1537</v>
      </c>
      <c r="B4509" s="2" t="str">
        <f>"0000081"</f>
        <v>0000081</v>
      </c>
      <c r="C4509" s="2" t="str">
        <f>"0000081"</f>
        <v>0000081</v>
      </c>
      <c r="D4509" s="2" t="s">
        <v>5641</v>
      </c>
      <c r="E4509" s="4">
        <v>12400</v>
      </c>
    </row>
    <row r="4510" spans="1:5">
      <c r="A4510" s="2" t="s">
        <v>1537</v>
      </c>
      <c r="B4510" s="2" t="str">
        <f>"1000980"</f>
        <v>1000980</v>
      </c>
      <c r="C4510" s="2" t="str">
        <f>"1000980"</f>
        <v>1000980</v>
      </c>
      <c r="D4510" s="2" t="s">
        <v>5642</v>
      </c>
      <c r="E4510" s="4">
        <v>12400</v>
      </c>
    </row>
    <row r="4511" spans="1:5">
      <c r="A4511" s="2" t="s">
        <v>1537</v>
      </c>
      <c r="B4511" s="2" t="str">
        <f>"013090721"</f>
        <v>013090721</v>
      </c>
      <c r="C4511" s="2" t="str">
        <f>"013090721"</f>
        <v>013090721</v>
      </c>
      <c r="D4511" s="2" t="s">
        <v>5643</v>
      </c>
      <c r="E4511" s="4">
        <v>32200</v>
      </c>
    </row>
    <row r="4512" spans="1:5">
      <c r="A4512" s="2" t="s">
        <v>1537</v>
      </c>
      <c r="B4512" s="2" t="s">
        <v>5644</v>
      </c>
      <c r="C4512" s="2" t="s">
        <v>5644</v>
      </c>
      <c r="D4512" s="2" t="s">
        <v>5645</v>
      </c>
      <c r="E4512" s="4">
        <v>18700</v>
      </c>
    </row>
    <row r="4513" spans="1:5">
      <c r="A4513" s="2" t="s">
        <v>296</v>
      </c>
      <c r="B4513" s="2" t="str">
        <f>"0008395"</f>
        <v>0008395</v>
      </c>
      <c r="C4513" s="2" t="str">
        <f>"0008395"</f>
        <v>0008395</v>
      </c>
      <c r="D4513" s="2" t="s">
        <v>5646</v>
      </c>
      <c r="E4513" s="4">
        <v>34000</v>
      </c>
    </row>
    <row r="4514" spans="1:5">
      <c r="A4514" s="2" t="s">
        <v>1537</v>
      </c>
      <c r="B4514" s="2" t="str">
        <f>"92401"</f>
        <v>92401</v>
      </c>
      <c r="C4514" s="2" t="str">
        <f>"92401"</f>
        <v>92401</v>
      </c>
      <c r="D4514" s="2" t="s">
        <v>5647</v>
      </c>
      <c r="E4514" s="2">
        <v>0</v>
      </c>
    </row>
    <row r="4515" spans="1:5">
      <c r="A4515" s="2" t="s">
        <v>1537</v>
      </c>
      <c r="B4515" s="2" t="str">
        <f>"0004995"</f>
        <v>0004995</v>
      </c>
      <c r="C4515" s="2" t="str">
        <f>"0004995"</f>
        <v>0004995</v>
      </c>
      <c r="D4515" s="2" t="s">
        <v>5648</v>
      </c>
      <c r="E4515" s="4">
        <v>28600</v>
      </c>
    </row>
    <row r="4516" spans="1:5">
      <c r="A4516" s="2" t="s">
        <v>296</v>
      </c>
      <c r="B4516" s="2" t="str">
        <f>"1893278-4"</f>
        <v>1893278-4</v>
      </c>
      <c r="C4516" s="2" t="str">
        <f>"1893278-4"</f>
        <v>1893278-4</v>
      </c>
      <c r="D4516" s="2" t="s">
        <v>5649</v>
      </c>
      <c r="E4516" s="4">
        <v>14000</v>
      </c>
    </row>
    <row r="4517" spans="1:5">
      <c r="A4517" s="2" t="s">
        <v>1537</v>
      </c>
      <c r="B4517" s="2" t="s">
        <v>5650</v>
      </c>
      <c r="C4517" s="2" t="s">
        <v>5650</v>
      </c>
      <c r="D4517" s="2" t="s">
        <v>5651</v>
      </c>
      <c r="E4517" s="4">
        <v>9700</v>
      </c>
    </row>
    <row r="4518" spans="1:5">
      <c r="A4518" s="2" t="s">
        <v>1537</v>
      </c>
      <c r="B4518" s="2" t="str">
        <f>"0000091"</f>
        <v>0000091</v>
      </c>
      <c r="C4518" s="2" t="str">
        <f>"0000091"</f>
        <v>0000091</v>
      </c>
      <c r="D4518" s="2" t="s">
        <v>5652</v>
      </c>
      <c r="E4518" s="4">
        <v>28600</v>
      </c>
    </row>
    <row r="4519" spans="1:5">
      <c r="A4519" s="2" t="s">
        <v>1537</v>
      </c>
      <c r="B4519" s="2" t="s">
        <v>5653</v>
      </c>
      <c r="C4519" s="2" t="str">
        <f>"215-1906-A"</f>
        <v>215-1906-A</v>
      </c>
      <c r="D4519" s="2" t="s">
        <v>5654</v>
      </c>
      <c r="E4519" s="4">
        <v>7000</v>
      </c>
    </row>
    <row r="4520" spans="1:5">
      <c r="A4520" s="2" t="s">
        <v>1537</v>
      </c>
      <c r="B4520" s="2" t="s">
        <v>5655</v>
      </c>
      <c r="C4520" s="2" t="s">
        <v>5655</v>
      </c>
      <c r="D4520" s="2" t="s">
        <v>5656</v>
      </c>
      <c r="E4520" s="4">
        <v>38500</v>
      </c>
    </row>
    <row r="4521" spans="1:5">
      <c r="A4521" s="2" t="s">
        <v>1537</v>
      </c>
      <c r="B4521" s="2" t="str">
        <f>"500712"</f>
        <v>500712</v>
      </c>
      <c r="C4521" s="2" t="str">
        <f>"500712"</f>
        <v>500712</v>
      </c>
      <c r="D4521" s="2" t="s">
        <v>5657</v>
      </c>
      <c r="E4521" s="4">
        <v>28600</v>
      </c>
    </row>
    <row r="4522" spans="1:5">
      <c r="A4522" s="2" t="s">
        <v>1537</v>
      </c>
      <c r="B4522" s="2" t="s">
        <v>5658</v>
      </c>
      <c r="C4522" s="2" t="s">
        <v>5658</v>
      </c>
      <c r="D4522" s="2" t="s">
        <v>5659</v>
      </c>
      <c r="E4522" s="4">
        <v>18500</v>
      </c>
    </row>
    <row r="4523" spans="1:5">
      <c r="A4523" s="2" t="s">
        <v>1537</v>
      </c>
      <c r="B4523" s="2" t="s">
        <v>5660</v>
      </c>
      <c r="C4523" s="2" t="s">
        <v>5660</v>
      </c>
      <c r="D4523" s="2" t="s">
        <v>5661</v>
      </c>
      <c r="E4523" s="4">
        <v>7000</v>
      </c>
    </row>
    <row r="4524" spans="1:5">
      <c r="A4524" s="2" t="s">
        <v>1537</v>
      </c>
      <c r="B4524" s="2" t="s">
        <v>5662</v>
      </c>
      <c r="C4524" s="2" t="s">
        <v>5662</v>
      </c>
      <c r="D4524" s="2" t="s">
        <v>5663</v>
      </c>
      <c r="E4524" s="4">
        <v>38000</v>
      </c>
    </row>
    <row r="4525" spans="1:5">
      <c r="A4525" s="2" t="s">
        <v>1537</v>
      </c>
      <c r="B4525" s="2" t="str">
        <f>"0000001"</f>
        <v>0000001</v>
      </c>
      <c r="C4525" s="2" t="str">
        <f>"0000001"</f>
        <v>0000001</v>
      </c>
      <c r="D4525" s="2" t="s">
        <v>5664</v>
      </c>
      <c r="E4525" s="2">
        <v>0</v>
      </c>
    </row>
    <row r="4526" spans="1:5">
      <c r="A4526" s="2" t="s">
        <v>296</v>
      </c>
      <c r="B4526" s="2" t="str">
        <f>"090600750"</f>
        <v>090600750</v>
      </c>
      <c r="C4526" s="2" t="str">
        <f>"090600750"</f>
        <v>090600750</v>
      </c>
      <c r="D4526" s="2" t="s">
        <v>5665</v>
      </c>
      <c r="E4526" s="4">
        <v>25000</v>
      </c>
    </row>
    <row r="4527" spans="1:5">
      <c r="A4527" s="2" t="s">
        <v>296</v>
      </c>
      <c r="B4527" s="2" t="s">
        <v>5666</v>
      </c>
      <c r="C4527" s="2" t="s">
        <v>5666</v>
      </c>
      <c r="D4527" s="2" t="s">
        <v>5667</v>
      </c>
      <c r="E4527" s="4">
        <v>8900</v>
      </c>
    </row>
    <row r="4528" spans="1:5">
      <c r="A4528" s="2" t="s">
        <v>296</v>
      </c>
      <c r="B4528" s="2" t="s">
        <v>5668</v>
      </c>
      <c r="C4528" s="2" t="s">
        <v>5669</v>
      </c>
      <c r="D4528" s="2" t="s">
        <v>5667</v>
      </c>
      <c r="E4528" s="4">
        <v>10600</v>
      </c>
    </row>
    <row r="4529" spans="1:5">
      <c r="A4529" s="2" t="s">
        <v>296</v>
      </c>
      <c r="B4529" s="2" t="s">
        <v>5670</v>
      </c>
      <c r="C4529" s="2" t="s">
        <v>5670</v>
      </c>
      <c r="D4529" s="2" t="s">
        <v>5671</v>
      </c>
      <c r="E4529" s="4">
        <v>32000</v>
      </c>
    </row>
    <row r="4530" spans="1:5">
      <c r="A4530" s="2" t="s">
        <v>296</v>
      </c>
      <c r="B4530" s="2" t="str">
        <f>"0000092"</f>
        <v>0000092</v>
      </c>
      <c r="C4530" s="2" t="str">
        <f>"0000092"</f>
        <v>0000092</v>
      </c>
      <c r="D4530" s="2" t="s">
        <v>5672</v>
      </c>
      <c r="E4530" s="4">
        <v>34000</v>
      </c>
    </row>
    <row r="4531" spans="1:5">
      <c r="A4531" s="2" t="s">
        <v>296</v>
      </c>
      <c r="B4531" s="2" t="s">
        <v>5673</v>
      </c>
      <c r="C4531" s="2" t="s">
        <v>5673</v>
      </c>
      <c r="D4531" s="2" t="s">
        <v>5674</v>
      </c>
      <c r="E4531" s="4">
        <v>38000</v>
      </c>
    </row>
    <row r="4532" spans="1:5">
      <c r="A4532" s="2" t="s">
        <v>296</v>
      </c>
      <c r="B4532" s="2" t="s">
        <v>5675</v>
      </c>
      <c r="C4532" s="2" t="s">
        <v>5675</v>
      </c>
      <c r="D4532" s="2" t="s">
        <v>5676</v>
      </c>
      <c r="E4532" s="4">
        <v>124000</v>
      </c>
    </row>
    <row r="4533" spans="1:5">
      <c r="A4533" s="2" t="s">
        <v>1537</v>
      </c>
      <c r="B4533" s="2" t="str">
        <f>"013090722"</f>
        <v>013090722</v>
      </c>
      <c r="C4533" s="2" t="str">
        <f>"013090722"</f>
        <v>013090722</v>
      </c>
      <c r="D4533" s="2" t="s">
        <v>5677</v>
      </c>
      <c r="E4533" s="4">
        <v>48400</v>
      </c>
    </row>
    <row r="4534" spans="1:5">
      <c r="A4534" s="2" t="s">
        <v>1537</v>
      </c>
      <c r="B4534" s="2" t="str">
        <f>"9060159"</f>
        <v>9060159</v>
      </c>
      <c r="C4534" s="2" t="str">
        <f>"9060159"</f>
        <v>9060159</v>
      </c>
      <c r="D4534" s="2" t="s">
        <v>5678</v>
      </c>
      <c r="E4534" s="4">
        <v>7500</v>
      </c>
    </row>
    <row r="4535" spans="1:5">
      <c r="A4535" s="2" t="s">
        <v>1537</v>
      </c>
      <c r="B4535" s="2" t="str">
        <f>"600702"</f>
        <v>600702</v>
      </c>
      <c r="C4535" s="2" t="str">
        <f>"600702"</f>
        <v>600702</v>
      </c>
      <c r="D4535" s="2" t="s">
        <v>5679</v>
      </c>
      <c r="E4535" s="4">
        <v>14800</v>
      </c>
    </row>
    <row r="4536" spans="1:5">
      <c r="A4536" s="2" t="s">
        <v>1537</v>
      </c>
      <c r="B4536" s="2" t="str">
        <f>"010109"</f>
        <v>010109</v>
      </c>
      <c r="C4536" s="2" t="str">
        <f>"010109"</f>
        <v>010109</v>
      </c>
      <c r="D4536" s="2" t="s">
        <v>5680</v>
      </c>
      <c r="E4536" s="4">
        <v>12400</v>
      </c>
    </row>
    <row r="4537" spans="1:5">
      <c r="A4537" s="2" t="s">
        <v>1537</v>
      </c>
      <c r="B4537" s="2" t="str">
        <f>"403444-9"</f>
        <v>403444-9</v>
      </c>
      <c r="C4537" s="2" t="str">
        <f>"403444-9"</f>
        <v>403444-9</v>
      </c>
      <c r="D4537" s="2" t="s">
        <v>5681</v>
      </c>
      <c r="E4537" s="4">
        <v>7000</v>
      </c>
    </row>
    <row r="4538" spans="1:5">
      <c r="A4538" s="2" t="s">
        <v>1537</v>
      </c>
      <c r="B4538" s="2" t="str">
        <f>"0002912"</f>
        <v>0002912</v>
      </c>
      <c r="C4538" s="2" t="str">
        <f>"0002912"</f>
        <v>0002912</v>
      </c>
      <c r="D4538" s="2" t="s">
        <v>5682</v>
      </c>
      <c r="E4538" s="4">
        <v>7900</v>
      </c>
    </row>
    <row r="4539" spans="1:5">
      <c r="A4539" s="2" t="s">
        <v>1537</v>
      </c>
      <c r="B4539" s="2" t="str">
        <f>"0700267"</f>
        <v>0700267</v>
      </c>
      <c r="C4539" s="2" t="str">
        <f>"0700267"</f>
        <v>0700267</v>
      </c>
      <c r="D4539" s="2" t="s">
        <v>5683</v>
      </c>
      <c r="E4539" s="4">
        <v>11500</v>
      </c>
    </row>
    <row r="4540" spans="1:5">
      <c r="A4540" s="2" t="s">
        <v>1537</v>
      </c>
      <c r="B4540" s="2" t="str">
        <f>"433496-5"</f>
        <v>433496-5</v>
      </c>
      <c r="C4540" s="2" t="str">
        <f>"433496-5"</f>
        <v>433496-5</v>
      </c>
      <c r="D4540" s="2" t="s">
        <v>5684</v>
      </c>
      <c r="E4540" s="4">
        <v>11500</v>
      </c>
    </row>
    <row r="4541" spans="1:5">
      <c r="A4541" s="2" t="s">
        <v>1537</v>
      </c>
      <c r="B4541" s="2" t="str">
        <f>"0185518"</f>
        <v>0185518</v>
      </c>
      <c r="C4541" s="2" t="str">
        <f>"0185518"</f>
        <v>0185518</v>
      </c>
      <c r="D4541" s="2" t="s">
        <v>5685</v>
      </c>
      <c r="E4541" s="4">
        <v>16000</v>
      </c>
    </row>
    <row r="4542" spans="1:5">
      <c r="A4542" s="2" t="s">
        <v>1537</v>
      </c>
      <c r="B4542" s="2" t="str">
        <f>"0185528"</f>
        <v>0185528</v>
      </c>
      <c r="C4542" s="2" t="str">
        <f>"0185528"</f>
        <v>0185528</v>
      </c>
      <c r="D4542" s="2" t="s">
        <v>5686</v>
      </c>
      <c r="E4542" s="4">
        <v>16000</v>
      </c>
    </row>
    <row r="4543" spans="1:5">
      <c r="A4543" s="2" t="s">
        <v>1537</v>
      </c>
      <c r="B4543" s="2" t="str">
        <f>"01308D21"</f>
        <v>01308D21</v>
      </c>
      <c r="C4543" s="2" t="str">
        <f>"01308D21"</f>
        <v>01308D21</v>
      </c>
      <c r="D4543" s="2" t="s">
        <v>5687</v>
      </c>
      <c r="E4543" s="4">
        <v>10600</v>
      </c>
    </row>
    <row r="4544" spans="1:5">
      <c r="A4544" s="2" t="s">
        <v>1537</v>
      </c>
      <c r="B4544" s="2" t="s">
        <v>5688</v>
      </c>
      <c r="C4544" s="2" t="s">
        <v>5688</v>
      </c>
      <c r="D4544" s="2" t="s">
        <v>5689</v>
      </c>
      <c r="E4544" s="4">
        <v>28600</v>
      </c>
    </row>
    <row r="4545" spans="1:5">
      <c r="A4545" s="2" t="s">
        <v>1537</v>
      </c>
      <c r="B4545" s="2" t="s">
        <v>5690</v>
      </c>
      <c r="C4545" s="2" t="s">
        <v>5690</v>
      </c>
      <c r="D4545" s="2" t="s">
        <v>5691</v>
      </c>
      <c r="E4545" s="4">
        <v>28600</v>
      </c>
    </row>
    <row r="4546" spans="1:5">
      <c r="A4546" s="2" t="s">
        <v>1537</v>
      </c>
      <c r="B4546" s="2" t="str">
        <f>"0010321"</f>
        <v>0010321</v>
      </c>
      <c r="C4546" s="2" t="str">
        <f>"0010321"</f>
        <v>0010321</v>
      </c>
      <c r="D4546" s="2" t="s">
        <v>5692</v>
      </c>
      <c r="E4546" s="4">
        <v>28600</v>
      </c>
    </row>
    <row r="4547" spans="1:5">
      <c r="A4547" s="2" t="s">
        <v>1537</v>
      </c>
      <c r="B4547" s="2" t="str">
        <f>"0010322"</f>
        <v>0010322</v>
      </c>
      <c r="C4547" s="2" t="str">
        <f>"0010322 9950989"</f>
        <v>0010322 9950989</v>
      </c>
      <c r="D4547" s="2" t="s">
        <v>5693</v>
      </c>
      <c r="E4547" s="4">
        <v>34000</v>
      </c>
    </row>
    <row r="4548" spans="1:5">
      <c r="A4548" s="2" t="s">
        <v>1537</v>
      </c>
      <c r="B4548" s="2" t="str">
        <f>"0181408"</f>
        <v>0181408</v>
      </c>
      <c r="C4548" s="2" t="str">
        <f>"0181408"</f>
        <v>0181408</v>
      </c>
      <c r="D4548" s="2" t="s">
        <v>5694</v>
      </c>
      <c r="E4548" s="4">
        <v>28600</v>
      </c>
    </row>
    <row r="4549" spans="1:5">
      <c r="A4549" s="2" t="s">
        <v>1537</v>
      </c>
      <c r="B4549" s="2" t="str">
        <f>"0181398"</f>
        <v>0181398</v>
      </c>
      <c r="C4549" s="2" t="str">
        <f>"0181398"</f>
        <v>0181398</v>
      </c>
      <c r="D4549" s="2" t="s">
        <v>5695</v>
      </c>
      <c r="E4549" s="4">
        <v>28600</v>
      </c>
    </row>
    <row r="4550" spans="1:5">
      <c r="A4550" s="2" t="s">
        <v>1537</v>
      </c>
      <c r="B4550" s="2" t="str">
        <f>"432058-1"</f>
        <v>432058-1</v>
      </c>
      <c r="C4550" s="2" t="str">
        <f>"432058-1"</f>
        <v>432058-1</v>
      </c>
      <c r="D4550" s="2" t="s">
        <v>5696</v>
      </c>
      <c r="E4550" s="4">
        <v>16000</v>
      </c>
    </row>
    <row r="4551" spans="1:5">
      <c r="A4551" s="2" t="s">
        <v>1537</v>
      </c>
      <c r="B4551" s="2" t="str">
        <f>"432057-3"</f>
        <v>432057-3</v>
      </c>
      <c r="C4551" s="2" t="str">
        <f>"432057-3"</f>
        <v>432057-3</v>
      </c>
      <c r="D4551" s="2" t="s">
        <v>5697</v>
      </c>
      <c r="E4551" s="4">
        <v>16000</v>
      </c>
    </row>
    <row r="4552" spans="1:5">
      <c r="A4552" s="2" t="s">
        <v>1537</v>
      </c>
      <c r="B4552" s="2" t="s">
        <v>5698</v>
      </c>
      <c r="C4552" s="2" t="s">
        <v>5698</v>
      </c>
      <c r="D4552" s="2" t="s">
        <v>5699</v>
      </c>
      <c r="E4552" s="4">
        <v>28000</v>
      </c>
    </row>
    <row r="4553" spans="1:5">
      <c r="A4553" s="2" t="s">
        <v>1537</v>
      </c>
      <c r="B4553" s="2" t="s">
        <v>5700</v>
      </c>
      <c r="C4553" s="2" t="s">
        <v>5700</v>
      </c>
      <c r="D4553" s="2" t="s">
        <v>5701</v>
      </c>
      <c r="E4553" s="4">
        <v>39000</v>
      </c>
    </row>
    <row r="4554" spans="1:5">
      <c r="A4554" s="2" t="s">
        <v>1537</v>
      </c>
      <c r="B4554" s="2" t="str">
        <f>"0101000"</f>
        <v>0101000</v>
      </c>
      <c r="C4554" s="2" t="str">
        <f>"0101000"</f>
        <v>0101000</v>
      </c>
      <c r="D4554" s="2" t="s">
        <v>5702</v>
      </c>
      <c r="E4554" s="4">
        <v>14500</v>
      </c>
    </row>
    <row r="4555" spans="1:5">
      <c r="A4555" s="2" t="s">
        <v>1537</v>
      </c>
      <c r="B4555" s="2" t="str">
        <f>"0110070"</f>
        <v>0110070</v>
      </c>
      <c r="C4555" s="2" t="str">
        <f>"0110070"</f>
        <v>0110070</v>
      </c>
      <c r="D4555" s="2" t="s">
        <v>5703</v>
      </c>
      <c r="E4555" s="4">
        <v>10900</v>
      </c>
    </row>
    <row r="4556" spans="1:5">
      <c r="A4556" s="2" t="s">
        <v>1537</v>
      </c>
      <c r="B4556" s="2" t="str">
        <f>"0101150"</f>
        <v>0101150</v>
      </c>
      <c r="C4556" s="2" t="str">
        <f>"0101150"</f>
        <v>0101150</v>
      </c>
      <c r="D4556" s="2" t="s">
        <v>5704</v>
      </c>
      <c r="E4556" s="4">
        <v>16000</v>
      </c>
    </row>
    <row r="4557" spans="1:5">
      <c r="A4557" s="2" t="s">
        <v>1537</v>
      </c>
      <c r="B4557" s="2" t="str">
        <f>"0100830"</f>
        <v>0100830</v>
      </c>
      <c r="C4557" s="2" t="str">
        <f>"0100830"</f>
        <v>0100830</v>
      </c>
      <c r="D4557" s="2" t="s">
        <v>5705</v>
      </c>
      <c r="E4557" s="4">
        <v>11500</v>
      </c>
    </row>
    <row r="4558" spans="1:5">
      <c r="A4558" s="2" t="s">
        <v>1537</v>
      </c>
      <c r="B4558" s="2" t="s">
        <v>5706</v>
      </c>
      <c r="C4558" s="2" t="str">
        <f>"230732"</f>
        <v>230732</v>
      </c>
      <c r="D4558" s="2" t="s">
        <v>5707</v>
      </c>
      <c r="E4558" s="4">
        <v>9700</v>
      </c>
    </row>
    <row r="4559" spans="1:5">
      <c r="A4559" s="2" t="s">
        <v>1537</v>
      </c>
      <c r="B4559" s="2" t="s">
        <v>5708</v>
      </c>
      <c r="C4559" s="2" t="s">
        <v>5708</v>
      </c>
      <c r="D4559" s="2" t="s">
        <v>5709</v>
      </c>
      <c r="E4559" s="4">
        <v>32500</v>
      </c>
    </row>
    <row r="4560" spans="1:5">
      <c r="A4560" s="2" t="s">
        <v>1537</v>
      </c>
      <c r="B4560" s="2" t="str">
        <f>"0101100"</f>
        <v>0101100</v>
      </c>
      <c r="C4560" s="2" t="str">
        <f>"0101100"</f>
        <v>0101100</v>
      </c>
      <c r="D4560" s="2" t="s">
        <v>5710</v>
      </c>
      <c r="E4560" s="4">
        <v>14500</v>
      </c>
    </row>
    <row r="4561" spans="1:5">
      <c r="A4561" s="2" t="s">
        <v>1537</v>
      </c>
      <c r="B4561" s="2" t="str">
        <f>"0101090"</f>
        <v>0101090</v>
      </c>
      <c r="C4561" s="2" t="str">
        <f>"0101090"</f>
        <v>0101090</v>
      </c>
      <c r="D4561" s="2" t="s">
        <v>5711</v>
      </c>
      <c r="E4561" s="4">
        <v>14200</v>
      </c>
    </row>
    <row r="4562" spans="1:5">
      <c r="A4562" s="2" t="s">
        <v>296</v>
      </c>
      <c r="B4562" s="2" t="s">
        <v>5712</v>
      </c>
      <c r="C4562" s="2" t="s">
        <v>5712</v>
      </c>
      <c r="D4562" s="2" t="s">
        <v>5713</v>
      </c>
      <c r="E4562" s="4">
        <v>22000</v>
      </c>
    </row>
    <row r="4563" spans="1:5">
      <c r="A4563" s="2" t="s">
        <v>296</v>
      </c>
      <c r="B4563" s="2" t="str">
        <f>"076018"</f>
        <v>076018</v>
      </c>
      <c r="C4563" s="2" t="str">
        <f>"076018"</f>
        <v>076018</v>
      </c>
      <c r="D4563" s="2" t="s">
        <v>5714</v>
      </c>
      <c r="E4563" s="4">
        <v>18700</v>
      </c>
    </row>
    <row r="4564" spans="1:5">
      <c r="A4564" s="2" t="s">
        <v>1537</v>
      </c>
      <c r="B4564" s="2" t="s">
        <v>5715</v>
      </c>
      <c r="C4564" s="2" t="s">
        <v>5715</v>
      </c>
      <c r="D4564" s="2" t="s">
        <v>5716</v>
      </c>
      <c r="E4564" s="4">
        <v>17000</v>
      </c>
    </row>
    <row r="4565" spans="1:5">
      <c r="A4565" s="2" t="s">
        <v>1537</v>
      </c>
      <c r="B4565" s="2" t="str">
        <f>"050458"</f>
        <v>050458</v>
      </c>
      <c r="C4565" s="2" t="str">
        <f>"050458"</f>
        <v>050458</v>
      </c>
      <c r="D4565" s="2" t="s">
        <v>5717</v>
      </c>
      <c r="E4565" s="4">
        <v>9900</v>
      </c>
    </row>
    <row r="4566" spans="1:5">
      <c r="A4566" s="2" t="s">
        <v>1537</v>
      </c>
      <c r="B4566" s="2" t="str">
        <f>"090600992"</f>
        <v>090600992</v>
      </c>
      <c r="C4566" s="2" t="str">
        <f>"090600992"</f>
        <v>090600992</v>
      </c>
      <c r="D4566" s="2" t="s">
        <v>5718</v>
      </c>
      <c r="E4566" s="4">
        <v>18500</v>
      </c>
    </row>
    <row r="4567" spans="1:5">
      <c r="A4567" s="2" t="s">
        <v>1537</v>
      </c>
      <c r="B4567" s="2" t="s">
        <v>5719</v>
      </c>
      <c r="C4567" s="2" t="s">
        <v>5719</v>
      </c>
      <c r="D4567" s="2" t="s">
        <v>5720</v>
      </c>
      <c r="E4567" s="4">
        <v>18500</v>
      </c>
    </row>
    <row r="4568" spans="1:5">
      <c r="A4568" s="2" t="s">
        <v>1537</v>
      </c>
      <c r="B4568" s="2" t="str">
        <f>"090600288"</f>
        <v>090600288</v>
      </c>
      <c r="C4568" s="2" t="str">
        <f>"090600288"</f>
        <v>090600288</v>
      </c>
      <c r="D4568" s="2" t="s">
        <v>5721</v>
      </c>
      <c r="E4568" s="4">
        <v>19600</v>
      </c>
    </row>
    <row r="4569" spans="1:5">
      <c r="A4569" s="2" t="s">
        <v>1537</v>
      </c>
      <c r="B4569" s="2" t="str">
        <f>"090600971"</f>
        <v>090600971</v>
      </c>
      <c r="C4569" s="2" t="str">
        <f>"090600971"</f>
        <v>090600971</v>
      </c>
      <c r="D4569" s="2" t="s">
        <v>5722</v>
      </c>
      <c r="E4569" s="4">
        <v>18900</v>
      </c>
    </row>
    <row r="4570" spans="1:5">
      <c r="A4570" s="2" t="s">
        <v>1537</v>
      </c>
      <c r="B4570" s="2" t="str">
        <f>"090600972"</f>
        <v>090600972</v>
      </c>
      <c r="C4570" s="2" t="str">
        <f>"090600972"</f>
        <v>090600972</v>
      </c>
      <c r="D4570" s="2" t="s">
        <v>5723</v>
      </c>
      <c r="E4570" s="4">
        <v>18900</v>
      </c>
    </row>
    <row r="4571" spans="1:5">
      <c r="A4571" s="2" t="s">
        <v>1537</v>
      </c>
      <c r="B4571" s="2" t="s">
        <v>5724</v>
      </c>
      <c r="C4571" s="2" t="s">
        <v>5724</v>
      </c>
      <c r="D4571" s="2" t="s">
        <v>5725</v>
      </c>
      <c r="E4571" s="4">
        <v>21400</v>
      </c>
    </row>
    <row r="4572" spans="1:5">
      <c r="A4572" s="2" t="s">
        <v>296</v>
      </c>
      <c r="B4572" s="2" t="str">
        <f>"090600204"</f>
        <v>090600204</v>
      </c>
      <c r="C4572" s="2" t="str">
        <f>"090600204"</f>
        <v>090600204</v>
      </c>
      <c r="D4572" s="2" t="s">
        <v>5726</v>
      </c>
      <c r="E4572" s="4">
        <v>8800</v>
      </c>
    </row>
    <row r="4573" spans="1:5">
      <c r="A4573" s="2" t="s">
        <v>296</v>
      </c>
      <c r="B4573" s="2" t="str">
        <f>"0004938"</f>
        <v>0004938</v>
      </c>
      <c r="C4573" s="2" t="str">
        <f>"0004938"</f>
        <v>0004938</v>
      </c>
      <c r="D4573" s="2" t="s">
        <v>5727</v>
      </c>
      <c r="E4573" s="4">
        <v>34000</v>
      </c>
    </row>
    <row r="4574" spans="1:5">
      <c r="A4574" s="2" t="s">
        <v>296</v>
      </c>
      <c r="B4574" s="2" t="str">
        <f>"0004939"</f>
        <v>0004939</v>
      </c>
      <c r="C4574" s="2" t="str">
        <f>"0009394"</f>
        <v>0009394</v>
      </c>
      <c r="D4574" s="2" t="s">
        <v>5728</v>
      </c>
      <c r="E4574" s="4">
        <v>34000</v>
      </c>
    </row>
    <row r="4575" spans="1:5">
      <c r="A4575" s="2" t="s">
        <v>296</v>
      </c>
      <c r="B4575" s="2" t="str">
        <f>"0025167"</f>
        <v>0025167</v>
      </c>
      <c r="C4575" s="2" t="str">
        <f>"0025167"</f>
        <v>0025167</v>
      </c>
      <c r="D4575" s="2" t="s">
        <v>5729</v>
      </c>
      <c r="E4575" s="4">
        <v>34000</v>
      </c>
    </row>
    <row r="4576" spans="1:5">
      <c r="A4576" s="2" t="s">
        <v>1537</v>
      </c>
      <c r="B4576" s="2" t="s">
        <v>5730</v>
      </c>
      <c r="C4576" s="2" t="s">
        <v>5730</v>
      </c>
      <c r="D4576" s="2" t="s">
        <v>5731</v>
      </c>
      <c r="E4576" s="4">
        <v>38000</v>
      </c>
    </row>
    <row r="4577" spans="1:5">
      <c r="A4577" s="2" t="s">
        <v>1537</v>
      </c>
      <c r="B4577" s="2" t="s">
        <v>5732</v>
      </c>
      <c r="C4577" s="2" t="s">
        <v>5732</v>
      </c>
      <c r="D4577" s="2" t="s">
        <v>5733</v>
      </c>
      <c r="E4577" s="4">
        <v>43000</v>
      </c>
    </row>
    <row r="4578" spans="1:5">
      <c r="A4578" s="2" t="s">
        <v>296</v>
      </c>
      <c r="B4578" s="2" t="str">
        <f>"903920-1"</f>
        <v>903920-1</v>
      </c>
      <c r="C4578" s="2" t="str">
        <f>"903920-1"</f>
        <v>903920-1</v>
      </c>
      <c r="D4578" s="2" t="s">
        <v>5734</v>
      </c>
      <c r="E4578" s="4">
        <v>49000</v>
      </c>
    </row>
    <row r="4579" spans="1:5">
      <c r="A4579" s="2" t="s">
        <v>296</v>
      </c>
      <c r="B4579" s="2" t="str">
        <f>"090980677"</f>
        <v>090980677</v>
      </c>
      <c r="C4579" s="2" t="str">
        <f>"090980677"</f>
        <v>090980677</v>
      </c>
      <c r="D4579" s="2" t="s">
        <v>5735</v>
      </c>
      <c r="E4579" s="4">
        <v>9700</v>
      </c>
    </row>
    <row r="4580" spans="1:5">
      <c r="A4580" s="2" t="s">
        <v>1537</v>
      </c>
      <c r="B4580" s="2" t="str">
        <f>"0100840"</f>
        <v>0100840</v>
      </c>
      <c r="C4580" s="2" t="str">
        <f>"0100840"</f>
        <v>0100840</v>
      </c>
      <c r="D4580" s="2" t="s">
        <v>5736</v>
      </c>
      <c r="E4580" s="4">
        <v>11500</v>
      </c>
    </row>
    <row r="4581" spans="1:5">
      <c r="A4581" s="2" t="s">
        <v>296</v>
      </c>
      <c r="B4581" s="2" t="s">
        <v>5737</v>
      </c>
      <c r="C4581" s="2" t="s">
        <v>5737</v>
      </c>
      <c r="D4581" s="2" t="s">
        <v>5738</v>
      </c>
      <c r="E4581" s="4">
        <v>34000</v>
      </c>
    </row>
    <row r="4582" spans="1:5">
      <c r="A4582" s="2" t="s">
        <v>296</v>
      </c>
      <c r="B4582" s="2" t="s">
        <v>5739</v>
      </c>
      <c r="C4582" s="2" t="s">
        <v>5739</v>
      </c>
      <c r="D4582" s="2" t="s">
        <v>5740</v>
      </c>
      <c r="E4582" s="4">
        <v>59000</v>
      </c>
    </row>
    <row r="4583" spans="1:5">
      <c r="A4583" s="2" t="s">
        <v>296</v>
      </c>
      <c r="B4583" s="2" t="s">
        <v>5741</v>
      </c>
      <c r="C4583" s="2" t="str">
        <f>"1645557022672"</f>
        <v>1645557022672</v>
      </c>
      <c r="D4583" s="2" t="s">
        <v>5742</v>
      </c>
      <c r="E4583" s="4">
        <v>59000</v>
      </c>
    </row>
    <row r="4584" spans="1:5">
      <c r="A4584" s="2" t="s">
        <v>1537</v>
      </c>
      <c r="B4584" s="2" t="str">
        <f>"0004080"</f>
        <v>0004080</v>
      </c>
      <c r="C4584" s="2" t="str">
        <f>"0004080"</f>
        <v>0004080</v>
      </c>
      <c r="D4584" s="2" t="s">
        <v>5743</v>
      </c>
      <c r="E4584" s="4">
        <v>38500</v>
      </c>
    </row>
    <row r="4585" spans="1:5">
      <c r="A4585" s="2" t="s">
        <v>296</v>
      </c>
      <c r="B4585" s="2" t="str">
        <f>"980337-8"</f>
        <v>980337-8</v>
      </c>
      <c r="C4585" s="2" t="str">
        <f>"980337-8"</f>
        <v>980337-8</v>
      </c>
      <c r="D4585" s="2" t="s">
        <v>5744</v>
      </c>
      <c r="E4585" s="4">
        <v>34000</v>
      </c>
    </row>
    <row r="4586" spans="1:5">
      <c r="A4586" s="2" t="s">
        <v>1537</v>
      </c>
      <c r="B4586" s="2" t="s">
        <v>5745</v>
      </c>
      <c r="C4586" s="2" t="s">
        <v>5745</v>
      </c>
      <c r="D4586" s="2" t="s">
        <v>5746</v>
      </c>
      <c r="E4586" s="2">
        <v>0</v>
      </c>
    </row>
    <row r="4587" spans="1:5">
      <c r="A4587" s="2" t="s">
        <v>296</v>
      </c>
      <c r="B4587" s="2" t="str">
        <f>"0110080"</f>
        <v>0110080</v>
      </c>
      <c r="C4587" s="2" t="str">
        <f>"0110080"</f>
        <v>0110080</v>
      </c>
      <c r="D4587" s="2" t="s">
        <v>5747</v>
      </c>
      <c r="E4587" s="4">
        <v>10900</v>
      </c>
    </row>
    <row r="4588" spans="1:5">
      <c r="A4588" s="2" t="s">
        <v>1537</v>
      </c>
      <c r="B4588" s="2" t="s">
        <v>5748</v>
      </c>
      <c r="C4588" s="2" t="s">
        <v>5748</v>
      </c>
      <c r="D4588" s="2" t="s">
        <v>5749</v>
      </c>
      <c r="E4588" s="2">
        <v>0</v>
      </c>
    </row>
    <row r="4589" spans="1:5">
      <c r="A4589" s="2" t="s">
        <v>1537</v>
      </c>
      <c r="B4589" s="2" t="s">
        <v>5750</v>
      </c>
      <c r="C4589" s="2" t="s">
        <v>5750</v>
      </c>
      <c r="D4589" s="2" t="s">
        <v>5751</v>
      </c>
      <c r="E4589" s="4">
        <v>13300</v>
      </c>
    </row>
    <row r="4590" spans="1:5">
      <c r="A4590" s="2" t="s">
        <v>296</v>
      </c>
      <c r="B4590" s="2" t="s">
        <v>5752</v>
      </c>
      <c r="C4590" s="2" t="s">
        <v>5753</v>
      </c>
      <c r="D4590" s="2" t="s">
        <v>5754</v>
      </c>
      <c r="E4590" s="4">
        <v>5500</v>
      </c>
    </row>
    <row r="4591" spans="1:5">
      <c r="A4591" s="2" t="s">
        <v>1537</v>
      </c>
      <c r="B4591" s="2" t="str">
        <f>"1641570"</f>
        <v>1641570</v>
      </c>
      <c r="C4591" s="2" t="str">
        <f>"1641570"</f>
        <v>1641570</v>
      </c>
      <c r="D4591" s="2" t="s">
        <v>5755</v>
      </c>
      <c r="E4591" s="4">
        <v>15800</v>
      </c>
    </row>
    <row r="4592" spans="1:5">
      <c r="A4592" s="2" t="s">
        <v>296</v>
      </c>
      <c r="B4592" s="2" t="str">
        <f>"1648430"</f>
        <v>1648430</v>
      </c>
      <c r="C4592" s="2" t="str">
        <f>"1648430"</f>
        <v>1648430</v>
      </c>
      <c r="D4592" s="2" t="s">
        <v>5756</v>
      </c>
      <c r="E4592" s="4">
        <v>11500</v>
      </c>
    </row>
    <row r="4593" spans="1:5">
      <c r="A4593" s="2" t="s">
        <v>296</v>
      </c>
      <c r="B4593" s="2" t="s">
        <v>5757</v>
      </c>
      <c r="C4593" s="2" t="s">
        <v>5757</v>
      </c>
      <c r="D4593" s="2" t="s">
        <v>5758</v>
      </c>
      <c r="E4593" s="4">
        <v>34000</v>
      </c>
    </row>
    <row r="4594" spans="1:5">
      <c r="A4594" s="2" t="s">
        <v>296</v>
      </c>
      <c r="B4594" s="2" t="str">
        <f>"1893270-9"</f>
        <v>1893270-9</v>
      </c>
      <c r="C4594" s="2" t="str">
        <f>"1893270-9"</f>
        <v>1893270-9</v>
      </c>
      <c r="D4594" s="2" t="s">
        <v>5759</v>
      </c>
      <c r="E4594" s="4">
        <v>48000</v>
      </c>
    </row>
    <row r="4595" spans="1:5">
      <c r="A4595" s="2" t="s">
        <v>1537</v>
      </c>
      <c r="B4595" s="2" t="str">
        <f>"002193082-2"</f>
        <v>002193082-2</v>
      </c>
      <c r="C4595" s="2" t="str">
        <f>"002193082-2"</f>
        <v>002193082-2</v>
      </c>
      <c r="D4595" s="2" t="s">
        <v>5760</v>
      </c>
      <c r="E4595" s="4">
        <v>38500</v>
      </c>
    </row>
    <row r="4596" spans="1:5">
      <c r="A4596" s="2" t="s">
        <v>1537</v>
      </c>
      <c r="B4596" s="2" t="s">
        <v>5761</v>
      </c>
      <c r="C4596" s="2" t="s">
        <v>5761</v>
      </c>
      <c r="D4596" s="2" t="s">
        <v>5762</v>
      </c>
      <c r="E4596" s="4">
        <v>39400</v>
      </c>
    </row>
    <row r="4597" spans="1:5">
      <c r="A4597" s="2" t="s">
        <v>296</v>
      </c>
      <c r="B4597" s="2" t="str">
        <f>"1193134-0"</f>
        <v>1193134-0</v>
      </c>
      <c r="C4597" s="2" t="str">
        <f>"1193134-0"</f>
        <v>1193134-0</v>
      </c>
      <c r="D4597" s="2" t="s">
        <v>5763</v>
      </c>
      <c r="E4597" s="4">
        <v>6100</v>
      </c>
    </row>
    <row r="4598" spans="1:5">
      <c r="A4598" s="2" t="s">
        <v>296</v>
      </c>
      <c r="B4598" s="2" t="str">
        <f>"0016749"</f>
        <v>0016749</v>
      </c>
      <c r="C4598" s="2" t="str">
        <f>"0016749"</f>
        <v>0016749</v>
      </c>
      <c r="D4598" s="2" t="s">
        <v>5764</v>
      </c>
      <c r="E4598" s="4">
        <v>38500</v>
      </c>
    </row>
    <row r="4599" spans="1:5">
      <c r="A4599" s="2" t="s">
        <v>296</v>
      </c>
      <c r="B4599" s="2" t="s">
        <v>5765</v>
      </c>
      <c r="C4599" s="2" t="s">
        <v>5765</v>
      </c>
      <c r="D4599" s="2" t="s">
        <v>5766</v>
      </c>
      <c r="E4599" s="4">
        <v>25000</v>
      </c>
    </row>
    <row r="4600" spans="1:5">
      <c r="A4600" s="2" t="s">
        <v>296</v>
      </c>
      <c r="B4600" s="2" t="s">
        <v>5767</v>
      </c>
      <c r="C4600" s="2" t="s">
        <v>5767</v>
      </c>
      <c r="D4600" s="2" t="s">
        <v>5768</v>
      </c>
      <c r="E4600" s="4">
        <v>25000</v>
      </c>
    </row>
    <row r="4601" spans="1:5">
      <c r="A4601" s="2" t="s">
        <v>296</v>
      </c>
      <c r="B4601" s="2" t="s">
        <v>5769</v>
      </c>
      <c r="C4601" s="2" t="s">
        <v>5770</v>
      </c>
      <c r="D4601" s="2" t="s">
        <v>5771</v>
      </c>
      <c r="E4601" s="4">
        <v>11500</v>
      </c>
    </row>
    <row r="4602" spans="1:5">
      <c r="A4602" s="2" t="s">
        <v>296</v>
      </c>
      <c r="B4602" s="2" t="str">
        <f>"090600203"</f>
        <v>090600203</v>
      </c>
      <c r="C4602" s="2" t="str">
        <f>"090600203"</f>
        <v>090600203</v>
      </c>
      <c r="D4602" s="2" t="s">
        <v>5772</v>
      </c>
      <c r="E4602" s="4">
        <v>8800</v>
      </c>
    </row>
    <row r="4603" spans="1:5">
      <c r="A4603" s="2" t="s">
        <v>296</v>
      </c>
      <c r="B4603" s="2" t="s">
        <v>5773</v>
      </c>
      <c r="C4603" s="2" t="s">
        <v>5773</v>
      </c>
      <c r="D4603" s="2" t="s">
        <v>5774</v>
      </c>
      <c r="E4603" s="4">
        <v>7500</v>
      </c>
    </row>
    <row r="4604" spans="1:5">
      <c r="A4604" s="2" t="s">
        <v>296</v>
      </c>
      <c r="B4604" s="2" t="s">
        <v>5775</v>
      </c>
      <c r="C4604" s="2" t="s">
        <v>5775</v>
      </c>
      <c r="D4604" s="2" t="s">
        <v>5776</v>
      </c>
      <c r="E4604" s="4">
        <v>5600</v>
      </c>
    </row>
    <row r="4605" spans="1:5">
      <c r="A4605" s="2" t="s">
        <v>296</v>
      </c>
      <c r="B4605" s="2" t="s">
        <v>5777</v>
      </c>
      <c r="C4605" s="2" t="s">
        <v>5777</v>
      </c>
      <c r="D4605" s="2" t="s">
        <v>5778</v>
      </c>
      <c r="E4605" s="4">
        <v>7500</v>
      </c>
    </row>
    <row r="4606" spans="1:5">
      <c r="A4606" s="2" t="s">
        <v>296</v>
      </c>
      <c r="B4606" s="2" t="str">
        <f>"0024307"</f>
        <v>0024307</v>
      </c>
      <c r="C4606" s="2" t="str">
        <f>"0024307 FMTY430712"</f>
        <v>0024307 FMTY430712</v>
      </c>
      <c r="D4606" s="2" t="s">
        <v>5779</v>
      </c>
      <c r="E4606" s="4">
        <v>43000</v>
      </c>
    </row>
    <row r="4607" spans="1:5">
      <c r="A4607" s="2" t="s">
        <v>296</v>
      </c>
      <c r="B4607" s="2" t="str">
        <f>"090601203"</f>
        <v>090601203</v>
      </c>
      <c r="C4607" s="2" t="str">
        <f>"090601203"</f>
        <v>090601203</v>
      </c>
      <c r="D4607" s="2" t="s">
        <v>5780</v>
      </c>
      <c r="E4607" s="4">
        <v>48400</v>
      </c>
    </row>
    <row r="4608" spans="1:5">
      <c r="A4608" s="2" t="s">
        <v>296</v>
      </c>
      <c r="B4608" s="2" t="str">
        <f>"9951022"</f>
        <v>9951022</v>
      </c>
      <c r="C4608" s="2" t="str">
        <f>"9951022"</f>
        <v>9951022</v>
      </c>
      <c r="D4608" s="2" t="s">
        <v>5781</v>
      </c>
      <c r="E4608" s="4">
        <v>38500</v>
      </c>
    </row>
    <row r="4609" spans="1:5">
      <c r="A4609" s="2" t="s">
        <v>296</v>
      </c>
      <c r="B4609" s="2" t="str">
        <f>"9951023"</f>
        <v>9951023</v>
      </c>
      <c r="C4609" s="2" t="str">
        <f>"9951023"</f>
        <v>9951023</v>
      </c>
      <c r="D4609" s="2" t="s">
        <v>5782</v>
      </c>
      <c r="E4609" s="4">
        <v>38500</v>
      </c>
    </row>
    <row r="4610" spans="1:5">
      <c r="A4610" s="2" t="s">
        <v>296</v>
      </c>
      <c r="B4610" s="2" t="str">
        <f>"021601350"</f>
        <v>021601350</v>
      </c>
      <c r="C4610" s="2" t="str">
        <f>"021601350"</f>
        <v>021601350</v>
      </c>
      <c r="D4610" s="2" t="s">
        <v>5783</v>
      </c>
      <c r="E4610" s="4">
        <v>45000</v>
      </c>
    </row>
    <row r="4611" spans="1:5">
      <c r="A4611" s="2" t="s">
        <v>296</v>
      </c>
      <c r="B4611" s="2" t="s">
        <v>5784</v>
      </c>
      <c r="C4611" s="2" t="s">
        <v>5784</v>
      </c>
      <c r="D4611" s="2" t="s">
        <v>5785</v>
      </c>
      <c r="E4611" s="4">
        <v>18700</v>
      </c>
    </row>
    <row r="4612" spans="1:5">
      <c r="A4612" s="2" t="s">
        <v>296</v>
      </c>
      <c r="B4612" s="2" t="str">
        <f>"090601204"</f>
        <v>090601204</v>
      </c>
      <c r="C4612" s="2" t="str">
        <f>"090601204"</f>
        <v>090601204</v>
      </c>
      <c r="D4612" s="2" t="s">
        <v>5786</v>
      </c>
      <c r="E4612" s="4">
        <v>48400</v>
      </c>
    </row>
    <row r="4613" spans="1:5">
      <c r="A4613" s="2" t="s">
        <v>296</v>
      </c>
      <c r="B4613" s="2" t="str">
        <f>"9951047"</f>
        <v>9951047</v>
      </c>
      <c r="C4613" s="2" t="str">
        <f>"9951047"</f>
        <v>9951047</v>
      </c>
      <c r="D4613" s="2" t="s">
        <v>5787</v>
      </c>
      <c r="E4613" s="4">
        <v>28600</v>
      </c>
    </row>
    <row r="4614" spans="1:5">
      <c r="A4614" s="2" t="s">
        <v>296</v>
      </c>
      <c r="B4614" s="2" t="str">
        <f>"021600611"</f>
        <v>021600611</v>
      </c>
      <c r="C4614" s="2" t="str">
        <f>"930179-8"</f>
        <v>930179-8</v>
      </c>
      <c r="D4614" s="2" t="s">
        <v>5788</v>
      </c>
      <c r="E4614" s="4">
        <v>34000</v>
      </c>
    </row>
    <row r="4615" spans="1:5">
      <c r="A4615" s="2" t="s">
        <v>296</v>
      </c>
      <c r="B4615" s="2" t="str">
        <f>"021600610"</f>
        <v>021600610</v>
      </c>
      <c r="C4615" s="2" t="str">
        <f>"021600610 9951046"</f>
        <v>021600610 9951046</v>
      </c>
      <c r="D4615" s="2" t="s">
        <v>5789</v>
      </c>
      <c r="E4615" s="4">
        <v>28600</v>
      </c>
    </row>
    <row r="4616" spans="1:5">
      <c r="A4616" s="2" t="s">
        <v>296</v>
      </c>
      <c r="B4616" s="2" t="s">
        <v>5790</v>
      </c>
      <c r="C4616" s="2" t="s">
        <v>5791</v>
      </c>
      <c r="D4616" s="2" t="s">
        <v>5792</v>
      </c>
      <c r="E4616" s="4">
        <v>24000</v>
      </c>
    </row>
    <row r="4617" spans="1:5">
      <c r="A4617" s="2" t="s">
        <v>296</v>
      </c>
      <c r="B4617" s="2" t="s">
        <v>5793</v>
      </c>
      <c r="C4617" s="2" t="s">
        <v>5793</v>
      </c>
      <c r="D4617" s="2" t="s">
        <v>5794</v>
      </c>
      <c r="E4617" s="4">
        <v>7800</v>
      </c>
    </row>
    <row r="4618" spans="1:5">
      <c r="A4618" s="2" t="s">
        <v>296</v>
      </c>
      <c r="B4618" s="2" t="str">
        <f>"980338-6"</f>
        <v>980338-6</v>
      </c>
      <c r="C4618" s="2" t="str">
        <f>"980338-6"</f>
        <v>980338-6</v>
      </c>
      <c r="D4618" s="2" t="s">
        <v>5795</v>
      </c>
      <c r="E4618" s="4">
        <v>34000</v>
      </c>
    </row>
    <row r="4619" spans="1:5">
      <c r="A4619" s="2" t="s">
        <v>296</v>
      </c>
      <c r="B4619" s="2" t="s">
        <v>5796</v>
      </c>
      <c r="C4619" s="2" t="s">
        <v>5796</v>
      </c>
      <c r="D4619" s="2" t="s">
        <v>5797</v>
      </c>
      <c r="E4619" s="4">
        <v>29000</v>
      </c>
    </row>
    <row r="4620" spans="1:5">
      <c r="A4620" s="2" t="s">
        <v>296</v>
      </c>
      <c r="B4620" s="2" t="s">
        <v>5798</v>
      </c>
      <c r="C4620" s="2" t="s">
        <v>5798</v>
      </c>
      <c r="D4620" s="2" t="s">
        <v>5799</v>
      </c>
      <c r="E4620" s="4">
        <v>29000</v>
      </c>
    </row>
    <row r="4621" spans="1:5">
      <c r="A4621" s="2" t="s">
        <v>296</v>
      </c>
      <c r="B4621" s="2" t="str">
        <f>"930306-5"</f>
        <v>930306-5</v>
      </c>
      <c r="C4621" s="2" t="str">
        <f>"930306-5"</f>
        <v>930306-5</v>
      </c>
      <c r="D4621" s="2" t="s">
        <v>5800</v>
      </c>
      <c r="E4621" s="4">
        <v>8900</v>
      </c>
    </row>
    <row r="4622" spans="1:5">
      <c r="A4622" s="2" t="s">
        <v>296</v>
      </c>
      <c r="B4622" s="2" t="s">
        <v>5801</v>
      </c>
      <c r="C4622" s="2" t="s">
        <v>5801</v>
      </c>
      <c r="D4622" s="2" t="s">
        <v>5802</v>
      </c>
      <c r="E4622" s="4">
        <v>8800</v>
      </c>
    </row>
    <row r="4623" spans="1:5">
      <c r="A4623" s="2" t="s">
        <v>296</v>
      </c>
      <c r="B4623" s="2" t="str">
        <f>"000903757-8"</f>
        <v>000903757-8</v>
      </c>
      <c r="C4623" s="2" t="str">
        <f>"000903757-8"</f>
        <v>000903757-8</v>
      </c>
      <c r="D4623" s="2" t="s">
        <v>5803</v>
      </c>
      <c r="E4623" s="4">
        <v>75000</v>
      </c>
    </row>
    <row r="4624" spans="1:5">
      <c r="A4624" s="2" t="s">
        <v>296</v>
      </c>
      <c r="B4624" s="2" t="str">
        <f>"9947926"</f>
        <v>9947926</v>
      </c>
      <c r="C4624" s="2" t="str">
        <f>"9947926"</f>
        <v>9947926</v>
      </c>
      <c r="D4624" s="2" t="s">
        <v>5804</v>
      </c>
      <c r="E4624" s="4">
        <v>61000</v>
      </c>
    </row>
    <row r="4625" spans="1:5">
      <c r="A4625" s="2" t="s">
        <v>296</v>
      </c>
      <c r="B4625" s="2" t="s">
        <v>5805</v>
      </c>
      <c r="C4625" s="2" t="s">
        <v>5806</v>
      </c>
      <c r="D4625" s="2" t="s">
        <v>5807</v>
      </c>
      <c r="E4625" s="4">
        <v>29000</v>
      </c>
    </row>
    <row r="4626" spans="1:5">
      <c r="A4626" s="2" t="s">
        <v>296</v>
      </c>
      <c r="B4626" s="2" t="str">
        <f>"021600988"</f>
        <v>021600988</v>
      </c>
      <c r="C4626" s="2" t="str">
        <f>"0025080"</f>
        <v>0025080</v>
      </c>
      <c r="D4626" s="2" t="s">
        <v>5808</v>
      </c>
      <c r="E4626" s="4">
        <v>25000</v>
      </c>
    </row>
    <row r="4627" spans="1:5">
      <c r="A4627" s="2" t="s">
        <v>296</v>
      </c>
      <c r="B4627" s="2" t="str">
        <f>"021600989"</f>
        <v>021600989</v>
      </c>
      <c r="C4627" s="2" t="str">
        <f>"021600989"</f>
        <v>021600989</v>
      </c>
      <c r="D4627" s="2" t="s">
        <v>5809</v>
      </c>
      <c r="E4627" s="4">
        <v>34000</v>
      </c>
    </row>
    <row r="4628" spans="1:5">
      <c r="A4628" s="2" t="s">
        <v>296</v>
      </c>
      <c r="B4628" s="2" t="str">
        <f>"000980354-8"</f>
        <v>000980354-8</v>
      </c>
      <c r="C4628" s="2" t="str">
        <f>"000980354-8"</f>
        <v>000980354-8</v>
      </c>
      <c r="D4628" s="2" t="s">
        <v>5810</v>
      </c>
      <c r="E4628" s="4">
        <v>43000</v>
      </c>
    </row>
    <row r="4629" spans="1:5">
      <c r="A4629" s="2" t="s">
        <v>296</v>
      </c>
      <c r="B4629" s="2" t="s">
        <v>5811</v>
      </c>
      <c r="C4629" s="2" t="s">
        <v>5811</v>
      </c>
      <c r="D4629" s="2" t="s">
        <v>5810</v>
      </c>
      <c r="E4629" s="4">
        <v>22300</v>
      </c>
    </row>
    <row r="4630" spans="1:5">
      <c r="A4630" s="2" t="s">
        <v>296</v>
      </c>
      <c r="B4630" s="2" t="str">
        <f>"000980360-2"</f>
        <v>000980360-2</v>
      </c>
      <c r="C4630" s="2" t="str">
        <f>"000980360-2"</f>
        <v>000980360-2</v>
      </c>
      <c r="D4630" s="2" t="s">
        <v>5810</v>
      </c>
      <c r="E4630" s="4">
        <v>43000</v>
      </c>
    </row>
    <row r="4631" spans="1:5">
      <c r="A4631" s="2" t="s">
        <v>296</v>
      </c>
      <c r="B4631" s="2" t="str">
        <f>"0014675 0025079"</f>
        <v>0014675 0025079</v>
      </c>
      <c r="C4631" s="2" t="s">
        <v>5812</v>
      </c>
      <c r="D4631" s="2" t="s">
        <v>5813</v>
      </c>
      <c r="E4631" s="4">
        <v>28600</v>
      </c>
    </row>
    <row r="4632" spans="1:5">
      <c r="A4632" s="2" t="s">
        <v>296</v>
      </c>
      <c r="B4632" s="2" t="s">
        <v>5814</v>
      </c>
      <c r="C4632" s="2" t="s">
        <v>5814</v>
      </c>
      <c r="D4632" s="2" t="s">
        <v>5815</v>
      </c>
      <c r="E4632" s="4">
        <v>34000</v>
      </c>
    </row>
    <row r="4633" spans="1:5">
      <c r="A4633" s="2" t="s">
        <v>296</v>
      </c>
      <c r="B4633" s="2" t="s">
        <v>5816</v>
      </c>
      <c r="C4633" s="2" t="s">
        <v>5816</v>
      </c>
      <c r="D4633" s="2" t="s">
        <v>5817</v>
      </c>
      <c r="E4633" s="4">
        <v>34000</v>
      </c>
    </row>
    <row r="4634" spans="1:5">
      <c r="A4634" s="2" t="s">
        <v>296</v>
      </c>
      <c r="B4634" s="2" t="str">
        <f>"000903551-6"</f>
        <v>000903551-6</v>
      </c>
      <c r="C4634" s="2" t="str">
        <f>"000903551-6"</f>
        <v>000903551-6</v>
      </c>
      <c r="D4634" s="2" t="s">
        <v>5818</v>
      </c>
      <c r="E4634" s="4">
        <v>97000</v>
      </c>
    </row>
    <row r="4635" spans="1:5">
      <c r="A4635" s="2" t="s">
        <v>296</v>
      </c>
      <c r="B4635" s="2" t="s">
        <v>5819</v>
      </c>
      <c r="C4635" s="2" t="s">
        <v>5819</v>
      </c>
      <c r="D4635" s="2" t="s">
        <v>5820</v>
      </c>
      <c r="E4635" s="4">
        <v>1800</v>
      </c>
    </row>
    <row r="4636" spans="1:5">
      <c r="A4636" s="2" t="s">
        <v>296</v>
      </c>
      <c r="B4636" s="2" t="s">
        <v>5821</v>
      </c>
      <c r="C4636" s="2" t="s">
        <v>5822</v>
      </c>
      <c r="D4636" s="2" t="s">
        <v>5823</v>
      </c>
      <c r="E4636" s="4">
        <v>78000</v>
      </c>
    </row>
    <row r="4637" spans="1:5">
      <c r="A4637" s="2" t="s">
        <v>2541</v>
      </c>
      <c r="B4637" s="2" t="s">
        <v>5824</v>
      </c>
      <c r="C4637" s="2" t="str">
        <f>"1718631441340"</f>
        <v>1718631441340</v>
      </c>
      <c r="D4637" s="2" t="s">
        <v>5825</v>
      </c>
      <c r="E4637" s="4">
        <v>26000</v>
      </c>
    </row>
    <row r="4638" spans="1:5">
      <c r="A4638" s="2" t="s">
        <v>421</v>
      </c>
      <c r="B4638" s="2" t="s">
        <v>5826</v>
      </c>
      <c r="C4638" s="2" t="str">
        <f>"1697290315797"</f>
        <v>1697290315797</v>
      </c>
      <c r="D4638" s="2" t="s">
        <v>5827</v>
      </c>
      <c r="E4638" s="4">
        <v>7000</v>
      </c>
    </row>
    <row r="4639" spans="1:5">
      <c r="A4639" s="2" t="s">
        <v>1537</v>
      </c>
      <c r="B4639" s="2" t="s">
        <v>5828</v>
      </c>
      <c r="C4639" s="2" t="s">
        <v>5828</v>
      </c>
      <c r="D4639" s="2" t="s">
        <v>5829</v>
      </c>
      <c r="E4639" s="4">
        <v>38500</v>
      </c>
    </row>
    <row r="4640" spans="1:5">
      <c r="A4640" s="2" t="s">
        <v>2541</v>
      </c>
      <c r="B4640" s="2" t="s">
        <v>5830</v>
      </c>
      <c r="C4640" s="2" t="str">
        <f>"1697290393254"</f>
        <v>1697290393254</v>
      </c>
      <c r="D4640" s="2" t="s">
        <v>5831</v>
      </c>
      <c r="E4640" s="4">
        <v>46000</v>
      </c>
    </row>
    <row r="4641" spans="1:5">
      <c r="A4641" s="2" t="s">
        <v>1537</v>
      </c>
      <c r="B4641" s="2" t="str">
        <f>"1645556702457"</f>
        <v>1645556702457</v>
      </c>
      <c r="C4641" s="2" t="str">
        <f>"1645556702457"</f>
        <v>1645556702457</v>
      </c>
      <c r="D4641" s="2" t="s">
        <v>5832</v>
      </c>
      <c r="E4641" s="4">
        <v>49580</v>
      </c>
    </row>
    <row r="4642" spans="1:5">
      <c r="A4642" s="2" t="s">
        <v>1537</v>
      </c>
      <c r="B4642" s="2" t="str">
        <f>"1645556704652"</f>
        <v>1645556704652</v>
      </c>
      <c r="C4642" s="2" t="str">
        <f>"1645556704652"</f>
        <v>1645556704652</v>
      </c>
      <c r="D4642" s="2" t="s">
        <v>5832</v>
      </c>
      <c r="E4642" s="4">
        <v>49580</v>
      </c>
    </row>
    <row r="4643" spans="1:5">
      <c r="A4643" s="2" t="s">
        <v>1537</v>
      </c>
      <c r="B4643" s="2" t="str">
        <f>"2707"</f>
        <v>2707</v>
      </c>
      <c r="C4643" s="2">
        <v>0</v>
      </c>
      <c r="D4643" s="2" t="s">
        <v>5833</v>
      </c>
      <c r="E4643" s="4">
        <v>59000</v>
      </c>
    </row>
    <row r="4644" spans="1:5">
      <c r="A4644" s="2" t="s">
        <v>5</v>
      </c>
      <c r="B4644" s="2" t="s">
        <v>5834</v>
      </c>
      <c r="C4644" s="2" t="s">
        <v>5834</v>
      </c>
      <c r="D4644" s="2" t="s">
        <v>5835</v>
      </c>
      <c r="E4644" s="4">
        <v>6000</v>
      </c>
    </row>
    <row r="4645" spans="1:5">
      <c r="A4645" s="2" t="s">
        <v>5</v>
      </c>
      <c r="B4645" s="2" t="s">
        <v>5836</v>
      </c>
      <c r="C4645" s="2" t="s">
        <v>5836</v>
      </c>
      <c r="D4645" s="2" t="s">
        <v>5837</v>
      </c>
      <c r="E4645" s="4">
        <v>6500</v>
      </c>
    </row>
    <row r="4646" spans="1:5">
      <c r="A4646" s="2" t="s">
        <v>5</v>
      </c>
      <c r="B4646" s="2" t="s">
        <v>5838</v>
      </c>
      <c r="C4646" s="2" t="s">
        <v>5838</v>
      </c>
      <c r="D4646" s="2" t="s">
        <v>5839</v>
      </c>
      <c r="E4646" s="4">
        <v>6500</v>
      </c>
    </row>
    <row r="4647" spans="1:5">
      <c r="A4647" s="2" t="s">
        <v>3274</v>
      </c>
      <c r="B4647" s="2" t="s">
        <v>5840</v>
      </c>
      <c r="C4647" s="2" t="s">
        <v>5841</v>
      </c>
      <c r="D4647" s="2" t="s">
        <v>5842</v>
      </c>
      <c r="E4647" s="4">
        <v>55000</v>
      </c>
    </row>
    <row r="4648" spans="1:5">
      <c r="A4648" s="2" t="s">
        <v>3274</v>
      </c>
      <c r="B4648" s="2" t="str">
        <f>"060820214"</f>
        <v>060820214</v>
      </c>
      <c r="C4648" s="2" t="str">
        <f>"060820214"</f>
        <v>060820214</v>
      </c>
      <c r="D4648" s="2" t="s">
        <v>5843</v>
      </c>
      <c r="E4648" s="4">
        <v>3000</v>
      </c>
    </row>
    <row r="4649" spans="1:5">
      <c r="A4649" s="2" t="s">
        <v>3274</v>
      </c>
      <c r="B4649" s="2" t="str">
        <f>"060820918"</f>
        <v>060820918</v>
      </c>
      <c r="C4649" s="2" t="s">
        <v>5844</v>
      </c>
      <c r="D4649" s="2" t="s">
        <v>5845</v>
      </c>
      <c r="E4649" s="4">
        <v>3900</v>
      </c>
    </row>
    <row r="4650" spans="1:5">
      <c r="A4650" s="2" t="s">
        <v>3274</v>
      </c>
      <c r="B4650" s="2" t="str">
        <f>"060821207"</f>
        <v>060821207</v>
      </c>
      <c r="C4650" s="2" t="str">
        <f>"1584050180542"</f>
        <v>1584050180542</v>
      </c>
      <c r="D4650" s="2" t="s">
        <v>5846</v>
      </c>
      <c r="E4650" s="4">
        <v>7000</v>
      </c>
    </row>
    <row r="4651" spans="1:5">
      <c r="A4651" s="2" t="s">
        <v>3274</v>
      </c>
      <c r="B4651" s="2" t="str">
        <f>"6933236916507"</f>
        <v>6933236916507</v>
      </c>
      <c r="C4651" s="2" t="s">
        <v>5847</v>
      </c>
      <c r="D4651" s="2" t="s">
        <v>5848</v>
      </c>
      <c r="E4651" s="4">
        <v>3500</v>
      </c>
    </row>
    <row r="4652" spans="1:5">
      <c r="A4652" s="2" t="s">
        <v>3274</v>
      </c>
      <c r="B4652" s="2" t="str">
        <f>"060820974"</f>
        <v>060820974</v>
      </c>
      <c r="C4652" s="2" t="str">
        <f>"060820974"</f>
        <v>060820974</v>
      </c>
      <c r="D4652" s="2" t="s">
        <v>5849</v>
      </c>
      <c r="E4652" s="4">
        <v>2900</v>
      </c>
    </row>
    <row r="4653" spans="1:5">
      <c r="A4653" s="2" t="s">
        <v>3274</v>
      </c>
      <c r="B4653" s="2" t="str">
        <f>"060820088"</f>
        <v>060820088</v>
      </c>
      <c r="C4653" s="2" t="str">
        <f>"060820088"</f>
        <v>060820088</v>
      </c>
      <c r="D4653" s="2" t="s">
        <v>5850</v>
      </c>
      <c r="E4653" s="4">
        <v>2900</v>
      </c>
    </row>
    <row r="4654" spans="1:5">
      <c r="A4654" s="2" t="s">
        <v>3274</v>
      </c>
      <c r="B4654" s="2" t="s">
        <v>5851</v>
      </c>
      <c r="C4654" s="2" t="s">
        <v>5852</v>
      </c>
      <c r="D4654" s="2" t="s">
        <v>5853</v>
      </c>
      <c r="E4654" s="4">
        <v>3800</v>
      </c>
    </row>
    <row r="4655" spans="1:5">
      <c r="A4655" s="2" t="s">
        <v>3274</v>
      </c>
      <c r="B4655" s="2" t="str">
        <f>"247715"</f>
        <v>247715</v>
      </c>
      <c r="C4655" s="2" t="str">
        <f>"247715"</f>
        <v>247715</v>
      </c>
      <c r="D4655" s="2" t="s">
        <v>5854</v>
      </c>
      <c r="E4655" s="4">
        <v>4300</v>
      </c>
    </row>
    <row r="4656" spans="1:5">
      <c r="A4656" s="2" t="s">
        <v>3274</v>
      </c>
      <c r="B4656" s="2" t="s">
        <v>5855</v>
      </c>
      <c r="C4656" s="2" t="s">
        <v>5856</v>
      </c>
      <c r="D4656" s="2" t="s">
        <v>5857</v>
      </c>
      <c r="E4656" s="4">
        <v>4300</v>
      </c>
    </row>
    <row r="4657" spans="1:5">
      <c r="A4657" s="2" t="s">
        <v>3274</v>
      </c>
      <c r="B4657" s="2" t="s">
        <v>5858</v>
      </c>
      <c r="C4657" s="2" t="s">
        <v>5858</v>
      </c>
      <c r="D4657" s="2" t="s">
        <v>5859</v>
      </c>
      <c r="E4657" s="4">
        <v>4500</v>
      </c>
    </row>
    <row r="4658" spans="1:5">
      <c r="A4658" s="2" t="s">
        <v>3274</v>
      </c>
      <c r="B4658" s="2" t="s">
        <v>5860</v>
      </c>
      <c r="C4658" s="2" t="s">
        <v>5861</v>
      </c>
      <c r="D4658" s="2" t="s">
        <v>5862</v>
      </c>
      <c r="E4658" s="4">
        <v>3800</v>
      </c>
    </row>
    <row r="4659" spans="1:5">
      <c r="A4659" s="2" t="s">
        <v>3274</v>
      </c>
      <c r="B4659" s="2" t="str">
        <f>"060820148"</f>
        <v>060820148</v>
      </c>
      <c r="C4659" s="2" t="s">
        <v>5863</v>
      </c>
      <c r="D4659" s="2" t="s">
        <v>5864</v>
      </c>
      <c r="E4659" s="4">
        <v>6100</v>
      </c>
    </row>
    <row r="4660" spans="1:5">
      <c r="A4660" s="2" t="s">
        <v>3274</v>
      </c>
      <c r="B4660" s="2" t="str">
        <f>"060820712"</f>
        <v>060820712</v>
      </c>
      <c r="C4660" s="2" t="str">
        <f>"060820712"</f>
        <v>060820712</v>
      </c>
      <c r="D4660" s="2" t="s">
        <v>5865</v>
      </c>
      <c r="E4660" s="4">
        <v>5900</v>
      </c>
    </row>
    <row r="4661" spans="1:5">
      <c r="A4661" s="2" t="s">
        <v>3274</v>
      </c>
      <c r="B4661" s="2" t="str">
        <f>"7701-045-724"</f>
        <v>7701-045-724</v>
      </c>
      <c r="C4661" s="2" t="str">
        <f>"7701-045-724"</f>
        <v>7701-045-724</v>
      </c>
      <c r="D4661" s="2" t="s">
        <v>5866</v>
      </c>
      <c r="E4661" s="4">
        <v>5200</v>
      </c>
    </row>
    <row r="4662" spans="1:5">
      <c r="A4662" s="2" t="s">
        <v>3274</v>
      </c>
      <c r="B4662" s="2" t="s">
        <v>5867</v>
      </c>
      <c r="C4662" s="2" t="s">
        <v>5868</v>
      </c>
      <c r="D4662" s="2" t="s">
        <v>5869</v>
      </c>
      <c r="E4662" s="4">
        <v>9400</v>
      </c>
    </row>
    <row r="4663" spans="1:5">
      <c r="A4663" s="2" t="s">
        <v>3274</v>
      </c>
      <c r="B4663" s="2" t="str">
        <f>"247863"</f>
        <v>247863</v>
      </c>
      <c r="C4663" s="2" t="str">
        <f>"247863"</f>
        <v>247863</v>
      </c>
      <c r="D4663" s="2" t="s">
        <v>5870</v>
      </c>
      <c r="E4663" s="4">
        <v>4300</v>
      </c>
    </row>
    <row r="4664" spans="1:5">
      <c r="A4664" s="2" t="s">
        <v>3274</v>
      </c>
      <c r="B4664" s="2" t="str">
        <f>"060820151"</f>
        <v>060820151</v>
      </c>
      <c r="C4664" s="2" t="s">
        <v>5871</v>
      </c>
      <c r="D4664" s="2" t="s">
        <v>5872</v>
      </c>
      <c r="E4664" s="4">
        <v>8800</v>
      </c>
    </row>
    <row r="4665" spans="1:5">
      <c r="A4665" s="2" t="s">
        <v>3274</v>
      </c>
      <c r="B4665" s="2" t="s">
        <v>5873</v>
      </c>
      <c r="C4665" s="2" t="s">
        <v>5874</v>
      </c>
      <c r="D4665" s="2" t="s">
        <v>5875</v>
      </c>
      <c r="E4665" s="4">
        <v>4400</v>
      </c>
    </row>
    <row r="4666" spans="1:5">
      <c r="A4666" s="2" t="s">
        <v>3274</v>
      </c>
      <c r="B4666" s="2" t="s">
        <v>5874</v>
      </c>
      <c r="C4666" s="2" t="s">
        <v>5876</v>
      </c>
      <c r="D4666" s="2" t="s">
        <v>5877</v>
      </c>
      <c r="E4666" s="4">
        <v>4400</v>
      </c>
    </row>
    <row r="4667" spans="1:5">
      <c r="A4667" s="2" t="s">
        <v>3274</v>
      </c>
      <c r="B4667" s="2" t="str">
        <f>"247870"</f>
        <v>247870</v>
      </c>
      <c r="C4667" s="2" t="str">
        <f>"247870"</f>
        <v>247870</v>
      </c>
      <c r="D4667" s="2" t="s">
        <v>5878</v>
      </c>
      <c r="E4667" s="4">
        <v>8500</v>
      </c>
    </row>
    <row r="4668" spans="1:5">
      <c r="A4668" s="2" t="s">
        <v>3274</v>
      </c>
      <c r="B4668" s="2" t="str">
        <f>"005125"</f>
        <v>005125</v>
      </c>
      <c r="C4668" s="2" t="str">
        <f>"005125"</f>
        <v>005125</v>
      </c>
      <c r="D4668" s="2" t="s">
        <v>5879</v>
      </c>
      <c r="E4668" s="4">
        <v>3900</v>
      </c>
    </row>
    <row r="4669" spans="1:5">
      <c r="A4669" s="2" t="s">
        <v>3274</v>
      </c>
      <c r="B4669" s="2" t="str">
        <f>"010550"</f>
        <v>010550</v>
      </c>
      <c r="C4669" s="2" t="str">
        <f>"010550"</f>
        <v>010550</v>
      </c>
      <c r="D4669" s="2" t="s">
        <v>5880</v>
      </c>
      <c r="E4669" s="4">
        <v>5200</v>
      </c>
    </row>
    <row r="4670" spans="1:5">
      <c r="A4670" s="2" t="s">
        <v>3274</v>
      </c>
      <c r="B4670" s="2" t="str">
        <f>"060820678"</f>
        <v>060820678</v>
      </c>
      <c r="C4670" s="2" t="str">
        <f>"060820678"</f>
        <v>060820678</v>
      </c>
      <c r="D4670" s="2" t="s">
        <v>5881</v>
      </c>
      <c r="E4670" s="4">
        <v>4300</v>
      </c>
    </row>
    <row r="4671" spans="1:5">
      <c r="A4671" s="2" t="s">
        <v>3274</v>
      </c>
      <c r="B4671" s="2" t="str">
        <f>"010456"</f>
        <v>010456</v>
      </c>
      <c r="C4671" s="2" t="str">
        <f>"010456"</f>
        <v>010456</v>
      </c>
      <c r="D4671" s="2" t="s">
        <v>5882</v>
      </c>
      <c r="E4671" s="4">
        <v>4300</v>
      </c>
    </row>
    <row r="4672" spans="1:5">
      <c r="A4672" s="2" t="s">
        <v>3274</v>
      </c>
      <c r="B4672" s="2" t="str">
        <f>"010470"</f>
        <v>010470</v>
      </c>
      <c r="C4672" s="2" t="str">
        <f>"010470"</f>
        <v>010470</v>
      </c>
      <c r="D4672" s="2" t="s">
        <v>5883</v>
      </c>
      <c r="E4672" s="4">
        <v>4300</v>
      </c>
    </row>
    <row r="4673" spans="1:5">
      <c r="A4673" s="2" t="s">
        <v>3274</v>
      </c>
      <c r="B4673" s="2" t="str">
        <f>"060820745"</f>
        <v>060820745</v>
      </c>
      <c r="C4673" s="2" t="str">
        <f>"060820745"</f>
        <v>060820745</v>
      </c>
      <c r="D4673" s="2" t="s">
        <v>5884</v>
      </c>
      <c r="E4673" s="4">
        <v>4300</v>
      </c>
    </row>
    <row r="4674" spans="1:5">
      <c r="A4674" s="2" t="s">
        <v>3274</v>
      </c>
      <c r="B4674" s="2" t="s">
        <v>5885</v>
      </c>
      <c r="C4674" s="2" t="s">
        <v>5886</v>
      </c>
      <c r="D4674" s="2" t="s">
        <v>5887</v>
      </c>
      <c r="E4674" s="4">
        <v>7500</v>
      </c>
    </row>
    <row r="4675" spans="1:5">
      <c r="A4675" s="2" t="s">
        <v>3274</v>
      </c>
      <c r="B4675" s="2" t="str">
        <f>"0009768"</f>
        <v>0009768</v>
      </c>
      <c r="C4675" s="2" t="str">
        <f>"0009768"</f>
        <v>0009768</v>
      </c>
      <c r="D4675" s="2" t="s">
        <v>5888</v>
      </c>
      <c r="E4675" s="4">
        <v>4000</v>
      </c>
    </row>
    <row r="4676" spans="1:5">
      <c r="A4676" s="2" t="s">
        <v>3274</v>
      </c>
      <c r="B4676" s="2" t="s">
        <v>5889</v>
      </c>
      <c r="C4676" s="2" t="s">
        <v>5890</v>
      </c>
      <c r="D4676" s="2" t="s">
        <v>5891</v>
      </c>
      <c r="E4676" s="4">
        <v>4500</v>
      </c>
    </row>
    <row r="4677" spans="1:5">
      <c r="A4677" s="2" t="s">
        <v>3274</v>
      </c>
      <c r="B4677" s="2" t="str">
        <f>"060820161"</f>
        <v>060820161</v>
      </c>
      <c r="C4677" s="2" t="str">
        <f>"0009740"</f>
        <v>0009740</v>
      </c>
      <c r="D4677" s="2" t="s">
        <v>5892</v>
      </c>
      <c r="E4677" s="4">
        <v>4300</v>
      </c>
    </row>
    <row r="4678" spans="1:5">
      <c r="A4678" s="2" t="s">
        <v>3274</v>
      </c>
      <c r="B4678" s="2" t="str">
        <f>"060820094"</f>
        <v>060820094</v>
      </c>
      <c r="C4678" s="2" t="str">
        <f>"060820094 F009155"</f>
        <v>060820094 F009155</v>
      </c>
      <c r="D4678" s="2" t="s">
        <v>5893</v>
      </c>
      <c r="E4678" s="4">
        <v>5200</v>
      </c>
    </row>
    <row r="4679" spans="1:5">
      <c r="A4679" s="2" t="s">
        <v>3274</v>
      </c>
      <c r="B4679" s="2" t="s">
        <v>5894</v>
      </c>
      <c r="C4679" s="2" t="s">
        <v>5895</v>
      </c>
      <c r="D4679" s="2" t="s">
        <v>5896</v>
      </c>
      <c r="E4679" s="4">
        <v>3800</v>
      </c>
    </row>
    <row r="4680" spans="1:5">
      <c r="A4680" s="2" t="s">
        <v>3274</v>
      </c>
      <c r="B4680" s="2" t="s">
        <v>5897</v>
      </c>
      <c r="C4680" s="2" t="s">
        <v>5898</v>
      </c>
      <c r="D4680" s="2" t="s">
        <v>5899</v>
      </c>
      <c r="E4680" s="4">
        <v>4300</v>
      </c>
    </row>
    <row r="4681" spans="1:5">
      <c r="A4681" s="2" t="s">
        <v>3274</v>
      </c>
      <c r="B4681" s="2" t="s">
        <v>5900</v>
      </c>
      <c r="C4681" s="2" t="s">
        <v>5901</v>
      </c>
      <c r="D4681" s="2" t="s">
        <v>5902</v>
      </c>
      <c r="E4681" s="4">
        <v>4000</v>
      </c>
    </row>
    <row r="4682" spans="1:5">
      <c r="A4682" s="2" t="s">
        <v>3274</v>
      </c>
      <c r="B4682" s="2" t="str">
        <f>"060820189"</f>
        <v>060820189</v>
      </c>
      <c r="C4682" s="2" t="str">
        <f>"060820189"</f>
        <v>060820189</v>
      </c>
      <c r="D4682" s="2" t="s">
        <v>5903</v>
      </c>
      <c r="E4682" s="4">
        <v>3800</v>
      </c>
    </row>
    <row r="4683" spans="1:5">
      <c r="A4683" s="2" t="s">
        <v>3274</v>
      </c>
      <c r="B4683" s="2" t="s">
        <v>5904</v>
      </c>
      <c r="C4683" s="2" t="s">
        <v>5905</v>
      </c>
      <c r="D4683" s="2" t="s">
        <v>5906</v>
      </c>
      <c r="E4683" s="4">
        <v>2500</v>
      </c>
    </row>
    <row r="4684" spans="1:5">
      <c r="A4684" s="2" t="s">
        <v>3274</v>
      </c>
      <c r="B4684" s="2" t="str">
        <f>"060820100"</f>
        <v>060820100</v>
      </c>
      <c r="C4684" s="2" t="str">
        <f>"060820100"</f>
        <v>060820100</v>
      </c>
      <c r="D4684" s="2" t="s">
        <v>5907</v>
      </c>
      <c r="E4684" s="4">
        <v>3800</v>
      </c>
    </row>
    <row r="4685" spans="1:5">
      <c r="A4685" s="2" t="s">
        <v>3274</v>
      </c>
      <c r="B4685" s="2" t="s">
        <v>5908</v>
      </c>
      <c r="C4685" s="2" t="s">
        <v>5909</v>
      </c>
      <c r="D4685" s="2" t="s">
        <v>5910</v>
      </c>
      <c r="E4685" s="4">
        <v>4300</v>
      </c>
    </row>
    <row r="4686" spans="1:5">
      <c r="A4686" s="2" t="s">
        <v>3274</v>
      </c>
      <c r="B4686" s="2" t="str">
        <f>"060820945"</f>
        <v>060820945</v>
      </c>
      <c r="C4686" s="2" t="str">
        <f>"005098"</f>
        <v>005098</v>
      </c>
      <c r="D4686" s="2" t="s">
        <v>5911</v>
      </c>
      <c r="E4686" s="4">
        <v>4300</v>
      </c>
    </row>
    <row r="4687" spans="1:5">
      <c r="A4687" s="2" t="s">
        <v>3274</v>
      </c>
      <c r="B4687" s="2" t="str">
        <f>"060820104"</f>
        <v>060820104</v>
      </c>
      <c r="C4687" s="2" t="str">
        <f>"060820104"</f>
        <v>060820104</v>
      </c>
      <c r="D4687" s="2" t="s">
        <v>5912</v>
      </c>
      <c r="E4687" s="4">
        <v>4500</v>
      </c>
    </row>
    <row r="4688" spans="1:5">
      <c r="A4688" s="2" t="s">
        <v>3274</v>
      </c>
      <c r="B4688" s="2" t="str">
        <f>"247556"</f>
        <v>247556</v>
      </c>
      <c r="C4688" s="2" t="str">
        <f>"247556"</f>
        <v>247556</v>
      </c>
      <c r="D4688" s="2" t="s">
        <v>5913</v>
      </c>
      <c r="E4688" s="4">
        <v>4900</v>
      </c>
    </row>
    <row r="4689" spans="1:5">
      <c r="A4689" s="2" t="s">
        <v>3274</v>
      </c>
      <c r="B4689" s="2" t="str">
        <f>"060820743"</f>
        <v>060820743</v>
      </c>
      <c r="C4689" s="2" t="str">
        <f>"060820743"</f>
        <v>060820743</v>
      </c>
      <c r="D4689" s="2" t="s">
        <v>5914</v>
      </c>
      <c r="E4689" s="4">
        <v>4300</v>
      </c>
    </row>
    <row r="4690" spans="1:5">
      <c r="A4690" s="2" t="s">
        <v>3274</v>
      </c>
      <c r="B4690" s="2" t="s">
        <v>5915</v>
      </c>
      <c r="C4690" s="2" t="s">
        <v>5916</v>
      </c>
      <c r="D4690" s="2" t="s">
        <v>5917</v>
      </c>
      <c r="E4690" s="4">
        <v>4400</v>
      </c>
    </row>
    <row r="4691" spans="1:5">
      <c r="A4691" s="2" t="s">
        <v>3274</v>
      </c>
      <c r="B4691" s="2" t="s">
        <v>5918</v>
      </c>
      <c r="C4691" s="2" t="s">
        <v>5919</v>
      </c>
      <c r="D4691" s="2" t="s">
        <v>5920</v>
      </c>
      <c r="E4691" s="4">
        <v>4900</v>
      </c>
    </row>
    <row r="4692" spans="1:5">
      <c r="A4692" s="2" t="s">
        <v>3274</v>
      </c>
      <c r="B4692" s="2" t="str">
        <f>"247559"</f>
        <v>247559</v>
      </c>
      <c r="C4692" s="2" t="str">
        <f>"247559"</f>
        <v>247559</v>
      </c>
      <c r="D4692" s="2" t="s">
        <v>5921</v>
      </c>
      <c r="E4692" s="4">
        <v>5200</v>
      </c>
    </row>
    <row r="4693" spans="1:5">
      <c r="A4693" s="2" t="s">
        <v>3274</v>
      </c>
      <c r="B4693" s="2" t="str">
        <f>"010364"</f>
        <v>010364</v>
      </c>
      <c r="C4693" s="2" t="str">
        <f>"010364"</f>
        <v>010364</v>
      </c>
      <c r="D4693" s="2" t="s">
        <v>5922</v>
      </c>
      <c r="E4693" s="4">
        <v>8800</v>
      </c>
    </row>
    <row r="4694" spans="1:5">
      <c r="A4694" s="2" t="s">
        <v>3274</v>
      </c>
      <c r="B4694" s="2" t="str">
        <f>"060820936"</f>
        <v>060820936</v>
      </c>
      <c r="C4694" s="2" t="str">
        <f>"060820936"</f>
        <v>060820936</v>
      </c>
      <c r="D4694" s="2" t="s">
        <v>5923</v>
      </c>
      <c r="E4694" s="4">
        <v>4300</v>
      </c>
    </row>
    <row r="4695" spans="1:5">
      <c r="A4695" s="2" t="s">
        <v>3274</v>
      </c>
      <c r="B4695" s="2" t="str">
        <f>"060820684"</f>
        <v>060820684</v>
      </c>
      <c r="C4695" s="2" t="str">
        <f>"060820684"</f>
        <v>060820684</v>
      </c>
      <c r="D4695" s="2" t="s">
        <v>5924</v>
      </c>
      <c r="E4695" s="4">
        <v>3400</v>
      </c>
    </row>
    <row r="4696" spans="1:5">
      <c r="A4696" s="2" t="s">
        <v>3274</v>
      </c>
      <c r="B4696" s="2" t="str">
        <f>"0002203"</f>
        <v>0002203</v>
      </c>
      <c r="C4696" s="2" t="str">
        <f>"0002203"</f>
        <v>0002203</v>
      </c>
      <c r="D4696" s="2" t="s">
        <v>5925</v>
      </c>
      <c r="E4696" s="4">
        <v>4300</v>
      </c>
    </row>
    <row r="4697" spans="1:5">
      <c r="A4697" s="2" t="s">
        <v>3274</v>
      </c>
      <c r="B4697" s="2" t="str">
        <f>"28173-0X000"</f>
        <v>28173-0X000</v>
      </c>
      <c r="C4697" s="2" t="str">
        <f>"28173-0X000"</f>
        <v>28173-0X000</v>
      </c>
      <c r="D4697" s="2" t="s">
        <v>5926</v>
      </c>
      <c r="E4697" s="4">
        <v>3400</v>
      </c>
    </row>
    <row r="4698" spans="1:5">
      <c r="A4698" s="2" t="s">
        <v>3274</v>
      </c>
      <c r="B4698" s="2" t="str">
        <f>"17801-21050"</f>
        <v>17801-21050</v>
      </c>
      <c r="C4698" s="2" t="str">
        <f>"17801-21050"</f>
        <v>17801-21050</v>
      </c>
      <c r="D4698" s="2" t="s">
        <v>5927</v>
      </c>
      <c r="E4698" s="4">
        <v>3400</v>
      </c>
    </row>
    <row r="4699" spans="1:5">
      <c r="A4699" s="2" t="s">
        <v>3274</v>
      </c>
      <c r="B4699" s="2" t="str">
        <f>"060820708"</f>
        <v>060820708</v>
      </c>
      <c r="C4699" s="2" t="str">
        <f>"060820708"</f>
        <v>060820708</v>
      </c>
      <c r="D4699" s="2" t="s">
        <v>5928</v>
      </c>
      <c r="E4699" s="4">
        <v>3400</v>
      </c>
    </row>
    <row r="4700" spans="1:5">
      <c r="A4700" s="2" t="s">
        <v>3274</v>
      </c>
      <c r="B4700" s="2" t="s">
        <v>5929</v>
      </c>
      <c r="C4700" s="2" t="s">
        <v>5930</v>
      </c>
      <c r="D4700" s="2" t="s">
        <v>5931</v>
      </c>
      <c r="E4700" s="4">
        <v>4500</v>
      </c>
    </row>
    <row r="4701" spans="1:5">
      <c r="A4701" s="2" t="s">
        <v>3274</v>
      </c>
      <c r="B4701" s="2" t="str">
        <f>"247908"</f>
        <v>247908</v>
      </c>
      <c r="C4701" s="2" t="str">
        <f>"247908"</f>
        <v>247908</v>
      </c>
      <c r="D4701" s="2" t="s">
        <v>5932</v>
      </c>
      <c r="E4701" s="4">
        <v>5200</v>
      </c>
    </row>
    <row r="4702" spans="1:5">
      <c r="A4702" s="2" t="s">
        <v>3274</v>
      </c>
      <c r="B4702" s="2" t="s">
        <v>5933</v>
      </c>
      <c r="C4702" s="2" t="s">
        <v>5934</v>
      </c>
      <c r="D4702" s="2" t="s">
        <v>5935</v>
      </c>
      <c r="E4702" s="4">
        <v>4700</v>
      </c>
    </row>
    <row r="4703" spans="1:5">
      <c r="A4703" s="2" t="s">
        <v>3274</v>
      </c>
      <c r="B4703" s="2" t="s">
        <v>5936</v>
      </c>
      <c r="C4703" s="2" t="s">
        <v>5937</v>
      </c>
      <c r="D4703" s="2" t="s">
        <v>5938</v>
      </c>
      <c r="E4703" s="4">
        <v>6500</v>
      </c>
    </row>
    <row r="4704" spans="1:5">
      <c r="A4704" s="2" t="s">
        <v>3274</v>
      </c>
      <c r="B4704" s="2" t="str">
        <f>"247553"</f>
        <v>247553</v>
      </c>
      <c r="C4704" s="2" t="str">
        <f>"247553"</f>
        <v>247553</v>
      </c>
      <c r="D4704" s="2" t="s">
        <v>5939</v>
      </c>
      <c r="E4704" s="4">
        <v>6100</v>
      </c>
    </row>
    <row r="4705" spans="1:5">
      <c r="A4705" s="2" t="s">
        <v>3274</v>
      </c>
      <c r="B4705" s="2" t="s">
        <v>5940</v>
      </c>
      <c r="C4705" s="2" t="s">
        <v>5941</v>
      </c>
      <c r="D4705" s="2" t="s">
        <v>5942</v>
      </c>
      <c r="E4705" s="4">
        <v>5500</v>
      </c>
    </row>
    <row r="4706" spans="1:5">
      <c r="A4706" s="2" t="s">
        <v>3274</v>
      </c>
      <c r="B4706" s="2" t="str">
        <f>"060820679"</f>
        <v>060820679</v>
      </c>
      <c r="C4706" s="2" t="str">
        <f>"17801-87717"</f>
        <v>17801-87717</v>
      </c>
      <c r="D4706" s="2" t="s">
        <v>5943</v>
      </c>
      <c r="E4706" s="4">
        <v>4300</v>
      </c>
    </row>
    <row r="4707" spans="1:5">
      <c r="A4707" s="2" t="s">
        <v>3274</v>
      </c>
      <c r="B4707" s="2" t="str">
        <f>"300959"</f>
        <v>300959</v>
      </c>
      <c r="C4707" s="2" t="str">
        <f>"300959"</f>
        <v>300959</v>
      </c>
      <c r="D4707" s="2" t="s">
        <v>5944</v>
      </c>
      <c r="E4707" s="4">
        <v>4900</v>
      </c>
    </row>
    <row r="4708" spans="1:5">
      <c r="A4708" s="2" t="s">
        <v>3274</v>
      </c>
      <c r="B4708" s="2" t="s">
        <v>5945</v>
      </c>
      <c r="C4708" s="2" t="s">
        <v>5946</v>
      </c>
      <c r="D4708" s="2" t="s">
        <v>5947</v>
      </c>
      <c r="E4708" s="4">
        <v>4000</v>
      </c>
    </row>
    <row r="4709" spans="1:5">
      <c r="A4709" s="2" t="s">
        <v>3274</v>
      </c>
      <c r="B4709" s="2" t="str">
        <f>"060820770"</f>
        <v>060820770</v>
      </c>
      <c r="C4709" s="2" t="str">
        <f>"060820770"</f>
        <v>060820770</v>
      </c>
      <c r="D4709" s="2" t="s">
        <v>5948</v>
      </c>
      <c r="E4709" s="4">
        <v>5200</v>
      </c>
    </row>
    <row r="4710" spans="1:5">
      <c r="A4710" s="2" t="s">
        <v>3274</v>
      </c>
      <c r="B4710" s="2" t="s">
        <v>5949</v>
      </c>
      <c r="C4710" s="2" t="s">
        <v>5950</v>
      </c>
      <c r="D4710" s="2" t="s">
        <v>5951</v>
      </c>
      <c r="E4710" s="4">
        <v>4200</v>
      </c>
    </row>
    <row r="4711" spans="1:5">
      <c r="A4711" s="2" t="s">
        <v>3274</v>
      </c>
      <c r="B4711" s="2" t="str">
        <f>"005097"</f>
        <v>005097</v>
      </c>
      <c r="C4711" s="2" t="str">
        <f>"005097"</f>
        <v>005097</v>
      </c>
      <c r="D4711" s="2" t="s">
        <v>5952</v>
      </c>
      <c r="E4711" s="4">
        <v>4800</v>
      </c>
    </row>
    <row r="4712" spans="1:5">
      <c r="A4712" s="2" t="s">
        <v>3274</v>
      </c>
      <c r="B4712" s="2" t="s">
        <v>5953</v>
      </c>
      <c r="C4712" s="2" t="s">
        <v>5953</v>
      </c>
      <c r="D4712" s="2" t="s">
        <v>5954</v>
      </c>
      <c r="E4712" s="4">
        <v>6100</v>
      </c>
    </row>
    <row r="4713" spans="1:5">
      <c r="A4713" s="2" t="s">
        <v>3274</v>
      </c>
      <c r="B4713" s="2" t="str">
        <f>"060820988"</f>
        <v>060820988</v>
      </c>
      <c r="C4713" s="2" t="str">
        <f>"060820988"</f>
        <v>060820988</v>
      </c>
      <c r="D4713" s="2" t="s">
        <v>5955</v>
      </c>
      <c r="E4713" s="4">
        <v>4300</v>
      </c>
    </row>
    <row r="4714" spans="1:5">
      <c r="A4714" s="2" t="s">
        <v>3274</v>
      </c>
      <c r="B4714" s="2" t="s">
        <v>5956</v>
      </c>
      <c r="C4714" s="2" t="s">
        <v>5957</v>
      </c>
      <c r="D4714" s="2" t="s">
        <v>5958</v>
      </c>
      <c r="E4714" s="4">
        <v>4300</v>
      </c>
    </row>
    <row r="4715" spans="1:5">
      <c r="A4715" s="2" t="s">
        <v>3274</v>
      </c>
      <c r="B4715" s="2" t="s">
        <v>5959</v>
      </c>
      <c r="C4715" s="2" t="s">
        <v>5960</v>
      </c>
      <c r="D4715" s="2" t="s">
        <v>5961</v>
      </c>
      <c r="E4715" s="4">
        <v>8500</v>
      </c>
    </row>
    <row r="4716" spans="1:5">
      <c r="A4716" s="2" t="s">
        <v>3274</v>
      </c>
      <c r="B4716" s="2" t="s">
        <v>5962</v>
      </c>
      <c r="C4716" s="2" t="s">
        <v>5963</v>
      </c>
      <c r="D4716" s="2" t="s">
        <v>5964</v>
      </c>
      <c r="E4716" s="4">
        <v>6100</v>
      </c>
    </row>
    <row r="4717" spans="1:5">
      <c r="A4717" s="2" t="s">
        <v>3274</v>
      </c>
      <c r="B4717" s="2" t="str">
        <f>"010825"</f>
        <v>010825</v>
      </c>
      <c r="C4717" s="2" t="str">
        <f>"010825"</f>
        <v>010825</v>
      </c>
      <c r="D4717" s="2" t="s">
        <v>5965</v>
      </c>
      <c r="E4717" s="4">
        <v>6500</v>
      </c>
    </row>
    <row r="4718" spans="1:5">
      <c r="A4718" s="2" t="s">
        <v>3274</v>
      </c>
      <c r="B4718" s="2" t="str">
        <f>"060820920"</f>
        <v>060820920</v>
      </c>
      <c r="C4718" s="2" t="str">
        <f>"060820920"</f>
        <v>060820920</v>
      </c>
      <c r="D4718" s="2" t="s">
        <v>5966</v>
      </c>
      <c r="E4718" s="4">
        <v>5200</v>
      </c>
    </row>
    <row r="4719" spans="1:5">
      <c r="A4719" s="2" t="s">
        <v>3274</v>
      </c>
      <c r="B4719" s="2" t="str">
        <f>"060820108"</f>
        <v>060820108</v>
      </c>
      <c r="C4719" s="2" t="str">
        <f>"060820108"</f>
        <v>060820108</v>
      </c>
      <c r="D4719" s="2" t="s">
        <v>5967</v>
      </c>
      <c r="E4719" s="4">
        <v>3400</v>
      </c>
    </row>
    <row r="4720" spans="1:5">
      <c r="A4720" s="2" t="s">
        <v>3274</v>
      </c>
      <c r="B4720" s="2" t="s">
        <v>5968</v>
      </c>
      <c r="C4720" s="2" t="s">
        <v>5968</v>
      </c>
      <c r="D4720" s="2" t="s">
        <v>5969</v>
      </c>
      <c r="E4720" s="4">
        <v>5200</v>
      </c>
    </row>
    <row r="4721" spans="1:5">
      <c r="A4721" s="2" t="s">
        <v>3274</v>
      </c>
      <c r="B4721" s="2" t="s">
        <v>5970</v>
      </c>
      <c r="C4721" s="2" t="s">
        <v>5971</v>
      </c>
      <c r="D4721" s="2" t="s">
        <v>5972</v>
      </c>
      <c r="E4721" s="4">
        <v>4700</v>
      </c>
    </row>
    <row r="4722" spans="1:5">
      <c r="A4722" s="2" t="s">
        <v>3274</v>
      </c>
      <c r="B4722" s="2" t="str">
        <f>"0009866"</f>
        <v>0009866</v>
      </c>
      <c r="C4722" s="2" t="str">
        <f>"0009866"</f>
        <v>0009866</v>
      </c>
      <c r="D4722" s="2" t="s">
        <v>5973</v>
      </c>
      <c r="E4722" s="4">
        <v>4300</v>
      </c>
    </row>
    <row r="4723" spans="1:5">
      <c r="A4723" s="2" t="s">
        <v>3274</v>
      </c>
      <c r="B4723" s="2" t="s">
        <v>5974</v>
      </c>
      <c r="C4723" s="2" t="s">
        <v>5975</v>
      </c>
      <c r="D4723" s="2" t="s">
        <v>5976</v>
      </c>
      <c r="E4723" s="4">
        <v>4300</v>
      </c>
    </row>
    <row r="4724" spans="1:5">
      <c r="A4724" s="2" t="s">
        <v>3274</v>
      </c>
      <c r="B4724" s="2" t="s">
        <v>5977</v>
      </c>
      <c r="C4724" s="2" t="s">
        <v>5977</v>
      </c>
      <c r="D4724" s="2" t="s">
        <v>5978</v>
      </c>
      <c r="E4724" s="4">
        <v>6500</v>
      </c>
    </row>
    <row r="4725" spans="1:5">
      <c r="A4725" s="2" t="s">
        <v>3274</v>
      </c>
      <c r="B4725" s="2" t="s">
        <v>5979</v>
      </c>
      <c r="C4725" s="2" t="s">
        <v>5979</v>
      </c>
      <c r="D4725" s="2" t="s">
        <v>5980</v>
      </c>
      <c r="E4725" s="4">
        <v>9700</v>
      </c>
    </row>
    <row r="4726" spans="1:5">
      <c r="A4726" s="2" t="s">
        <v>3274</v>
      </c>
      <c r="B4726" s="2" t="str">
        <f>"010516"</f>
        <v>010516</v>
      </c>
      <c r="C4726" s="2" t="str">
        <f>"010516"</f>
        <v>010516</v>
      </c>
      <c r="D4726" s="2" t="s">
        <v>5981</v>
      </c>
      <c r="E4726" s="4">
        <v>3400</v>
      </c>
    </row>
    <row r="4727" spans="1:5">
      <c r="A4727" s="2" t="s">
        <v>3274</v>
      </c>
      <c r="B4727" s="2" t="s">
        <v>5982</v>
      </c>
      <c r="C4727" s="2" t="s">
        <v>5983</v>
      </c>
      <c r="D4727" s="2" t="s">
        <v>5984</v>
      </c>
      <c r="E4727" s="4">
        <v>5000</v>
      </c>
    </row>
    <row r="4728" spans="1:5">
      <c r="A4728" s="2" t="s">
        <v>3274</v>
      </c>
      <c r="B4728" s="2" t="s">
        <v>5985</v>
      </c>
      <c r="C4728" s="2" t="s">
        <v>5986</v>
      </c>
      <c r="D4728" s="2" t="s">
        <v>5987</v>
      </c>
      <c r="E4728" s="4">
        <v>4000</v>
      </c>
    </row>
    <row r="4729" spans="1:5">
      <c r="A4729" s="2" t="s">
        <v>3274</v>
      </c>
      <c r="B4729" s="2" t="str">
        <f>"010772"</f>
        <v>010772</v>
      </c>
      <c r="C4729" s="2" t="str">
        <f>"010772"</f>
        <v>010772</v>
      </c>
      <c r="D4729" s="2" t="s">
        <v>5988</v>
      </c>
      <c r="E4729" s="4">
        <v>13500</v>
      </c>
    </row>
    <row r="4730" spans="1:5">
      <c r="A4730" s="2" t="s">
        <v>3274</v>
      </c>
      <c r="B4730" s="2" t="str">
        <f>"060820540"</f>
        <v>060820540</v>
      </c>
      <c r="C4730" s="2" t="str">
        <f>"060820540 0009803"</f>
        <v>060820540 0009803</v>
      </c>
      <c r="D4730" s="2" t="s">
        <v>5989</v>
      </c>
      <c r="E4730" s="4">
        <v>4300</v>
      </c>
    </row>
    <row r="4731" spans="1:5">
      <c r="A4731" s="2" t="s">
        <v>3274</v>
      </c>
      <c r="B4731" s="2" t="str">
        <f>"311981"</f>
        <v>311981</v>
      </c>
      <c r="C4731" s="2" t="str">
        <f>"311981"</f>
        <v>311981</v>
      </c>
      <c r="D4731" s="2" t="s">
        <v>5990</v>
      </c>
      <c r="E4731" s="4">
        <v>5900</v>
      </c>
    </row>
    <row r="4732" spans="1:5">
      <c r="A4732" s="2" t="s">
        <v>3274</v>
      </c>
      <c r="B4732" s="2" t="s">
        <v>5991</v>
      </c>
      <c r="C4732" s="2" t="s">
        <v>5992</v>
      </c>
      <c r="D4732" s="2" t="s">
        <v>5993</v>
      </c>
      <c r="E4732" s="4">
        <v>4300</v>
      </c>
    </row>
    <row r="4733" spans="1:5">
      <c r="A4733" s="2" t="s">
        <v>3274</v>
      </c>
      <c r="B4733" s="2" t="s">
        <v>5994</v>
      </c>
      <c r="C4733" s="2" t="s">
        <v>5995</v>
      </c>
      <c r="D4733" s="2" t="s">
        <v>5996</v>
      </c>
      <c r="E4733" s="4">
        <v>4700</v>
      </c>
    </row>
    <row r="4734" spans="1:5">
      <c r="A4734" s="2" t="s">
        <v>3274</v>
      </c>
      <c r="B4734" s="2" t="str">
        <f>"311743"</f>
        <v>311743</v>
      </c>
      <c r="C4734" s="2" t="str">
        <f>"311743"</f>
        <v>311743</v>
      </c>
      <c r="D4734" s="2" t="s">
        <v>5997</v>
      </c>
      <c r="E4734" s="4">
        <v>6900</v>
      </c>
    </row>
    <row r="4735" spans="1:5">
      <c r="A4735" s="2" t="s">
        <v>3274</v>
      </c>
      <c r="B4735" s="2" t="s">
        <v>5998</v>
      </c>
      <c r="C4735" s="2" t="s">
        <v>5999</v>
      </c>
      <c r="D4735" s="2" t="s">
        <v>6000</v>
      </c>
      <c r="E4735" s="4">
        <v>4300</v>
      </c>
    </row>
    <row r="4736" spans="1:5">
      <c r="A4736" s="2" t="s">
        <v>3274</v>
      </c>
      <c r="B4736" s="2" t="str">
        <f>"16546-77A10"</f>
        <v>16546-77A10</v>
      </c>
      <c r="C4736" s="2" t="s">
        <v>6001</v>
      </c>
      <c r="D4736" s="2" t="s">
        <v>6002</v>
      </c>
      <c r="E4736" s="4">
        <v>4300</v>
      </c>
    </row>
    <row r="4737" spans="1:5">
      <c r="A4737" s="2" t="s">
        <v>3274</v>
      </c>
      <c r="B4737" s="2" t="str">
        <f>"300525"</f>
        <v>300525</v>
      </c>
      <c r="C4737" s="2" t="str">
        <f>"300525"</f>
        <v>300525</v>
      </c>
      <c r="D4737" s="2" t="s">
        <v>6003</v>
      </c>
      <c r="E4737" s="4">
        <v>4300</v>
      </c>
    </row>
    <row r="4738" spans="1:5">
      <c r="A4738" s="2" t="s">
        <v>3274</v>
      </c>
      <c r="B4738" s="2" t="str">
        <f>"247819"</f>
        <v>247819</v>
      </c>
      <c r="C4738" s="2" t="str">
        <f>"247819"</f>
        <v>247819</v>
      </c>
      <c r="D4738" s="2" t="s">
        <v>6004</v>
      </c>
      <c r="E4738" s="4">
        <v>3400</v>
      </c>
    </row>
    <row r="4739" spans="1:5">
      <c r="A4739" s="2" t="s">
        <v>3274</v>
      </c>
      <c r="B4739" s="2" t="str">
        <f>"060820177"</f>
        <v>060820177</v>
      </c>
      <c r="C4739" s="2" t="str">
        <f>"060820177"</f>
        <v>060820177</v>
      </c>
      <c r="D4739" s="2" t="s">
        <v>6005</v>
      </c>
      <c r="E4739" s="4">
        <v>3900</v>
      </c>
    </row>
    <row r="4740" spans="1:5">
      <c r="A4740" s="2" t="s">
        <v>3274</v>
      </c>
      <c r="B4740" s="2" t="str">
        <f>"312269"</f>
        <v>312269</v>
      </c>
      <c r="C4740" s="2" t="str">
        <f>"312269"</f>
        <v>312269</v>
      </c>
      <c r="D4740" s="2" t="s">
        <v>6006</v>
      </c>
      <c r="E4740" s="4">
        <v>4800</v>
      </c>
    </row>
    <row r="4741" spans="1:5">
      <c r="A4741" s="2" t="s">
        <v>3274</v>
      </c>
      <c r="B4741" s="2" t="s">
        <v>6007</v>
      </c>
      <c r="C4741" s="2" t="s">
        <v>6008</v>
      </c>
      <c r="D4741" s="2" t="s">
        <v>6009</v>
      </c>
      <c r="E4741" s="4">
        <v>4000</v>
      </c>
    </row>
    <row r="4742" spans="1:5">
      <c r="A4742" s="2" t="s">
        <v>3274</v>
      </c>
      <c r="B4742" s="2" t="str">
        <f>"010510"</f>
        <v>010510</v>
      </c>
      <c r="C4742" s="2" t="str">
        <f>"010510"</f>
        <v>010510</v>
      </c>
      <c r="D4742" s="2" t="s">
        <v>6010</v>
      </c>
      <c r="E4742" s="4">
        <v>3500</v>
      </c>
    </row>
    <row r="4743" spans="1:5">
      <c r="A4743" s="2" t="s">
        <v>3274</v>
      </c>
      <c r="B4743" s="2" t="str">
        <f>"060820133"</f>
        <v>060820133</v>
      </c>
      <c r="C4743" s="2" t="str">
        <f>"060820133"</f>
        <v>060820133</v>
      </c>
      <c r="D4743" s="2" t="s">
        <v>6011</v>
      </c>
      <c r="E4743" s="4">
        <v>4300</v>
      </c>
    </row>
    <row r="4744" spans="1:5">
      <c r="A4744" s="2" t="s">
        <v>3274</v>
      </c>
      <c r="B4744" s="2" t="str">
        <f>"247566"</f>
        <v>247566</v>
      </c>
      <c r="C4744" s="2" t="str">
        <f>"247566"</f>
        <v>247566</v>
      </c>
      <c r="D4744" s="2" t="s">
        <v>6011</v>
      </c>
      <c r="E4744" s="4">
        <v>3400</v>
      </c>
    </row>
    <row r="4745" spans="1:5">
      <c r="A4745" s="2" t="s">
        <v>3274</v>
      </c>
      <c r="B4745" s="2" t="str">
        <f>"060820095"</f>
        <v>060820095</v>
      </c>
      <c r="C4745" s="2" t="str">
        <f>"060820095"</f>
        <v>060820095</v>
      </c>
      <c r="D4745" s="2" t="s">
        <v>6012</v>
      </c>
      <c r="E4745" s="4">
        <v>4300</v>
      </c>
    </row>
    <row r="4746" spans="1:5">
      <c r="A4746" s="2" t="s">
        <v>3274</v>
      </c>
      <c r="B4746" s="2" t="s">
        <v>6013</v>
      </c>
      <c r="C4746" s="2" t="s">
        <v>6014</v>
      </c>
      <c r="D4746" s="2" t="s">
        <v>6015</v>
      </c>
      <c r="E4746" s="4">
        <v>4300</v>
      </c>
    </row>
    <row r="4747" spans="1:5">
      <c r="A4747" s="2" t="s">
        <v>3274</v>
      </c>
      <c r="B4747" s="2" t="str">
        <f>"060820675"</f>
        <v>060820675</v>
      </c>
      <c r="C4747" s="2" t="str">
        <f>"060820675"</f>
        <v>060820675</v>
      </c>
      <c r="D4747" s="2" t="s">
        <v>6016</v>
      </c>
      <c r="E4747" s="4">
        <v>2900</v>
      </c>
    </row>
    <row r="4748" spans="1:5">
      <c r="A4748" s="2" t="s">
        <v>3274</v>
      </c>
      <c r="B4748" s="2" t="str">
        <f>"300981"</f>
        <v>300981</v>
      </c>
      <c r="C4748" s="2" t="str">
        <f>"300981"</f>
        <v>300981</v>
      </c>
      <c r="D4748" s="2" t="s">
        <v>6017</v>
      </c>
      <c r="E4748" s="4">
        <v>6100</v>
      </c>
    </row>
    <row r="4749" spans="1:5">
      <c r="A4749" s="2" t="s">
        <v>3274</v>
      </c>
      <c r="B4749" s="2" t="s">
        <v>6018</v>
      </c>
      <c r="C4749" s="2" t="s">
        <v>6019</v>
      </c>
      <c r="D4749" s="2" t="s">
        <v>6020</v>
      </c>
      <c r="E4749" s="4">
        <v>3800</v>
      </c>
    </row>
    <row r="4750" spans="1:5">
      <c r="A4750" s="2" t="s">
        <v>3274</v>
      </c>
      <c r="B4750" s="2" t="str">
        <f>"010810"</f>
        <v>010810</v>
      </c>
      <c r="C4750" s="2" t="str">
        <f>"010810"</f>
        <v>010810</v>
      </c>
      <c r="D4750" s="2" t="s">
        <v>6021</v>
      </c>
      <c r="E4750" s="4">
        <v>3900</v>
      </c>
    </row>
    <row r="4751" spans="1:5">
      <c r="A4751" s="2" t="s">
        <v>3274</v>
      </c>
      <c r="B4751" s="2" t="str">
        <f>"060820009"</f>
        <v>060820009</v>
      </c>
      <c r="C4751" s="2" t="str">
        <f>"0009762"</f>
        <v>0009762</v>
      </c>
      <c r="D4751" s="2" t="s">
        <v>6022</v>
      </c>
      <c r="E4751" s="4">
        <v>5200</v>
      </c>
    </row>
    <row r="4752" spans="1:5">
      <c r="A4752" s="2" t="s">
        <v>3274</v>
      </c>
      <c r="B4752" s="2" t="str">
        <f>"1500A023"</f>
        <v>1500A023</v>
      </c>
      <c r="C4752" s="2" t="s">
        <v>6023</v>
      </c>
      <c r="D4752" s="2" t="s">
        <v>6024</v>
      </c>
      <c r="E4752" s="4">
        <v>7000</v>
      </c>
    </row>
    <row r="4753" spans="1:5">
      <c r="A4753" s="2" t="s">
        <v>3274</v>
      </c>
      <c r="B4753" s="2" t="str">
        <f>"010410"</f>
        <v>010410</v>
      </c>
      <c r="C4753" s="2" t="str">
        <f>"010410"</f>
        <v>010410</v>
      </c>
      <c r="D4753" s="2" t="s">
        <v>6025</v>
      </c>
      <c r="E4753" s="4">
        <v>8800</v>
      </c>
    </row>
    <row r="4754" spans="1:5">
      <c r="A4754" s="2" t="s">
        <v>3274</v>
      </c>
      <c r="B4754" s="2" t="str">
        <f>"301254"</f>
        <v>301254</v>
      </c>
      <c r="C4754" s="2" t="str">
        <f>"301254"</f>
        <v>301254</v>
      </c>
      <c r="D4754" s="2" t="s">
        <v>6026</v>
      </c>
      <c r="E4754" s="4">
        <v>5200</v>
      </c>
    </row>
    <row r="4755" spans="1:5">
      <c r="A4755" s="2" t="s">
        <v>3274</v>
      </c>
      <c r="B4755" s="2" t="s">
        <v>6027</v>
      </c>
      <c r="C4755" s="2" t="s">
        <v>6028</v>
      </c>
      <c r="D4755" s="2" t="s">
        <v>6029</v>
      </c>
      <c r="E4755" s="4">
        <v>4500</v>
      </c>
    </row>
    <row r="4756" spans="1:5">
      <c r="A4756" s="2" t="s">
        <v>3274</v>
      </c>
      <c r="B4756" s="2" t="str">
        <f>"060820739"</f>
        <v>060820739</v>
      </c>
      <c r="C4756" s="2" t="str">
        <f>"060820739"</f>
        <v>060820739</v>
      </c>
      <c r="D4756" s="2" t="s">
        <v>6030</v>
      </c>
      <c r="E4756" s="4">
        <v>4300</v>
      </c>
    </row>
    <row r="4757" spans="1:5">
      <c r="A4757" s="2" t="s">
        <v>3274</v>
      </c>
      <c r="B4757" s="2" t="str">
        <f>"010681"</f>
        <v>010681</v>
      </c>
      <c r="C4757" s="2" t="str">
        <f>"010681"</f>
        <v>010681</v>
      </c>
      <c r="D4757" s="2" t="s">
        <v>6031</v>
      </c>
      <c r="E4757" s="4">
        <v>5200</v>
      </c>
    </row>
    <row r="4758" spans="1:5">
      <c r="A4758" s="2" t="s">
        <v>3274</v>
      </c>
      <c r="B4758" s="2" t="s">
        <v>6032</v>
      </c>
      <c r="C4758" s="2" t="s">
        <v>6033</v>
      </c>
      <c r="D4758" s="2" t="s">
        <v>6034</v>
      </c>
      <c r="E4758" s="4">
        <v>3800</v>
      </c>
    </row>
    <row r="4759" spans="1:5">
      <c r="A4759" s="2" t="s">
        <v>3274</v>
      </c>
      <c r="B4759" s="2" t="str">
        <f>"010725"</f>
        <v>010725</v>
      </c>
      <c r="C4759" s="2" t="str">
        <f>"010725"</f>
        <v>010725</v>
      </c>
      <c r="D4759" s="2" t="s">
        <v>6035</v>
      </c>
      <c r="E4759" s="4">
        <v>6100</v>
      </c>
    </row>
    <row r="4760" spans="1:5">
      <c r="A4760" s="2" t="s">
        <v>3274</v>
      </c>
      <c r="B4760" s="2" t="str">
        <f>"010795"</f>
        <v>010795</v>
      </c>
      <c r="C4760" s="2" t="str">
        <f>"010795"</f>
        <v>010795</v>
      </c>
      <c r="D4760" s="2" t="s">
        <v>6036</v>
      </c>
      <c r="E4760" s="4">
        <v>7000</v>
      </c>
    </row>
    <row r="4761" spans="1:5">
      <c r="A4761" s="2" t="s">
        <v>3274</v>
      </c>
      <c r="B4761" s="2" t="s">
        <v>6037</v>
      </c>
      <c r="C4761" s="2" t="s">
        <v>6038</v>
      </c>
      <c r="D4761" s="2" t="s">
        <v>6039</v>
      </c>
      <c r="E4761" s="4">
        <v>4400</v>
      </c>
    </row>
    <row r="4762" spans="1:5">
      <c r="A4762" s="2" t="s">
        <v>3274</v>
      </c>
      <c r="B4762" s="2" t="str">
        <f>"300980"</f>
        <v>300980</v>
      </c>
      <c r="C4762" s="2" t="str">
        <f>"300980"</f>
        <v>300980</v>
      </c>
      <c r="D4762" s="2" t="s">
        <v>6040</v>
      </c>
      <c r="E4762" s="4">
        <v>4900</v>
      </c>
    </row>
    <row r="4763" spans="1:5">
      <c r="A4763" s="2" t="s">
        <v>3274</v>
      </c>
      <c r="B4763" s="2" t="str">
        <f>"060820878"</f>
        <v>060820878</v>
      </c>
      <c r="C4763" s="2" t="str">
        <f>"060820878"</f>
        <v>060820878</v>
      </c>
      <c r="D4763" s="2" t="s">
        <v>6041</v>
      </c>
      <c r="E4763" s="4">
        <v>4800</v>
      </c>
    </row>
    <row r="4764" spans="1:5">
      <c r="A4764" s="2" t="s">
        <v>3274</v>
      </c>
      <c r="B4764" s="2" t="str">
        <f>"060821003"</f>
        <v>060821003</v>
      </c>
      <c r="C4764" s="2" t="str">
        <f>"060821003"</f>
        <v>060821003</v>
      </c>
      <c r="D4764" s="2" t="s">
        <v>6042</v>
      </c>
      <c r="E4764" s="4">
        <v>5200</v>
      </c>
    </row>
    <row r="4765" spans="1:5">
      <c r="A4765" s="2" t="s">
        <v>3274</v>
      </c>
      <c r="B4765" s="2" t="str">
        <f>"010908"</f>
        <v>010908</v>
      </c>
      <c r="C4765" s="2" t="str">
        <f>"010908"</f>
        <v>010908</v>
      </c>
      <c r="D4765" s="2" t="s">
        <v>6043</v>
      </c>
      <c r="E4765" s="4">
        <v>4300</v>
      </c>
    </row>
    <row r="4766" spans="1:5">
      <c r="A4766" s="2" t="s">
        <v>3274</v>
      </c>
      <c r="B4766" s="2" t="str">
        <f>"16546-EB300"</f>
        <v>16546-EB300</v>
      </c>
      <c r="C4766" s="2" t="s">
        <v>6044</v>
      </c>
      <c r="D4766" s="2" t="s">
        <v>6045</v>
      </c>
      <c r="E4766" s="4">
        <v>6100</v>
      </c>
    </row>
    <row r="4767" spans="1:5">
      <c r="A4767" s="2" t="s">
        <v>3274</v>
      </c>
      <c r="B4767" s="2" t="str">
        <f>"060820179"</f>
        <v>060820179</v>
      </c>
      <c r="C4767" s="2" t="str">
        <f>"060820179"</f>
        <v>060820179</v>
      </c>
      <c r="D4767" s="2" t="s">
        <v>6046</v>
      </c>
      <c r="E4767" s="4">
        <v>4300</v>
      </c>
    </row>
    <row r="4768" spans="1:5">
      <c r="A4768" s="2" t="s">
        <v>3274</v>
      </c>
      <c r="B4768" s="2" t="str">
        <f>"010776"</f>
        <v>010776</v>
      </c>
      <c r="C4768" s="2" t="str">
        <f>"010776"</f>
        <v>010776</v>
      </c>
      <c r="D4768" s="2" t="s">
        <v>6047</v>
      </c>
      <c r="E4768" s="4">
        <v>12400</v>
      </c>
    </row>
    <row r="4769" spans="1:5">
      <c r="A4769" s="2" t="s">
        <v>3274</v>
      </c>
      <c r="B4769" s="2" t="str">
        <f>"010830"</f>
        <v>010830</v>
      </c>
      <c r="C4769" s="2" t="str">
        <f>"010830"</f>
        <v>010830</v>
      </c>
      <c r="D4769" s="2" t="s">
        <v>6048</v>
      </c>
      <c r="E4769" s="4">
        <v>6100</v>
      </c>
    </row>
    <row r="4770" spans="1:5">
      <c r="A4770" s="2" t="s">
        <v>3274</v>
      </c>
      <c r="B4770" s="2" t="str">
        <f>"247869"</f>
        <v>247869</v>
      </c>
      <c r="C4770" s="2" t="str">
        <f>"247869"</f>
        <v>247869</v>
      </c>
      <c r="D4770" s="2" t="s">
        <v>6049</v>
      </c>
      <c r="E4770" s="4">
        <v>3400</v>
      </c>
    </row>
    <row r="4771" spans="1:5">
      <c r="A4771" s="2" t="s">
        <v>3274</v>
      </c>
      <c r="B4771" s="2" t="str">
        <f>"030820031"</f>
        <v>030820031</v>
      </c>
      <c r="C4771" s="2" t="s">
        <v>6050</v>
      </c>
      <c r="D4771" s="2" t="s">
        <v>6051</v>
      </c>
      <c r="E4771" s="4">
        <v>5200</v>
      </c>
    </row>
    <row r="4772" spans="1:5">
      <c r="A4772" s="2" t="s">
        <v>3274</v>
      </c>
      <c r="B4772" s="2" t="str">
        <f>"060820102"</f>
        <v>060820102</v>
      </c>
      <c r="C4772" s="2" t="str">
        <f>"060820102"</f>
        <v>060820102</v>
      </c>
      <c r="D4772" s="2" t="s">
        <v>6052</v>
      </c>
      <c r="E4772" s="4">
        <v>4300</v>
      </c>
    </row>
    <row r="4773" spans="1:5">
      <c r="A4773" s="2" t="s">
        <v>3274</v>
      </c>
      <c r="B4773" s="2" t="str">
        <f>"25098463"</f>
        <v>25098463</v>
      </c>
      <c r="C4773" s="2" t="str">
        <f>"25098463"</f>
        <v>25098463</v>
      </c>
      <c r="D4773" s="2" t="s">
        <v>6053</v>
      </c>
      <c r="E4773" s="4">
        <v>4300</v>
      </c>
    </row>
    <row r="4774" spans="1:5">
      <c r="A4774" s="2" t="s">
        <v>3274</v>
      </c>
      <c r="B4774" s="2" t="s">
        <v>6054</v>
      </c>
      <c r="C4774" s="2" t="s">
        <v>6055</v>
      </c>
      <c r="D4774" s="2" t="s">
        <v>6056</v>
      </c>
      <c r="E4774" s="4">
        <v>3400</v>
      </c>
    </row>
    <row r="4775" spans="1:5">
      <c r="A4775" s="2" t="s">
        <v>3274</v>
      </c>
      <c r="B4775" s="2" t="s">
        <v>6057</v>
      </c>
      <c r="C4775" s="2" t="s">
        <v>6058</v>
      </c>
      <c r="D4775" s="2" t="s">
        <v>6059</v>
      </c>
      <c r="E4775" s="4">
        <v>4800</v>
      </c>
    </row>
    <row r="4776" spans="1:5">
      <c r="A4776" s="2" t="s">
        <v>3274</v>
      </c>
      <c r="B4776" s="2" t="str">
        <f>"312131"</f>
        <v>312131</v>
      </c>
      <c r="C4776" s="2" t="str">
        <f>"312131"</f>
        <v>312131</v>
      </c>
      <c r="D4776" s="2" t="s">
        <v>6060</v>
      </c>
      <c r="E4776" s="4">
        <v>4500</v>
      </c>
    </row>
    <row r="4777" spans="1:5">
      <c r="A4777" s="2" t="s">
        <v>3274</v>
      </c>
      <c r="B4777" s="2" t="str">
        <f>"311742"</f>
        <v>311742</v>
      </c>
      <c r="C4777" s="2" t="str">
        <f>"311742"</f>
        <v>311742</v>
      </c>
      <c r="D4777" s="2" t="s">
        <v>6061</v>
      </c>
      <c r="E4777" s="4">
        <v>3800</v>
      </c>
    </row>
    <row r="4778" spans="1:5">
      <c r="A4778" s="2" t="s">
        <v>3274</v>
      </c>
      <c r="B4778" s="2" t="str">
        <f>"060820096"</f>
        <v>060820096</v>
      </c>
      <c r="C4778" s="2" t="str">
        <f>"060820096"</f>
        <v>060820096</v>
      </c>
      <c r="D4778" s="2" t="s">
        <v>6062</v>
      </c>
      <c r="E4778" s="4">
        <v>4300</v>
      </c>
    </row>
    <row r="4779" spans="1:5">
      <c r="A4779" s="2" t="s">
        <v>3274</v>
      </c>
      <c r="B4779" s="2" t="str">
        <f>"060820994"</f>
        <v>060820994</v>
      </c>
      <c r="C4779" s="2" t="str">
        <f>"060820994"</f>
        <v>060820994</v>
      </c>
      <c r="D4779" s="2" t="s">
        <v>6063</v>
      </c>
      <c r="E4779" s="4">
        <v>3800</v>
      </c>
    </row>
    <row r="4780" spans="1:5">
      <c r="A4780" s="2" t="s">
        <v>3274</v>
      </c>
      <c r="B4780" s="2" t="s">
        <v>6064</v>
      </c>
      <c r="C4780" s="2" t="s">
        <v>6065</v>
      </c>
      <c r="D4780" s="2" t="s">
        <v>6066</v>
      </c>
      <c r="E4780" s="4">
        <v>12800</v>
      </c>
    </row>
    <row r="4781" spans="1:5">
      <c r="A4781" s="2" t="s">
        <v>3274</v>
      </c>
      <c r="B4781" s="2" t="str">
        <f>"247889"</f>
        <v>247889</v>
      </c>
      <c r="C4781" s="2" t="str">
        <f>"247889"</f>
        <v>247889</v>
      </c>
      <c r="D4781" s="2" t="s">
        <v>6067</v>
      </c>
      <c r="E4781" s="4">
        <v>8400</v>
      </c>
    </row>
    <row r="4782" spans="1:5">
      <c r="A4782" s="2" t="s">
        <v>3274</v>
      </c>
      <c r="B4782" s="2" t="str">
        <f>"060820509"</f>
        <v>060820509</v>
      </c>
      <c r="C4782" s="2" t="str">
        <f>"060820509"</f>
        <v>060820509</v>
      </c>
      <c r="D4782" s="2" t="s">
        <v>6068</v>
      </c>
      <c r="E4782" s="4">
        <v>4500</v>
      </c>
    </row>
    <row r="4783" spans="1:5">
      <c r="A4783" s="2" t="s">
        <v>3274</v>
      </c>
      <c r="B4783" s="2" t="str">
        <f>"010458"</f>
        <v>010458</v>
      </c>
      <c r="C4783" s="2" t="str">
        <f>"010458"</f>
        <v>010458</v>
      </c>
      <c r="D4783" s="2" t="s">
        <v>6069</v>
      </c>
      <c r="E4783" s="4">
        <v>5900</v>
      </c>
    </row>
    <row r="4784" spans="1:5">
      <c r="A4784" s="2" t="s">
        <v>3274</v>
      </c>
      <c r="B4784" s="2" t="str">
        <f>"010705"</f>
        <v>010705</v>
      </c>
      <c r="C4784" s="2" t="str">
        <f>"010705"</f>
        <v>010705</v>
      </c>
      <c r="D4784" s="2" t="s">
        <v>6070</v>
      </c>
      <c r="E4784" s="4">
        <v>5500</v>
      </c>
    </row>
    <row r="4785" spans="1:5">
      <c r="A4785" s="2" t="s">
        <v>3274</v>
      </c>
      <c r="B4785" s="2" t="str">
        <f>"060820766"</f>
        <v>060820766</v>
      </c>
      <c r="C4785" s="2" t="str">
        <f>"060820766"</f>
        <v>060820766</v>
      </c>
      <c r="D4785" s="2" t="s">
        <v>6071</v>
      </c>
      <c r="E4785" s="4">
        <v>4800</v>
      </c>
    </row>
    <row r="4786" spans="1:5">
      <c r="A4786" s="2" t="s">
        <v>3274</v>
      </c>
      <c r="B4786" s="2" t="s">
        <v>6072</v>
      </c>
      <c r="C4786" s="2" t="s">
        <v>6073</v>
      </c>
      <c r="D4786" s="2" t="s">
        <v>6074</v>
      </c>
      <c r="E4786" s="4">
        <v>4900</v>
      </c>
    </row>
    <row r="4787" spans="1:5">
      <c r="A4787" s="2" t="s">
        <v>3274</v>
      </c>
      <c r="B4787" s="2" t="str">
        <f>"311744"</f>
        <v>311744</v>
      </c>
      <c r="C4787" s="2" t="str">
        <f>"311744"</f>
        <v>311744</v>
      </c>
      <c r="D4787" s="2" t="s">
        <v>6075</v>
      </c>
      <c r="E4787" s="4">
        <v>6100</v>
      </c>
    </row>
    <row r="4788" spans="1:5">
      <c r="A4788" s="2" t="s">
        <v>3274</v>
      </c>
      <c r="B4788" s="2" t="str">
        <f>"247872"</f>
        <v>247872</v>
      </c>
      <c r="C4788" s="2" t="str">
        <f>"247872"</f>
        <v>247872</v>
      </c>
      <c r="D4788" s="2" t="s">
        <v>6076</v>
      </c>
      <c r="E4788" s="4">
        <v>5200</v>
      </c>
    </row>
    <row r="4789" spans="1:5">
      <c r="A4789" s="2" t="s">
        <v>3274</v>
      </c>
      <c r="B4789" s="2" t="str">
        <f>"0009061"</f>
        <v>0009061</v>
      </c>
      <c r="C4789" s="2" t="str">
        <f>"0009061"</f>
        <v>0009061</v>
      </c>
      <c r="D4789" s="2" t="s">
        <v>6077</v>
      </c>
      <c r="E4789" s="4">
        <v>4300</v>
      </c>
    </row>
    <row r="4790" spans="1:5">
      <c r="A4790" s="2" t="s">
        <v>3274</v>
      </c>
      <c r="B4790" s="2" t="str">
        <f>"0009752"</f>
        <v>0009752</v>
      </c>
      <c r="C4790" s="2" t="str">
        <f>"0009752"</f>
        <v>0009752</v>
      </c>
      <c r="D4790" s="2" t="s">
        <v>6078</v>
      </c>
      <c r="E4790" s="4">
        <v>4300</v>
      </c>
    </row>
    <row r="4791" spans="1:5">
      <c r="A4791" s="2" t="s">
        <v>3274</v>
      </c>
      <c r="B4791" s="2" t="str">
        <f>"060820541"</f>
        <v>060820541</v>
      </c>
      <c r="C4791" s="2" t="str">
        <f>"060820541"</f>
        <v>060820541</v>
      </c>
      <c r="D4791" s="2" t="s">
        <v>6079</v>
      </c>
      <c r="E4791" s="4">
        <v>6100</v>
      </c>
    </row>
    <row r="4792" spans="1:5">
      <c r="A4792" s="2" t="s">
        <v>3274</v>
      </c>
      <c r="B4792" s="2" t="str">
        <f>"312264"</f>
        <v>312264</v>
      </c>
      <c r="C4792" s="2" t="str">
        <f>"312264 0009760"</f>
        <v>312264 0009760</v>
      </c>
      <c r="D4792" s="2" t="s">
        <v>6080</v>
      </c>
      <c r="E4792" s="4">
        <v>8500</v>
      </c>
    </row>
    <row r="4793" spans="1:5">
      <c r="A4793" s="2" t="s">
        <v>3274</v>
      </c>
      <c r="B4793" s="2" t="str">
        <f>"004509"</f>
        <v>004509</v>
      </c>
      <c r="C4793" s="2" t="str">
        <f>"004509"</f>
        <v>004509</v>
      </c>
      <c r="D4793" s="2" t="s">
        <v>6081</v>
      </c>
      <c r="E4793" s="4">
        <v>6100</v>
      </c>
    </row>
    <row r="4794" spans="1:5">
      <c r="A4794" s="2" t="s">
        <v>3274</v>
      </c>
      <c r="B4794" s="2" t="s">
        <v>6082</v>
      </c>
      <c r="C4794" s="2" t="s">
        <v>6082</v>
      </c>
      <c r="D4794" s="2" t="s">
        <v>6083</v>
      </c>
      <c r="E4794" s="4">
        <v>6100</v>
      </c>
    </row>
    <row r="4795" spans="1:5">
      <c r="A4795" s="2" t="s">
        <v>3274</v>
      </c>
      <c r="B4795" s="2" t="str">
        <f>"300563"</f>
        <v>300563</v>
      </c>
      <c r="C4795" s="2" t="str">
        <f>"300563"</f>
        <v>300563</v>
      </c>
      <c r="D4795" s="2" t="s">
        <v>6084</v>
      </c>
      <c r="E4795" s="4">
        <v>6800</v>
      </c>
    </row>
    <row r="4796" spans="1:5">
      <c r="A4796" s="2" t="s">
        <v>3274</v>
      </c>
      <c r="B4796" s="2" t="str">
        <f>"010960"</f>
        <v>010960</v>
      </c>
      <c r="C4796" s="2" t="str">
        <f>"010960"</f>
        <v>010960</v>
      </c>
      <c r="D4796" s="2" t="s">
        <v>6085</v>
      </c>
      <c r="E4796" s="4">
        <v>3900</v>
      </c>
    </row>
    <row r="4797" spans="1:5">
      <c r="A4797" s="2" t="s">
        <v>3274</v>
      </c>
      <c r="B4797" s="2" t="str">
        <f>"005794"</f>
        <v>005794</v>
      </c>
      <c r="C4797" s="2" t="str">
        <f>"005794"</f>
        <v>005794</v>
      </c>
      <c r="D4797" s="2" t="s">
        <v>6086</v>
      </c>
      <c r="E4797" s="4">
        <v>12400</v>
      </c>
    </row>
    <row r="4798" spans="1:5">
      <c r="A4798" s="2" t="s">
        <v>3274</v>
      </c>
      <c r="B4798" s="2" t="str">
        <f>"311121"</f>
        <v>311121</v>
      </c>
      <c r="C4798" s="2" t="str">
        <f>"311121"</f>
        <v>311121</v>
      </c>
      <c r="D4798" s="2" t="s">
        <v>6087</v>
      </c>
      <c r="E4798" s="4">
        <v>4300</v>
      </c>
    </row>
    <row r="4799" spans="1:5">
      <c r="A4799" s="2" t="s">
        <v>3274</v>
      </c>
      <c r="B4799" s="2" t="str">
        <f>"010759"</f>
        <v>010759</v>
      </c>
      <c r="C4799" s="2" t="str">
        <f>"010759"</f>
        <v>010759</v>
      </c>
      <c r="D4799" s="2" t="s">
        <v>6088</v>
      </c>
      <c r="E4799" s="4">
        <v>6100</v>
      </c>
    </row>
    <row r="4800" spans="1:5">
      <c r="A4800" s="2" t="s">
        <v>3274</v>
      </c>
      <c r="B4800" s="2" t="str">
        <f>"5000000195114"</f>
        <v>5000000195114</v>
      </c>
      <c r="C4800" s="2" t="str">
        <f>"311750"</f>
        <v>311750</v>
      </c>
      <c r="D4800" s="2" t="s">
        <v>6089</v>
      </c>
      <c r="E4800" s="4">
        <v>7000</v>
      </c>
    </row>
    <row r="4801" spans="1:5">
      <c r="A4801" s="2" t="s">
        <v>3274</v>
      </c>
      <c r="B4801" s="2" t="str">
        <f>"10546"</f>
        <v>10546</v>
      </c>
      <c r="C4801" s="2" t="str">
        <f>"10546"</f>
        <v>10546</v>
      </c>
      <c r="D4801" s="2" t="s">
        <v>6090</v>
      </c>
      <c r="E4801" s="4">
        <v>19500</v>
      </c>
    </row>
    <row r="4802" spans="1:5">
      <c r="A4802" s="2" t="s">
        <v>3274</v>
      </c>
      <c r="B4802" s="2" t="str">
        <f>"20380008"</f>
        <v>20380008</v>
      </c>
      <c r="C4802" s="2" t="str">
        <f>"20380008"</f>
        <v>20380008</v>
      </c>
      <c r="D4802" s="2" t="s">
        <v>6091</v>
      </c>
      <c r="E4802" s="4">
        <v>2800</v>
      </c>
    </row>
    <row r="4803" spans="1:5">
      <c r="A4803" s="2" t="s">
        <v>3274</v>
      </c>
      <c r="B4803" s="2" t="str">
        <f>"300995"</f>
        <v>300995</v>
      </c>
      <c r="C4803" s="2" t="str">
        <f>"300995"</f>
        <v>300995</v>
      </c>
      <c r="D4803" s="2" t="s">
        <v>6092</v>
      </c>
      <c r="E4803" s="4">
        <v>6500</v>
      </c>
    </row>
    <row r="4804" spans="1:5">
      <c r="A4804" s="2" t="s">
        <v>3274</v>
      </c>
      <c r="B4804" s="2" t="s">
        <v>6093</v>
      </c>
      <c r="C4804" s="2" t="s">
        <v>6093</v>
      </c>
      <c r="D4804" s="2" t="s">
        <v>6094</v>
      </c>
      <c r="E4804" s="4">
        <v>4500</v>
      </c>
    </row>
    <row r="4805" spans="1:5">
      <c r="A4805" s="2" t="s">
        <v>3274</v>
      </c>
      <c r="B4805" s="2" t="str">
        <f>"1501188"</f>
        <v>1501188</v>
      </c>
      <c r="C4805" s="2" t="str">
        <f>"1501188"</f>
        <v>1501188</v>
      </c>
      <c r="D4805" s="2" t="s">
        <v>6095</v>
      </c>
      <c r="E4805" s="4">
        <v>3900</v>
      </c>
    </row>
    <row r="4806" spans="1:5">
      <c r="A4806" s="2" t="s">
        <v>3274</v>
      </c>
      <c r="B4806" s="2" t="str">
        <f>"010909"</f>
        <v>010909</v>
      </c>
      <c r="C4806" s="2" t="str">
        <f>"010909"</f>
        <v>010909</v>
      </c>
      <c r="D4806" s="2" t="s">
        <v>6096</v>
      </c>
      <c r="E4806" s="4">
        <v>5200</v>
      </c>
    </row>
    <row r="4807" spans="1:5">
      <c r="A4807" s="2" t="s">
        <v>3274</v>
      </c>
      <c r="B4807" s="2" t="str">
        <f>"0023071"</f>
        <v>0023071</v>
      </c>
      <c r="C4807" s="2" t="str">
        <f>"0023071"</f>
        <v>0023071</v>
      </c>
      <c r="D4807" s="2" t="s">
        <v>6097</v>
      </c>
      <c r="E4807" s="4">
        <v>3500</v>
      </c>
    </row>
    <row r="4808" spans="1:5">
      <c r="A4808" s="2" t="s">
        <v>3274</v>
      </c>
      <c r="B4808" s="2" t="str">
        <f>"060820891"</f>
        <v>060820891</v>
      </c>
      <c r="C4808" s="2" t="str">
        <f>"060820891"</f>
        <v>060820891</v>
      </c>
      <c r="D4808" s="2" t="s">
        <v>6097</v>
      </c>
      <c r="E4808" s="4">
        <v>4300</v>
      </c>
    </row>
    <row r="4809" spans="1:5">
      <c r="A4809" s="2" t="s">
        <v>3274</v>
      </c>
      <c r="B4809" s="2" t="str">
        <f>"248094"</f>
        <v>248094</v>
      </c>
      <c r="C4809" s="2" t="str">
        <f>"248094"</f>
        <v>248094</v>
      </c>
      <c r="D4809" s="2" t="s">
        <v>6098</v>
      </c>
      <c r="E4809" s="4">
        <v>5200</v>
      </c>
    </row>
    <row r="4810" spans="1:5">
      <c r="A4810" s="2" t="s">
        <v>3274</v>
      </c>
      <c r="B4810" s="2" t="str">
        <f>"0023072"</f>
        <v>0023072</v>
      </c>
      <c r="C4810" s="2" t="str">
        <f>"012757"</f>
        <v>012757</v>
      </c>
      <c r="D4810" s="2" t="s">
        <v>6099</v>
      </c>
      <c r="E4810" s="4">
        <v>2800</v>
      </c>
    </row>
    <row r="4811" spans="1:5">
      <c r="A4811" s="2" t="s">
        <v>3274</v>
      </c>
      <c r="B4811" s="2" t="str">
        <f>"020380007"</f>
        <v>020380007</v>
      </c>
      <c r="C4811" s="2" t="str">
        <f>"020380007"</f>
        <v>020380007</v>
      </c>
      <c r="D4811" s="2" t="s">
        <v>6100</v>
      </c>
      <c r="E4811" s="4">
        <v>1000</v>
      </c>
    </row>
    <row r="4812" spans="1:5">
      <c r="A4812" s="2" t="s">
        <v>3274</v>
      </c>
      <c r="B4812" s="2" t="str">
        <f>"311949"</f>
        <v>311949</v>
      </c>
      <c r="C4812" s="2" t="str">
        <f>"060820893"</f>
        <v>060820893</v>
      </c>
      <c r="D4812" s="2" t="s">
        <v>6101</v>
      </c>
      <c r="E4812" s="4">
        <v>4500</v>
      </c>
    </row>
    <row r="4813" spans="1:5">
      <c r="A4813" s="2" t="s">
        <v>3274</v>
      </c>
      <c r="B4813" s="2" t="str">
        <f>"248104"</f>
        <v>248104</v>
      </c>
      <c r="C4813" s="2" t="str">
        <f>"248104"</f>
        <v>248104</v>
      </c>
      <c r="D4813" s="2" t="s">
        <v>6102</v>
      </c>
      <c r="E4813" s="4">
        <v>4800</v>
      </c>
    </row>
    <row r="4814" spans="1:5">
      <c r="A4814" s="2" t="s">
        <v>3274</v>
      </c>
      <c r="B4814" s="2" t="str">
        <f>"0023079"</f>
        <v>0023079</v>
      </c>
      <c r="C4814" s="2" t="str">
        <f>"0023079"</f>
        <v>0023079</v>
      </c>
      <c r="D4814" s="2" t="s">
        <v>6103</v>
      </c>
      <c r="E4814" s="4">
        <v>8800</v>
      </c>
    </row>
    <row r="4815" spans="1:5">
      <c r="A4815" s="2" t="s">
        <v>3274</v>
      </c>
      <c r="B4815" s="2" t="str">
        <f>"5000000243068"</f>
        <v>5000000243068</v>
      </c>
      <c r="C4815" s="2" t="str">
        <f>"010542"</f>
        <v>010542</v>
      </c>
      <c r="D4815" s="2" t="s">
        <v>6104</v>
      </c>
      <c r="E4815" s="4">
        <v>14200</v>
      </c>
    </row>
    <row r="4816" spans="1:5">
      <c r="A4816" s="2" t="s">
        <v>3274</v>
      </c>
      <c r="B4816" s="2" t="str">
        <f>"248109"</f>
        <v>248109</v>
      </c>
      <c r="C4816" s="2" t="s">
        <v>6105</v>
      </c>
      <c r="D4816" s="2" t="s">
        <v>6106</v>
      </c>
      <c r="E4816" s="4">
        <v>5200</v>
      </c>
    </row>
    <row r="4817" spans="1:5">
      <c r="A4817" s="2" t="s">
        <v>3274</v>
      </c>
      <c r="B4817" s="2" t="str">
        <f>"010558"</f>
        <v>010558</v>
      </c>
      <c r="C4817" s="2" t="str">
        <f>"010558"</f>
        <v>010558</v>
      </c>
      <c r="D4817" s="2" t="s">
        <v>6107</v>
      </c>
      <c r="E4817" s="4">
        <v>5200</v>
      </c>
    </row>
    <row r="4818" spans="1:5">
      <c r="A4818" s="2" t="s">
        <v>3274</v>
      </c>
      <c r="B4818" s="2" t="str">
        <f>"012708"</f>
        <v>012708</v>
      </c>
      <c r="C4818" s="2" t="str">
        <f>"012708"</f>
        <v>012708</v>
      </c>
      <c r="D4818" s="2" t="s">
        <v>6108</v>
      </c>
      <c r="E4818" s="4">
        <v>2000</v>
      </c>
    </row>
    <row r="4819" spans="1:5">
      <c r="A4819" s="2" t="s">
        <v>3274</v>
      </c>
      <c r="B4819" s="2" t="str">
        <f>"23300-21010"</f>
        <v>23300-21010</v>
      </c>
      <c r="C4819" s="2" t="str">
        <f>"2025"</f>
        <v>2025</v>
      </c>
      <c r="D4819" s="2" t="s">
        <v>6109</v>
      </c>
      <c r="E4819" s="4">
        <v>9800</v>
      </c>
    </row>
    <row r="4820" spans="1:5">
      <c r="A4820" s="2" t="s">
        <v>3274</v>
      </c>
      <c r="B4820" s="2" t="str">
        <f>"060821153"</f>
        <v>060821153</v>
      </c>
      <c r="C4820" s="2" t="str">
        <f>"060821153"</f>
        <v>060821153</v>
      </c>
      <c r="D4820" s="2" t="s">
        <v>6110</v>
      </c>
      <c r="E4820" s="4">
        <v>3000</v>
      </c>
    </row>
    <row r="4821" spans="1:5">
      <c r="A4821" s="2" t="s">
        <v>3274</v>
      </c>
      <c r="B4821" s="2" t="str">
        <f>"302054"</f>
        <v>302054</v>
      </c>
      <c r="C4821" s="2" t="str">
        <f>"302054"</f>
        <v>302054</v>
      </c>
      <c r="D4821" s="2" t="s">
        <v>6111</v>
      </c>
      <c r="E4821" s="4">
        <v>11900</v>
      </c>
    </row>
    <row r="4822" spans="1:5">
      <c r="A4822" s="2" t="s">
        <v>3274</v>
      </c>
      <c r="B4822" s="2" t="s">
        <v>6112</v>
      </c>
      <c r="C4822" s="2" t="s">
        <v>6113</v>
      </c>
      <c r="D4822" s="2" t="s">
        <v>6114</v>
      </c>
      <c r="E4822" s="4">
        <v>1000</v>
      </c>
    </row>
    <row r="4823" spans="1:5">
      <c r="A4823" s="2" t="s">
        <v>3274</v>
      </c>
      <c r="B4823" s="2" t="str">
        <f>"020380045"</f>
        <v>020380045</v>
      </c>
      <c r="C4823" s="2" t="str">
        <f>"02038045"</f>
        <v>02038045</v>
      </c>
      <c r="D4823" s="2" t="s">
        <v>6115</v>
      </c>
      <c r="E4823" s="4">
        <v>1000</v>
      </c>
    </row>
    <row r="4824" spans="1:5">
      <c r="A4824" s="2" t="s">
        <v>3274</v>
      </c>
      <c r="B4824" s="2" t="str">
        <f>"23300-34100"</f>
        <v>23300-34100</v>
      </c>
      <c r="C4824" s="2" t="str">
        <f>"23300-34100"</f>
        <v>23300-34100</v>
      </c>
      <c r="D4824" s="2" t="s">
        <v>6116</v>
      </c>
      <c r="E4824" s="4">
        <v>1000</v>
      </c>
    </row>
    <row r="4825" spans="1:5">
      <c r="A4825" s="2" t="s">
        <v>3274</v>
      </c>
      <c r="B4825" s="2" t="str">
        <f>"020380042"</f>
        <v>020380042</v>
      </c>
      <c r="C4825" s="2" t="str">
        <f>"020380042"</f>
        <v>020380042</v>
      </c>
      <c r="D4825" s="2" t="s">
        <v>6117</v>
      </c>
      <c r="E4825" s="4">
        <v>1000</v>
      </c>
    </row>
    <row r="4826" spans="1:5">
      <c r="A4826" s="2" t="s">
        <v>3274</v>
      </c>
      <c r="B4826" s="2" t="str">
        <f>"8800160"</f>
        <v>8800160</v>
      </c>
      <c r="C4826" s="2" t="str">
        <f>"25121074"</f>
        <v>25121074</v>
      </c>
      <c r="D4826" s="2" t="s">
        <v>6118</v>
      </c>
      <c r="E4826" s="4">
        <v>4300</v>
      </c>
    </row>
    <row r="4827" spans="1:5">
      <c r="A4827" s="2" t="s">
        <v>3274</v>
      </c>
      <c r="B4827" s="2" t="str">
        <f>"060821142"</f>
        <v>060821142</v>
      </c>
      <c r="C4827" s="2" t="str">
        <f>"060821142"</f>
        <v>060821142</v>
      </c>
      <c r="D4827" s="2" t="s">
        <v>6119</v>
      </c>
      <c r="E4827" s="4">
        <v>3400</v>
      </c>
    </row>
    <row r="4828" spans="1:5">
      <c r="A4828" s="2" t="s">
        <v>3274</v>
      </c>
      <c r="B4828" s="2" t="str">
        <f>"248091"</f>
        <v>248091</v>
      </c>
      <c r="C4828" s="2" t="str">
        <f>"248091"</f>
        <v>248091</v>
      </c>
      <c r="D4828" s="2" t="s">
        <v>6120</v>
      </c>
      <c r="E4828" s="4">
        <v>4900</v>
      </c>
    </row>
    <row r="4829" spans="1:5">
      <c r="A4829" s="2" t="s">
        <v>3274</v>
      </c>
      <c r="B4829" s="2" t="str">
        <f>"248093"</f>
        <v>248093</v>
      </c>
      <c r="C4829" s="2" t="str">
        <f>"248093"</f>
        <v>248093</v>
      </c>
      <c r="D4829" s="2" t="s">
        <v>6121</v>
      </c>
      <c r="E4829" s="4">
        <v>4300</v>
      </c>
    </row>
    <row r="4830" spans="1:5">
      <c r="A4830" s="2" t="s">
        <v>3274</v>
      </c>
      <c r="B4830" s="2" t="str">
        <f>"060821157"</f>
        <v>060821157</v>
      </c>
      <c r="C4830" s="2" t="str">
        <f>"25055129"</f>
        <v>25055129</v>
      </c>
      <c r="D4830" s="2" t="s">
        <v>6122</v>
      </c>
      <c r="E4830" s="4">
        <v>3000</v>
      </c>
    </row>
    <row r="4831" spans="1:5">
      <c r="A4831" s="2" t="s">
        <v>3274</v>
      </c>
      <c r="B4831" s="2" t="str">
        <f>"0002184"</f>
        <v>0002184</v>
      </c>
      <c r="C4831" s="2" t="str">
        <f>"0002184"</f>
        <v>0002184</v>
      </c>
      <c r="D4831" s="2" t="s">
        <v>6123</v>
      </c>
      <c r="E4831" s="4">
        <v>3800</v>
      </c>
    </row>
    <row r="4832" spans="1:5">
      <c r="A4832" s="2" t="s">
        <v>3274</v>
      </c>
      <c r="B4832" s="2" t="str">
        <f>"247418"</f>
        <v>247418</v>
      </c>
      <c r="C4832" s="2" t="str">
        <f>"247418"</f>
        <v>247418</v>
      </c>
      <c r="D4832" s="2" t="s">
        <v>6124</v>
      </c>
      <c r="E4832" s="4">
        <v>5200</v>
      </c>
    </row>
    <row r="4833" spans="1:5">
      <c r="A4833" s="2" t="s">
        <v>3274</v>
      </c>
      <c r="B4833" s="2" t="str">
        <f>"247760"</f>
        <v>247760</v>
      </c>
      <c r="C4833" s="2" t="str">
        <f>"247760"</f>
        <v>247760</v>
      </c>
      <c r="D4833" s="2" t="s">
        <v>6125</v>
      </c>
      <c r="E4833" s="4">
        <v>5200</v>
      </c>
    </row>
    <row r="4834" spans="1:5">
      <c r="A4834" s="2" t="s">
        <v>3274</v>
      </c>
      <c r="B4834" s="2" t="str">
        <f>"060821159"</f>
        <v>060821159</v>
      </c>
      <c r="C4834" s="2" t="str">
        <f>"248102"</f>
        <v>248102</v>
      </c>
      <c r="D4834" s="2" t="s">
        <v>6126</v>
      </c>
      <c r="E4834" s="4">
        <v>4800</v>
      </c>
    </row>
    <row r="4835" spans="1:5">
      <c r="A4835" s="2" t="s">
        <v>3274</v>
      </c>
      <c r="B4835" s="2" t="str">
        <f>"012767"</f>
        <v>012767</v>
      </c>
      <c r="C4835" s="2" t="str">
        <f>"012767"</f>
        <v>012767</v>
      </c>
      <c r="D4835" s="2" t="s">
        <v>6127</v>
      </c>
      <c r="E4835" s="4">
        <v>4800</v>
      </c>
    </row>
    <row r="4836" spans="1:5">
      <c r="A4836" s="2" t="s">
        <v>3274</v>
      </c>
      <c r="B4836" s="2" t="str">
        <f>"311948"</f>
        <v>311948</v>
      </c>
      <c r="C4836" s="2" t="str">
        <f>"311948"</f>
        <v>311948</v>
      </c>
      <c r="D4836" s="2" t="s">
        <v>6128</v>
      </c>
      <c r="E4836" s="4">
        <v>7000</v>
      </c>
    </row>
    <row r="4837" spans="1:5">
      <c r="A4837" s="2" t="s">
        <v>3274</v>
      </c>
      <c r="B4837" s="2" t="str">
        <f>"5000000052394"</f>
        <v>5000000052394</v>
      </c>
      <c r="C4837" s="2" t="str">
        <f>"247766"</f>
        <v>247766</v>
      </c>
      <c r="D4837" s="2" t="s">
        <v>6129</v>
      </c>
      <c r="E4837" s="4">
        <v>5200</v>
      </c>
    </row>
    <row r="4838" spans="1:5">
      <c r="A4838" s="2" t="s">
        <v>3274</v>
      </c>
      <c r="B4838" s="2" t="str">
        <f>"247755"</f>
        <v>247755</v>
      </c>
      <c r="C4838" s="2" t="str">
        <f>"247755"</f>
        <v>247755</v>
      </c>
      <c r="D4838" s="2" t="s">
        <v>6130</v>
      </c>
      <c r="E4838" s="4">
        <v>4300</v>
      </c>
    </row>
    <row r="4839" spans="1:5">
      <c r="A4839" s="2" t="s">
        <v>3274</v>
      </c>
      <c r="B4839" s="2" t="s">
        <v>6131</v>
      </c>
      <c r="C4839" s="2" t="s">
        <v>6131</v>
      </c>
      <c r="D4839" s="2" t="s">
        <v>6132</v>
      </c>
      <c r="E4839" s="4">
        <v>2500</v>
      </c>
    </row>
    <row r="4840" spans="1:5">
      <c r="A4840" s="2" t="s">
        <v>3274</v>
      </c>
      <c r="B4840" s="2" t="str">
        <f>"060820548"</f>
        <v>060820548</v>
      </c>
      <c r="C4840" s="2" t="str">
        <f>"16010-ST5-931"</f>
        <v>16010-ST5-931</v>
      </c>
      <c r="D4840" s="2" t="s">
        <v>6133</v>
      </c>
      <c r="E4840" s="4">
        <v>4800</v>
      </c>
    </row>
    <row r="4841" spans="1:5">
      <c r="A4841" s="2" t="s">
        <v>3274</v>
      </c>
      <c r="B4841" s="2" t="str">
        <f>"060820926"</f>
        <v>060820926</v>
      </c>
      <c r="C4841" s="2" t="str">
        <f>"060820926"</f>
        <v>060820926</v>
      </c>
      <c r="D4841" s="2" t="s">
        <v>6134</v>
      </c>
      <c r="E4841" s="4">
        <v>5900</v>
      </c>
    </row>
    <row r="4842" spans="1:5">
      <c r="A4842" s="2" t="s">
        <v>3274</v>
      </c>
      <c r="B4842" s="2" t="s">
        <v>6135</v>
      </c>
      <c r="C4842" s="2" t="s">
        <v>6136</v>
      </c>
      <c r="D4842" s="2" t="s">
        <v>6137</v>
      </c>
      <c r="E4842" s="4">
        <v>7700</v>
      </c>
    </row>
    <row r="4843" spans="1:5">
      <c r="A4843" s="2" t="s">
        <v>3274</v>
      </c>
      <c r="B4843" s="2" t="str">
        <f>"248088"</f>
        <v>248088</v>
      </c>
      <c r="C4843" s="2" t="str">
        <f>"248088"</f>
        <v>248088</v>
      </c>
      <c r="D4843" s="2" t="s">
        <v>6138</v>
      </c>
      <c r="E4843" s="4">
        <v>4300</v>
      </c>
    </row>
    <row r="4844" spans="1:5">
      <c r="A4844" s="2" t="s">
        <v>3274</v>
      </c>
      <c r="B4844" s="2" t="s">
        <v>6139</v>
      </c>
      <c r="C4844" s="2" t="s">
        <v>6139</v>
      </c>
      <c r="D4844" s="2" t="s">
        <v>6138</v>
      </c>
      <c r="E4844" s="4">
        <v>4300</v>
      </c>
    </row>
    <row r="4845" spans="1:5">
      <c r="A4845" s="2" t="s">
        <v>3274</v>
      </c>
      <c r="B4845" s="2" t="str">
        <f>"0023184"</f>
        <v>0023184</v>
      </c>
      <c r="C4845" s="2" t="str">
        <f>"0023184"</f>
        <v>0023184</v>
      </c>
      <c r="D4845" s="2" t="s">
        <v>6140</v>
      </c>
      <c r="E4845" s="4">
        <v>4300</v>
      </c>
    </row>
    <row r="4846" spans="1:5">
      <c r="A4846" s="2" t="s">
        <v>3274</v>
      </c>
      <c r="B4846" s="2" t="str">
        <f>"247920"</f>
        <v>247920</v>
      </c>
      <c r="C4846" s="2" t="str">
        <f>"247920"</f>
        <v>247920</v>
      </c>
      <c r="D4846" s="2" t="s">
        <v>6141</v>
      </c>
      <c r="E4846" s="4">
        <v>4300</v>
      </c>
    </row>
    <row r="4847" spans="1:5">
      <c r="A4847" s="2" t="s">
        <v>3274</v>
      </c>
      <c r="B4847" s="2" t="s">
        <v>6142</v>
      </c>
      <c r="C4847" s="2" t="s">
        <v>6143</v>
      </c>
      <c r="D4847" s="2" t="s">
        <v>6144</v>
      </c>
      <c r="E4847" s="4">
        <v>7400</v>
      </c>
    </row>
    <row r="4848" spans="1:5">
      <c r="A4848" s="2" t="s">
        <v>3274</v>
      </c>
      <c r="B4848" s="2" t="str">
        <f>"247797"</f>
        <v>247797</v>
      </c>
      <c r="C4848" s="2" t="str">
        <f>"247797"</f>
        <v>247797</v>
      </c>
      <c r="D4848" s="2" t="s">
        <v>6145</v>
      </c>
      <c r="E4848" s="4">
        <v>3800</v>
      </c>
    </row>
    <row r="4849" spans="1:5">
      <c r="A4849" s="2" t="s">
        <v>3274</v>
      </c>
      <c r="B4849" s="2" t="str">
        <f>"060820801"</f>
        <v>060820801</v>
      </c>
      <c r="C4849" s="2" t="str">
        <f>"060820801"</f>
        <v>060820801</v>
      </c>
      <c r="D4849" s="2" t="s">
        <v>6146</v>
      </c>
      <c r="E4849" s="4">
        <v>4300</v>
      </c>
    </row>
    <row r="4850" spans="1:5">
      <c r="A4850" s="2" t="s">
        <v>3274</v>
      </c>
      <c r="B4850" s="2" t="str">
        <f>"247759"</f>
        <v>247759</v>
      </c>
      <c r="C4850" s="2" t="str">
        <f>"247759"</f>
        <v>247759</v>
      </c>
      <c r="D4850" s="2" t="s">
        <v>6147</v>
      </c>
      <c r="E4850" s="4">
        <v>4300</v>
      </c>
    </row>
    <row r="4851" spans="1:5">
      <c r="A4851" s="2" t="s">
        <v>3274</v>
      </c>
      <c r="B4851" s="2" t="str">
        <f>"247844"</f>
        <v>247844</v>
      </c>
      <c r="C4851" s="2" t="str">
        <f>"247844"</f>
        <v>247844</v>
      </c>
      <c r="D4851" s="2" t="s">
        <v>6148</v>
      </c>
      <c r="E4851" s="4">
        <v>4000</v>
      </c>
    </row>
    <row r="4852" spans="1:5">
      <c r="A4852" s="2" t="s">
        <v>3274</v>
      </c>
      <c r="B4852" s="2" t="str">
        <f>"9951467"</f>
        <v>9951467</v>
      </c>
      <c r="C4852" s="2" t="str">
        <f>"9951467"</f>
        <v>9951467</v>
      </c>
      <c r="D4852" s="2" t="s">
        <v>6149</v>
      </c>
      <c r="E4852" s="4">
        <v>7000</v>
      </c>
    </row>
    <row r="4853" spans="1:5">
      <c r="A4853" s="2" t="s">
        <v>3274</v>
      </c>
      <c r="B4853" s="2" t="str">
        <f>"302057"</f>
        <v>302057</v>
      </c>
      <c r="C4853" s="2" t="str">
        <f>"302057"</f>
        <v>302057</v>
      </c>
      <c r="D4853" s="2" t="s">
        <v>6150</v>
      </c>
      <c r="E4853" s="4">
        <v>7000</v>
      </c>
    </row>
    <row r="4854" spans="1:5">
      <c r="A4854" s="2" t="s">
        <v>3274</v>
      </c>
      <c r="B4854" s="2" t="s">
        <v>6151</v>
      </c>
      <c r="C4854" s="2" t="s">
        <v>6151</v>
      </c>
      <c r="D4854" s="2" t="s">
        <v>6152</v>
      </c>
      <c r="E4854" s="4">
        <v>2000</v>
      </c>
    </row>
    <row r="4855" spans="1:5">
      <c r="A4855" s="2" t="s">
        <v>3274</v>
      </c>
      <c r="B4855" s="2" t="str">
        <f>"020380004"</f>
        <v>020380004</v>
      </c>
      <c r="C4855" s="2" t="str">
        <f>"20380004"</f>
        <v>20380004</v>
      </c>
      <c r="D4855" s="2" t="s">
        <v>6153</v>
      </c>
      <c r="E4855" s="4">
        <v>1000</v>
      </c>
    </row>
    <row r="4856" spans="1:5">
      <c r="A4856" s="2" t="s">
        <v>3274</v>
      </c>
      <c r="B4856" s="2" t="str">
        <f>"060821141"</f>
        <v>060821141</v>
      </c>
      <c r="C4856" s="2" t="str">
        <f>"060821141"</f>
        <v>060821141</v>
      </c>
      <c r="D4856" s="2" t="s">
        <v>6153</v>
      </c>
      <c r="E4856" s="4">
        <v>1000</v>
      </c>
    </row>
    <row r="4857" spans="1:5">
      <c r="A4857" s="2" t="s">
        <v>3274</v>
      </c>
      <c r="B4857" s="2" t="str">
        <f>"060821139"</f>
        <v>060821139</v>
      </c>
      <c r="C4857" s="2" t="str">
        <f>"060821139"</f>
        <v>060821139</v>
      </c>
      <c r="D4857" s="2" t="s">
        <v>6153</v>
      </c>
      <c r="E4857" s="4">
        <v>1000</v>
      </c>
    </row>
    <row r="4858" spans="1:5">
      <c r="A4858" s="2" t="s">
        <v>3274</v>
      </c>
      <c r="B4858" s="2" t="str">
        <f>"020380002"</f>
        <v>020380002</v>
      </c>
      <c r="C4858" s="2" t="str">
        <f>"0023075"</f>
        <v>0023075</v>
      </c>
      <c r="D4858" s="2" t="s">
        <v>6154</v>
      </c>
      <c r="E4858" s="4">
        <v>1000</v>
      </c>
    </row>
    <row r="4859" spans="1:5">
      <c r="A4859" s="2" t="s">
        <v>3274</v>
      </c>
      <c r="B4859" s="2" t="str">
        <f>"78008"</f>
        <v>78008</v>
      </c>
      <c r="C4859" s="2" t="str">
        <f>"78008"</f>
        <v>78008</v>
      </c>
      <c r="D4859" s="2" t="s">
        <v>6155</v>
      </c>
      <c r="E4859" s="4">
        <v>1000</v>
      </c>
    </row>
    <row r="4860" spans="1:5">
      <c r="A4860" s="2" t="s">
        <v>3274</v>
      </c>
      <c r="B4860" s="2" t="str">
        <f>"060821150"</f>
        <v>060821150</v>
      </c>
      <c r="C4860" s="2" t="str">
        <f>"060821150"</f>
        <v>060821150</v>
      </c>
      <c r="D4860" s="2" t="s">
        <v>6156</v>
      </c>
      <c r="E4860" s="4">
        <v>1000</v>
      </c>
    </row>
    <row r="4861" spans="1:5">
      <c r="A4861" s="2" t="s">
        <v>3274</v>
      </c>
      <c r="B4861" s="2" t="str">
        <f>"020380083"</f>
        <v>020380083</v>
      </c>
      <c r="C4861" s="2" t="str">
        <f>"23300-75110"</f>
        <v>23300-75110</v>
      </c>
      <c r="D4861" s="2" t="s">
        <v>6157</v>
      </c>
      <c r="E4861" s="4">
        <v>5200</v>
      </c>
    </row>
    <row r="4862" spans="1:5">
      <c r="A4862" s="2" t="s">
        <v>3274</v>
      </c>
      <c r="B4862" s="2" t="str">
        <f>"020380057"</f>
        <v>020380057</v>
      </c>
      <c r="C4862" s="2" t="str">
        <f>"0023110"</f>
        <v>0023110</v>
      </c>
      <c r="D4862" s="2" t="s">
        <v>6158</v>
      </c>
      <c r="E4862" s="4">
        <v>3400</v>
      </c>
    </row>
    <row r="4863" spans="1:5">
      <c r="A4863" s="2" t="s">
        <v>3274</v>
      </c>
      <c r="B4863" s="2" t="str">
        <f>"020380046"</f>
        <v>020380046</v>
      </c>
      <c r="C4863" s="2" t="str">
        <f>"0023060"</f>
        <v>0023060</v>
      </c>
      <c r="D4863" s="2" t="s">
        <v>6159</v>
      </c>
      <c r="E4863" s="4">
        <v>4300</v>
      </c>
    </row>
    <row r="4864" spans="1:5">
      <c r="A4864" s="2" t="s">
        <v>3274</v>
      </c>
      <c r="B4864" s="2" t="s">
        <v>6160</v>
      </c>
      <c r="C4864" s="2" t="s">
        <v>6160</v>
      </c>
      <c r="D4864" s="2" t="s">
        <v>6161</v>
      </c>
      <c r="E4864" s="4">
        <v>4300</v>
      </c>
    </row>
    <row r="4865" spans="1:5">
      <c r="A4865" s="2" t="s">
        <v>3274</v>
      </c>
      <c r="B4865" s="2" t="str">
        <f>"0023175"</f>
        <v>0023175</v>
      </c>
      <c r="C4865" s="2" t="str">
        <f>"0023175"</f>
        <v>0023175</v>
      </c>
      <c r="D4865" s="2" t="s">
        <v>6162</v>
      </c>
      <c r="E4865" s="4">
        <v>3400</v>
      </c>
    </row>
    <row r="4866" spans="1:5">
      <c r="A4866" s="2" t="s">
        <v>3274</v>
      </c>
      <c r="B4866" s="2" t="str">
        <f>"1900210"</f>
        <v>1900210</v>
      </c>
      <c r="C4866" s="2" t="str">
        <f>"1900210"</f>
        <v>1900210</v>
      </c>
      <c r="D4866" s="2" t="s">
        <v>6162</v>
      </c>
      <c r="E4866" s="4">
        <v>4300</v>
      </c>
    </row>
    <row r="4867" spans="1:5">
      <c r="A4867" s="2" t="s">
        <v>3274</v>
      </c>
      <c r="B4867" s="2" t="str">
        <f>"020380009"</f>
        <v>020380009</v>
      </c>
      <c r="C4867" s="2" t="str">
        <f>"020380009"</f>
        <v>020380009</v>
      </c>
      <c r="D4867" s="2" t="s">
        <v>6163</v>
      </c>
      <c r="E4867" s="4">
        <v>2500</v>
      </c>
    </row>
    <row r="4868" spans="1:5">
      <c r="A4868" s="2" t="s">
        <v>3274</v>
      </c>
      <c r="B4868" s="2" t="str">
        <f>"060821156"</f>
        <v>060821156</v>
      </c>
      <c r="C4868" s="2" t="str">
        <f>"9623266380"</f>
        <v>9623266380</v>
      </c>
      <c r="D4868" s="2" t="s">
        <v>6164</v>
      </c>
      <c r="E4868" s="4">
        <v>3000</v>
      </c>
    </row>
    <row r="4869" spans="1:5">
      <c r="A4869" s="2" t="s">
        <v>3274</v>
      </c>
      <c r="B4869" s="2" t="str">
        <f>"020380059"</f>
        <v>020380059</v>
      </c>
      <c r="C4869" s="2" t="str">
        <f>"450905002"</f>
        <v>450905002</v>
      </c>
      <c r="D4869" s="2" t="s">
        <v>6165</v>
      </c>
      <c r="E4869" s="4">
        <v>3400</v>
      </c>
    </row>
    <row r="4870" spans="1:5">
      <c r="A4870" s="2" t="s">
        <v>3274</v>
      </c>
      <c r="B4870" s="2" t="s">
        <v>6166</v>
      </c>
      <c r="C4870" s="2" t="s">
        <v>6167</v>
      </c>
      <c r="D4870" s="2" t="s">
        <v>6168</v>
      </c>
      <c r="E4870" s="4">
        <v>7200</v>
      </c>
    </row>
    <row r="4871" spans="1:5">
      <c r="A4871" s="2" t="s">
        <v>3274</v>
      </c>
      <c r="B4871" s="2" t="str">
        <f>"060820207"</f>
        <v>060820207</v>
      </c>
      <c r="C4871" s="2" t="str">
        <f>"060820207"</f>
        <v>060820207</v>
      </c>
      <c r="D4871" s="2" t="s">
        <v>6169</v>
      </c>
      <c r="E4871" s="4">
        <v>4300</v>
      </c>
    </row>
    <row r="4872" spans="1:5">
      <c r="A4872" s="2" t="s">
        <v>3274</v>
      </c>
      <c r="B4872" s="2" t="str">
        <f>"247417"</f>
        <v>247417</v>
      </c>
      <c r="C4872" s="2" t="str">
        <f>"247417"</f>
        <v>247417</v>
      </c>
      <c r="D4872" s="2" t="s">
        <v>6170</v>
      </c>
      <c r="E4872" s="4">
        <v>4300</v>
      </c>
    </row>
    <row r="4873" spans="1:5">
      <c r="A4873" s="2" t="s">
        <v>3274</v>
      </c>
      <c r="B4873" s="2" t="str">
        <f>"060820028"</f>
        <v>060820028</v>
      </c>
      <c r="C4873" s="2" t="s">
        <v>6171</v>
      </c>
      <c r="D4873" s="2" t="s">
        <v>6172</v>
      </c>
      <c r="E4873" s="4">
        <v>3400</v>
      </c>
    </row>
    <row r="4874" spans="1:5">
      <c r="A4874" s="2" t="s">
        <v>3274</v>
      </c>
      <c r="B4874" s="2" t="str">
        <f>"0023057"</f>
        <v>0023057</v>
      </c>
      <c r="C4874" s="2" t="str">
        <f>"060820800"</f>
        <v>060820800</v>
      </c>
      <c r="D4874" s="2" t="s">
        <v>6173</v>
      </c>
      <c r="E4874" s="4">
        <v>3400</v>
      </c>
    </row>
    <row r="4875" spans="1:5">
      <c r="A4875" s="2" t="s">
        <v>3274</v>
      </c>
      <c r="B4875" s="2" t="s">
        <v>6174</v>
      </c>
      <c r="C4875" s="2" t="s">
        <v>6174</v>
      </c>
      <c r="D4875" s="2" t="s">
        <v>6175</v>
      </c>
      <c r="E4875" s="4">
        <v>2500</v>
      </c>
    </row>
    <row r="4876" spans="1:5">
      <c r="A4876" s="2" t="s">
        <v>3274</v>
      </c>
      <c r="B4876" s="2" t="str">
        <f>"010525"</f>
        <v>010525</v>
      </c>
      <c r="C4876" s="2" t="str">
        <f>"010525"</f>
        <v>010525</v>
      </c>
      <c r="D4876" s="2" t="s">
        <v>6176</v>
      </c>
      <c r="E4876" s="4">
        <v>5200</v>
      </c>
    </row>
    <row r="4877" spans="1:5">
      <c r="A4877" s="2" t="s">
        <v>3274</v>
      </c>
      <c r="B4877" s="2" t="str">
        <f>"060820687"</f>
        <v>060820687</v>
      </c>
      <c r="C4877" s="2" t="str">
        <f>"31911-25000"</f>
        <v>31911-25000</v>
      </c>
      <c r="D4877" s="2" t="s">
        <v>6177</v>
      </c>
      <c r="E4877" s="4">
        <v>3400</v>
      </c>
    </row>
    <row r="4878" spans="1:5">
      <c r="A4878" s="2" t="s">
        <v>3274</v>
      </c>
      <c r="B4878" s="2" t="str">
        <f>"247798"</f>
        <v>247798</v>
      </c>
      <c r="C4878" s="2" t="str">
        <f>"247798"</f>
        <v>247798</v>
      </c>
      <c r="D4878" s="2" t="s">
        <v>6178</v>
      </c>
      <c r="E4878" s="4">
        <v>4300</v>
      </c>
    </row>
    <row r="4879" spans="1:5">
      <c r="A4879" s="2" t="s">
        <v>3274</v>
      </c>
      <c r="B4879" s="2" t="str">
        <f>"0002183"</f>
        <v>0002183</v>
      </c>
      <c r="C4879" s="2" t="str">
        <f>"0002183"</f>
        <v>0002183</v>
      </c>
      <c r="D4879" s="2" t="s">
        <v>6179</v>
      </c>
      <c r="E4879" s="4">
        <v>4300</v>
      </c>
    </row>
    <row r="4880" spans="1:5">
      <c r="A4880" s="2" t="s">
        <v>3274</v>
      </c>
      <c r="B4880" s="2" t="str">
        <f>"247758"</f>
        <v>247758</v>
      </c>
      <c r="C4880" s="2" t="str">
        <f>"247758"</f>
        <v>247758</v>
      </c>
      <c r="D4880" s="2" t="s">
        <v>6180</v>
      </c>
      <c r="E4880" s="4">
        <v>5500</v>
      </c>
    </row>
    <row r="4881" spans="1:5">
      <c r="A4881" s="2" t="s">
        <v>3274</v>
      </c>
      <c r="B4881" s="2" t="str">
        <f>"312298"</f>
        <v>312298</v>
      </c>
      <c r="C4881" s="2" t="str">
        <f>"312298"</f>
        <v>312298</v>
      </c>
      <c r="D4881" s="2" t="s">
        <v>6181</v>
      </c>
      <c r="E4881" s="4">
        <v>2500</v>
      </c>
    </row>
    <row r="4882" spans="1:5">
      <c r="A4882" s="2" t="s">
        <v>3274</v>
      </c>
      <c r="B4882" s="2" t="s">
        <v>6182</v>
      </c>
      <c r="C4882" s="2" t="str">
        <f>"0009623"</f>
        <v>0009623</v>
      </c>
      <c r="D4882" s="2" t="s">
        <v>6183</v>
      </c>
      <c r="E4882" s="4">
        <v>6100</v>
      </c>
    </row>
    <row r="4883" spans="1:5">
      <c r="A4883" s="2" t="s">
        <v>3274</v>
      </c>
      <c r="B4883" s="2" t="str">
        <f>"0017816"</f>
        <v>0017816</v>
      </c>
      <c r="C4883" s="2" t="str">
        <f>"0017816"</f>
        <v>0017816</v>
      </c>
      <c r="D4883" s="2" t="s">
        <v>6184</v>
      </c>
      <c r="E4883" s="4">
        <v>7000</v>
      </c>
    </row>
    <row r="4884" spans="1:5">
      <c r="A4884" s="2" t="s">
        <v>3274</v>
      </c>
      <c r="B4884" s="2" t="str">
        <f>"0027933"</f>
        <v>0027933</v>
      </c>
      <c r="C4884" s="2" t="str">
        <f>"0027933"</f>
        <v>0027933</v>
      </c>
      <c r="D4884" s="2" t="s">
        <v>6185</v>
      </c>
      <c r="E4884" s="4">
        <v>6100</v>
      </c>
    </row>
    <row r="4885" spans="1:5">
      <c r="A4885" s="2" t="s">
        <v>3274</v>
      </c>
      <c r="B4885" s="2" t="str">
        <f>"010436"</f>
        <v>010436</v>
      </c>
      <c r="C4885" s="2" t="str">
        <f>"010436"</f>
        <v>010436</v>
      </c>
      <c r="D4885" s="2" t="s">
        <v>6186</v>
      </c>
      <c r="E4885" s="4">
        <v>9900</v>
      </c>
    </row>
    <row r="4886" spans="1:5">
      <c r="A4886" s="2" t="s">
        <v>3274</v>
      </c>
      <c r="B4886" s="2" t="str">
        <f>"060820524"</f>
        <v>060820524</v>
      </c>
      <c r="C4886" s="2" t="str">
        <f>"060820524"</f>
        <v>060820524</v>
      </c>
      <c r="D4886" s="2" t="s">
        <v>6187</v>
      </c>
      <c r="E4886" s="4">
        <v>5200</v>
      </c>
    </row>
    <row r="4887" spans="1:5">
      <c r="A4887" s="2" t="s">
        <v>3274</v>
      </c>
      <c r="B4887" s="2" t="str">
        <f>"010633"</f>
        <v>010633</v>
      </c>
      <c r="C4887" s="2" t="str">
        <f>"010633"</f>
        <v>010633</v>
      </c>
      <c r="D4887" s="2" t="s">
        <v>6188</v>
      </c>
      <c r="E4887" s="4">
        <v>6100</v>
      </c>
    </row>
    <row r="4888" spans="1:5">
      <c r="A4888" s="2" t="s">
        <v>3274</v>
      </c>
      <c r="B4888" s="2" t="str">
        <f>"010631"</f>
        <v>010631</v>
      </c>
      <c r="C4888" s="2" t="str">
        <f>"010631"</f>
        <v>010631</v>
      </c>
      <c r="D4888" s="2" t="s">
        <v>6189</v>
      </c>
      <c r="E4888" s="4">
        <v>6100</v>
      </c>
    </row>
    <row r="4889" spans="1:5">
      <c r="A4889" s="2" t="s">
        <v>3274</v>
      </c>
      <c r="B4889" s="2" t="str">
        <f>"010629"</f>
        <v>010629</v>
      </c>
      <c r="C4889" s="2" t="str">
        <f>"010629"</f>
        <v>010629</v>
      </c>
      <c r="D4889" s="2" t="s">
        <v>6190</v>
      </c>
      <c r="E4889" s="4">
        <v>6100</v>
      </c>
    </row>
    <row r="4890" spans="1:5">
      <c r="A4890" s="2" t="s">
        <v>3274</v>
      </c>
      <c r="B4890" s="2" t="str">
        <f>"010639"</f>
        <v>010639</v>
      </c>
      <c r="C4890" s="2" t="str">
        <f>"010639"</f>
        <v>010639</v>
      </c>
      <c r="D4890" s="2" t="s">
        <v>6191</v>
      </c>
      <c r="E4890" s="4">
        <v>4300</v>
      </c>
    </row>
    <row r="4891" spans="1:5">
      <c r="A4891" s="2" t="s">
        <v>3274</v>
      </c>
      <c r="B4891" s="2" t="str">
        <f>"010640"</f>
        <v>010640</v>
      </c>
      <c r="C4891" s="2" t="str">
        <f>"010640"</f>
        <v>010640</v>
      </c>
      <c r="D4891" s="2" t="s">
        <v>6192</v>
      </c>
      <c r="E4891" s="4">
        <v>7000</v>
      </c>
    </row>
    <row r="4892" spans="1:5">
      <c r="A4892" s="2" t="s">
        <v>3274</v>
      </c>
      <c r="B4892" s="2" t="str">
        <f>"010395"</f>
        <v>010395</v>
      </c>
      <c r="C4892" s="2" t="str">
        <f>"010395"</f>
        <v>010395</v>
      </c>
      <c r="D4892" s="2" t="s">
        <v>6193</v>
      </c>
      <c r="E4892" s="4">
        <v>9700</v>
      </c>
    </row>
    <row r="4893" spans="1:5">
      <c r="A4893" s="2" t="s">
        <v>3274</v>
      </c>
      <c r="B4893" s="2" t="str">
        <f>"010439"</f>
        <v>010439</v>
      </c>
      <c r="C4893" s="2" t="str">
        <f>"010439"</f>
        <v>010439</v>
      </c>
      <c r="D4893" s="2" t="s">
        <v>6194</v>
      </c>
      <c r="E4893" s="4">
        <v>14200</v>
      </c>
    </row>
    <row r="4894" spans="1:5">
      <c r="A4894" s="2" t="s">
        <v>3274</v>
      </c>
      <c r="B4894" s="2" t="str">
        <f>"004257"</f>
        <v>004257</v>
      </c>
      <c r="C4894" s="2" t="str">
        <f>"004257"</f>
        <v>004257</v>
      </c>
      <c r="D4894" s="2" t="s">
        <v>6195</v>
      </c>
      <c r="E4894" s="4">
        <v>8900</v>
      </c>
    </row>
    <row r="4895" spans="1:5">
      <c r="A4895" s="2" t="s">
        <v>3274</v>
      </c>
      <c r="B4895" s="2" t="str">
        <f>"010481"</f>
        <v>010481</v>
      </c>
      <c r="C4895" s="2" t="str">
        <f>"010481"</f>
        <v>010481</v>
      </c>
      <c r="D4895" s="2" t="s">
        <v>6196</v>
      </c>
      <c r="E4895" s="4">
        <v>13900</v>
      </c>
    </row>
    <row r="4896" spans="1:5">
      <c r="A4896" s="2" t="s">
        <v>3274</v>
      </c>
      <c r="B4896" s="2" t="str">
        <f>"010433"</f>
        <v>010433</v>
      </c>
      <c r="C4896" s="2" t="str">
        <f>"010433"</f>
        <v>010433</v>
      </c>
      <c r="D4896" s="2" t="s">
        <v>6197</v>
      </c>
      <c r="E4896" s="4">
        <v>9900</v>
      </c>
    </row>
    <row r="4897" spans="1:5">
      <c r="A4897" s="2" t="s">
        <v>3274</v>
      </c>
      <c r="B4897" s="2" t="str">
        <f>"010391"</f>
        <v>010391</v>
      </c>
      <c r="C4897" s="2" t="str">
        <f>"010391"</f>
        <v>010391</v>
      </c>
      <c r="D4897" s="2" t="s">
        <v>6197</v>
      </c>
      <c r="E4897" s="4">
        <v>8800</v>
      </c>
    </row>
    <row r="4898" spans="1:5">
      <c r="A4898" s="2" t="s">
        <v>3274</v>
      </c>
      <c r="B4898" s="2" t="str">
        <f>"022645"</f>
        <v>022645</v>
      </c>
      <c r="C4898" s="2" t="str">
        <f>"022645"</f>
        <v>022645</v>
      </c>
      <c r="D4898" s="2" t="s">
        <v>6198</v>
      </c>
      <c r="E4898" s="4">
        <v>14900</v>
      </c>
    </row>
    <row r="4899" spans="1:5">
      <c r="A4899" s="2" t="s">
        <v>3274</v>
      </c>
      <c r="B4899" s="2" t="str">
        <f>"351568"</f>
        <v>351568</v>
      </c>
      <c r="C4899" s="2" t="str">
        <f>"351568"</f>
        <v>351568</v>
      </c>
      <c r="D4899" s="2" t="s">
        <v>6199</v>
      </c>
      <c r="E4899" s="4">
        <v>16000</v>
      </c>
    </row>
    <row r="4900" spans="1:5">
      <c r="A4900" s="2" t="s">
        <v>3274</v>
      </c>
      <c r="B4900" s="2" t="str">
        <f>"321279"</f>
        <v>321279</v>
      </c>
      <c r="C4900" s="2" t="str">
        <f>"321279"</f>
        <v>321279</v>
      </c>
      <c r="D4900" s="2" t="s">
        <v>6200</v>
      </c>
      <c r="E4900" s="4">
        <v>36000</v>
      </c>
    </row>
    <row r="4901" spans="1:5">
      <c r="A4901" s="2" t="s">
        <v>3274</v>
      </c>
      <c r="B4901" s="2" t="str">
        <f>"005599"</f>
        <v>005599</v>
      </c>
      <c r="C4901" s="2" t="str">
        <f>"005599"</f>
        <v>005599</v>
      </c>
      <c r="D4901" s="2" t="s">
        <v>6201</v>
      </c>
      <c r="E4901" s="4">
        <v>4300</v>
      </c>
    </row>
    <row r="4902" spans="1:5">
      <c r="A4902" s="2" t="s">
        <v>3274</v>
      </c>
      <c r="B4902" s="2" t="s">
        <v>6202</v>
      </c>
      <c r="C4902" s="2" t="s">
        <v>6203</v>
      </c>
      <c r="D4902" s="2" t="s">
        <v>6204</v>
      </c>
      <c r="E4902" s="4">
        <v>8800</v>
      </c>
    </row>
    <row r="4903" spans="1:5">
      <c r="A4903" s="2" t="s">
        <v>3274</v>
      </c>
      <c r="B4903" s="2" t="str">
        <f>"010617"</f>
        <v>010617</v>
      </c>
      <c r="C4903" s="2" t="str">
        <f>"010617"</f>
        <v>010617</v>
      </c>
      <c r="D4903" s="2" t="s">
        <v>6205</v>
      </c>
      <c r="E4903" s="4">
        <v>8800</v>
      </c>
    </row>
    <row r="4904" spans="1:5">
      <c r="A4904" s="2" t="s">
        <v>3274</v>
      </c>
      <c r="B4904" s="2" t="str">
        <f>"311938"</f>
        <v>311938</v>
      </c>
      <c r="C4904" s="2" t="str">
        <f>"311938"</f>
        <v>311938</v>
      </c>
      <c r="D4904" s="2" t="s">
        <v>6206</v>
      </c>
      <c r="E4904" s="4">
        <v>9700</v>
      </c>
    </row>
    <row r="4905" spans="1:5">
      <c r="A4905" s="2" t="s">
        <v>3274</v>
      </c>
      <c r="B4905" s="2" t="str">
        <f>"19BG20"</f>
        <v>19BG20</v>
      </c>
      <c r="C4905" s="2" t="str">
        <f>"19BG20"</f>
        <v>19BG20</v>
      </c>
      <c r="D4905" s="2" t="s">
        <v>6207</v>
      </c>
      <c r="E4905" s="4">
        <v>12000</v>
      </c>
    </row>
    <row r="4906" spans="1:5">
      <c r="A4906" s="2" t="s">
        <v>3274</v>
      </c>
      <c r="B4906" s="2" t="str">
        <f>"060821314"</f>
        <v>060821314</v>
      </c>
      <c r="C4906" s="2" t="str">
        <f>"060821314"</f>
        <v>060821314</v>
      </c>
      <c r="D4906" s="2" t="s">
        <v>6208</v>
      </c>
      <c r="E4906" s="4">
        <v>8800</v>
      </c>
    </row>
    <row r="4907" spans="1:5">
      <c r="A4907" s="2" t="s">
        <v>3274</v>
      </c>
      <c r="B4907" s="2" t="str">
        <f>"005095"</f>
        <v>005095</v>
      </c>
      <c r="C4907" s="2" t="str">
        <f>"005095"</f>
        <v>005095</v>
      </c>
      <c r="D4907" s="2" t="s">
        <v>6209</v>
      </c>
      <c r="E4907" s="4">
        <v>4300</v>
      </c>
    </row>
    <row r="4908" spans="1:5">
      <c r="A4908" s="2" t="s">
        <v>3274</v>
      </c>
      <c r="B4908" s="2" t="s">
        <v>6210</v>
      </c>
      <c r="C4908" s="2" t="s">
        <v>6211</v>
      </c>
      <c r="D4908" s="2" t="s">
        <v>6212</v>
      </c>
      <c r="E4908" s="4">
        <v>4300</v>
      </c>
    </row>
    <row r="4909" spans="1:5">
      <c r="A4909" s="2" t="s">
        <v>3274</v>
      </c>
      <c r="B4909" s="2" t="str">
        <f>"060820787"</f>
        <v>060820787</v>
      </c>
      <c r="C4909" s="2" t="str">
        <f>"060820787"</f>
        <v>060820787</v>
      </c>
      <c r="D4909" s="2" t="s">
        <v>6213</v>
      </c>
      <c r="E4909" s="4">
        <v>3800</v>
      </c>
    </row>
    <row r="4910" spans="1:5">
      <c r="A4910" s="2" t="s">
        <v>3274</v>
      </c>
      <c r="B4910" s="2" t="s">
        <v>6214</v>
      </c>
      <c r="C4910" s="2" t="s">
        <v>6215</v>
      </c>
      <c r="D4910" s="2" t="s">
        <v>6216</v>
      </c>
      <c r="E4910" s="4">
        <v>4000</v>
      </c>
    </row>
    <row r="4911" spans="1:5">
      <c r="A4911" s="2" t="s">
        <v>3274</v>
      </c>
      <c r="B4911" s="2" t="s">
        <v>6217</v>
      </c>
      <c r="C4911" s="2" t="s">
        <v>6218</v>
      </c>
      <c r="D4911" s="2" t="s">
        <v>6219</v>
      </c>
      <c r="E4911" s="4">
        <v>6100</v>
      </c>
    </row>
    <row r="4912" spans="1:5">
      <c r="A4912" s="2" t="s">
        <v>3274</v>
      </c>
      <c r="B4912" s="2" t="s">
        <v>6220</v>
      </c>
      <c r="C4912" s="2" t="s">
        <v>6221</v>
      </c>
      <c r="D4912" s="2" t="s">
        <v>6222</v>
      </c>
      <c r="E4912" s="4">
        <v>41500</v>
      </c>
    </row>
    <row r="4913" spans="1:5">
      <c r="A4913" s="2" t="s">
        <v>3274</v>
      </c>
      <c r="B4913" s="2" t="str">
        <f>"010618"</f>
        <v>010618</v>
      </c>
      <c r="C4913" s="2" t="str">
        <f>"5000000326426"</f>
        <v>5000000326426</v>
      </c>
      <c r="D4913" s="2" t="s">
        <v>6223</v>
      </c>
      <c r="E4913" s="4">
        <v>9700</v>
      </c>
    </row>
    <row r="4914" spans="1:5">
      <c r="A4914" s="2" t="s">
        <v>3274</v>
      </c>
      <c r="B4914" s="2" t="str">
        <f>"311991"</f>
        <v>311991</v>
      </c>
      <c r="C4914" s="2" t="str">
        <f>"311991"</f>
        <v>311991</v>
      </c>
      <c r="D4914" s="2" t="s">
        <v>6224</v>
      </c>
      <c r="E4914" s="4">
        <v>5200</v>
      </c>
    </row>
    <row r="4915" spans="1:5">
      <c r="A4915" s="2" t="s">
        <v>3274</v>
      </c>
      <c r="B4915" s="2" t="str">
        <f>"010792"</f>
        <v>010792</v>
      </c>
      <c r="C4915" s="2" t="str">
        <f>"010792"</f>
        <v>010792</v>
      </c>
      <c r="D4915" s="2" t="s">
        <v>6225</v>
      </c>
      <c r="E4915" s="4">
        <v>12900</v>
      </c>
    </row>
    <row r="4916" spans="1:5">
      <c r="A4916" s="2" t="s">
        <v>3274</v>
      </c>
      <c r="B4916" s="2" t="s">
        <v>6226</v>
      </c>
      <c r="C4916" s="2" t="s">
        <v>6227</v>
      </c>
      <c r="D4916" s="2" t="s">
        <v>6228</v>
      </c>
      <c r="E4916" s="4">
        <v>4900</v>
      </c>
    </row>
    <row r="4917" spans="1:5">
      <c r="A4917" s="2" t="s">
        <v>3274</v>
      </c>
      <c r="B4917" s="2" t="str">
        <f>"010678"</f>
        <v>010678</v>
      </c>
      <c r="C4917" s="2" t="str">
        <f>"010678"</f>
        <v>010678</v>
      </c>
      <c r="D4917" s="2" t="s">
        <v>6229</v>
      </c>
      <c r="E4917" s="4">
        <v>15900</v>
      </c>
    </row>
    <row r="4918" spans="1:5">
      <c r="A4918" s="2" t="s">
        <v>3274</v>
      </c>
      <c r="B4918" s="2" t="str">
        <f>"004052"</f>
        <v>004052</v>
      </c>
      <c r="C4918" s="2" t="str">
        <f>"004052"</f>
        <v>004052</v>
      </c>
      <c r="D4918" s="2" t="s">
        <v>6230</v>
      </c>
      <c r="E4918" s="4">
        <v>7000</v>
      </c>
    </row>
    <row r="4919" spans="1:5">
      <c r="A4919" s="2" t="s">
        <v>3274</v>
      </c>
      <c r="B4919" s="2" t="str">
        <f>"004760"</f>
        <v>004760</v>
      </c>
      <c r="C4919" s="2" t="str">
        <f>"004760"</f>
        <v>004760</v>
      </c>
      <c r="D4919" s="2" t="s">
        <v>6231</v>
      </c>
      <c r="E4919" s="4">
        <v>9700</v>
      </c>
    </row>
    <row r="4920" spans="1:5">
      <c r="A4920" s="2" t="s">
        <v>3274</v>
      </c>
      <c r="B4920" s="2" t="str">
        <f>"0009584"</f>
        <v>0009584</v>
      </c>
      <c r="C4920" s="2" t="str">
        <f>"0009584"</f>
        <v>0009584</v>
      </c>
      <c r="D4920" s="2" t="s">
        <v>6232</v>
      </c>
      <c r="E4920" s="4">
        <v>4300</v>
      </c>
    </row>
    <row r="4921" spans="1:5">
      <c r="A4921" s="2" t="s">
        <v>3274</v>
      </c>
      <c r="B4921" s="2" t="s">
        <v>6233</v>
      </c>
      <c r="C4921" s="2" t="s">
        <v>6233</v>
      </c>
      <c r="D4921" s="2" t="s">
        <v>6234</v>
      </c>
      <c r="E4921" s="4">
        <v>4300</v>
      </c>
    </row>
    <row r="4922" spans="1:5">
      <c r="A4922" s="2" t="s">
        <v>3274</v>
      </c>
      <c r="B4922" s="2" t="str">
        <f>"060820192"</f>
        <v>060820192</v>
      </c>
      <c r="C4922" s="2" t="s">
        <v>6235</v>
      </c>
      <c r="D4922" s="2" t="s">
        <v>6236</v>
      </c>
      <c r="E4922" s="4">
        <v>6500</v>
      </c>
    </row>
    <row r="4923" spans="1:5">
      <c r="A4923" s="2" t="s">
        <v>3274</v>
      </c>
      <c r="B4923" s="2" t="str">
        <f>"060820714"</f>
        <v>060820714</v>
      </c>
      <c r="C4923" s="2" t="str">
        <f>"060820714"</f>
        <v>060820714</v>
      </c>
      <c r="D4923" s="2" t="s">
        <v>6237</v>
      </c>
      <c r="E4923" s="4">
        <v>4300</v>
      </c>
    </row>
    <row r="4924" spans="1:5">
      <c r="A4924" s="2" t="s">
        <v>3274</v>
      </c>
      <c r="B4924" s="2" t="str">
        <f>"060821217"</f>
        <v>060821217</v>
      </c>
      <c r="C4924" s="2" t="str">
        <f>"060821217"</f>
        <v>060821217</v>
      </c>
      <c r="D4924" s="2" t="s">
        <v>6238</v>
      </c>
      <c r="E4924" s="4">
        <v>6500</v>
      </c>
    </row>
    <row r="4925" spans="1:5">
      <c r="A4925" s="2" t="s">
        <v>3274</v>
      </c>
      <c r="B4925" s="2" t="str">
        <f>"0009583"</f>
        <v>0009583</v>
      </c>
      <c r="C4925" s="2" t="s">
        <v>6239</v>
      </c>
      <c r="D4925" s="2" t="s">
        <v>6240</v>
      </c>
      <c r="E4925" s="4">
        <v>4300</v>
      </c>
    </row>
    <row r="4926" spans="1:5">
      <c r="A4926" s="2" t="s">
        <v>3274</v>
      </c>
      <c r="B4926" s="2" t="str">
        <f>"010814"</f>
        <v>010814</v>
      </c>
      <c r="C4926" s="2" t="str">
        <f>"010814"</f>
        <v>010814</v>
      </c>
      <c r="D4926" s="2" t="s">
        <v>6241</v>
      </c>
      <c r="E4926" s="4">
        <v>9900</v>
      </c>
    </row>
    <row r="4927" spans="1:5">
      <c r="A4927" s="2" t="s">
        <v>3274</v>
      </c>
      <c r="B4927" s="2" t="str">
        <f>"060821204"</f>
        <v>060821204</v>
      </c>
      <c r="C4927" s="2" t="str">
        <f>"060821204 0023172"</f>
        <v>060821204 0023172</v>
      </c>
      <c r="D4927" s="2" t="s">
        <v>6242</v>
      </c>
      <c r="E4927" s="4">
        <v>11500</v>
      </c>
    </row>
    <row r="4928" spans="1:5">
      <c r="A4928" s="2" t="s">
        <v>3274</v>
      </c>
      <c r="B4928" s="2" t="str">
        <f>"311989"</f>
        <v>311989</v>
      </c>
      <c r="C4928" s="2" t="str">
        <f>"311989"</f>
        <v>311989</v>
      </c>
      <c r="D4928" s="2" t="s">
        <v>6243</v>
      </c>
      <c r="E4928" s="4">
        <v>12500</v>
      </c>
    </row>
    <row r="4929" spans="1:5">
      <c r="A4929" s="2" t="s">
        <v>3274</v>
      </c>
      <c r="B4929" s="2" t="str">
        <f>"311739"</f>
        <v>311739</v>
      </c>
      <c r="C4929" s="2" t="str">
        <f>"311739"</f>
        <v>311739</v>
      </c>
      <c r="D4929" s="2" t="s">
        <v>6244</v>
      </c>
      <c r="E4929" s="4">
        <v>4300</v>
      </c>
    </row>
    <row r="4930" spans="1:5">
      <c r="A4930" s="2" t="s">
        <v>3274</v>
      </c>
      <c r="B4930" s="2" t="str">
        <f>"300997"</f>
        <v>300997</v>
      </c>
      <c r="C4930" s="2" t="str">
        <f>"300997"</f>
        <v>300997</v>
      </c>
      <c r="D4930" s="2" t="s">
        <v>6245</v>
      </c>
      <c r="E4930" s="4">
        <v>3400</v>
      </c>
    </row>
    <row r="4931" spans="1:5">
      <c r="A4931" s="2" t="s">
        <v>3274</v>
      </c>
      <c r="B4931" s="2" t="str">
        <f>"060820785"</f>
        <v>060820785</v>
      </c>
      <c r="C4931" s="2" t="str">
        <f>"060820785"</f>
        <v>060820785</v>
      </c>
      <c r="D4931" s="2" t="s">
        <v>6246</v>
      </c>
      <c r="E4931" s="4">
        <v>3800</v>
      </c>
    </row>
    <row r="4932" spans="1:5">
      <c r="A4932" s="2" t="s">
        <v>3274</v>
      </c>
      <c r="B4932" s="2" t="s">
        <v>6247</v>
      </c>
      <c r="C4932" s="2" t="s">
        <v>6248</v>
      </c>
      <c r="D4932" s="2" t="s">
        <v>6249</v>
      </c>
      <c r="E4932" s="4">
        <v>5000</v>
      </c>
    </row>
    <row r="4933" spans="1:5">
      <c r="A4933" s="2" t="s">
        <v>3274</v>
      </c>
      <c r="B4933" s="2" t="s">
        <v>6250</v>
      </c>
      <c r="C4933" s="2" t="s">
        <v>6251</v>
      </c>
      <c r="D4933" s="2" t="s">
        <v>6252</v>
      </c>
      <c r="E4933" s="4">
        <v>5200</v>
      </c>
    </row>
    <row r="4934" spans="1:5">
      <c r="A4934" s="2" t="s">
        <v>3274</v>
      </c>
      <c r="B4934" s="2" t="s">
        <v>6253</v>
      </c>
      <c r="C4934" s="2" t="s">
        <v>6254</v>
      </c>
      <c r="D4934" s="2" t="s">
        <v>6255</v>
      </c>
      <c r="E4934" s="4">
        <v>4800</v>
      </c>
    </row>
    <row r="4935" spans="1:5">
      <c r="A4935" s="2" t="s">
        <v>3274</v>
      </c>
      <c r="B4935" s="2" t="str">
        <f>"312558"</f>
        <v>312558</v>
      </c>
      <c r="C4935" s="2" t="str">
        <f>"312558"</f>
        <v>312558</v>
      </c>
      <c r="D4935" s="2" t="s">
        <v>6256</v>
      </c>
      <c r="E4935" s="4">
        <v>6100</v>
      </c>
    </row>
    <row r="4936" spans="1:5">
      <c r="A4936" s="2" t="s">
        <v>3274</v>
      </c>
      <c r="B4936" s="2" t="str">
        <f>"060820718"</f>
        <v>060820718</v>
      </c>
      <c r="C4936" s="2" t="str">
        <f>"060820736"</f>
        <v>060820736</v>
      </c>
      <c r="D4936" s="2" t="s">
        <v>6257</v>
      </c>
      <c r="E4936" s="4">
        <v>5200</v>
      </c>
    </row>
    <row r="4937" spans="1:5">
      <c r="A4937" s="2" t="s">
        <v>3274</v>
      </c>
      <c r="B4937" s="2" t="str">
        <f>"670420"</f>
        <v>670420</v>
      </c>
      <c r="C4937" s="2" t="s">
        <v>6258</v>
      </c>
      <c r="D4937" s="2" t="s">
        <v>6259</v>
      </c>
      <c r="E4937" s="4">
        <v>14800</v>
      </c>
    </row>
    <row r="4938" spans="1:5">
      <c r="A4938" s="2" t="s">
        <v>3274</v>
      </c>
      <c r="B4938" s="2" t="str">
        <f>"060820731"</f>
        <v>060820731</v>
      </c>
      <c r="C4938" s="2" t="str">
        <f>"060820731"</f>
        <v>060820731</v>
      </c>
      <c r="D4938" s="2" t="s">
        <v>6260</v>
      </c>
      <c r="E4938" s="4">
        <v>4900</v>
      </c>
    </row>
    <row r="4939" spans="1:5">
      <c r="A4939" s="2" t="s">
        <v>3274</v>
      </c>
      <c r="B4939" s="2" t="str">
        <f>"016594"</f>
        <v>016594</v>
      </c>
      <c r="C4939" s="2" t="str">
        <f>"016594"</f>
        <v>016594</v>
      </c>
      <c r="D4939" s="2" t="s">
        <v>6261</v>
      </c>
      <c r="E4939" s="4">
        <v>8800</v>
      </c>
    </row>
    <row r="4940" spans="1:5">
      <c r="A4940" s="2" t="s">
        <v>3274</v>
      </c>
      <c r="B4940" s="2" t="str">
        <f>"311658"</f>
        <v>311658</v>
      </c>
      <c r="C4940" s="2" t="str">
        <f>"311658"</f>
        <v>311658</v>
      </c>
      <c r="D4940" s="2" t="s">
        <v>6262</v>
      </c>
      <c r="E4940" s="4">
        <v>9700</v>
      </c>
    </row>
    <row r="4941" spans="1:5">
      <c r="A4941" s="2" t="s">
        <v>3274</v>
      </c>
      <c r="B4941" s="2" t="str">
        <f>"060820204"</f>
        <v>060820204</v>
      </c>
      <c r="C4941" s="2" t="str">
        <f>"060820204"</f>
        <v>060820204</v>
      </c>
      <c r="D4941" s="2" t="s">
        <v>6263</v>
      </c>
      <c r="E4941" s="4">
        <v>4900</v>
      </c>
    </row>
    <row r="4942" spans="1:5">
      <c r="A4942" s="2" t="s">
        <v>3274</v>
      </c>
      <c r="B4942" s="2" t="s">
        <v>6264</v>
      </c>
      <c r="C4942" s="2" t="s">
        <v>6265</v>
      </c>
      <c r="D4942" s="2" t="s">
        <v>6266</v>
      </c>
      <c r="E4942" s="4">
        <v>5200</v>
      </c>
    </row>
    <row r="4943" spans="1:5">
      <c r="A4943" s="2" t="s">
        <v>3274</v>
      </c>
      <c r="B4943" s="2" t="str">
        <f>"060821508"</f>
        <v>060821508</v>
      </c>
      <c r="C4943" s="2" t="str">
        <f>"060821508"</f>
        <v>060821508</v>
      </c>
      <c r="D4943" s="2" t="s">
        <v>6267</v>
      </c>
      <c r="E4943" s="4">
        <v>7500</v>
      </c>
    </row>
    <row r="4944" spans="1:5">
      <c r="A4944" s="2" t="s">
        <v>3274</v>
      </c>
      <c r="B4944" s="2" t="s">
        <v>6268</v>
      </c>
      <c r="C4944" s="2" t="s">
        <v>6268</v>
      </c>
      <c r="D4944" s="2" t="s">
        <v>6269</v>
      </c>
      <c r="E4944" s="4">
        <v>7900</v>
      </c>
    </row>
    <row r="4945" spans="1:5">
      <c r="A4945" s="2" t="s">
        <v>3274</v>
      </c>
      <c r="B4945" s="2" t="s">
        <v>6270</v>
      </c>
      <c r="C4945" s="2" t="s">
        <v>6271</v>
      </c>
      <c r="D4945" s="2" t="s">
        <v>6272</v>
      </c>
      <c r="E4945" s="4">
        <v>35000</v>
      </c>
    </row>
    <row r="4946" spans="1:5">
      <c r="A4946" s="2" t="s">
        <v>3274</v>
      </c>
      <c r="B4946" s="2" t="str">
        <f>"670321"</f>
        <v>670321</v>
      </c>
      <c r="C4946" s="2" t="str">
        <f>"670321"</f>
        <v>670321</v>
      </c>
      <c r="D4946" s="2" t="s">
        <v>6273</v>
      </c>
      <c r="E4946" s="4">
        <v>14900</v>
      </c>
    </row>
    <row r="4947" spans="1:5">
      <c r="A4947" s="2" t="s">
        <v>3274</v>
      </c>
      <c r="B4947" s="2" t="str">
        <f>"060820227"</f>
        <v>060820227</v>
      </c>
      <c r="C4947" s="2" t="str">
        <f>"060820227"</f>
        <v>060820227</v>
      </c>
      <c r="D4947" s="2" t="s">
        <v>6274</v>
      </c>
      <c r="E4947" s="4">
        <v>3400</v>
      </c>
    </row>
    <row r="4948" spans="1:5">
      <c r="A4948" s="2" t="s">
        <v>3274</v>
      </c>
      <c r="B4948" s="2" t="str">
        <f>"301000"</f>
        <v>301000</v>
      </c>
      <c r="C4948" s="2" t="str">
        <f>"301000"</f>
        <v>301000</v>
      </c>
      <c r="D4948" s="2" t="s">
        <v>6275</v>
      </c>
      <c r="E4948" s="4">
        <v>6100</v>
      </c>
    </row>
    <row r="4949" spans="1:5">
      <c r="A4949" s="2" t="s">
        <v>3274</v>
      </c>
      <c r="B4949" s="2" t="str">
        <f>"312632"</f>
        <v>312632</v>
      </c>
      <c r="C4949" s="2" t="str">
        <f>"312632"</f>
        <v>312632</v>
      </c>
      <c r="D4949" s="2" t="s">
        <v>6276</v>
      </c>
      <c r="E4949" s="4">
        <v>7000</v>
      </c>
    </row>
    <row r="4950" spans="1:5">
      <c r="A4950" s="2" t="s">
        <v>3274</v>
      </c>
      <c r="B4950" s="2" t="str">
        <f>"060820208"</f>
        <v>060820208</v>
      </c>
      <c r="C4950" s="2" t="str">
        <f>"060820208"</f>
        <v>060820208</v>
      </c>
      <c r="D4950" s="2" t="s">
        <v>6277</v>
      </c>
      <c r="E4950" s="4">
        <v>7000</v>
      </c>
    </row>
    <row r="4951" spans="1:5">
      <c r="A4951" s="2" t="s">
        <v>3274</v>
      </c>
      <c r="B4951" s="2" t="str">
        <f>"060820549"</f>
        <v>060820549</v>
      </c>
      <c r="C4951" s="2" t="str">
        <f>"060820549"</f>
        <v>060820549</v>
      </c>
      <c r="D4951" s="2" t="s">
        <v>6278</v>
      </c>
      <c r="E4951" s="4">
        <v>6100</v>
      </c>
    </row>
    <row r="4952" spans="1:5">
      <c r="A4952" s="2" t="s">
        <v>3274</v>
      </c>
      <c r="B4952" s="2" t="str">
        <f>"311985"</f>
        <v>311985</v>
      </c>
      <c r="C4952" s="2" t="str">
        <f>"311985"</f>
        <v>311985</v>
      </c>
      <c r="D4952" s="2" t="s">
        <v>6279</v>
      </c>
      <c r="E4952" s="4">
        <v>8500</v>
      </c>
    </row>
    <row r="4953" spans="1:5">
      <c r="A4953" s="2" t="s">
        <v>3274</v>
      </c>
      <c r="B4953" s="2" t="str">
        <f>"060820063"</f>
        <v>060820063</v>
      </c>
      <c r="C4953" s="2" t="str">
        <f>"060820063 9951723"</f>
        <v>060820063 9951723</v>
      </c>
      <c r="D4953" s="2" t="s">
        <v>6280</v>
      </c>
      <c r="E4953" s="4">
        <v>4300</v>
      </c>
    </row>
    <row r="4954" spans="1:5">
      <c r="A4954" s="2" t="s">
        <v>3274</v>
      </c>
      <c r="B4954" s="2" t="s">
        <v>6281</v>
      </c>
      <c r="C4954" s="2" t="s">
        <v>6282</v>
      </c>
      <c r="D4954" s="2" t="s">
        <v>6283</v>
      </c>
      <c r="E4954" s="4">
        <v>4000</v>
      </c>
    </row>
    <row r="4955" spans="1:5">
      <c r="A4955" s="2" t="s">
        <v>3274</v>
      </c>
      <c r="B4955" s="2" t="str">
        <f>"060820798"</f>
        <v>060820798</v>
      </c>
      <c r="C4955" s="2" t="s">
        <v>6284</v>
      </c>
      <c r="D4955" s="2" t="s">
        <v>6285</v>
      </c>
      <c r="E4955" s="4">
        <v>4300</v>
      </c>
    </row>
    <row r="4956" spans="1:5">
      <c r="A4956" s="2" t="s">
        <v>3274</v>
      </c>
      <c r="B4956" s="2" t="s">
        <v>6286</v>
      </c>
      <c r="C4956" s="2" t="s">
        <v>6286</v>
      </c>
      <c r="D4956" s="2" t="s">
        <v>6287</v>
      </c>
      <c r="E4956" s="4">
        <v>8500</v>
      </c>
    </row>
    <row r="4957" spans="1:5">
      <c r="A4957" s="2" t="s">
        <v>3274</v>
      </c>
      <c r="B4957" s="2" t="str">
        <f>"670285"</f>
        <v>670285</v>
      </c>
      <c r="C4957" s="2" t="str">
        <f>"670285"</f>
        <v>670285</v>
      </c>
      <c r="D4957" s="2" t="s">
        <v>6287</v>
      </c>
      <c r="E4957" s="4">
        <v>13000</v>
      </c>
    </row>
    <row r="4958" spans="1:5">
      <c r="A4958" s="2" t="s">
        <v>3274</v>
      </c>
      <c r="B4958" s="2" t="str">
        <f>"060820061"</f>
        <v>060820061</v>
      </c>
      <c r="C4958" s="2" t="str">
        <f>"060820061"</f>
        <v>060820061</v>
      </c>
      <c r="D4958" s="2" t="s">
        <v>6288</v>
      </c>
      <c r="E4958" s="4">
        <v>5200</v>
      </c>
    </row>
    <row r="4959" spans="1:5">
      <c r="A4959" s="2" t="s">
        <v>3274</v>
      </c>
      <c r="B4959" s="2" t="str">
        <f>"060820195"</f>
        <v>060820195</v>
      </c>
      <c r="C4959" s="2" t="str">
        <f>"060820195"</f>
        <v>060820195</v>
      </c>
      <c r="D4959" s="2" t="s">
        <v>6289</v>
      </c>
      <c r="E4959" s="4">
        <v>5200</v>
      </c>
    </row>
    <row r="4960" spans="1:5">
      <c r="A4960" s="2" t="s">
        <v>3274</v>
      </c>
      <c r="B4960" s="2" t="str">
        <f>"060820748"</f>
        <v>060820748</v>
      </c>
      <c r="C4960" s="2" t="str">
        <f>"060820748"</f>
        <v>060820748</v>
      </c>
      <c r="D4960" s="2" t="s">
        <v>6290</v>
      </c>
      <c r="E4960" s="4">
        <v>4900</v>
      </c>
    </row>
    <row r="4961" spans="1:5">
      <c r="A4961" s="2" t="s">
        <v>3274</v>
      </c>
      <c r="B4961" s="2" t="s">
        <v>6291</v>
      </c>
      <c r="C4961" s="2" t="s">
        <v>6292</v>
      </c>
      <c r="D4961" s="2" t="s">
        <v>6293</v>
      </c>
      <c r="E4961" s="4">
        <v>5200</v>
      </c>
    </row>
    <row r="4962" spans="1:5">
      <c r="A4962" s="2" t="s">
        <v>3274</v>
      </c>
      <c r="B4962" s="2" t="s">
        <v>6294</v>
      </c>
      <c r="C4962" s="2" t="s">
        <v>6295</v>
      </c>
      <c r="D4962" s="2" t="s">
        <v>6296</v>
      </c>
      <c r="E4962" s="4">
        <v>6500</v>
      </c>
    </row>
    <row r="4963" spans="1:5">
      <c r="A4963" s="2" t="s">
        <v>3274</v>
      </c>
      <c r="B4963" s="2" t="str">
        <f>"060820226"</f>
        <v>060820226</v>
      </c>
      <c r="C4963" s="2" t="str">
        <f>"060820226"</f>
        <v>060820226</v>
      </c>
      <c r="D4963" s="2" t="s">
        <v>6297</v>
      </c>
      <c r="E4963" s="4">
        <v>5200</v>
      </c>
    </row>
    <row r="4964" spans="1:5">
      <c r="A4964" s="2" t="s">
        <v>3274</v>
      </c>
      <c r="B4964" s="2" t="s">
        <v>6298</v>
      </c>
      <c r="C4964" s="2" t="s">
        <v>6299</v>
      </c>
      <c r="D4964" s="2" t="s">
        <v>6300</v>
      </c>
      <c r="E4964" s="4">
        <v>5200</v>
      </c>
    </row>
    <row r="4965" spans="1:5">
      <c r="A4965" s="2" t="s">
        <v>3274</v>
      </c>
      <c r="B4965" s="2" t="str">
        <f>"301003"</f>
        <v>301003</v>
      </c>
      <c r="C4965" s="2" t="str">
        <f>"301003"</f>
        <v>301003</v>
      </c>
      <c r="D4965" s="2" t="s">
        <v>6301</v>
      </c>
      <c r="E4965" s="4">
        <v>6100</v>
      </c>
    </row>
    <row r="4966" spans="1:5">
      <c r="A4966" s="2" t="s">
        <v>3274</v>
      </c>
      <c r="B4966" s="2" t="str">
        <f>"060820740"</f>
        <v>060820740</v>
      </c>
      <c r="C4966" s="2" t="str">
        <f>"060820740"</f>
        <v>060820740</v>
      </c>
      <c r="D4966" s="2" t="s">
        <v>6302</v>
      </c>
      <c r="E4966" s="4">
        <v>4900</v>
      </c>
    </row>
    <row r="4967" spans="1:5">
      <c r="A4967" s="2" t="s">
        <v>3274</v>
      </c>
      <c r="B4967" s="2" t="s">
        <v>6303</v>
      </c>
      <c r="C4967" s="2" t="s">
        <v>6304</v>
      </c>
      <c r="D4967" s="2" t="s">
        <v>6305</v>
      </c>
      <c r="E4967" s="4">
        <v>6000</v>
      </c>
    </row>
    <row r="4968" spans="1:5">
      <c r="A4968" s="2" t="s">
        <v>3274</v>
      </c>
      <c r="B4968" s="2" t="str">
        <f>"060820219"</f>
        <v>060820219</v>
      </c>
      <c r="C4968" s="2" t="str">
        <f>"060820219"</f>
        <v>060820219</v>
      </c>
      <c r="D4968" s="2" t="s">
        <v>6306</v>
      </c>
      <c r="E4968" s="4">
        <v>3400</v>
      </c>
    </row>
    <row r="4969" spans="1:5">
      <c r="A4969" s="2" t="s">
        <v>3274</v>
      </c>
      <c r="B4969" s="2" t="str">
        <f>"0002187"</f>
        <v>0002187</v>
      </c>
      <c r="C4969" s="2" t="str">
        <f>"0002187"</f>
        <v>0002187</v>
      </c>
      <c r="D4969" s="2" t="s">
        <v>6307</v>
      </c>
      <c r="E4969" s="4">
        <v>4300</v>
      </c>
    </row>
    <row r="4970" spans="1:5">
      <c r="A4970" s="2" t="s">
        <v>3274</v>
      </c>
      <c r="B4970" s="2" t="str">
        <f>"0007335"</f>
        <v>0007335</v>
      </c>
      <c r="C4970" s="2" t="str">
        <f>"0007335"</f>
        <v>0007335</v>
      </c>
      <c r="D4970" s="2" t="s">
        <v>6308</v>
      </c>
      <c r="E4970" s="4">
        <v>1000</v>
      </c>
    </row>
    <row r="4971" spans="1:5">
      <c r="A4971" s="2" t="s">
        <v>3274</v>
      </c>
      <c r="B4971" s="2" t="str">
        <f>"0031185"</f>
        <v>0031185</v>
      </c>
      <c r="C4971" s="2" t="str">
        <f>"0031185"</f>
        <v>0031185</v>
      </c>
      <c r="D4971" s="2" t="s">
        <v>6309</v>
      </c>
      <c r="E4971" s="4">
        <v>5200</v>
      </c>
    </row>
    <row r="4972" spans="1:5">
      <c r="A4972" s="2" t="s">
        <v>3274</v>
      </c>
      <c r="B4972" s="2" t="str">
        <f>"010483"</f>
        <v>010483</v>
      </c>
      <c r="C4972" s="2" t="str">
        <f>"010483"</f>
        <v>010483</v>
      </c>
      <c r="D4972" s="2" t="s">
        <v>6310</v>
      </c>
      <c r="E4972" s="4">
        <v>9700</v>
      </c>
    </row>
    <row r="4973" spans="1:5">
      <c r="A4973" s="2" t="s">
        <v>3274</v>
      </c>
      <c r="B4973" s="2" t="str">
        <f>"060820943"</f>
        <v>060820943</v>
      </c>
      <c r="C4973" s="2" t="str">
        <f>"060820943"</f>
        <v>060820943</v>
      </c>
      <c r="D4973" s="2" t="s">
        <v>6311</v>
      </c>
      <c r="E4973" s="4">
        <v>4300</v>
      </c>
    </row>
    <row r="4974" spans="1:5">
      <c r="A4974" s="2" t="s">
        <v>3274</v>
      </c>
      <c r="B4974" s="2" t="str">
        <f>"060820905"</f>
        <v>060820905</v>
      </c>
      <c r="C4974" s="2" t="str">
        <f>"060820905"</f>
        <v>060820905</v>
      </c>
      <c r="D4974" s="2" t="s">
        <v>6312</v>
      </c>
      <c r="E4974" s="4">
        <v>3400</v>
      </c>
    </row>
    <row r="4975" spans="1:5">
      <c r="A4975" s="2" t="s">
        <v>3274</v>
      </c>
      <c r="B4975" s="2" t="s">
        <v>6313</v>
      </c>
      <c r="C4975" s="2" t="str">
        <f>"0034770"</f>
        <v>0034770</v>
      </c>
      <c r="D4975" s="2" t="s">
        <v>6314</v>
      </c>
      <c r="E4975" s="4">
        <v>3400</v>
      </c>
    </row>
    <row r="4976" spans="1:5">
      <c r="A4976" s="2" t="s">
        <v>3274</v>
      </c>
      <c r="B4976" s="2" t="str">
        <f>"0027929"</f>
        <v>0027929</v>
      </c>
      <c r="C4976" s="2" t="str">
        <f>"0027929"</f>
        <v>0027929</v>
      </c>
      <c r="D4976" s="2" t="s">
        <v>6315</v>
      </c>
      <c r="E4976" s="4">
        <v>8900</v>
      </c>
    </row>
    <row r="4977" spans="1:5">
      <c r="A4977" s="2" t="s">
        <v>3274</v>
      </c>
      <c r="B4977" s="2" t="str">
        <f>"9954049"</f>
        <v>9954049</v>
      </c>
      <c r="C4977" s="2" t="str">
        <f>"9954049"</f>
        <v>9954049</v>
      </c>
      <c r="D4977" s="2" t="s">
        <v>6316</v>
      </c>
      <c r="E4977" s="4">
        <v>5200</v>
      </c>
    </row>
    <row r="4978" spans="1:5">
      <c r="A4978" s="2" t="s">
        <v>3274</v>
      </c>
      <c r="B4978" s="2" t="str">
        <f>"0027986"</f>
        <v>0027986</v>
      </c>
      <c r="C4978" s="2" t="str">
        <f>"0027986"</f>
        <v>0027986</v>
      </c>
      <c r="D4978" s="2" t="s">
        <v>6317</v>
      </c>
      <c r="E4978" s="4">
        <v>6100</v>
      </c>
    </row>
    <row r="4979" spans="1:5">
      <c r="A4979" s="2" t="s">
        <v>3274</v>
      </c>
      <c r="B4979" s="2" t="str">
        <f>"060820751"</f>
        <v>060820751</v>
      </c>
      <c r="C4979" s="2" t="str">
        <f>"060820751"</f>
        <v>060820751</v>
      </c>
      <c r="D4979" s="2" t="s">
        <v>6318</v>
      </c>
      <c r="E4979" s="4">
        <v>4300</v>
      </c>
    </row>
    <row r="4980" spans="1:5">
      <c r="A4980" s="2" t="s">
        <v>3274</v>
      </c>
      <c r="B4980" s="2" t="str">
        <f>"0031280"</f>
        <v>0031280</v>
      </c>
      <c r="C4980" s="2" t="str">
        <f>"0031280"</f>
        <v>0031280</v>
      </c>
      <c r="D4980" s="2" t="s">
        <v>6319</v>
      </c>
      <c r="E4980" s="4">
        <v>5200</v>
      </c>
    </row>
    <row r="4981" spans="1:5">
      <c r="A4981" s="2" t="s">
        <v>3274</v>
      </c>
      <c r="B4981" s="2" t="s">
        <v>6320</v>
      </c>
      <c r="C4981" s="2" t="s">
        <v>6320</v>
      </c>
      <c r="D4981" s="2" t="s">
        <v>6321</v>
      </c>
      <c r="E4981" s="4">
        <v>6100</v>
      </c>
    </row>
    <row r="4982" spans="1:5">
      <c r="A4982" s="2" t="s">
        <v>3274</v>
      </c>
      <c r="B4982" s="2" t="s">
        <v>6322</v>
      </c>
      <c r="C4982" s="2" t="s">
        <v>6322</v>
      </c>
      <c r="D4982" s="2" t="s">
        <v>6323</v>
      </c>
      <c r="E4982" s="4">
        <v>5200</v>
      </c>
    </row>
    <row r="4983" spans="1:5">
      <c r="A4983" s="2" t="s">
        <v>3274</v>
      </c>
      <c r="B4983" s="2" t="str">
        <f>"071820369"</f>
        <v>071820369</v>
      </c>
      <c r="C4983" s="2" t="str">
        <f>"071820369"</f>
        <v>071820369</v>
      </c>
      <c r="D4983" s="2" t="s">
        <v>6324</v>
      </c>
      <c r="E4983" s="4">
        <v>16000</v>
      </c>
    </row>
    <row r="4984" spans="1:5">
      <c r="A4984" s="2" t="s">
        <v>3274</v>
      </c>
      <c r="B4984" s="2" t="str">
        <f>"010642"</f>
        <v>010642</v>
      </c>
      <c r="C4984" s="2" t="str">
        <f>"010642"</f>
        <v>010642</v>
      </c>
      <c r="D4984" s="2" t="s">
        <v>6325</v>
      </c>
      <c r="E4984" s="4">
        <v>6100</v>
      </c>
    </row>
    <row r="4985" spans="1:5">
      <c r="A4985" s="2" t="s">
        <v>3274</v>
      </c>
      <c r="B4985" s="2" t="str">
        <f>"060821471"</f>
        <v>060821471</v>
      </c>
      <c r="C4985" s="2" t="str">
        <f>"060821471"</f>
        <v>060821471</v>
      </c>
      <c r="D4985" s="2" t="s">
        <v>6326</v>
      </c>
      <c r="E4985" s="4">
        <v>5200</v>
      </c>
    </row>
    <row r="4986" spans="1:5">
      <c r="A4986" s="2" t="s">
        <v>3274</v>
      </c>
      <c r="B4986" s="2" t="str">
        <f>"060820824"</f>
        <v>060820824</v>
      </c>
      <c r="C4986" s="2" t="str">
        <f>"060820824"</f>
        <v>060820824</v>
      </c>
      <c r="D4986" s="2" t="s">
        <v>6327</v>
      </c>
      <c r="E4986" s="4">
        <v>5200</v>
      </c>
    </row>
    <row r="4987" spans="1:5">
      <c r="A4987" s="2" t="s">
        <v>3274</v>
      </c>
      <c r="B4987" s="2" t="str">
        <f>"0027976"</f>
        <v>0027976</v>
      </c>
      <c r="C4987" s="2" t="str">
        <f>"0027976"</f>
        <v>0027976</v>
      </c>
      <c r="D4987" s="2" t="s">
        <v>6328</v>
      </c>
      <c r="E4987" s="4">
        <v>5500</v>
      </c>
    </row>
    <row r="4988" spans="1:5">
      <c r="A4988" s="2" t="s">
        <v>3274</v>
      </c>
      <c r="B4988" s="2" t="str">
        <f>"060821369"</f>
        <v>060821369</v>
      </c>
      <c r="C4988" s="2" t="str">
        <f>"060821369"</f>
        <v>060821369</v>
      </c>
      <c r="D4988" s="2" t="s">
        <v>6329</v>
      </c>
      <c r="E4988" s="4">
        <v>4300</v>
      </c>
    </row>
    <row r="4989" spans="1:5">
      <c r="A4989" s="2" t="s">
        <v>3274</v>
      </c>
      <c r="B4989" s="2" t="str">
        <f>"010390"</f>
        <v>010390</v>
      </c>
      <c r="C4989" s="2" t="str">
        <f>"010390"</f>
        <v>010390</v>
      </c>
      <c r="D4989" s="2" t="s">
        <v>6330</v>
      </c>
      <c r="E4989" s="4">
        <v>10600</v>
      </c>
    </row>
    <row r="4990" spans="1:5">
      <c r="A4990" s="2" t="s">
        <v>3274</v>
      </c>
      <c r="B4990" s="2" t="str">
        <f>"0028007"</f>
        <v>0028007</v>
      </c>
      <c r="C4990" s="2" t="str">
        <f>"0028007"</f>
        <v>0028007</v>
      </c>
      <c r="D4990" s="2" t="s">
        <v>6331</v>
      </c>
      <c r="E4990" s="4">
        <v>4300</v>
      </c>
    </row>
    <row r="4991" spans="1:5">
      <c r="A4991" s="2" t="s">
        <v>3274</v>
      </c>
      <c r="B4991" s="2" t="str">
        <f>"660546"</f>
        <v>660546</v>
      </c>
      <c r="C4991" s="2" t="str">
        <f>"660546"</f>
        <v>660546</v>
      </c>
      <c r="D4991" s="2" t="s">
        <v>6332</v>
      </c>
      <c r="E4991" s="4">
        <v>6800</v>
      </c>
    </row>
    <row r="4992" spans="1:5">
      <c r="A4992" s="2" t="s">
        <v>3274</v>
      </c>
      <c r="B4992" s="2" t="str">
        <f>"660535"</f>
        <v>660535</v>
      </c>
      <c r="C4992" s="2" t="s">
        <v>6333</v>
      </c>
      <c r="D4992" s="2" t="s">
        <v>6334</v>
      </c>
      <c r="E4992" s="4">
        <v>14500</v>
      </c>
    </row>
    <row r="4993" spans="1:5">
      <c r="A4993" s="2" t="s">
        <v>3274</v>
      </c>
      <c r="B4993" s="2" t="str">
        <f>"0012369"</f>
        <v>0012369</v>
      </c>
      <c r="C4993" s="2" t="str">
        <f>"0012369"</f>
        <v>0012369</v>
      </c>
      <c r="D4993" s="2" t="s">
        <v>6335</v>
      </c>
      <c r="E4993" s="4">
        <v>48400</v>
      </c>
    </row>
    <row r="4994" spans="1:5">
      <c r="A4994" s="2" t="s">
        <v>3274</v>
      </c>
      <c r="B4994" s="2" t="s">
        <v>6336</v>
      </c>
      <c r="C4994" s="2" t="s">
        <v>6337</v>
      </c>
      <c r="D4994" s="2" t="s">
        <v>6338</v>
      </c>
      <c r="E4994" s="4">
        <v>4300</v>
      </c>
    </row>
    <row r="4995" spans="1:5">
      <c r="A4995" s="2" t="s">
        <v>3274</v>
      </c>
      <c r="B4995" s="2" t="str">
        <f>"312560"</f>
        <v>312560</v>
      </c>
      <c r="C4995" s="2" t="str">
        <f>"312560"</f>
        <v>312560</v>
      </c>
      <c r="D4995" s="2" t="s">
        <v>6339</v>
      </c>
      <c r="E4995" s="4">
        <v>4800</v>
      </c>
    </row>
    <row r="4996" spans="1:5">
      <c r="A4996" s="2" t="s">
        <v>3274</v>
      </c>
      <c r="B4996" s="2" t="str">
        <f>"0023062"</f>
        <v>0023062</v>
      </c>
      <c r="C4996" s="2" t="str">
        <f>"0023062"</f>
        <v>0023062</v>
      </c>
      <c r="D4996" s="2" t="s">
        <v>6340</v>
      </c>
      <c r="E4996" s="4">
        <v>9700</v>
      </c>
    </row>
    <row r="4997" spans="1:5">
      <c r="A4997" s="2" t="s">
        <v>3274</v>
      </c>
      <c r="B4997" s="2" t="str">
        <f>"9951724"</f>
        <v>9951724</v>
      </c>
      <c r="C4997" s="2" t="str">
        <f>"995724"</f>
        <v>995724</v>
      </c>
      <c r="D4997" s="2" t="s">
        <v>6341</v>
      </c>
      <c r="E4997" s="4">
        <v>9700</v>
      </c>
    </row>
    <row r="4998" spans="1:5">
      <c r="A4998" s="2" t="s">
        <v>3274</v>
      </c>
      <c r="B4998" s="2" t="str">
        <f>"071820263"</f>
        <v>071820263</v>
      </c>
      <c r="C4998" s="2" t="str">
        <f>"071820263"</f>
        <v>071820263</v>
      </c>
      <c r="D4998" s="2" t="s">
        <v>6342</v>
      </c>
      <c r="E4998" s="4">
        <v>6100</v>
      </c>
    </row>
    <row r="4999" spans="1:5">
      <c r="A4999" s="2" t="s">
        <v>3274</v>
      </c>
      <c r="B4999" s="2" t="str">
        <f>"670082"</f>
        <v>670082</v>
      </c>
      <c r="C4999" s="2" t="str">
        <f>"670082"</f>
        <v>670082</v>
      </c>
      <c r="D4999" s="2" t="s">
        <v>6343</v>
      </c>
      <c r="E4999" s="4">
        <v>4300</v>
      </c>
    </row>
    <row r="5000" spans="1:5">
      <c r="A5000" s="2" t="s">
        <v>3274</v>
      </c>
      <c r="B5000" s="2" t="str">
        <f>"451037"</f>
        <v>451037</v>
      </c>
      <c r="C5000" s="2" t="str">
        <f>"451037"</f>
        <v>451037</v>
      </c>
      <c r="D5000" s="2" t="s">
        <v>6344</v>
      </c>
      <c r="E5000" s="4">
        <v>6900</v>
      </c>
    </row>
    <row r="5001" spans="1:5">
      <c r="A5001" s="2" t="s">
        <v>3274</v>
      </c>
      <c r="B5001" s="2" t="str">
        <f>"451342"</f>
        <v>451342</v>
      </c>
      <c r="C5001" s="2" t="str">
        <f>"451342"</f>
        <v>451342</v>
      </c>
      <c r="D5001" s="2" t="s">
        <v>6345</v>
      </c>
      <c r="E5001" s="4">
        <v>5700</v>
      </c>
    </row>
    <row r="5002" spans="1:5">
      <c r="A5002" s="2" t="s">
        <v>3274</v>
      </c>
      <c r="B5002" s="2" t="str">
        <f>"060820756"</f>
        <v>060820756</v>
      </c>
      <c r="C5002" s="2" t="str">
        <f>"060820756"</f>
        <v>060820756</v>
      </c>
      <c r="D5002" s="2" t="s">
        <v>6346</v>
      </c>
      <c r="E5002" s="4">
        <v>4300</v>
      </c>
    </row>
    <row r="5003" spans="1:5">
      <c r="A5003" s="2" t="s">
        <v>3274</v>
      </c>
      <c r="B5003" s="2" t="str">
        <f>"451019"</f>
        <v>451019</v>
      </c>
      <c r="C5003" s="2" t="str">
        <f>"451019"</f>
        <v>451019</v>
      </c>
      <c r="D5003" s="2" t="s">
        <v>6347</v>
      </c>
      <c r="E5003" s="4">
        <v>3900</v>
      </c>
    </row>
    <row r="5004" spans="1:5">
      <c r="A5004" s="2" t="s">
        <v>3274</v>
      </c>
      <c r="B5004" s="2" t="s">
        <v>6348</v>
      </c>
      <c r="C5004" s="2" t="s">
        <v>6348</v>
      </c>
      <c r="D5004" s="2" t="s">
        <v>6349</v>
      </c>
      <c r="E5004" s="4">
        <v>4500</v>
      </c>
    </row>
    <row r="5005" spans="1:5">
      <c r="A5005" s="2" t="s">
        <v>3274</v>
      </c>
      <c r="B5005" s="2" t="str">
        <f>"060820101"</f>
        <v>060820101</v>
      </c>
      <c r="C5005" s="2" t="str">
        <f>"060820101"</f>
        <v>060820101</v>
      </c>
      <c r="D5005" s="2" t="s">
        <v>6350</v>
      </c>
      <c r="E5005" s="4">
        <v>4300</v>
      </c>
    </row>
    <row r="5006" spans="1:5">
      <c r="A5006" s="2" t="s">
        <v>3274</v>
      </c>
      <c r="B5006" s="2" t="str">
        <f>"450303"</f>
        <v>450303</v>
      </c>
      <c r="C5006" s="2" t="str">
        <f>"450303"</f>
        <v>450303</v>
      </c>
      <c r="D5006" s="2" t="s">
        <v>6351</v>
      </c>
      <c r="E5006" s="4">
        <v>4300</v>
      </c>
    </row>
    <row r="5007" spans="1:5">
      <c r="A5007" s="2" t="s">
        <v>3274</v>
      </c>
      <c r="B5007" s="2" t="str">
        <f>"451331"</f>
        <v>451331</v>
      </c>
      <c r="C5007" s="2" t="str">
        <f>"451331"</f>
        <v>451331</v>
      </c>
      <c r="D5007" s="2" t="s">
        <v>6352</v>
      </c>
      <c r="E5007" s="4">
        <v>4100</v>
      </c>
    </row>
    <row r="5008" spans="1:5">
      <c r="A5008" s="2" t="s">
        <v>3274</v>
      </c>
      <c r="B5008" s="2" t="s">
        <v>6353</v>
      </c>
      <c r="C5008" s="2" t="s">
        <v>6353</v>
      </c>
      <c r="D5008" s="2" t="s">
        <v>6354</v>
      </c>
      <c r="E5008" s="4">
        <v>4900</v>
      </c>
    </row>
    <row r="5009" spans="1:5">
      <c r="A5009" s="2" t="s">
        <v>3274</v>
      </c>
      <c r="B5009" s="2" t="s">
        <v>6355</v>
      </c>
      <c r="C5009" s="2" t="s">
        <v>6355</v>
      </c>
      <c r="D5009" s="2" t="s">
        <v>6356</v>
      </c>
      <c r="E5009" s="4">
        <v>4400</v>
      </c>
    </row>
    <row r="5010" spans="1:5">
      <c r="A5010" s="2" t="s">
        <v>3274</v>
      </c>
      <c r="B5010" s="2" t="str">
        <f>"300976"</f>
        <v>300976</v>
      </c>
      <c r="C5010" s="2" t="str">
        <f>"300976"</f>
        <v>300976</v>
      </c>
      <c r="D5010" s="2" t="s">
        <v>6357</v>
      </c>
      <c r="E5010" s="4">
        <v>4300</v>
      </c>
    </row>
    <row r="5011" spans="1:5">
      <c r="A5011" s="2" t="s">
        <v>3274</v>
      </c>
      <c r="B5011" s="2" t="s">
        <v>6358</v>
      </c>
      <c r="C5011" s="2" t="s">
        <v>6358</v>
      </c>
      <c r="D5011" s="2" t="s">
        <v>6359</v>
      </c>
      <c r="E5011" s="4">
        <v>4300</v>
      </c>
    </row>
    <row r="5012" spans="1:5">
      <c r="A5012" s="2" t="s">
        <v>3274</v>
      </c>
      <c r="B5012" s="2" t="str">
        <f>"247564"</f>
        <v>247564</v>
      </c>
      <c r="C5012" s="2" t="str">
        <f>"247564"</f>
        <v>247564</v>
      </c>
      <c r="D5012" s="2" t="s">
        <v>6360</v>
      </c>
      <c r="E5012" s="4">
        <v>4500</v>
      </c>
    </row>
    <row r="5013" spans="1:5">
      <c r="A5013" s="2" t="s">
        <v>3274</v>
      </c>
      <c r="B5013" s="2" t="str">
        <f>"451310"</f>
        <v>451310</v>
      </c>
      <c r="C5013" s="2" t="str">
        <f>"451310"</f>
        <v>451310</v>
      </c>
      <c r="D5013" s="2" t="s">
        <v>6361</v>
      </c>
      <c r="E5013" s="4">
        <v>9300</v>
      </c>
    </row>
    <row r="5014" spans="1:5">
      <c r="A5014" s="2" t="s">
        <v>3274</v>
      </c>
      <c r="B5014" s="2" t="s">
        <v>6362</v>
      </c>
      <c r="C5014" s="2" t="s">
        <v>6362</v>
      </c>
      <c r="D5014" s="2" t="s">
        <v>6363</v>
      </c>
      <c r="E5014" s="4">
        <v>3200</v>
      </c>
    </row>
    <row r="5015" spans="1:5">
      <c r="A5015" s="2" t="s">
        <v>3274</v>
      </c>
      <c r="B5015" s="2" t="str">
        <f>"451279"</f>
        <v>451279</v>
      </c>
      <c r="C5015" s="2" t="str">
        <f>"451279"</f>
        <v>451279</v>
      </c>
      <c r="D5015" s="2" t="s">
        <v>6364</v>
      </c>
      <c r="E5015" s="4">
        <v>8900</v>
      </c>
    </row>
    <row r="5016" spans="1:5">
      <c r="A5016" s="2" t="s">
        <v>3274</v>
      </c>
      <c r="B5016" s="2" t="str">
        <f>"311987"</f>
        <v>311987</v>
      </c>
      <c r="C5016" s="2" t="str">
        <f>"311987"</f>
        <v>311987</v>
      </c>
      <c r="D5016" s="2" t="s">
        <v>6365</v>
      </c>
      <c r="E5016" s="4">
        <v>4300</v>
      </c>
    </row>
    <row r="5017" spans="1:5">
      <c r="A5017" s="2" t="s">
        <v>3274</v>
      </c>
      <c r="B5017" s="2" t="str">
        <f>"247490"</f>
        <v>247490</v>
      </c>
      <c r="C5017" s="2" t="str">
        <f>"247490"</f>
        <v>247490</v>
      </c>
      <c r="D5017" s="2" t="s">
        <v>6366</v>
      </c>
      <c r="E5017" s="4">
        <v>3900</v>
      </c>
    </row>
    <row r="5018" spans="1:5">
      <c r="A5018" s="2" t="s">
        <v>3274</v>
      </c>
      <c r="B5018" s="2" t="s">
        <v>6367</v>
      </c>
      <c r="C5018" s="2" t="s">
        <v>6367</v>
      </c>
      <c r="D5018" s="2" t="s">
        <v>6368</v>
      </c>
      <c r="E5018" s="4">
        <v>5500</v>
      </c>
    </row>
    <row r="5019" spans="1:5">
      <c r="A5019" s="2" t="s">
        <v>3274</v>
      </c>
      <c r="B5019" s="2" t="s">
        <v>6369</v>
      </c>
      <c r="C5019" s="2" t="s">
        <v>6369</v>
      </c>
      <c r="D5019" s="2" t="s">
        <v>6370</v>
      </c>
      <c r="E5019" s="4">
        <v>3700</v>
      </c>
    </row>
    <row r="5020" spans="1:5">
      <c r="A5020" s="2" t="s">
        <v>3274</v>
      </c>
      <c r="B5020" s="2" t="str">
        <f>"451135"</f>
        <v>451135</v>
      </c>
      <c r="C5020" s="2" t="str">
        <f>"451135"</f>
        <v>451135</v>
      </c>
      <c r="D5020" s="2" t="s">
        <v>6371</v>
      </c>
      <c r="E5020" s="4">
        <v>6500</v>
      </c>
    </row>
    <row r="5021" spans="1:5">
      <c r="A5021" s="2" t="s">
        <v>3274</v>
      </c>
      <c r="B5021" s="2" t="s">
        <v>6372</v>
      </c>
      <c r="C5021" s="2" t="s">
        <v>6372</v>
      </c>
      <c r="D5021" s="2" t="s">
        <v>6373</v>
      </c>
      <c r="E5021" s="4">
        <v>4800</v>
      </c>
    </row>
    <row r="5022" spans="1:5">
      <c r="A5022" s="2" t="s">
        <v>3274</v>
      </c>
      <c r="B5022" s="2" t="str">
        <f>"451548"</f>
        <v>451548</v>
      </c>
      <c r="C5022" s="2" t="str">
        <f>"451548"</f>
        <v>451548</v>
      </c>
      <c r="D5022" s="2" t="s">
        <v>6374</v>
      </c>
      <c r="E5022" s="4">
        <v>4800</v>
      </c>
    </row>
    <row r="5023" spans="1:5">
      <c r="A5023" s="2" t="s">
        <v>3274</v>
      </c>
      <c r="B5023" s="2" t="str">
        <f>"451630"</f>
        <v>451630</v>
      </c>
      <c r="C5023" s="2" t="str">
        <f>"451630"</f>
        <v>451630</v>
      </c>
      <c r="D5023" s="2" t="s">
        <v>6375</v>
      </c>
      <c r="E5023" s="4">
        <v>4300</v>
      </c>
    </row>
    <row r="5024" spans="1:5">
      <c r="A5024" s="2" t="s">
        <v>3274</v>
      </c>
      <c r="B5024" s="2" t="s">
        <v>6376</v>
      </c>
      <c r="C5024" s="2" t="s">
        <v>6376</v>
      </c>
      <c r="D5024" s="2" t="s">
        <v>6377</v>
      </c>
      <c r="E5024" s="4">
        <v>6600</v>
      </c>
    </row>
    <row r="5025" spans="1:5">
      <c r="A5025" s="2" t="s">
        <v>3274</v>
      </c>
      <c r="B5025" s="2" t="s">
        <v>6378</v>
      </c>
      <c r="C5025" s="2" t="s">
        <v>6378</v>
      </c>
      <c r="D5025" s="2" t="s">
        <v>6379</v>
      </c>
      <c r="E5025" s="4">
        <v>4400</v>
      </c>
    </row>
    <row r="5026" spans="1:5">
      <c r="A5026" s="2" t="s">
        <v>3274</v>
      </c>
      <c r="B5026" s="2" t="str">
        <f>"451523"</f>
        <v>451523</v>
      </c>
      <c r="C5026" s="2" t="str">
        <f>"451523"</f>
        <v>451523</v>
      </c>
      <c r="D5026" s="2" t="s">
        <v>6380</v>
      </c>
      <c r="E5026" s="4">
        <v>3500</v>
      </c>
    </row>
    <row r="5027" spans="1:5">
      <c r="A5027" s="2" t="s">
        <v>3274</v>
      </c>
      <c r="B5027" s="2" t="str">
        <f>"451568"</f>
        <v>451568</v>
      </c>
      <c r="C5027" s="2" t="str">
        <f>"451568"</f>
        <v>451568</v>
      </c>
      <c r="D5027" s="2" t="s">
        <v>6381</v>
      </c>
      <c r="E5027" s="4">
        <v>6100</v>
      </c>
    </row>
    <row r="5028" spans="1:5">
      <c r="A5028" s="2" t="s">
        <v>3274</v>
      </c>
      <c r="B5028" s="2" t="s">
        <v>6382</v>
      </c>
      <c r="C5028" s="2" t="s">
        <v>6382</v>
      </c>
      <c r="D5028" s="2" t="s">
        <v>6383</v>
      </c>
      <c r="E5028" s="4">
        <v>6800</v>
      </c>
    </row>
    <row r="5029" spans="1:5">
      <c r="A5029" s="2" t="s">
        <v>3274</v>
      </c>
      <c r="B5029" s="2" t="s">
        <v>6384</v>
      </c>
      <c r="C5029" s="2" t="s">
        <v>6384</v>
      </c>
      <c r="D5029" s="2" t="s">
        <v>6385</v>
      </c>
      <c r="E5029" s="4">
        <v>4300</v>
      </c>
    </row>
    <row r="5030" spans="1:5">
      <c r="A5030" s="2" t="s">
        <v>3274</v>
      </c>
      <c r="B5030" s="2" t="s">
        <v>6386</v>
      </c>
      <c r="C5030" s="2" t="s">
        <v>6386</v>
      </c>
      <c r="D5030" s="2" t="s">
        <v>6387</v>
      </c>
      <c r="E5030" s="4">
        <v>5800</v>
      </c>
    </row>
    <row r="5031" spans="1:5">
      <c r="A5031" s="2" t="s">
        <v>3274</v>
      </c>
      <c r="B5031" s="2" t="s">
        <v>6388</v>
      </c>
      <c r="C5031" s="2" t="s">
        <v>6388</v>
      </c>
      <c r="D5031" s="2" t="s">
        <v>6389</v>
      </c>
      <c r="E5031" s="4">
        <v>6800</v>
      </c>
    </row>
    <row r="5032" spans="1:5">
      <c r="A5032" s="2" t="s">
        <v>3274</v>
      </c>
      <c r="B5032" s="2" t="str">
        <f>"451393"</f>
        <v>451393</v>
      </c>
      <c r="C5032" s="2" t="str">
        <f>"451393"</f>
        <v>451393</v>
      </c>
      <c r="D5032" s="2" t="s">
        <v>6390</v>
      </c>
      <c r="E5032" s="4">
        <v>4300</v>
      </c>
    </row>
    <row r="5033" spans="1:5">
      <c r="A5033" s="2" t="s">
        <v>3274</v>
      </c>
      <c r="B5033" s="2" t="s">
        <v>6391</v>
      </c>
      <c r="C5033" s="2" t="s">
        <v>6391</v>
      </c>
      <c r="D5033" s="2" t="s">
        <v>6392</v>
      </c>
      <c r="E5033" s="4">
        <v>3800</v>
      </c>
    </row>
    <row r="5034" spans="1:5">
      <c r="A5034" s="2" t="s">
        <v>3274</v>
      </c>
      <c r="B5034" s="2" t="s">
        <v>6393</v>
      </c>
      <c r="C5034" s="2" t="s">
        <v>6393</v>
      </c>
      <c r="D5034" s="2" t="s">
        <v>6394</v>
      </c>
      <c r="E5034" s="4">
        <v>2800</v>
      </c>
    </row>
    <row r="5035" spans="1:5">
      <c r="A5035" s="2" t="s">
        <v>3274</v>
      </c>
      <c r="B5035" s="2" t="s">
        <v>6395</v>
      </c>
      <c r="C5035" s="2" t="s">
        <v>6395</v>
      </c>
      <c r="D5035" s="2" t="s">
        <v>6396</v>
      </c>
      <c r="E5035" s="4">
        <v>2500</v>
      </c>
    </row>
    <row r="5036" spans="1:5">
      <c r="A5036" s="2" t="s">
        <v>3274</v>
      </c>
      <c r="B5036" s="2" t="str">
        <f>"060820190"</f>
        <v>060820190</v>
      </c>
      <c r="C5036" s="2" t="str">
        <f>"060820190"</f>
        <v>060820190</v>
      </c>
      <c r="D5036" s="2" t="s">
        <v>6397</v>
      </c>
      <c r="E5036" s="4">
        <v>4300</v>
      </c>
    </row>
    <row r="5037" spans="1:5">
      <c r="A5037" s="2" t="s">
        <v>3274</v>
      </c>
      <c r="B5037" s="2" t="str">
        <f>"312640"</f>
        <v>312640</v>
      </c>
      <c r="C5037" s="2" t="str">
        <f>"312640"</f>
        <v>312640</v>
      </c>
      <c r="D5037" s="2" t="s">
        <v>6398</v>
      </c>
      <c r="E5037" s="4">
        <v>6100</v>
      </c>
    </row>
    <row r="5038" spans="1:5">
      <c r="A5038" s="2" t="s">
        <v>3274</v>
      </c>
      <c r="B5038" s="2" t="str">
        <f>"451242"</f>
        <v>451242</v>
      </c>
      <c r="C5038" s="2" t="str">
        <f>"451242"</f>
        <v>451242</v>
      </c>
      <c r="D5038" s="2" t="s">
        <v>6399</v>
      </c>
      <c r="E5038" s="4">
        <v>5400</v>
      </c>
    </row>
    <row r="5039" spans="1:5">
      <c r="A5039" s="2" t="s">
        <v>3274</v>
      </c>
      <c r="B5039" s="2" t="str">
        <f>"060820140"</f>
        <v>060820140</v>
      </c>
      <c r="C5039" s="2" t="str">
        <f>"060820140"</f>
        <v>060820140</v>
      </c>
      <c r="D5039" s="2" t="s">
        <v>6400</v>
      </c>
      <c r="E5039" s="4">
        <v>6500</v>
      </c>
    </row>
    <row r="5040" spans="1:5">
      <c r="A5040" s="2" t="s">
        <v>3274</v>
      </c>
      <c r="B5040" s="2" t="str">
        <f>"450437"</f>
        <v>450437</v>
      </c>
      <c r="C5040" s="2" t="str">
        <f>"450437"</f>
        <v>450437</v>
      </c>
      <c r="D5040" s="2" t="s">
        <v>6401</v>
      </c>
      <c r="E5040" s="4">
        <v>7400</v>
      </c>
    </row>
    <row r="5041" spans="1:5">
      <c r="A5041" s="2" t="s">
        <v>3274</v>
      </c>
      <c r="B5041" s="2" t="s">
        <v>6402</v>
      </c>
      <c r="C5041" s="2" t="s">
        <v>6402</v>
      </c>
      <c r="D5041" s="2" t="s">
        <v>6403</v>
      </c>
      <c r="E5041" s="4">
        <v>3900</v>
      </c>
    </row>
    <row r="5042" spans="1:5">
      <c r="A5042" s="2" t="s">
        <v>3274</v>
      </c>
      <c r="B5042" s="2" t="s">
        <v>6404</v>
      </c>
      <c r="C5042" s="2" t="s">
        <v>6404</v>
      </c>
      <c r="D5042" s="2" t="s">
        <v>6405</v>
      </c>
      <c r="E5042" s="4">
        <v>6700</v>
      </c>
    </row>
    <row r="5043" spans="1:5">
      <c r="A5043" s="2" t="s">
        <v>3274</v>
      </c>
      <c r="B5043" s="2" t="s">
        <v>6406</v>
      </c>
      <c r="C5043" s="2" t="s">
        <v>6406</v>
      </c>
      <c r="D5043" s="2" t="s">
        <v>6407</v>
      </c>
      <c r="E5043" s="4">
        <v>8400</v>
      </c>
    </row>
    <row r="5044" spans="1:5">
      <c r="A5044" s="2" t="s">
        <v>3274</v>
      </c>
      <c r="B5044" s="2" t="s">
        <v>6408</v>
      </c>
      <c r="C5044" s="2" t="s">
        <v>6408</v>
      </c>
      <c r="D5044" s="2" t="s">
        <v>6409</v>
      </c>
      <c r="E5044" s="4">
        <v>4200</v>
      </c>
    </row>
    <row r="5045" spans="1:5">
      <c r="A5045" s="2" t="s">
        <v>3274</v>
      </c>
      <c r="B5045" s="2" t="str">
        <f>"010425"</f>
        <v>010425</v>
      </c>
      <c r="C5045" s="2" t="str">
        <f>"010425"</f>
        <v>010425</v>
      </c>
      <c r="D5045" s="2" t="s">
        <v>6410</v>
      </c>
      <c r="E5045" s="4">
        <v>12400</v>
      </c>
    </row>
    <row r="5046" spans="1:5">
      <c r="A5046" s="2" t="s">
        <v>3274</v>
      </c>
      <c r="B5046" s="2" t="str">
        <f>"03-00066921"</f>
        <v>03-00066921</v>
      </c>
      <c r="C5046" s="2" t="str">
        <f>"03-00066921"</f>
        <v>03-00066921</v>
      </c>
      <c r="D5046" s="2" t="s">
        <v>6411</v>
      </c>
      <c r="E5046" s="4">
        <v>52000</v>
      </c>
    </row>
    <row r="5047" spans="1:5">
      <c r="A5047" s="2" t="s">
        <v>3274</v>
      </c>
      <c r="B5047" s="2" t="str">
        <f>"0200295"</f>
        <v>0200295</v>
      </c>
      <c r="C5047" s="2" t="str">
        <f>"0200295"</f>
        <v>0200295</v>
      </c>
      <c r="D5047" s="2" t="s">
        <v>6412</v>
      </c>
      <c r="E5047" s="4">
        <v>1000</v>
      </c>
    </row>
    <row r="5048" spans="1:5">
      <c r="A5048" s="2" t="s">
        <v>3274</v>
      </c>
      <c r="B5048" s="2" t="str">
        <f>"670607"</f>
        <v>670607</v>
      </c>
      <c r="C5048" s="2" t="str">
        <f>"670607"</f>
        <v>670607</v>
      </c>
      <c r="D5048" s="2" t="s">
        <v>6413</v>
      </c>
      <c r="E5048" s="4">
        <v>6500</v>
      </c>
    </row>
    <row r="5049" spans="1:5">
      <c r="A5049" s="2" t="s">
        <v>3274</v>
      </c>
      <c r="B5049" s="2" t="str">
        <f>"02003553"</f>
        <v>02003553</v>
      </c>
      <c r="C5049" s="2" t="str">
        <f>"02003553"</f>
        <v>02003553</v>
      </c>
      <c r="D5049" s="2" t="s">
        <v>6414</v>
      </c>
      <c r="E5049" s="4">
        <v>3200</v>
      </c>
    </row>
    <row r="5050" spans="1:5">
      <c r="A5050" s="2" t="s">
        <v>3274</v>
      </c>
      <c r="B5050" s="2" t="s">
        <v>6415</v>
      </c>
      <c r="C5050" s="2" t="s">
        <v>6415</v>
      </c>
      <c r="D5050" s="2" t="s">
        <v>6416</v>
      </c>
      <c r="E5050" s="4">
        <v>7100</v>
      </c>
    </row>
    <row r="5051" spans="1:5">
      <c r="A5051" s="2" t="s">
        <v>3274</v>
      </c>
      <c r="B5051" s="2" t="str">
        <f>"248092"</f>
        <v>248092</v>
      </c>
      <c r="C5051" s="2" t="str">
        <f>"248092"</f>
        <v>248092</v>
      </c>
      <c r="D5051" s="2" t="s">
        <v>6417</v>
      </c>
      <c r="E5051" s="4">
        <v>6500</v>
      </c>
    </row>
    <row r="5052" spans="1:5">
      <c r="A5052" s="2" t="s">
        <v>3274</v>
      </c>
      <c r="B5052" s="2" t="s">
        <v>6418</v>
      </c>
      <c r="C5052" s="2" t="s">
        <v>6418</v>
      </c>
      <c r="D5052" s="2" t="s">
        <v>6419</v>
      </c>
      <c r="E5052" s="4">
        <v>6800</v>
      </c>
    </row>
    <row r="5053" spans="1:5">
      <c r="A5053" s="2" t="s">
        <v>3274</v>
      </c>
      <c r="B5053" s="2" t="str">
        <f>"012736"</f>
        <v>012736</v>
      </c>
      <c r="C5053" s="2" t="str">
        <f>"012736"</f>
        <v>012736</v>
      </c>
      <c r="D5053" s="2" t="s">
        <v>6420</v>
      </c>
      <c r="E5053" s="4">
        <v>4300</v>
      </c>
    </row>
    <row r="5054" spans="1:5">
      <c r="A5054" s="2" t="s">
        <v>3274</v>
      </c>
      <c r="B5054" s="2" t="str">
        <f>"0200366"</f>
        <v>0200366</v>
      </c>
      <c r="C5054" s="2" t="str">
        <f>"0200366"</f>
        <v>0200366</v>
      </c>
      <c r="D5054" s="2" t="s">
        <v>6421</v>
      </c>
      <c r="E5054" s="4">
        <v>2500</v>
      </c>
    </row>
    <row r="5055" spans="1:5">
      <c r="A5055" s="2" t="s">
        <v>3274</v>
      </c>
      <c r="B5055" s="2" t="str">
        <f>"302234"</f>
        <v>302234</v>
      </c>
      <c r="C5055" s="2" t="str">
        <f>"302234"</f>
        <v>302234</v>
      </c>
      <c r="D5055" s="2" t="s">
        <v>6422</v>
      </c>
      <c r="E5055" s="4">
        <v>5200</v>
      </c>
    </row>
    <row r="5056" spans="1:5">
      <c r="A5056" s="2" t="s">
        <v>3274</v>
      </c>
      <c r="B5056" s="2" t="str">
        <f>"02003665"</f>
        <v>02003665</v>
      </c>
      <c r="C5056" s="2" t="str">
        <f>"02003665"</f>
        <v>02003665</v>
      </c>
      <c r="D5056" s="2" t="s">
        <v>6423</v>
      </c>
      <c r="E5056" s="4">
        <v>6800</v>
      </c>
    </row>
    <row r="5057" spans="1:5">
      <c r="A5057" s="2" t="s">
        <v>3274</v>
      </c>
      <c r="B5057" s="2" t="s">
        <v>6424</v>
      </c>
      <c r="C5057" s="2" t="s">
        <v>6424</v>
      </c>
      <c r="D5057" s="2" t="s">
        <v>6425</v>
      </c>
      <c r="E5057" s="4">
        <v>5200</v>
      </c>
    </row>
    <row r="5058" spans="1:5">
      <c r="A5058" s="2" t="s">
        <v>3274</v>
      </c>
      <c r="B5058" s="2" t="str">
        <f>"670247"</f>
        <v>670247</v>
      </c>
      <c r="C5058" s="2" t="str">
        <f>"670247"</f>
        <v>670247</v>
      </c>
      <c r="D5058" s="2" t="s">
        <v>6426</v>
      </c>
      <c r="E5058" s="4">
        <v>5100</v>
      </c>
    </row>
    <row r="5059" spans="1:5">
      <c r="A5059" s="2" t="s">
        <v>3274</v>
      </c>
      <c r="B5059" s="2" t="str">
        <f>"248096"</f>
        <v>248096</v>
      </c>
      <c r="C5059" s="2" t="str">
        <f>"248096"</f>
        <v>248096</v>
      </c>
      <c r="D5059" s="2" t="s">
        <v>6427</v>
      </c>
      <c r="E5059" s="4">
        <v>5200</v>
      </c>
    </row>
    <row r="5060" spans="1:5">
      <c r="A5060" s="2" t="s">
        <v>3274</v>
      </c>
      <c r="B5060" s="2" t="str">
        <f>"670656"</f>
        <v>670656</v>
      </c>
      <c r="C5060" s="2" t="str">
        <f>"670656"</f>
        <v>670656</v>
      </c>
      <c r="D5060" s="2" t="s">
        <v>6428</v>
      </c>
      <c r="E5060" s="4">
        <v>7500</v>
      </c>
    </row>
    <row r="5061" spans="1:5">
      <c r="A5061" s="2" t="s">
        <v>3274</v>
      </c>
      <c r="B5061" s="2" t="str">
        <f>"670640"</f>
        <v>670640</v>
      </c>
      <c r="C5061" s="2" t="str">
        <f>"670640"</f>
        <v>670640</v>
      </c>
      <c r="D5061" s="2" t="s">
        <v>6429</v>
      </c>
      <c r="E5061" s="4">
        <v>7800</v>
      </c>
    </row>
    <row r="5062" spans="1:5">
      <c r="A5062" s="2" t="s">
        <v>3274</v>
      </c>
      <c r="B5062" s="2" t="str">
        <f>"247765"</f>
        <v>247765</v>
      </c>
      <c r="C5062" s="2" t="str">
        <f>"247765"</f>
        <v>247765</v>
      </c>
      <c r="D5062" s="2" t="s">
        <v>6430</v>
      </c>
      <c r="E5062" s="4">
        <v>4300</v>
      </c>
    </row>
    <row r="5063" spans="1:5">
      <c r="A5063" s="2" t="s">
        <v>3274</v>
      </c>
      <c r="B5063" s="2" t="s">
        <v>6431</v>
      </c>
      <c r="C5063" s="2" t="s">
        <v>6431</v>
      </c>
      <c r="D5063" s="2" t="s">
        <v>6432</v>
      </c>
      <c r="E5063" s="4">
        <v>3800</v>
      </c>
    </row>
    <row r="5064" spans="1:5">
      <c r="A5064" s="2" t="s">
        <v>3274</v>
      </c>
      <c r="B5064" s="2" t="s">
        <v>6433</v>
      </c>
      <c r="C5064" s="2" t="s">
        <v>6433</v>
      </c>
      <c r="D5064" s="2" t="s">
        <v>6434</v>
      </c>
      <c r="E5064" s="4">
        <v>3900</v>
      </c>
    </row>
    <row r="5065" spans="1:5">
      <c r="A5065" s="2" t="s">
        <v>3274</v>
      </c>
      <c r="B5065" s="2" t="str">
        <f>"060820921"</f>
        <v>060820921</v>
      </c>
      <c r="C5065" s="2" t="str">
        <f>"060820921"</f>
        <v>060820921</v>
      </c>
      <c r="D5065" s="2" t="s">
        <v>6435</v>
      </c>
      <c r="E5065" s="4">
        <v>5700</v>
      </c>
    </row>
    <row r="5066" spans="1:5">
      <c r="A5066" s="2" t="s">
        <v>3274</v>
      </c>
      <c r="B5066" s="2" t="str">
        <f>"010791"</f>
        <v>010791</v>
      </c>
      <c r="C5066" s="2" t="str">
        <f>"1444053582"</f>
        <v>1444053582</v>
      </c>
      <c r="D5066" s="2" t="s">
        <v>6436</v>
      </c>
      <c r="E5066" s="4">
        <v>14200</v>
      </c>
    </row>
    <row r="5067" spans="1:5">
      <c r="A5067" s="2" t="s">
        <v>3274</v>
      </c>
      <c r="B5067" s="2" t="str">
        <f>"004752"</f>
        <v>004752</v>
      </c>
      <c r="C5067" s="2" t="str">
        <f>"004752"</f>
        <v>004752</v>
      </c>
      <c r="D5067" s="2" t="s">
        <v>6437</v>
      </c>
      <c r="E5067" s="4">
        <v>8800</v>
      </c>
    </row>
    <row r="5068" spans="1:5">
      <c r="A5068" s="2" t="s">
        <v>3274</v>
      </c>
      <c r="B5068" s="2" t="str">
        <f>"312344"</f>
        <v>312344</v>
      </c>
      <c r="C5068" s="2" t="str">
        <f>"312344"</f>
        <v>312344</v>
      </c>
      <c r="D5068" s="2" t="s">
        <v>6438</v>
      </c>
      <c r="E5068" s="4">
        <v>16000</v>
      </c>
    </row>
    <row r="5069" spans="1:5">
      <c r="A5069" s="2" t="s">
        <v>3274</v>
      </c>
      <c r="B5069" s="2" t="s">
        <v>6439</v>
      </c>
      <c r="C5069" s="2" t="s">
        <v>6439</v>
      </c>
      <c r="D5069" s="2" t="s">
        <v>6440</v>
      </c>
      <c r="E5069" s="4">
        <v>12900</v>
      </c>
    </row>
    <row r="5070" spans="1:5">
      <c r="A5070" s="2" t="s">
        <v>3274</v>
      </c>
      <c r="B5070" s="2" t="str">
        <f>"004942"</f>
        <v>004942</v>
      </c>
      <c r="C5070" s="2" t="str">
        <f>"004942"</f>
        <v>004942</v>
      </c>
      <c r="D5070" s="2" t="s">
        <v>6441</v>
      </c>
      <c r="E5070" s="4">
        <v>10000</v>
      </c>
    </row>
    <row r="5071" spans="1:5">
      <c r="A5071" s="2" t="s">
        <v>3274</v>
      </c>
      <c r="B5071" s="2" t="str">
        <f>"0027772"</f>
        <v>0027772</v>
      </c>
      <c r="C5071" s="2" t="str">
        <f>"0027772"</f>
        <v>0027772</v>
      </c>
      <c r="D5071" s="2" t="s">
        <v>6442</v>
      </c>
      <c r="E5071" s="4">
        <v>4300</v>
      </c>
    </row>
    <row r="5072" spans="1:5">
      <c r="A5072" s="2" t="s">
        <v>3274</v>
      </c>
      <c r="B5072" s="2" t="str">
        <f>"650609"</f>
        <v>650609</v>
      </c>
      <c r="C5072" s="2" t="str">
        <f>"650609"</f>
        <v>650609</v>
      </c>
      <c r="D5072" s="2" t="s">
        <v>6443</v>
      </c>
      <c r="E5072" s="4">
        <v>9600</v>
      </c>
    </row>
    <row r="5073" spans="1:5">
      <c r="A5073" s="2" t="s">
        <v>3274</v>
      </c>
      <c r="B5073" s="2" t="s">
        <v>6444</v>
      </c>
      <c r="C5073" s="2" t="s">
        <v>6445</v>
      </c>
      <c r="D5073" s="2" t="s">
        <v>6446</v>
      </c>
      <c r="E5073" s="4">
        <v>3900</v>
      </c>
    </row>
    <row r="5074" spans="1:5">
      <c r="A5074" s="2" t="s">
        <v>3274</v>
      </c>
      <c r="B5074" s="2" t="str">
        <f>"0009570"</f>
        <v>0009570</v>
      </c>
      <c r="C5074" s="2" t="str">
        <f>"060820915"</f>
        <v>060820915</v>
      </c>
      <c r="D5074" s="2" t="s">
        <v>6447</v>
      </c>
      <c r="E5074" s="4">
        <v>3800</v>
      </c>
    </row>
    <row r="5075" spans="1:5">
      <c r="A5075" s="2" t="s">
        <v>3274</v>
      </c>
      <c r="B5075" s="2" t="str">
        <f>"0027773"</f>
        <v>0027773</v>
      </c>
      <c r="C5075" s="2" t="str">
        <f>"0027773"</f>
        <v>0027773</v>
      </c>
      <c r="D5075" s="2" t="s">
        <v>6448</v>
      </c>
      <c r="E5075" s="4">
        <v>4300</v>
      </c>
    </row>
    <row r="5076" spans="1:5">
      <c r="A5076" s="2" t="s">
        <v>3274</v>
      </c>
      <c r="B5076" s="2" t="s">
        <v>6449</v>
      </c>
      <c r="C5076" s="2" t="s">
        <v>6449</v>
      </c>
      <c r="D5076" s="2" t="s">
        <v>6450</v>
      </c>
      <c r="E5076" s="4">
        <v>4900</v>
      </c>
    </row>
    <row r="5077" spans="1:5">
      <c r="A5077" s="2" t="s">
        <v>3274</v>
      </c>
      <c r="B5077" s="2" t="str">
        <f>"010768"</f>
        <v>010768</v>
      </c>
      <c r="C5077" s="2" t="str">
        <f>"010768 0017808"</f>
        <v>010768 0017808</v>
      </c>
      <c r="D5077" s="2" t="s">
        <v>6451</v>
      </c>
      <c r="E5077" s="4">
        <v>3400</v>
      </c>
    </row>
    <row r="5078" spans="1:5">
      <c r="A5078" s="2" t="s">
        <v>3274</v>
      </c>
      <c r="B5078" s="2" t="str">
        <f>"0027776"</f>
        <v>0027776</v>
      </c>
      <c r="C5078" s="2" t="str">
        <f>"0027776"</f>
        <v>0027776</v>
      </c>
      <c r="D5078" s="2" t="s">
        <v>6452</v>
      </c>
      <c r="E5078" s="4">
        <v>4300</v>
      </c>
    </row>
    <row r="5079" spans="1:5">
      <c r="A5079" s="2" t="s">
        <v>3274</v>
      </c>
      <c r="B5079" s="2" t="str">
        <f>"060821039"</f>
        <v>060821039</v>
      </c>
      <c r="C5079" s="2" t="str">
        <f>"060821039"</f>
        <v>060821039</v>
      </c>
      <c r="D5079" s="2" t="s">
        <v>6453</v>
      </c>
      <c r="E5079" s="4">
        <v>3800</v>
      </c>
    </row>
    <row r="5080" spans="1:5">
      <c r="A5080" s="2" t="s">
        <v>3274</v>
      </c>
      <c r="B5080" s="2" t="str">
        <f>"0012152"</f>
        <v>0012152</v>
      </c>
      <c r="C5080" s="2" t="str">
        <f>"0012152"</f>
        <v>0012152</v>
      </c>
      <c r="D5080" s="2" t="s">
        <v>6454</v>
      </c>
      <c r="E5080" s="4">
        <v>3800</v>
      </c>
    </row>
    <row r="5081" spans="1:5">
      <c r="A5081" s="2" t="s">
        <v>3274</v>
      </c>
      <c r="B5081" s="2" t="str">
        <f>"003833"</f>
        <v>003833</v>
      </c>
      <c r="C5081" s="2" t="str">
        <f>"003833"</f>
        <v>003833</v>
      </c>
      <c r="D5081" s="2" t="s">
        <v>6455</v>
      </c>
      <c r="E5081" s="4">
        <v>4300</v>
      </c>
    </row>
    <row r="5082" spans="1:5">
      <c r="A5082" s="2" t="s">
        <v>3274</v>
      </c>
      <c r="B5082" s="2" t="str">
        <f>"060821047"</f>
        <v>060821047</v>
      </c>
      <c r="C5082" s="2" t="str">
        <f>"060821047"</f>
        <v>060821047</v>
      </c>
      <c r="D5082" s="2" t="s">
        <v>6456</v>
      </c>
      <c r="E5082" s="4">
        <v>4300</v>
      </c>
    </row>
    <row r="5083" spans="1:5">
      <c r="A5083" s="2" t="s">
        <v>3274</v>
      </c>
      <c r="B5083" s="2" t="str">
        <f>"010464"</f>
        <v>010464</v>
      </c>
      <c r="C5083" s="2" t="str">
        <f>"010464"</f>
        <v>010464</v>
      </c>
      <c r="D5083" s="2" t="s">
        <v>6457</v>
      </c>
      <c r="E5083" s="4">
        <v>4300</v>
      </c>
    </row>
    <row r="5084" spans="1:5">
      <c r="A5084" s="2" t="s">
        <v>3274</v>
      </c>
      <c r="B5084" s="2" t="s">
        <v>6458</v>
      </c>
      <c r="C5084" s="2" t="s">
        <v>6458</v>
      </c>
      <c r="D5084" s="2" t="s">
        <v>6459</v>
      </c>
      <c r="E5084" s="4">
        <v>2500</v>
      </c>
    </row>
    <row r="5085" spans="1:5">
      <c r="A5085" s="2" t="s">
        <v>3274</v>
      </c>
      <c r="B5085" s="2" t="str">
        <f>"010754"</f>
        <v>010754</v>
      </c>
      <c r="C5085" s="2" t="str">
        <f>"010754"</f>
        <v>010754</v>
      </c>
      <c r="D5085" s="2" t="s">
        <v>6460</v>
      </c>
      <c r="E5085" s="4">
        <v>16000</v>
      </c>
    </row>
    <row r="5086" spans="1:5">
      <c r="A5086" s="2" t="s">
        <v>3274</v>
      </c>
      <c r="B5086" s="2" t="str">
        <f>"650614"</f>
        <v>650614</v>
      </c>
      <c r="C5086" s="2" t="str">
        <f>"650614"</f>
        <v>650614</v>
      </c>
      <c r="D5086" s="2" t="s">
        <v>6461</v>
      </c>
      <c r="E5086" s="4">
        <v>6200</v>
      </c>
    </row>
    <row r="5087" spans="1:5">
      <c r="A5087" s="2" t="s">
        <v>3274</v>
      </c>
      <c r="B5087" s="2" t="s">
        <v>6462</v>
      </c>
      <c r="C5087" s="2" t="s">
        <v>6462</v>
      </c>
      <c r="D5087" s="2" t="s">
        <v>6463</v>
      </c>
      <c r="E5087" s="4">
        <v>5600</v>
      </c>
    </row>
    <row r="5088" spans="1:5">
      <c r="A5088" s="2" t="s">
        <v>3274</v>
      </c>
      <c r="B5088" s="2" t="s">
        <v>6464</v>
      </c>
      <c r="C5088" s="2" t="s">
        <v>6465</v>
      </c>
      <c r="D5088" s="2" t="s">
        <v>6466</v>
      </c>
      <c r="E5088" s="4">
        <v>3400</v>
      </c>
    </row>
    <row r="5089" spans="1:5">
      <c r="A5089" s="2" t="s">
        <v>3274</v>
      </c>
      <c r="B5089" s="2" t="str">
        <f>"311986"</f>
        <v>311986</v>
      </c>
      <c r="C5089" s="2" t="str">
        <f>"311986"</f>
        <v>311986</v>
      </c>
      <c r="D5089" s="2" t="s">
        <v>6467</v>
      </c>
      <c r="E5089" s="4">
        <v>5200</v>
      </c>
    </row>
    <row r="5090" spans="1:5">
      <c r="A5090" s="2" t="s">
        <v>3274</v>
      </c>
      <c r="B5090" s="2" t="str">
        <f>"060820896"</f>
        <v>060820896</v>
      </c>
      <c r="C5090" s="2" t="str">
        <f>"060820896"</f>
        <v>060820896</v>
      </c>
      <c r="D5090" s="2" t="s">
        <v>6468</v>
      </c>
      <c r="E5090" s="4">
        <v>3400</v>
      </c>
    </row>
    <row r="5091" spans="1:5">
      <c r="A5091" s="2" t="s">
        <v>3274</v>
      </c>
      <c r="B5091" s="2" t="str">
        <f>"0012150"</f>
        <v>0012150</v>
      </c>
      <c r="C5091" s="2" t="str">
        <f>"0012150"</f>
        <v>0012150</v>
      </c>
      <c r="D5091" s="2" t="s">
        <v>6469</v>
      </c>
      <c r="E5091" s="4">
        <v>3400</v>
      </c>
    </row>
    <row r="5092" spans="1:5">
      <c r="A5092" s="2" t="s">
        <v>3274</v>
      </c>
      <c r="B5092" s="2" t="str">
        <f>"060820210"</f>
        <v>060820210</v>
      </c>
      <c r="C5092" s="2" t="str">
        <f>"060820210"</f>
        <v>060820210</v>
      </c>
      <c r="D5092" s="2" t="s">
        <v>6470</v>
      </c>
      <c r="E5092" s="4">
        <v>3400</v>
      </c>
    </row>
    <row r="5093" spans="1:5">
      <c r="A5093" s="2" t="s">
        <v>3274</v>
      </c>
      <c r="B5093" s="2" t="str">
        <f>"060820931"</f>
        <v>060820931</v>
      </c>
      <c r="C5093" s="2" t="str">
        <f>"060820931"</f>
        <v>060820931</v>
      </c>
      <c r="D5093" s="2" t="s">
        <v>6471</v>
      </c>
      <c r="E5093" s="4">
        <v>3400</v>
      </c>
    </row>
    <row r="5094" spans="1:5">
      <c r="A5094" s="2" t="s">
        <v>3274</v>
      </c>
      <c r="B5094" s="2" t="str">
        <f>"060820503"</f>
        <v>060820503</v>
      </c>
      <c r="C5094" s="2" t="str">
        <f>"010961"</f>
        <v>010961</v>
      </c>
      <c r="D5094" s="2" t="s">
        <v>6472</v>
      </c>
      <c r="E5094" s="4">
        <v>4300</v>
      </c>
    </row>
    <row r="5095" spans="1:5">
      <c r="A5095" s="2" t="s">
        <v>3274</v>
      </c>
      <c r="B5095" s="2" t="str">
        <f>"0031307"</f>
        <v>0031307</v>
      </c>
      <c r="C5095" s="2" t="str">
        <f>"0031307"</f>
        <v>0031307</v>
      </c>
      <c r="D5095" s="2" t="s">
        <v>6473</v>
      </c>
      <c r="E5095" s="4">
        <v>5200</v>
      </c>
    </row>
    <row r="5096" spans="1:5">
      <c r="A5096" s="2" t="s">
        <v>3274</v>
      </c>
      <c r="B5096" s="2" t="str">
        <f>"0033972"</f>
        <v>0033972</v>
      </c>
      <c r="C5096" s="2" t="str">
        <f>"0033972"</f>
        <v>0033972</v>
      </c>
      <c r="D5096" s="2" t="s">
        <v>6474</v>
      </c>
      <c r="E5096" s="4">
        <v>6100</v>
      </c>
    </row>
    <row r="5097" spans="1:5">
      <c r="A5097" s="2" t="s">
        <v>3274</v>
      </c>
      <c r="B5097" s="2" t="str">
        <f>"0033963"</f>
        <v>0033963</v>
      </c>
      <c r="C5097" s="2" t="str">
        <f>"0033963"</f>
        <v>0033963</v>
      </c>
      <c r="D5097" s="2" t="s">
        <v>6475</v>
      </c>
      <c r="E5097" s="4">
        <v>5200</v>
      </c>
    </row>
    <row r="5098" spans="1:5">
      <c r="A5098" s="2" t="s">
        <v>3274</v>
      </c>
      <c r="B5098" s="2" t="str">
        <f>"23333-1"</f>
        <v>23333-1</v>
      </c>
      <c r="C5098" s="2" t="str">
        <f>"23333-1"</f>
        <v>23333-1</v>
      </c>
      <c r="D5098" s="2" t="s">
        <v>6476</v>
      </c>
      <c r="E5098" s="4">
        <v>5200</v>
      </c>
    </row>
    <row r="5099" spans="1:5">
      <c r="A5099" s="2" t="s">
        <v>3274</v>
      </c>
      <c r="B5099" s="2" t="str">
        <f>"060820806"</f>
        <v>060820806</v>
      </c>
      <c r="C5099" s="2" t="str">
        <f>"060820806"</f>
        <v>060820806</v>
      </c>
      <c r="D5099" s="2" t="s">
        <v>6477</v>
      </c>
      <c r="E5099" s="4">
        <v>4300</v>
      </c>
    </row>
    <row r="5100" spans="1:5">
      <c r="A5100" s="2" t="s">
        <v>3274</v>
      </c>
      <c r="B5100" s="2" t="str">
        <f>"060821446"</f>
        <v>060821446</v>
      </c>
      <c r="C5100" s="2" t="str">
        <f>"060821446"</f>
        <v>060821446</v>
      </c>
      <c r="D5100" s="2" t="s">
        <v>6478</v>
      </c>
      <c r="E5100" s="4">
        <v>4300</v>
      </c>
    </row>
    <row r="5101" spans="1:5">
      <c r="A5101" s="2" t="s">
        <v>3274</v>
      </c>
      <c r="B5101" s="2" t="str">
        <f>"0031304"</f>
        <v>0031304</v>
      </c>
      <c r="C5101" s="2" t="str">
        <f>"0031304"</f>
        <v>0031304</v>
      </c>
      <c r="D5101" s="2" t="s">
        <v>6479</v>
      </c>
      <c r="E5101" s="4">
        <v>5200</v>
      </c>
    </row>
    <row r="5102" spans="1:5">
      <c r="A5102" s="2" t="s">
        <v>3274</v>
      </c>
      <c r="B5102" s="2" t="str">
        <f>"071820008"</f>
        <v>071820008</v>
      </c>
      <c r="C5102" s="2" t="str">
        <f>"071820008"</f>
        <v>071820008</v>
      </c>
      <c r="D5102" s="2" t="s">
        <v>6480</v>
      </c>
      <c r="E5102" s="4">
        <v>2900</v>
      </c>
    </row>
    <row r="5103" spans="1:5">
      <c r="A5103" s="2" t="s">
        <v>3274</v>
      </c>
      <c r="B5103" s="2" t="str">
        <f>"060820082"</f>
        <v>060820082</v>
      </c>
      <c r="C5103" s="2" t="str">
        <f>"060820082"</f>
        <v>060820082</v>
      </c>
      <c r="D5103" s="2" t="s">
        <v>6481</v>
      </c>
      <c r="E5103" s="4">
        <v>2900</v>
      </c>
    </row>
    <row r="5104" spans="1:5">
      <c r="A5104" s="2" t="s">
        <v>3274</v>
      </c>
      <c r="B5104" s="2" t="str">
        <f>"060820087"</f>
        <v>060820087</v>
      </c>
      <c r="C5104" s="2" t="str">
        <f>"060820087"</f>
        <v>060820087</v>
      </c>
      <c r="D5104" s="2" t="s">
        <v>6482</v>
      </c>
      <c r="E5104" s="4">
        <v>2500</v>
      </c>
    </row>
    <row r="5105" spans="1:5">
      <c r="A5105" s="2" t="s">
        <v>3274</v>
      </c>
      <c r="B5105" s="2" t="str">
        <f>"6933236918815"</f>
        <v>6933236918815</v>
      </c>
      <c r="C5105" s="2" t="str">
        <f>"060820117"</f>
        <v>060820117</v>
      </c>
      <c r="D5105" s="2" t="s">
        <v>6483</v>
      </c>
      <c r="E5105" s="4">
        <v>2900</v>
      </c>
    </row>
    <row r="5106" spans="1:5">
      <c r="A5106" s="2" t="s">
        <v>3274</v>
      </c>
      <c r="B5106" s="2" t="str">
        <f>"670507"</f>
        <v>670507</v>
      </c>
      <c r="C5106" s="2" t="str">
        <f>"670507"</f>
        <v>670507</v>
      </c>
      <c r="D5106" s="2" t="s">
        <v>6484</v>
      </c>
      <c r="E5106" s="4">
        <v>4200</v>
      </c>
    </row>
    <row r="5107" spans="1:5">
      <c r="A5107" s="2" t="s">
        <v>3274</v>
      </c>
      <c r="B5107" s="2" t="str">
        <f>"670506"</f>
        <v>670506</v>
      </c>
      <c r="C5107" s="2" t="str">
        <f>"670506"</f>
        <v>670506</v>
      </c>
      <c r="D5107" s="2" t="s">
        <v>6485</v>
      </c>
      <c r="E5107" s="4">
        <v>4000</v>
      </c>
    </row>
    <row r="5108" spans="1:5">
      <c r="A5108" s="2" t="s">
        <v>3274</v>
      </c>
      <c r="B5108" s="2" t="str">
        <f>"670058"</f>
        <v>670058</v>
      </c>
      <c r="C5108" s="2" t="str">
        <f>"670058"</f>
        <v>670058</v>
      </c>
      <c r="D5108" s="2" t="s">
        <v>6486</v>
      </c>
      <c r="E5108" s="4">
        <v>3500</v>
      </c>
    </row>
    <row r="5109" spans="1:5">
      <c r="A5109" s="2" t="s">
        <v>3274</v>
      </c>
      <c r="B5109" s="2" t="str">
        <f>"670032"</f>
        <v>670032</v>
      </c>
      <c r="C5109" s="2" t="str">
        <f>"670032"</f>
        <v>670032</v>
      </c>
      <c r="D5109" s="2" t="s">
        <v>6487</v>
      </c>
      <c r="E5109" s="4">
        <v>6800</v>
      </c>
    </row>
    <row r="5110" spans="1:5">
      <c r="A5110" s="2" t="s">
        <v>3274</v>
      </c>
      <c r="B5110" s="2" t="s">
        <v>6488</v>
      </c>
      <c r="C5110" s="2" t="s">
        <v>6489</v>
      </c>
      <c r="D5110" s="2" t="s">
        <v>6490</v>
      </c>
      <c r="E5110" s="4">
        <v>4800</v>
      </c>
    </row>
    <row r="5111" spans="1:5">
      <c r="A5111" s="2" t="s">
        <v>3274</v>
      </c>
      <c r="B5111" s="2" t="s">
        <v>6491</v>
      </c>
      <c r="C5111" s="2" t="s">
        <v>6492</v>
      </c>
      <c r="D5111" s="2" t="s">
        <v>6493</v>
      </c>
      <c r="E5111" s="4">
        <v>9500</v>
      </c>
    </row>
    <row r="5112" spans="1:5">
      <c r="A5112" s="2" t="s">
        <v>3274</v>
      </c>
      <c r="B5112" s="2" t="s">
        <v>6494</v>
      </c>
      <c r="C5112" s="2" t="str">
        <f>"528109 92692"</f>
        <v>528109 92692</v>
      </c>
      <c r="D5112" s="2" t="s">
        <v>6495</v>
      </c>
      <c r="E5112" s="4">
        <v>17400</v>
      </c>
    </row>
    <row r="5113" spans="1:5">
      <c r="A5113" s="2" t="s">
        <v>3274</v>
      </c>
      <c r="B5113" s="2" t="str">
        <f>"00068475"</f>
        <v>00068475</v>
      </c>
      <c r="C5113" s="2" t="str">
        <f>"4884899AB MO-899"</f>
        <v>4884899AB MO-899</v>
      </c>
      <c r="D5113" s="2" t="s">
        <v>6496</v>
      </c>
      <c r="E5113" s="4">
        <v>12400</v>
      </c>
    </row>
    <row r="5114" spans="1:5">
      <c r="A5114" s="2" t="s">
        <v>3274</v>
      </c>
      <c r="B5114" s="2" t="str">
        <f>"00406017"</f>
        <v>00406017</v>
      </c>
      <c r="C5114" s="2" t="str">
        <f>"68079744AD"</f>
        <v>68079744AD</v>
      </c>
      <c r="D5114" s="2" t="s">
        <v>6497</v>
      </c>
      <c r="E5114" s="4">
        <v>13300</v>
      </c>
    </row>
    <row r="5115" spans="1:5">
      <c r="A5115" s="2" t="s">
        <v>3274</v>
      </c>
      <c r="B5115" s="2" t="str">
        <f>"010753"</f>
        <v>010753</v>
      </c>
      <c r="C5115" s="2" t="str">
        <f>"010753"</f>
        <v>010753</v>
      </c>
      <c r="D5115" s="2" t="s">
        <v>6498</v>
      </c>
      <c r="E5115" s="4">
        <v>5200</v>
      </c>
    </row>
    <row r="5116" spans="1:5">
      <c r="A5116" s="2" t="s">
        <v>3274</v>
      </c>
      <c r="B5116" s="2" t="str">
        <f>"060820922"</f>
        <v>060820922</v>
      </c>
      <c r="C5116" s="2" t="str">
        <f>"060820922"</f>
        <v>060820922</v>
      </c>
      <c r="D5116" s="2" t="s">
        <v>6499</v>
      </c>
      <c r="E5116" s="4">
        <v>5200</v>
      </c>
    </row>
    <row r="5117" spans="1:5">
      <c r="A5117" s="2" t="s">
        <v>3274</v>
      </c>
      <c r="B5117" s="2" t="str">
        <f>"670346"</f>
        <v>670346</v>
      </c>
      <c r="C5117" s="2" t="str">
        <f>"670346"</f>
        <v>670346</v>
      </c>
      <c r="D5117" s="2" t="s">
        <v>6500</v>
      </c>
      <c r="E5117" s="4">
        <v>9900</v>
      </c>
    </row>
    <row r="5118" spans="1:5">
      <c r="A5118" s="2" t="s">
        <v>3274</v>
      </c>
      <c r="B5118" s="2" t="s">
        <v>6501</v>
      </c>
      <c r="C5118" s="2" t="s">
        <v>6501</v>
      </c>
      <c r="D5118" s="2" t="s">
        <v>6502</v>
      </c>
      <c r="E5118" s="4">
        <v>7400</v>
      </c>
    </row>
    <row r="5119" spans="1:5">
      <c r="A5119" s="2" t="s">
        <v>3274</v>
      </c>
      <c r="B5119" s="2" t="s">
        <v>6503</v>
      </c>
      <c r="C5119" s="2" t="s">
        <v>6503</v>
      </c>
      <c r="D5119" s="2" t="s">
        <v>6504</v>
      </c>
      <c r="E5119" s="4">
        <v>3200</v>
      </c>
    </row>
    <row r="5120" spans="1:5">
      <c r="A5120" s="2" t="s">
        <v>3274</v>
      </c>
      <c r="B5120" s="2" t="str">
        <f>"670251"</f>
        <v>670251</v>
      </c>
      <c r="C5120" s="2" t="str">
        <f>"670251"</f>
        <v>670251</v>
      </c>
      <c r="D5120" s="2" t="s">
        <v>6504</v>
      </c>
      <c r="E5120" s="4">
        <v>6900</v>
      </c>
    </row>
    <row r="5121" spans="1:5">
      <c r="A5121" s="2" t="s">
        <v>3274</v>
      </c>
      <c r="B5121" s="2" t="str">
        <f>"02004815"</f>
        <v>02004815</v>
      </c>
      <c r="C5121" s="2" t="str">
        <f>"02004815"</f>
        <v>02004815</v>
      </c>
      <c r="D5121" s="2" t="s">
        <v>6505</v>
      </c>
      <c r="E5121" s="4">
        <v>4800</v>
      </c>
    </row>
    <row r="5122" spans="1:5">
      <c r="A5122" s="2" t="s">
        <v>3274</v>
      </c>
      <c r="B5122" s="2" t="str">
        <f>"020048293"</f>
        <v>020048293</v>
      </c>
      <c r="C5122" s="2" t="str">
        <f>"020048293"</f>
        <v>020048293</v>
      </c>
      <c r="D5122" s="2" t="s">
        <v>6506</v>
      </c>
      <c r="E5122" s="4">
        <v>33000</v>
      </c>
    </row>
    <row r="5123" spans="1:5">
      <c r="A5123" s="2" t="s">
        <v>3274</v>
      </c>
      <c r="B5123" s="2" t="s">
        <v>6507</v>
      </c>
      <c r="C5123" s="2" t="s">
        <v>6507</v>
      </c>
      <c r="D5123" s="2" t="s">
        <v>6508</v>
      </c>
      <c r="E5123" s="4">
        <v>15700</v>
      </c>
    </row>
    <row r="5124" spans="1:5">
      <c r="A5124" s="2" t="s">
        <v>3274</v>
      </c>
      <c r="B5124" s="2" t="str">
        <f>"020048544"</f>
        <v>020048544</v>
      </c>
      <c r="C5124" s="2" t="str">
        <f>"020048544"</f>
        <v>020048544</v>
      </c>
      <c r="D5124" s="2" t="s">
        <v>6509</v>
      </c>
      <c r="E5124" s="4">
        <v>23500</v>
      </c>
    </row>
    <row r="5125" spans="1:5">
      <c r="A5125" s="2" t="s">
        <v>3274</v>
      </c>
      <c r="B5125" s="2" t="str">
        <f>"670299"</f>
        <v>670299</v>
      </c>
      <c r="C5125" s="2" t="str">
        <f>"670299"</f>
        <v>670299</v>
      </c>
      <c r="D5125" s="2" t="s">
        <v>6510</v>
      </c>
      <c r="E5125" s="4">
        <v>16000</v>
      </c>
    </row>
    <row r="5126" spans="1:5">
      <c r="A5126" s="2" t="s">
        <v>3274</v>
      </c>
      <c r="B5126" s="2" t="str">
        <f>"670286"</f>
        <v>670286</v>
      </c>
      <c r="C5126" s="2" t="str">
        <f>"670286"</f>
        <v>670286</v>
      </c>
      <c r="D5126" s="2" t="s">
        <v>6511</v>
      </c>
      <c r="E5126" s="4">
        <v>11900</v>
      </c>
    </row>
    <row r="5127" spans="1:5">
      <c r="A5127" s="2" t="s">
        <v>3274</v>
      </c>
      <c r="B5127" s="2" t="str">
        <f>"02004921"</f>
        <v>02004921</v>
      </c>
      <c r="C5127" s="2" t="str">
        <f>"02004921"</f>
        <v>02004921</v>
      </c>
      <c r="D5127" s="2" t="s">
        <v>6512</v>
      </c>
      <c r="E5127" s="4">
        <v>5200</v>
      </c>
    </row>
    <row r="5128" spans="1:5">
      <c r="A5128" s="2" t="s">
        <v>3274</v>
      </c>
      <c r="B5128" s="2" t="str">
        <f>"670298"</f>
        <v>670298</v>
      </c>
      <c r="C5128" s="2" t="str">
        <f>"670298"</f>
        <v>670298</v>
      </c>
      <c r="D5128" s="2" t="s">
        <v>6513</v>
      </c>
      <c r="E5128" s="4">
        <v>10800</v>
      </c>
    </row>
    <row r="5129" spans="1:5">
      <c r="A5129" s="2" t="s">
        <v>3274</v>
      </c>
      <c r="B5129" s="2" t="str">
        <f>"0200494022"</f>
        <v>0200494022</v>
      </c>
      <c r="C5129" s="2" t="str">
        <f>"0200494022"</f>
        <v>0200494022</v>
      </c>
      <c r="D5129" s="2" t="s">
        <v>6514</v>
      </c>
      <c r="E5129" s="4">
        <v>5400</v>
      </c>
    </row>
    <row r="5130" spans="1:5">
      <c r="A5130" s="2" t="s">
        <v>3274</v>
      </c>
      <c r="B5130" s="2" t="str">
        <f>"670665"</f>
        <v>670665</v>
      </c>
      <c r="C5130" s="2" t="str">
        <f>"670665"</f>
        <v>670665</v>
      </c>
      <c r="D5130" s="2" t="s">
        <v>6515</v>
      </c>
      <c r="E5130" s="4">
        <v>11800</v>
      </c>
    </row>
    <row r="5131" spans="1:5">
      <c r="A5131" s="2" t="s">
        <v>3274</v>
      </c>
      <c r="B5131" s="2" t="str">
        <f>"660513"</f>
        <v>660513</v>
      </c>
      <c r="C5131" s="2" t="str">
        <f>"660513"</f>
        <v>660513</v>
      </c>
      <c r="D5131" s="2" t="s">
        <v>6516</v>
      </c>
      <c r="E5131" s="4">
        <v>6900</v>
      </c>
    </row>
    <row r="5132" spans="1:5">
      <c r="A5132" s="2" t="s">
        <v>3274</v>
      </c>
      <c r="B5132" s="2" t="str">
        <f>"670284"</f>
        <v>670284</v>
      </c>
      <c r="C5132" s="2" t="str">
        <f>"670284"</f>
        <v>670284</v>
      </c>
      <c r="D5132" s="2" t="s">
        <v>6517</v>
      </c>
      <c r="E5132" s="4">
        <v>6200</v>
      </c>
    </row>
    <row r="5133" spans="1:5">
      <c r="A5133" s="2" t="s">
        <v>3274</v>
      </c>
      <c r="B5133" s="2" t="s">
        <v>6518</v>
      </c>
      <c r="C5133" s="2" t="str">
        <f>"0033964"</f>
        <v>0033964</v>
      </c>
      <c r="D5133" s="2" t="s">
        <v>6519</v>
      </c>
      <c r="E5133" s="4">
        <v>4300</v>
      </c>
    </row>
    <row r="5134" spans="1:5">
      <c r="A5134" s="2" t="s">
        <v>3274</v>
      </c>
      <c r="B5134" s="2" t="str">
        <f>"004873"</f>
        <v>004873</v>
      </c>
      <c r="C5134" s="2" t="str">
        <f>"004873"</f>
        <v>004873</v>
      </c>
      <c r="D5134" s="2" t="s">
        <v>6520</v>
      </c>
      <c r="E5134" s="4">
        <v>6100</v>
      </c>
    </row>
    <row r="5135" spans="1:5">
      <c r="A5135" s="2" t="s">
        <v>3274</v>
      </c>
      <c r="B5135" s="2" t="str">
        <f>"069820924"</f>
        <v>069820924</v>
      </c>
      <c r="C5135" s="2" t="str">
        <f>"060820924"</f>
        <v>060820924</v>
      </c>
      <c r="D5135" s="2" t="s">
        <v>6521</v>
      </c>
      <c r="E5135" s="4">
        <v>4300</v>
      </c>
    </row>
    <row r="5136" spans="1:5">
      <c r="A5136" s="2" t="s">
        <v>3274</v>
      </c>
      <c r="B5136" s="2" t="s">
        <v>6522</v>
      </c>
      <c r="C5136" s="2" t="s">
        <v>6523</v>
      </c>
      <c r="D5136" s="2" t="s">
        <v>6524</v>
      </c>
      <c r="E5136" s="4">
        <v>5400</v>
      </c>
    </row>
    <row r="5137" spans="1:5">
      <c r="A5137" s="2" t="s">
        <v>3274</v>
      </c>
      <c r="B5137" s="2" t="str">
        <f>"000910889-0"</f>
        <v>000910889-0</v>
      </c>
      <c r="C5137" s="2" t="str">
        <f>"000910889-0"</f>
        <v>000910889-0</v>
      </c>
      <c r="D5137" s="2" t="s">
        <v>6525</v>
      </c>
      <c r="E5137" s="4">
        <v>4300</v>
      </c>
    </row>
    <row r="5138" spans="1:5">
      <c r="A5138" s="2" t="s">
        <v>3274</v>
      </c>
      <c r="B5138" s="2" t="str">
        <f>"005118"</f>
        <v>005118</v>
      </c>
      <c r="C5138" s="2" t="str">
        <f>"005118"</f>
        <v>005118</v>
      </c>
      <c r="D5138" s="2" t="s">
        <v>6526</v>
      </c>
      <c r="E5138" s="4">
        <v>3400</v>
      </c>
    </row>
    <row r="5139" spans="1:5">
      <c r="A5139" s="2" t="s">
        <v>3274</v>
      </c>
      <c r="B5139" s="2" t="str">
        <f>"003913"</f>
        <v>003913</v>
      </c>
      <c r="C5139" s="2" t="str">
        <f>"003913"</f>
        <v>003913</v>
      </c>
      <c r="D5139" s="2" t="s">
        <v>6527</v>
      </c>
      <c r="E5139" s="4">
        <v>4300</v>
      </c>
    </row>
    <row r="5140" spans="1:5">
      <c r="A5140" s="2" t="s">
        <v>3274</v>
      </c>
      <c r="B5140" s="2" t="s">
        <v>6528</v>
      </c>
      <c r="C5140" s="2" t="s">
        <v>6528</v>
      </c>
      <c r="D5140" s="2" t="s">
        <v>6529</v>
      </c>
      <c r="E5140" s="4">
        <v>5300</v>
      </c>
    </row>
    <row r="5141" spans="1:5">
      <c r="A5141" s="2" t="s">
        <v>3274</v>
      </c>
      <c r="B5141" s="2" t="s">
        <v>6530</v>
      </c>
      <c r="C5141" s="2" t="s">
        <v>6530</v>
      </c>
      <c r="D5141" s="2" t="s">
        <v>6531</v>
      </c>
      <c r="E5141" s="4">
        <v>4900</v>
      </c>
    </row>
    <row r="5142" spans="1:5">
      <c r="A5142" s="2" t="s">
        <v>3274</v>
      </c>
      <c r="B5142" s="2" t="s">
        <v>6532</v>
      </c>
      <c r="C5142" s="2" t="s">
        <v>6532</v>
      </c>
      <c r="D5142" s="2" t="s">
        <v>6533</v>
      </c>
      <c r="E5142" s="4">
        <v>3500</v>
      </c>
    </row>
    <row r="5143" spans="1:5">
      <c r="A5143" s="2" t="s">
        <v>3274</v>
      </c>
      <c r="B5143" s="2" t="str">
        <f>"670239"</f>
        <v>670239</v>
      </c>
      <c r="C5143" s="2" t="str">
        <f>"670239"</f>
        <v>670239</v>
      </c>
      <c r="D5143" s="2" t="s">
        <v>6534</v>
      </c>
      <c r="E5143" s="4">
        <v>29500</v>
      </c>
    </row>
    <row r="5144" spans="1:5">
      <c r="A5144" s="2" t="s">
        <v>3274</v>
      </c>
      <c r="B5144" s="2" t="str">
        <f>"060820506"</f>
        <v>060820506</v>
      </c>
      <c r="C5144" s="2" t="str">
        <f>"060820506"</f>
        <v>060820506</v>
      </c>
      <c r="D5144" s="2" t="s">
        <v>6535</v>
      </c>
      <c r="E5144" s="4">
        <v>2500</v>
      </c>
    </row>
    <row r="5145" spans="1:5">
      <c r="A5145" s="2" t="s">
        <v>3274</v>
      </c>
      <c r="B5145" s="2" t="str">
        <f>"6933236916903"</f>
        <v>6933236916903</v>
      </c>
      <c r="C5145" s="2" t="str">
        <f>"060820759"</f>
        <v>060820759</v>
      </c>
      <c r="D5145" s="2" t="s">
        <v>6536</v>
      </c>
      <c r="E5145" s="4">
        <v>2500</v>
      </c>
    </row>
    <row r="5146" spans="1:5">
      <c r="A5146" s="2" t="s">
        <v>3274</v>
      </c>
      <c r="B5146" s="2" t="str">
        <f>"670008"</f>
        <v>670008</v>
      </c>
      <c r="C5146" s="2" t="str">
        <f>"670008"</f>
        <v>670008</v>
      </c>
      <c r="D5146" s="2" t="s">
        <v>6537</v>
      </c>
      <c r="E5146" s="4">
        <v>3300</v>
      </c>
    </row>
    <row r="5147" spans="1:5">
      <c r="A5147" s="2" t="s">
        <v>3274</v>
      </c>
      <c r="B5147" s="2" t="str">
        <f>"060820084"</f>
        <v>060820084</v>
      </c>
      <c r="C5147" s="2" t="str">
        <f>"9953254"</f>
        <v>9953254</v>
      </c>
      <c r="D5147" s="2" t="s">
        <v>6538</v>
      </c>
      <c r="E5147" s="4">
        <v>2900</v>
      </c>
    </row>
    <row r="5148" spans="1:5">
      <c r="A5148" s="2" t="s">
        <v>3274</v>
      </c>
      <c r="B5148" s="2" t="str">
        <f>"0004136"</f>
        <v>0004136</v>
      </c>
      <c r="C5148" s="2" t="str">
        <f>"0004136"</f>
        <v>0004136</v>
      </c>
      <c r="D5148" s="2" t="s">
        <v>6539</v>
      </c>
      <c r="E5148" s="4">
        <v>3500</v>
      </c>
    </row>
    <row r="5149" spans="1:5">
      <c r="A5149" s="2" t="s">
        <v>3274</v>
      </c>
      <c r="B5149" s="2" t="str">
        <f>"670006"</f>
        <v>670006</v>
      </c>
      <c r="C5149" s="2" t="str">
        <f>"670006"</f>
        <v>670006</v>
      </c>
      <c r="D5149" s="2" t="s">
        <v>6540</v>
      </c>
      <c r="E5149" s="4">
        <v>5700</v>
      </c>
    </row>
    <row r="5150" spans="1:5">
      <c r="A5150" s="2" t="s">
        <v>3274</v>
      </c>
      <c r="B5150" s="2" t="s">
        <v>6541</v>
      </c>
      <c r="C5150" s="2" t="s">
        <v>6541</v>
      </c>
      <c r="D5150" s="2" t="s">
        <v>6540</v>
      </c>
      <c r="E5150" s="4">
        <v>2900</v>
      </c>
    </row>
    <row r="5151" spans="1:5">
      <c r="A5151" s="2" t="s">
        <v>3274</v>
      </c>
      <c r="B5151" s="2" t="str">
        <f>"060820085"</f>
        <v>060820085</v>
      </c>
      <c r="C5151" s="2" t="str">
        <f>"0009531"</f>
        <v>0009531</v>
      </c>
      <c r="D5151" s="2" t="s">
        <v>6542</v>
      </c>
      <c r="E5151" s="4">
        <v>2900</v>
      </c>
    </row>
    <row r="5152" spans="1:5">
      <c r="A5152" s="2" t="s">
        <v>3274</v>
      </c>
      <c r="B5152" s="2" t="str">
        <f>"670005"</f>
        <v>670005</v>
      </c>
      <c r="C5152" s="2" t="str">
        <f>"670005"</f>
        <v>670005</v>
      </c>
      <c r="D5152" s="2" t="s">
        <v>6543</v>
      </c>
      <c r="E5152" s="4">
        <v>5300</v>
      </c>
    </row>
    <row r="5153" spans="1:5">
      <c r="A5153" s="2" t="s">
        <v>3274</v>
      </c>
      <c r="B5153" s="2" t="str">
        <f>"060820081"</f>
        <v>060820081</v>
      </c>
      <c r="C5153" s="2" t="str">
        <f>"0009532"</f>
        <v>0009532</v>
      </c>
      <c r="D5153" s="2" t="s">
        <v>6544</v>
      </c>
      <c r="E5153" s="4">
        <v>2900</v>
      </c>
    </row>
    <row r="5154" spans="1:5">
      <c r="A5154" s="2" t="s">
        <v>3274</v>
      </c>
      <c r="B5154" s="2" t="str">
        <f>"670001"</f>
        <v>670001</v>
      </c>
      <c r="C5154" s="2" t="str">
        <f>"670001"</f>
        <v>670001</v>
      </c>
      <c r="D5154" s="2" t="s">
        <v>6545</v>
      </c>
      <c r="E5154" s="4">
        <v>5000</v>
      </c>
    </row>
    <row r="5155" spans="1:5">
      <c r="A5155" s="2" t="s">
        <v>3274</v>
      </c>
      <c r="B5155" s="2" t="str">
        <f>"0009533"</f>
        <v>0009533</v>
      </c>
      <c r="C5155" s="2" t="str">
        <f>"0009533"</f>
        <v>0009533</v>
      </c>
      <c r="D5155" s="2" t="s">
        <v>6546</v>
      </c>
      <c r="E5155" s="4">
        <v>2900</v>
      </c>
    </row>
    <row r="5156" spans="1:5">
      <c r="A5156" s="2" t="s">
        <v>3274</v>
      </c>
      <c r="B5156" s="2" t="str">
        <f>"670004"</f>
        <v>670004</v>
      </c>
      <c r="C5156" s="2" t="str">
        <f>"670004"</f>
        <v>670004</v>
      </c>
      <c r="D5156" s="2" t="s">
        <v>6547</v>
      </c>
      <c r="E5156" s="4">
        <v>4500</v>
      </c>
    </row>
    <row r="5157" spans="1:5">
      <c r="A5157" s="2" t="s">
        <v>3274</v>
      </c>
      <c r="B5157" s="2" t="str">
        <f>"5000000049615"</f>
        <v>5000000049615</v>
      </c>
      <c r="C5157" s="2" t="str">
        <f>"247738"</f>
        <v>247738</v>
      </c>
      <c r="D5157" s="2" t="s">
        <v>6548</v>
      </c>
      <c r="E5157" s="4">
        <v>2500</v>
      </c>
    </row>
    <row r="5158" spans="1:5">
      <c r="A5158" s="2" t="s">
        <v>3274</v>
      </c>
      <c r="B5158" s="2" t="str">
        <f>"2050001022479"</f>
        <v>2050001022479</v>
      </c>
      <c r="C5158" s="2" t="str">
        <f>"2050001022479"</f>
        <v>2050001022479</v>
      </c>
      <c r="D5158" s="2" t="s">
        <v>6549</v>
      </c>
      <c r="E5158" s="4">
        <v>2500</v>
      </c>
    </row>
    <row r="5159" spans="1:5">
      <c r="A5159" s="2" t="s">
        <v>3274</v>
      </c>
      <c r="B5159" s="2" t="str">
        <f>"004505"</f>
        <v>004505</v>
      </c>
      <c r="C5159" s="2" t="str">
        <f>"004505"</f>
        <v>004505</v>
      </c>
      <c r="D5159" s="2" t="s">
        <v>6550</v>
      </c>
      <c r="E5159" s="4">
        <v>2900</v>
      </c>
    </row>
    <row r="5160" spans="1:5">
      <c r="A5160" s="2" t="s">
        <v>3274</v>
      </c>
      <c r="B5160" s="2" t="str">
        <f>"670012"</f>
        <v>670012</v>
      </c>
      <c r="C5160" s="2" t="str">
        <f>"6700012"</f>
        <v>6700012</v>
      </c>
      <c r="D5160" s="2" t="s">
        <v>6551</v>
      </c>
      <c r="E5160" s="4">
        <v>6700</v>
      </c>
    </row>
    <row r="5161" spans="1:5">
      <c r="A5161" s="2" t="s">
        <v>3274</v>
      </c>
      <c r="B5161" s="2" t="str">
        <f>"0009534"</f>
        <v>0009534</v>
      </c>
      <c r="C5161" s="2" t="str">
        <f>"0009534"</f>
        <v>0009534</v>
      </c>
      <c r="D5161" s="2" t="s">
        <v>6552</v>
      </c>
      <c r="E5161" s="4">
        <v>2900</v>
      </c>
    </row>
    <row r="5162" spans="1:5">
      <c r="A5162" s="2" t="s">
        <v>3274</v>
      </c>
      <c r="B5162" s="2" t="str">
        <f>"6933236916712"</f>
        <v>6933236916712</v>
      </c>
      <c r="C5162" s="2" t="str">
        <f>"060820083"</f>
        <v>060820083</v>
      </c>
      <c r="D5162" s="2" t="s">
        <v>6553</v>
      </c>
      <c r="E5162" s="4">
        <v>3400</v>
      </c>
    </row>
    <row r="5163" spans="1:5">
      <c r="A5163" s="2" t="s">
        <v>3274</v>
      </c>
      <c r="B5163" s="2" t="str">
        <f>"670003"</f>
        <v>670003</v>
      </c>
      <c r="C5163" s="2" t="str">
        <f>"670003"</f>
        <v>670003</v>
      </c>
      <c r="D5163" s="2" t="s">
        <v>6554</v>
      </c>
      <c r="E5163" s="4">
        <v>4500</v>
      </c>
    </row>
    <row r="5164" spans="1:5">
      <c r="A5164" s="2" t="s">
        <v>3274</v>
      </c>
      <c r="B5164" s="2" t="str">
        <f>"2050001099686"</f>
        <v>2050001099686</v>
      </c>
      <c r="C5164" s="2" t="str">
        <f>"9052781 0009535"</f>
        <v>9052781 0009535</v>
      </c>
      <c r="D5164" s="2" t="s">
        <v>6555</v>
      </c>
      <c r="E5164" s="4">
        <v>2900</v>
      </c>
    </row>
    <row r="5165" spans="1:5">
      <c r="A5165" s="2" t="s">
        <v>3274</v>
      </c>
      <c r="B5165" s="2" t="str">
        <f>"670009"</f>
        <v>670009</v>
      </c>
      <c r="C5165" s="2" t="str">
        <f>"670009"</f>
        <v>670009</v>
      </c>
      <c r="D5165" s="2" t="s">
        <v>6556</v>
      </c>
      <c r="E5165" s="4">
        <v>4700</v>
      </c>
    </row>
    <row r="5166" spans="1:5">
      <c r="A5166" s="2" t="s">
        <v>3274</v>
      </c>
      <c r="B5166" s="2" t="s">
        <v>6557</v>
      </c>
      <c r="C5166" s="2" t="s">
        <v>6558</v>
      </c>
      <c r="D5166" s="2" t="s">
        <v>6559</v>
      </c>
      <c r="E5166" s="4">
        <v>2800</v>
      </c>
    </row>
    <row r="5167" spans="1:5">
      <c r="A5167" s="2" t="s">
        <v>3274</v>
      </c>
      <c r="B5167" s="2" t="str">
        <f>"060820955"</f>
        <v>060820955</v>
      </c>
      <c r="C5167" s="2" t="str">
        <f>"060820955"</f>
        <v>060820955</v>
      </c>
      <c r="D5167" s="2" t="s">
        <v>6560</v>
      </c>
      <c r="E5167" s="4">
        <v>2500</v>
      </c>
    </row>
    <row r="5168" spans="1:5">
      <c r="A5168" s="2" t="s">
        <v>3274</v>
      </c>
      <c r="B5168" s="2" t="str">
        <f>"14003"</f>
        <v>14003</v>
      </c>
      <c r="C5168" s="2" t="str">
        <f>"14003"</f>
        <v>14003</v>
      </c>
      <c r="D5168" s="2" t="s">
        <v>6561</v>
      </c>
      <c r="E5168" s="4">
        <v>2500</v>
      </c>
    </row>
    <row r="5169" spans="1:5">
      <c r="A5169" s="2" t="s">
        <v>3274</v>
      </c>
      <c r="B5169" s="2" t="str">
        <f>"0009537"</f>
        <v>0009537</v>
      </c>
      <c r="C5169" s="2" t="str">
        <f>"0009537"</f>
        <v>0009537</v>
      </c>
      <c r="D5169" s="2" t="s">
        <v>6562</v>
      </c>
      <c r="E5169" s="4">
        <v>2900</v>
      </c>
    </row>
    <row r="5170" spans="1:5">
      <c r="A5170" s="2" t="s">
        <v>3274</v>
      </c>
      <c r="B5170" s="2" t="str">
        <f>"9953255"</f>
        <v>9953255</v>
      </c>
      <c r="C5170" s="2" t="str">
        <f>"9953255"</f>
        <v>9953255</v>
      </c>
      <c r="D5170" s="2" t="s">
        <v>6563</v>
      </c>
      <c r="E5170" s="4">
        <v>2900</v>
      </c>
    </row>
    <row r="5171" spans="1:5">
      <c r="A5171" s="2" t="s">
        <v>3274</v>
      </c>
      <c r="B5171" s="2" t="str">
        <f>"060820086"</f>
        <v>060820086</v>
      </c>
      <c r="C5171" s="2" t="str">
        <f>"060820086"</f>
        <v>060820086</v>
      </c>
      <c r="D5171" s="2" t="s">
        <v>6564</v>
      </c>
      <c r="E5171" s="4">
        <v>2900</v>
      </c>
    </row>
    <row r="5172" spans="1:5">
      <c r="A5172" s="2" t="s">
        <v>3274</v>
      </c>
      <c r="B5172" s="2" t="str">
        <f>"670057"</f>
        <v>670057</v>
      </c>
      <c r="C5172" s="2" t="str">
        <f>"670057"</f>
        <v>670057</v>
      </c>
      <c r="D5172" s="2" t="s">
        <v>6565</v>
      </c>
      <c r="E5172" s="4">
        <v>5000</v>
      </c>
    </row>
    <row r="5173" spans="1:5">
      <c r="A5173" s="2" t="s">
        <v>3274</v>
      </c>
      <c r="B5173" s="2" t="str">
        <f>"247734"</f>
        <v>247734</v>
      </c>
      <c r="C5173" s="2" t="str">
        <f>"247734"</f>
        <v>247734</v>
      </c>
      <c r="D5173" s="2" t="s">
        <v>6566</v>
      </c>
      <c r="E5173" s="4">
        <v>2500</v>
      </c>
    </row>
    <row r="5174" spans="1:5">
      <c r="A5174" s="2" t="s">
        <v>3274</v>
      </c>
      <c r="B5174" s="2" t="str">
        <f>"9953289"</f>
        <v>9953289</v>
      </c>
      <c r="C5174" s="2" t="str">
        <f>"9953289"</f>
        <v>9953289</v>
      </c>
      <c r="D5174" s="2" t="s">
        <v>6567</v>
      </c>
      <c r="E5174" s="4">
        <v>2900</v>
      </c>
    </row>
    <row r="5175" spans="1:5">
      <c r="A5175" s="2" t="s">
        <v>3274</v>
      </c>
      <c r="B5175" s="2" t="str">
        <f>"060820007"</f>
        <v>060820007</v>
      </c>
      <c r="C5175" s="2" t="str">
        <f>"0009539"</f>
        <v>0009539</v>
      </c>
      <c r="D5175" s="2" t="s">
        <v>6568</v>
      </c>
      <c r="E5175" s="4">
        <v>2900</v>
      </c>
    </row>
    <row r="5176" spans="1:5">
      <c r="A5176" s="2" t="s">
        <v>3274</v>
      </c>
      <c r="B5176" s="2" t="str">
        <f>"1548701183"</f>
        <v>1548701183</v>
      </c>
      <c r="C5176" s="2" t="str">
        <f>"1548701183"</f>
        <v>1548701183</v>
      </c>
      <c r="D5176" s="2" t="s">
        <v>6569</v>
      </c>
      <c r="E5176" s="4">
        <v>4300</v>
      </c>
    </row>
    <row r="5177" spans="1:5">
      <c r="A5177" s="2" t="s">
        <v>3274</v>
      </c>
      <c r="B5177" s="2" t="s">
        <v>6570</v>
      </c>
      <c r="C5177" s="2" t="s">
        <v>6570</v>
      </c>
      <c r="D5177" s="2" t="s">
        <v>6571</v>
      </c>
      <c r="E5177" s="4">
        <v>4300</v>
      </c>
    </row>
    <row r="5178" spans="1:5">
      <c r="A5178" s="2" t="s">
        <v>3274</v>
      </c>
      <c r="B5178" s="2" t="str">
        <f>"060820970"</f>
        <v>060820970</v>
      </c>
      <c r="C5178" s="2" t="str">
        <f>"060820970"</f>
        <v>060820970</v>
      </c>
      <c r="D5178" s="2" t="s">
        <v>6572</v>
      </c>
      <c r="E5178" s="4">
        <v>3400</v>
      </c>
    </row>
    <row r="5179" spans="1:5">
      <c r="A5179" s="2" t="s">
        <v>3274</v>
      </c>
      <c r="B5179" s="2" t="s">
        <v>6573</v>
      </c>
      <c r="C5179" s="2" t="s">
        <v>6573</v>
      </c>
      <c r="D5179" s="2" t="s">
        <v>6574</v>
      </c>
      <c r="E5179" s="4">
        <v>3200</v>
      </c>
    </row>
    <row r="5180" spans="1:5">
      <c r="A5180" s="2" t="s">
        <v>3274</v>
      </c>
      <c r="B5180" s="2" t="str">
        <f>"0009540"</f>
        <v>0009540</v>
      </c>
      <c r="C5180" s="2" t="str">
        <f>"0009540"</f>
        <v>0009540</v>
      </c>
      <c r="D5180" s="2" t="s">
        <v>6575</v>
      </c>
      <c r="E5180" s="4">
        <v>4300</v>
      </c>
    </row>
    <row r="5181" spans="1:5">
      <c r="A5181" s="2" t="s">
        <v>3274</v>
      </c>
      <c r="B5181" s="2" t="str">
        <f>"670056"</f>
        <v>670056</v>
      </c>
      <c r="C5181" s="2" t="str">
        <f>"670056"</f>
        <v>670056</v>
      </c>
      <c r="D5181" s="2" t="s">
        <v>6576</v>
      </c>
      <c r="E5181" s="4">
        <v>3900</v>
      </c>
    </row>
    <row r="5182" spans="1:5">
      <c r="A5182" s="2" t="s">
        <v>3274</v>
      </c>
      <c r="B5182" s="2" t="str">
        <f>"247855"</f>
        <v>247855</v>
      </c>
      <c r="C5182" s="2" t="str">
        <f>"247855"</f>
        <v>247855</v>
      </c>
      <c r="D5182" s="2" t="s">
        <v>6577</v>
      </c>
      <c r="E5182" s="4">
        <v>3000</v>
      </c>
    </row>
    <row r="5183" spans="1:5">
      <c r="A5183" s="2" t="s">
        <v>3274</v>
      </c>
      <c r="B5183" s="2" t="s">
        <v>6578</v>
      </c>
      <c r="C5183" s="2" t="s">
        <v>6578</v>
      </c>
      <c r="D5183" s="2" t="s">
        <v>6579</v>
      </c>
      <c r="E5183" s="4">
        <v>3000</v>
      </c>
    </row>
    <row r="5184" spans="1:5">
      <c r="A5184" s="2" t="s">
        <v>3274</v>
      </c>
      <c r="B5184" s="2" t="str">
        <f>"9953299"</f>
        <v>9953299</v>
      </c>
      <c r="C5184" s="2" t="str">
        <f>"9953299"</f>
        <v>9953299</v>
      </c>
      <c r="D5184" s="2" t="s">
        <v>6580</v>
      </c>
      <c r="E5184" s="4">
        <v>3000</v>
      </c>
    </row>
    <row r="5185" spans="1:5">
      <c r="A5185" s="2" t="s">
        <v>3274</v>
      </c>
      <c r="B5185" s="2" t="str">
        <f>"0031150"</f>
        <v>0031150</v>
      </c>
      <c r="C5185" s="2" t="str">
        <f>"0031150"</f>
        <v>0031150</v>
      </c>
      <c r="D5185" s="2" t="s">
        <v>6581</v>
      </c>
      <c r="E5185" s="4">
        <v>4300</v>
      </c>
    </row>
    <row r="5186" spans="1:5">
      <c r="A5186" s="2" t="s">
        <v>3274</v>
      </c>
      <c r="B5186" s="2" t="str">
        <f>"670038"</f>
        <v>670038</v>
      </c>
      <c r="C5186" s="2" t="str">
        <f>"670038"</f>
        <v>670038</v>
      </c>
      <c r="D5186" s="2" t="s">
        <v>6582</v>
      </c>
      <c r="E5186" s="4">
        <v>3800</v>
      </c>
    </row>
    <row r="5187" spans="1:5">
      <c r="A5187" s="2" t="s">
        <v>3274</v>
      </c>
      <c r="B5187" s="2" t="str">
        <f>"670518"</f>
        <v>670518</v>
      </c>
      <c r="C5187" s="2" t="str">
        <f>"670518"</f>
        <v>670518</v>
      </c>
      <c r="D5187" s="2" t="s">
        <v>6583</v>
      </c>
      <c r="E5187" s="4">
        <v>4000</v>
      </c>
    </row>
    <row r="5188" spans="1:5">
      <c r="A5188" s="2" t="s">
        <v>3274</v>
      </c>
      <c r="B5188" s="2" t="str">
        <f>"060820156"</f>
        <v>060820156</v>
      </c>
      <c r="C5188" s="2" t="str">
        <f>"060820156"</f>
        <v>060820156</v>
      </c>
      <c r="D5188" s="2" t="s">
        <v>6584</v>
      </c>
      <c r="E5188" s="4">
        <v>2900</v>
      </c>
    </row>
    <row r="5189" spans="1:5">
      <c r="A5189" s="2" t="s">
        <v>3274</v>
      </c>
      <c r="B5189" s="2" t="str">
        <f>"670053"</f>
        <v>670053</v>
      </c>
      <c r="C5189" s="2" t="str">
        <f>"670053"</f>
        <v>670053</v>
      </c>
      <c r="D5189" s="2" t="s">
        <v>6585</v>
      </c>
      <c r="E5189" s="4">
        <v>3200</v>
      </c>
    </row>
    <row r="5190" spans="1:5">
      <c r="A5190" s="2" t="s">
        <v>3274</v>
      </c>
      <c r="B5190" s="2" t="str">
        <f>"6933236917887"</f>
        <v>6933236917887</v>
      </c>
      <c r="C5190" s="2" t="str">
        <f>"0009542"</f>
        <v>0009542</v>
      </c>
      <c r="D5190" s="2" t="s">
        <v>6586</v>
      </c>
      <c r="E5190" s="4">
        <v>2900</v>
      </c>
    </row>
    <row r="5191" spans="1:5">
      <c r="A5191" s="2" t="s">
        <v>3274</v>
      </c>
      <c r="B5191" s="2" t="str">
        <f>"060821027"</f>
        <v>060821027</v>
      </c>
      <c r="C5191" s="2" t="str">
        <f>"0009590"</f>
        <v>0009590</v>
      </c>
      <c r="D5191" s="2" t="s">
        <v>6587</v>
      </c>
      <c r="E5191" s="4">
        <v>2700</v>
      </c>
    </row>
    <row r="5192" spans="1:5">
      <c r="A5192" s="2" t="s">
        <v>3274</v>
      </c>
      <c r="B5192" s="2" t="str">
        <f>"21120-6"</f>
        <v>21120-6</v>
      </c>
      <c r="C5192" s="2" t="str">
        <f>"21120-6"</f>
        <v>21120-6</v>
      </c>
      <c r="D5192" s="2" t="s">
        <v>6587</v>
      </c>
      <c r="E5192" s="4">
        <v>4300</v>
      </c>
    </row>
    <row r="5193" spans="1:5">
      <c r="A5193" s="2" t="s">
        <v>3274</v>
      </c>
      <c r="B5193" s="2" t="str">
        <f>"670048"</f>
        <v>670048</v>
      </c>
      <c r="C5193" s="2" t="str">
        <f>"670048"</f>
        <v>670048</v>
      </c>
      <c r="D5193" s="2" t="s">
        <v>6588</v>
      </c>
      <c r="E5193" s="4">
        <v>7000</v>
      </c>
    </row>
    <row r="5194" spans="1:5">
      <c r="A5194" s="2" t="s">
        <v>3274</v>
      </c>
      <c r="B5194" s="2" t="str">
        <f>"670060"</f>
        <v>670060</v>
      </c>
      <c r="C5194" s="2" t="str">
        <f>"670060"</f>
        <v>670060</v>
      </c>
      <c r="D5194" s="2" t="s">
        <v>6589</v>
      </c>
      <c r="E5194" s="4">
        <v>4300</v>
      </c>
    </row>
    <row r="5195" spans="1:5">
      <c r="A5195" s="2" t="s">
        <v>3274</v>
      </c>
      <c r="B5195" s="2" t="str">
        <f>"234023"</f>
        <v>234023</v>
      </c>
      <c r="C5195" s="2" t="str">
        <f>"234023"</f>
        <v>234023</v>
      </c>
      <c r="D5195" s="2" t="s">
        <v>6590</v>
      </c>
      <c r="E5195" s="4">
        <v>1600</v>
      </c>
    </row>
    <row r="5196" spans="1:5">
      <c r="A5196" s="2" t="s">
        <v>3274</v>
      </c>
      <c r="B5196" s="2" t="str">
        <f>"9953252"</f>
        <v>9953252</v>
      </c>
      <c r="C5196" s="2" t="str">
        <f>"9953252"</f>
        <v>9953252</v>
      </c>
      <c r="D5196" s="2" t="s">
        <v>6591</v>
      </c>
      <c r="E5196" s="4">
        <v>2900</v>
      </c>
    </row>
    <row r="5197" spans="1:5">
      <c r="A5197" s="2" t="s">
        <v>3274</v>
      </c>
      <c r="B5197" s="2" t="str">
        <f>"060821028"</f>
        <v>060821028</v>
      </c>
      <c r="C5197" s="2" t="str">
        <f>"060821028"</f>
        <v>060821028</v>
      </c>
      <c r="D5197" s="2" t="s">
        <v>6592</v>
      </c>
      <c r="E5197" s="4">
        <v>3500</v>
      </c>
    </row>
    <row r="5198" spans="1:5">
      <c r="A5198" s="2" t="s">
        <v>3274</v>
      </c>
      <c r="B5198" s="2" t="str">
        <f>"0027771"</f>
        <v>0027771</v>
      </c>
      <c r="C5198" s="2" t="str">
        <f>"0027771"</f>
        <v>0027771</v>
      </c>
      <c r="D5198" s="2" t="s">
        <v>6593</v>
      </c>
      <c r="E5198" s="4">
        <v>4300</v>
      </c>
    </row>
    <row r="5199" spans="1:5">
      <c r="A5199" s="2" t="s">
        <v>3274</v>
      </c>
      <c r="B5199" s="2" t="s">
        <v>6594</v>
      </c>
      <c r="C5199" s="2" t="s">
        <v>6594</v>
      </c>
      <c r="D5199" s="2" t="s">
        <v>6595</v>
      </c>
      <c r="E5199" s="4">
        <v>3900</v>
      </c>
    </row>
    <row r="5200" spans="1:5">
      <c r="A5200" s="2" t="s">
        <v>3274</v>
      </c>
      <c r="B5200" s="2" t="str">
        <f>"060820159"</f>
        <v>060820159</v>
      </c>
      <c r="C5200" s="2" t="str">
        <f>"060820159"</f>
        <v>060820159</v>
      </c>
      <c r="D5200" s="2" t="s">
        <v>6596</v>
      </c>
      <c r="E5200" s="4">
        <v>2900</v>
      </c>
    </row>
    <row r="5201" spans="1:5">
      <c r="A5201" s="2" t="s">
        <v>3274</v>
      </c>
      <c r="B5201" s="2" t="s">
        <v>6597</v>
      </c>
      <c r="C5201" s="2" t="s">
        <v>6597</v>
      </c>
      <c r="D5201" s="2" t="s">
        <v>6598</v>
      </c>
      <c r="E5201" s="4">
        <v>3300</v>
      </c>
    </row>
    <row r="5202" spans="1:5">
      <c r="A5202" s="2" t="s">
        <v>3274</v>
      </c>
      <c r="B5202" s="2" t="str">
        <f>"9953250"</f>
        <v>9953250</v>
      </c>
      <c r="C5202" s="2" t="str">
        <f>"9953250"</f>
        <v>9953250</v>
      </c>
      <c r="D5202" s="2" t="s">
        <v>6599</v>
      </c>
      <c r="E5202" s="4">
        <v>3400</v>
      </c>
    </row>
    <row r="5203" spans="1:5">
      <c r="A5203" s="2" t="s">
        <v>3274</v>
      </c>
      <c r="B5203" s="2" t="str">
        <f>"670065"</f>
        <v>670065</v>
      </c>
      <c r="C5203" s="2" t="str">
        <f>"670065"</f>
        <v>670065</v>
      </c>
      <c r="D5203" s="2" t="s">
        <v>6600</v>
      </c>
      <c r="E5203" s="4">
        <v>3700</v>
      </c>
    </row>
    <row r="5204" spans="1:5">
      <c r="A5204" s="2" t="s">
        <v>3274</v>
      </c>
      <c r="B5204" s="2" t="str">
        <f>"0009546"</f>
        <v>0009546</v>
      </c>
      <c r="C5204" s="2" t="str">
        <f>"0009546"</f>
        <v>0009546</v>
      </c>
      <c r="D5204" s="2" t="s">
        <v>6601</v>
      </c>
      <c r="E5204" s="4">
        <v>3400</v>
      </c>
    </row>
    <row r="5205" spans="1:5">
      <c r="A5205" s="2" t="s">
        <v>3274</v>
      </c>
      <c r="B5205" s="2" t="str">
        <f>"060820504"</f>
        <v>060820504</v>
      </c>
      <c r="C5205" s="2" t="str">
        <f>"060820504"</f>
        <v>060820504</v>
      </c>
      <c r="D5205" s="2" t="s">
        <v>6602</v>
      </c>
      <c r="E5205" s="4">
        <v>3200</v>
      </c>
    </row>
    <row r="5206" spans="1:5">
      <c r="A5206" s="2" t="s">
        <v>3274</v>
      </c>
      <c r="B5206" s="2" t="s">
        <v>6603</v>
      </c>
      <c r="C5206" s="2" t="s">
        <v>6603</v>
      </c>
      <c r="D5206" s="2" t="s">
        <v>6604</v>
      </c>
      <c r="E5206" s="4">
        <v>4400</v>
      </c>
    </row>
    <row r="5207" spans="1:5">
      <c r="A5207" s="2" t="s">
        <v>3274</v>
      </c>
      <c r="B5207" s="2" t="str">
        <f>"670066"</f>
        <v>670066</v>
      </c>
      <c r="C5207" s="2" t="str">
        <f>"670066"</f>
        <v>670066</v>
      </c>
      <c r="D5207" s="2" t="s">
        <v>6605</v>
      </c>
      <c r="E5207" s="4">
        <v>3400</v>
      </c>
    </row>
    <row r="5208" spans="1:5">
      <c r="A5208" s="2" t="s">
        <v>3274</v>
      </c>
      <c r="B5208" s="2" t="str">
        <f>"060820115"</f>
        <v>060820115</v>
      </c>
      <c r="C5208" s="2" t="s">
        <v>6606</v>
      </c>
      <c r="D5208" s="2" t="s">
        <v>6607</v>
      </c>
      <c r="E5208" s="4">
        <v>3000</v>
      </c>
    </row>
    <row r="5209" spans="1:5">
      <c r="A5209" s="2" t="s">
        <v>3274</v>
      </c>
      <c r="B5209" s="2" t="str">
        <f>"670077"</f>
        <v>670077</v>
      </c>
      <c r="C5209" s="2" t="str">
        <f>"670077"</f>
        <v>670077</v>
      </c>
      <c r="D5209" s="2" t="s">
        <v>6608</v>
      </c>
      <c r="E5209" s="4">
        <v>3700</v>
      </c>
    </row>
    <row r="5210" spans="1:5">
      <c r="A5210" s="2" t="s">
        <v>3274</v>
      </c>
      <c r="B5210" s="2" t="str">
        <f>"060821127"</f>
        <v>060821127</v>
      </c>
      <c r="C5210" s="2" t="str">
        <f>"301262"</f>
        <v>301262</v>
      </c>
      <c r="D5210" s="2" t="s">
        <v>6609</v>
      </c>
      <c r="E5210" s="4">
        <v>3400</v>
      </c>
    </row>
    <row r="5211" spans="1:5">
      <c r="A5211" s="2" t="s">
        <v>3274</v>
      </c>
      <c r="B5211" s="2" t="str">
        <f>"670070"</f>
        <v>670070</v>
      </c>
      <c r="C5211" s="2" t="str">
        <f>"670070"</f>
        <v>670070</v>
      </c>
      <c r="D5211" s="2" t="s">
        <v>6610</v>
      </c>
      <c r="E5211" s="4">
        <v>4000</v>
      </c>
    </row>
    <row r="5212" spans="1:5">
      <c r="A5212" s="2" t="s">
        <v>3274</v>
      </c>
      <c r="B5212" s="2" t="s">
        <v>6611</v>
      </c>
      <c r="C5212" s="2" t="s">
        <v>6611</v>
      </c>
      <c r="D5212" s="2" t="s">
        <v>6612</v>
      </c>
      <c r="E5212" s="4">
        <v>3600</v>
      </c>
    </row>
    <row r="5213" spans="1:5">
      <c r="A5213" s="2" t="s">
        <v>3274</v>
      </c>
      <c r="B5213" s="2" t="s">
        <v>6613</v>
      </c>
      <c r="C5213" s="2" t="s">
        <v>6613</v>
      </c>
      <c r="D5213" s="2" t="s">
        <v>6614</v>
      </c>
      <c r="E5213" s="4">
        <v>4300</v>
      </c>
    </row>
    <row r="5214" spans="1:5">
      <c r="A5214" s="2" t="s">
        <v>3274</v>
      </c>
      <c r="B5214" s="2" t="s">
        <v>6615</v>
      </c>
      <c r="C5214" s="2" t="s">
        <v>6615</v>
      </c>
      <c r="D5214" s="2" t="s">
        <v>6616</v>
      </c>
      <c r="E5214" s="4">
        <v>2700</v>
      </c>
    </row>
    <row r="5215" spans="1:5">
      <c r="A5215" s="2" t="s">
        <v>3274</v>
      </c>
      <c r="B5215" s="2" t="str">
        <f>"6933236927510"</f>
        <v>6933236927510</v>
      </c>
      <c r="C5215" s="2" t="str">
        <f>"060820158"</f>
        <v>060820158</v>
      </c>
      <c r="D5215" s="2" t="s">
        <v>6617</v>
      </c>
      <c r="E5215" s="4">
        <v>3400</v>
      </c>
    </row>
    <row r="5216" spans="1:5">
      <c r="A5216" s="2" t="s">
        <v>3274</v>
      </c>
      <c r="B5216" s="2" t="str">
        <f>"670015"</f>
        <v>670015</v>
      </c>
      <c r="C5216" s="2" t="str">
        <f>"670015"</f>
        <v>670015</v>
      </c>
      <c r="D5216" s="2" t="s">
        <v>6618</v>
      </c>
      <c r="E5216" s="4">
        <v>4500</v>
      </c>
    </row>
    <row r="5217" spans="1:5">
      <c r="A5217" s="2" t="s">
        <v>3274</v>
      </c>
      <c r="B5217" s="2" t="str">
        <f>"670091"</f>
        <v>670091</v>
      </c>
      <c r="C5217" s="2" t="str">
        <f>"670091"</f>
        <v>670091</v>
      </c>
      <c r="D5217" s="2" t="s">
        <v>6619</v>
      </c>
      <c r="E5217" s="4">
        <v>4000</v>
      </c>
    </row>
    <row r="5218" spans="1:5">
      <c r="A5218" s="2" t="s">
        <v>3274</v>
      </c>
      <c r="B5218" s="2" t="s">
        <v>6620</v>
      </c>
      <c r="C5218" s="2" t="s">
        <v>6620</v>
      </c>
      <c r="D5218" s="2" t="s">
        <v>6621</v>
      </c>
      <c r="E5218" s="4">
        <v>4300</v>
      </c>
    </row>
    <row r="5219" spans="1:5">
      <c r="A5219" s="2" t="s">
        <v>3274</v>
      </c>
      <c r="B5219" s="2" t="s">
        <v>6622</v>
      </c>
      <c r="C5219" s="2" t="s">
        <v>6623</v>
      </c>
      <c r="D5219" s="2" t="s">
        <v>6624</v>
      </c>
      <c r="E5219" s="4">
        <v>3400</v>
      </c>
    </row>
    <row r="5220" spans="1:5">
      <c r="A5220" s="2" t="s">
        <v>3274</v>
      </c>
      <c r="B5220" s="2" t="str">
        <f>"9953851"</f>
        <v>9953851</v>
      </c>
      <c r="C5220" s="2" t="str">
        <f>"9953851"</f>
        <v>9953851</v>
      </c>
      <c r="D5220" s="2" t="s">
        <v>6625</v>
      </c>
      <c r="E5220" s="4">
        <v>3400</v>
      </c>
    </row>
    <row r="5221" spans="1:5">
      <c r="A5221" s="2" t="s">
        <v>3274</v>
      </c>
      <c r="B5221" s="2" t="str">
        <f>"060820118"</f>
        <v>060820118</v>
      </c>
      <c r="C5221" s="2" t="str">
        <f>"060820118"</f>
        <v>060820118</v>
      </c>
      <c r="D5221" s="2" t="s">
        <v>6626</v>
      </c>
      <c r="E5221" s="4">
        <v>2800</v>
      </c>
    </row>
    <row r="5222" spans="1:5">
      <c r="A5222" s="2" t="s">
        <v>3274</v>
      </c>
      <c r="B5222" s="2" t="s">
        <v>6627</v>
      </c>
      <c r="C5222" s="2" t="s">
        <v>6627</v>
      </c>
      <c r="D5222" s="2" t="s">
        <v>6628</v>
      </c>
      <c r="E5222" s="4">
        <v>4300</v>
      </c>
    </row>
    <row r="5223" spans="1:5">
      <c r="A5223" s="2" t="s">
        <v>3274</v>
      </c>
      <c r="B5223" s="2" t="s">
        <v>6629</v>
      </c>
      <c r="C5223" s="2" t="s">
        <v>6629</v>
      </c>
      <c r="D5223" s="2" t="s">
        <v>6630</v>
      </c>
      <c r="E5223" s="4">
        <v>3300</v>
      </c>
    </row>
    <row r="5224" spans="1:5">
      <c r="A5224" s="2" t="s">
        <v>3274</v>
      </c>
      <c r="B5224" s="2" t="str">
        <f>"060820089"</f>
        <v>060820089</v>
      </c>
      <c r="C5224" s="2" t="str">
        <f>"0009552"</f>
        <v>0009552</v>
      </c>
      <c r="D5224" s="2" t="s">
        <v>6631</v>
      </c>
      <c r="E5224" s="4">
        <v>3400</v>
      </c>
    </row>
    <row r="5225" spans="1:5">
      <c r="A5225" s="2" t="s">
        <v>3274</v>
      </c>
      <c r="B5225" s="2" t="s">
        <v>6632</v>
      </c>
      <c r="C5225" s="2" t="s">
        <v>6632</v>
      </c>
      <c r="D5225" s="2" t="s">
        <v>6633</v>
      </c>
      <c r="E5225" s="4">
        <v>3000</v>
      </c>
    </row>
    <row r="5226" spans="1:5">
      <c r="A5226" s="2" t="s">
        <v>3274</v>
      </c>
      <c r="B5226" s="2" t="str">
        <f>"0009553"</f>
        <v>0009553</v>
      </c>
      <c r="C5226" s="2" t="str">
        <f>"0009553"</f>
        <v>0009553</v>
      </c>
      <c r="D5226" s="2" t="s">
        <v>6634</v>
      </c>
      <c r="E5226" s="4">
        <v>2900</v>
      </c>
    </row>
    <row r="5227" spans="1:5">
      <c r="A5227" s="2" t="s">
        <v>3274</v>
      </c>
      <c r="B5227" s="2" t="str">
        <f>"9953241"</f>
        <v>9953241</v>
      </c>
      <c r="C5227" s="2" t="str">
        <f>"9953241"</f>
        <v>9953241</v>
      </c>
      <c r="D5227" s="2" t="s">
        <v>6635</v>
      </c>
      <c r="E5227" s="4">
        <v>2900</v>
      </c>
    </row>
    <row r="5228" spans="1:5">
      <c r="A5228" s="2" t="s">
        <v>3274</v>
      </c>
      <c r="B5228" s="2" t="str">
        <f>"060820090"</f>
        <v>060820090</v>
      </c>
      <c r="C5228" s="2" t="str">
        <f>"060820090"</f>
        <v>060820090</v>
      </c>
      <c r="D5228" s="2" t="s">
        <v>6636</v>
      </c>
      <c r="E5228" s="4">
        <v>2900</v>
      </c>
    </row>
    <row r="5229" spans="1:5">
      <c r="A5229" s="2" t="s">
        <v>3274</v>
      </c>
      <c r="B5229" s="2" t="str">
        <f>"670085"</f>
        <v>670085</v>
      </c>
      <c r="C5229" s="2" t="str">
        <f>"670085"</f>
        <v>670085</v>
      </c>
      <c r="D5229" s="2" t="s">
        <v>6637</v>
      </c>
      <c r="E5229" s="4">
        <v>4800</v>
      </c>
    </row>
    <row r="5230" spans="1:5">
      <c r="A5230" s="2" t="s">
        <v>3274</v>
      </c>
      <c r="B5230" s="2" t="str">
        <f>"020601602"</f>
        <v>020601602</v>
      </c>
      <c r="C5230" s="2" t="str">
        <f>"020601602"</f>
        <v>020601602</v>
      </c>
      <c r="D5230" s="2" t="s">
        <v>6638</v>
      </c>
      <c r="E5230" s="4">
        <v>2800</v>
      </c>
    </row>
    <row r="5231" spans="1:5">
      <c r="A5231" s="2" t="s">
        <v>3274</v>
      </c>
      <c r="B5231" s="2" t="s">
        <v>6639</v>
      </c>
      <c r="C5231" s="2" t="s">
        <v>6639</v>
      </c>
      <c r="D5231" s="2" t="s">
        <v>6640</v>
      </c>
      <c r="E5231" s="4">
        <v>4300</v>
      </c>
    </row>
    <row r="5232" spans="1:5">
      <c r="A5232" s="2" t="s">
        <v>3274</v>
      </c>
      <c r="B5232" s="2" t="s">
        <v>6641</v>
      </c>
      <c r="C5232" s="2" t="s">
        <v>6641</v>
      </c>
      <c r="D5232" s="2" t="s">
        <v>6642</v>
      </c>
      <c r="E5232" s="4">
        <v>4300</v>
      </c>
    </row>
    <row r="5233" spans="1:5">
      <c r="A5233" s="2" t="s">
        <v>3274</v>
      </c>
      <c r="B5233" s="2" t="s">
        <v>6643</v>
      </c>
      <c r="C5233" s="2" t="s">
        <v>6643</v>
      </c>
      <c r="D5233" s="2" t="s">
        <v>6644</v>
      </c>
      <c r="E5233" s="4">
        <v>4300</v>
      </c>
    </row>
    <row r="5234" spans="1:5">
      <c r="A5234" s="2" t="s">
        <v>3274</v>
      </c>
      <c r="B5234" s="2" t="s">
        <v>6645</v>
      </c>
      <c r="C5234" s="2" t="s">
        <v>6645</v>
      </c>
      <c r="D5234" s="2" t="s">
        <v>6646</v>
      </c>
      <c r="E5234" s="4">
        <v>2600</v>
      </c>
    </row>
    <row r="5235" spans="1:5">
      <c r="A5235" s="2" t="s">
        <v>3274</v>
      </c>
      <c r="B5235" s="2" t="s">
        <v>6647</v>
      </c>
      <c r="C5235" s="2" t="s">
        <v>6647</v>
      </c>
      <c r="D5235" s="2" t="s">
        <v>6648</v>
      </c>
      <c r="E5235" s="4">
        <v>2700</v>
      </c>
    </row>
    <row r="5236" spans="1:5">
      <c r="A5236" s="2" t="s">
        <v>3274</v>
      </c>
      <c r="B5236" s="2" t="s">
        <v>6649</v>
      </c>
      <c r="C5236" s="2" t="s">
        <v>6649</v>
      </c>
      <c r="D5236" s="2" t="s">
        <v>6650</v>
      </c>
      <c r="E5236" s="4">
        <v>3200</v>
      </c>
    </row>
    <row r="5237" spans="1:5">
      <c r="A5237" s="2" t="s">
        <v>3274</v>
      </c>
      <c r="B5237" s="2" t="str">
        <f>"060820091"</f>
        <v>060820091</v>
      </c>
      <c r="C5237" s="2" t="str">
        <f>"060820091"</f>
        <v>060820091</v>
      </c>
      <c r="D5237" s="2" t="s">
        <v>6651</v>
      </c>
      <c r="E5237" s="4">
        <v>3400</v>
      </c>
    </row>
    <row r="5238" spans="1:5">
      <c r="A5238" s="2" t="s">
        <v>3274</v>
      </c>
      <c r="B5238" s="2" t="s">
        <v>6652</v>
      </c>
      <c r="C5238" s="2" t="s">
        <v>6652</v>
      </c>
      <c r="D5238" s="2" t="s">
        <v>6653</v>
      </c>
      <c r="E5238" s="4">
        <v>5500</v>
      </c>
    </row>
    <row r="5239" spans="1:5">
      <c r="A5239" s="2" t="s">
        <v>3274</v>
      </c>
      <c r="B5239" s="2" t="s">
        <v>6654</v>
      </c>
      <c r="C5239" s="2" t="s">
        <v>6654</v>
      </c>
      <c r="D5239" s="2" t="s">
        <v>6655</v>
      </c>
      <c r="E5239" s="4">
        <v>2500</v>
      </c>
    </row>
    <row r="5240" spans="1:5">
      <c r="A5240" s="2" t="s">
        <v>3274</v>
      </c>
      <c r="B5240" s="2" t="str">
        <f>"060820742"</f>
        <v>060820742</v>
      </c>
      <c r="C5240" s="2" t="str">
        <f>"060820742"</f>
        <v>060820742</v>
      </c>
      <c r="D5240" s="2" t="s">
        <v>6656</v>
      </c>
      <c r="E5240" s="4">
        <v>4300</v>
      </c>
    </row>
    <row r="5241" spans="1:5">
      <c r="A5241" s="2" t="s">
        <v>3274</v>
      </c>
      <c r="B5241" s="2" t="str">
        <f>"670113"</f>
        <v>670113</v>
      </c>
      <c r="C5241" s="2" t="str">
        <f>"670113"</f>
        <v>670113</v>
      </c>
      <c r="D5241" s="2" t="s">
        <v>6657</v>
      </c>
      <c r="E5241" s="4">
        <v>11000</v>
      </c>
    </row>
    <row r="5242" spans="1:5">
      <c r="A5242" s="2" t="s">
        <v>3274</v>
      </c>
      <c r="B5242" s="2" t="str">
        <f>"16000581"</f>
        <v>16000581</v>
      </c>
      <c r="C5242" s="2" t="str">
        <f>"1600058"</f>
        <v>1600058</v>
      </c>
      <c r="D5242" s="2" t="s">
        <v>6658</v>
      </c>
      <c r="E5242" s="4">
        <v>4300</v>
      </c>
    </row>
    <row r="5243" spans="1:5">
      <c r="A5243" s="2" t="s">
        <v>3274</v>
      </c>
      <c r="B5243" s="2" t="str">
        <f>"0009587"</f>
        <v>0009587</v>
      </c>
      <c r="C5243" s="2" t="str">
        <f>"0009587"</f>
        <v>0009587</v>
      </c>
      <c r="D5243" s="2" t="s">
        <v>6659</v>
      </c>
      <c r="E5243" s="4">
        <v>4300</v>
      </c>
    </row>
    <row r="5244" spans="1:5">
      <c r="A5244" s="2" t="s">
        <v>3274</v>
      </c>
      <c r="B5244" s="2" t="str">
        <f>"010813"</f>
        <v>010813</v>
      </c>
      <c r="C5244" s="2" t="str">
        <f>"010813"</f>
        <v>010813</v>
      </c>
      <c r="D5244" s="2" t="s">
        <v>6660</v>
      </c>
      <c r="E5244" s="4">
        <v>6800</v>
      </c>
    </row>
    <row r="5245" spans="1:5">
      <c r="A5245" s="2" t="s">
        <v>3274</v>
      </c>
      <c r="B5245" s="2" t="str">
        <f>"670121"</f>
        <v>670121</v>
      </c>
      <c r="C5245" s="2" t="str">
        <f>"670121"</f>
        <v>670121</v>
      </c>
      <c r="D5245" s="2" t="s">
        <v>6661</v>
      </c>
      <c r="E5245" s="4">
        <v>4100</v>
      </c>
    </row>
    <row r="5246" spans="1:5">
      <c r="A5246" s="2" t="s">
        <v>3274</v>
      </c>
      <c r="B5246" s="2" t="s">
        <v>6662</v>
      </c>
      <c r="C5246" s="2" t="s">
        <v>6662</v>
      </c>
      <c r="D5246" s="2" t="s">
        <v>6663</v>
      </c>
      <c r="E5246" s="4">
        <v>4000</v>
      </c>
    </row>
    <row r="5247" spans="1:5">
      <c r="A5247" s="2" t="s">
        <v>3274</v>
      </c>
      <c r="B5247" s="2" t="str">
        <f>"0010051"</f>
        <v>0010051</v>
      </c>
      <c r="C5247" s="2" t="str">
        <f>"0010051"</f>
        <v>0010051</v>
      </c>
      <c r="D5247" s="2" t="s">
        <v>6664</v>
      </c>
      <c r="E5247" s="4">
        <v>8800</v>
      </c>
    </row>
    <row r="5248" spans="1:5">
      <c r="A5248" s="2" t="s">
        <v>3274</v>
      </c>
      <c r="B5248" s="2" t="str">
        <f>"670116"</f>
        <v>670116</v>
      </c>
      <c r="C5248" s="2" t="str">
        <f>"670116"</f>
        <v>670116</v>
      </c>
      <c r="D5248" s="2" t="s">
        <v>6665</v>
      </c>
      <c r="E5248" s="4">
        <v>6200</v>
      </c>
    </row>
    <row r="5249" spans="1:5">
      <c r="A5249" s="2" t="s">
        <v>3274</v>
      </c>
      <c r="B5249" s="2" t="s">
        <v>6666</v>
      </c>
      <c r="C5249" s="2" t="s">
        <v>6666</v>
      </c>
      <c r="D5249" s="2" t="s">
        <v>6665</v>
      </c>
      <c r="E5249" s="4">
        <v>5700</v>
      </c>
    </row>
    <row r="5250" spans="1:5">
      <c r="A5250" s="2" t="s">
        <v>3274</v>
      </c>
      <c r="B5250" s="2" t="str">
        <f>"060820969"</f>
        <v>060820969</v>
      </c>
      <c r="C5250" s="2" t="str">
        <f>"060820969"</f>
        <v>060820969</v>
      </c>
      <c r="D5250" s="2" t="s">
        <v>6667</v>
      </c>
      <c r="E5250" s="4">
        <v>5200</v>
      </c>
    </row>
    <row r="5251" spans="1:5">
      <c r="A5251" s="2" t="s">
        <v>3274</v>
      </c>
      <c r="B5251" s="2" t="s">
        <v>6668</v>
      </c>
      <c r="C5251" s="2" t="s">
        <v>6668</v>
      </c>
      <c r="D5251" s="2" t="s">
        <v>6669</v>
      </c>
      <c r="E5251" s="4">
        <v>4900</v>
      </c>
    </row>
    <row r="5252" spans="1:5">
      <c r="A5252" s="2" t="s">
        <v>3274</v>
      </c>
      <c r="B5252" s="2" t="str">
        <f>"071231811"</f>
        <v>071231811</v>
      </c>
      <c r="C5252" s="2" t="str">
        <f>"070231811"</f>
        <v>070231811</v>
      </c>
      <c r="D5252" s="2" t="s">
        <v>6670</v>
      </c>
      <c r="E5252" s="4">
        <v>8800</v>
      </c>
    </row>
    <row r="5253" spans="1:5">
      <c r="A5253" s="2" t="s">
        <v>3274</v>
      </c>
      <c r="B5253" s="2" t="s">
        <v>6671</v>
      </c>
      <c r="C5253" s="2" t="s">
        <v>6671</v>
      </c>
      <c r="D5253" s="2" t="s">
        <v>6672</v>
      </c>
      <c r="E5253" s="4">
        <v>4300</v>
      </c>
    </row>
    <row r="5254" spans="1:5">
      <c r="A5254" s="2" t="s">
        <v>3274</v>
      </c>
      <c r="B5254" s="2" t="str">
        <f>"9953310"</f>
        <v>9953310</v>
      </c>
      <c r="C5254" s="2" t="str">
        <f>"9953310"</f>
        <v>9953310</v>
      </c>
      <c r="D5254" s="2" t="s">
        <v>6673</v>
      </c>
      <c r="E5254" s="4">
        <v>4300</v>
      </c>
    </row>
    <row r="5255" spans="1:5">
      <c r="A5255" s="2" t="s">
        <v>3274</v>
      </c>
      <c r="B5255" s="2" t="str">
        <f>"060820193"</f>
        <v>060820193</v>
      </c>
      <c r="C5255" s="2" t="str">
        <f>"060820193"</f>
        <v>060820193</v>
      </c>
      <c r="D5255" s="2" t="s">
        <v>6674</v>
      </c>
      <c r="E5255" s="4">
        <v>3400</v>
      </c>
    </row>
    <row r="5256" spans="1:5">
      <c r="A5256" s="2" t="s">
        <v>3274</v>
      </c>
      <c r="B5256" s="2" t="str">
        <f>"670142"</f>
        <v>670142</v>
      </c>
      <c r="C5256" s="2" t="str">
        <f>"670142"</f>
        <v>670142</v>
      </c>
      <c r="D5256" s="2" t="s">
        <v>6675</v>
      </c>
      <c r="E5256" s="4">
        <v>10900</v>
      </c>
    </row>
    <row r="5257" spans="1:5">
      <c r="A5257" s="2" t="s">
        <v>3274</v>
      </c>
      <c r="B5257" s="2" t="str">
        <f>"0009562"</f>
        <v>0009562</v>
      </c>
      <c r="C5257" s="2" t="str">
        <f>"0009562"</f>
        <v>0009562</v>
      </c>
      <c r="D5257" s="2" t="s">
        <v>6676</v>
      </c>
      <c r="E5257" s="4">
        <v>4300</v>
      </c>
    </row>
    <row r="5258" spans="1:5">
      <c r="A5258" s="2" t="s">
        <v>3274</v>
      </c>
      <c r="B5258" s="2" t="str">
        <f>"670495"</f>
        <v>670495</v>
      </c>
      <c r="C5258" s="2" t="s">
        <v>6677</v>
      </c>
      <c r="D5258" s="2" t="s">
        <v>6678</v>
      </c>
      <c r="E5258" s="4">
        <v>8900</v>
      </c>
    </row>
    <row r="5259" spans="1:5">
      <c r="A5259" s="2" t="s">
        <v>3274</v>
      </c>
      <c r="B5259" s="2" t="str">
        <f>"670135"</f>
        <v>670135</v>
      </c>
      <c r="C5259" s="2" t="str">
        <f>"670135"</f>
        <v>670135</v>
      </c>
      <c r="D5259" s="2" t="s">
        <v>6679</v>
      </c>
      <c r="E5259" s="4">
        <v>4900</v>
      </c>
    </row>
    <row r="5260" spans="1:5">
      <c r="A5260" s="2" t="s">
        <v>3274</v>
      </c>
      <c r="B5260" s="2" t="s">
        <v>6680</v>
      </c>
      <c r="C5260" s="2" t="s">
        <v>6680</v>
      </c>
      <c r="D5260" s="2" t="s">
        <v>6681</v>
      </c>
      <c r="E5260" s="4">
        <v>3800</v>
      </c>
    </row>
    <row r="5261" spans="1:5">
      <c r="A5261" s="2" t="s">
        <v>3274</v>
      </c>
      <c r="B5261" s="2" t="str">
        <f>"670151"</f>
        <v>670151</v>
      </c>
      <c r="C5261" s="2" t="str">
        <f>"670151"</f>
        <v>670151</v>
      </c>
      <c r="D5261" s="2" t="s">
        <v>6682</v>
      </c>
      <c r="E5261" s="4">
        <v>4200</v>
      </c>
    </row>
    <row r="5262" spans="1:5" ht="27.6">
      <c r="A5262" s="2" t="s">
        <v>3274</v>
      </c>
      <c r="B5262" s="2" t="str">
        <f>"0009560"</f>
        <v>0009560</v>
      </c>
      <c r="C5262" s="2" t="str">
        <f>"0009560"</f>
        <v>0009560</v>
      </c>
      <c r="D5262" s="2" t="s">
        <v>6683</v>
      </c>
      <c r="E5262" s="4">
        <v>4300</v>
      </c>
    </row>
    <row r="5263" spans="1:5">
      <c r="A5263" s="2" t="s">
        <v>3274</v>
      </c>
      <c r="B5263" s="2" t="s">
        <v>6684</v>
      </c>
      <c r="C5263" s="2" t="s">
        <v>6684</v>
      </c>
      <c r="D5263" s="2" t="s">
        <v>6685</v>
      </c>
      <c r="E5263" s="4">
        <v>3000</v>
      </c>
    </row>
    <row r="5264" spans="1:5">
      <c r="A5264" s="2" t="s">
        <v>3274</v>
      </c>
      <c r="B5264" s="2" t="str">
        <f>"060820093"</f>
        <v>060820093</v>
      </c>
      <c r="C5264" s="2" t="str">
        <f>"0060820093"</f>
        <v>0060820093</v>
      </c>
      <c r="D5264" s="2" t="s">
        <v>6686</v>
      </c>
      <c r="E5264" s="4">
        <v>3000</v>
      </c>
    </row>
    <row r="5265" spans="1:5">
      <c r="A5265" s="2" t="s">
        <v>3274</v>
      </c>
      <c r="B5265" s="2" t="str">
        <f>"060821048"</f>
        <v>060821048</v>
      </c>
      <c r="C5265" s="2" t="str">
        <f>"060821048"</f>
        <v>060821048</v>
      </c>
      <c r="D5265" s="2" t="s">
        <v>6687</v>
      </c>
      <c r="E5265" s="4">
        <v>3400</v>
      </c>
    </row>
    <row r="5266" spans="1:5">
      <c r="A5266" s="2" t="s">
        <v>3274</v>
      </c>
      <c r="B5266" s="2" t="s">
        <v>6688</v>
      </c>
      <c r="C5266" s="2" t="s">
        <v>6688</v>
      </c>
      <c r="D5266" s="2" t="s">
        <v>6689</v>
      </c>
      <c r="E5266" s="4">
        <v>4800</v>
      </c>
    </row>
    <row r="5267" spans="1:5">
      <c r="A5267" s="2" t="s">
        <v>3274</v>
      </c>
      <c r="B5267" s="2" t="str">
        <f>"0009601"</f>
        <v>0009601</v>
      </c>
      <c r="C5267" s="2" t="str">
        <f>"0009601"</f>
        <v>0009601</v>
      </c>
      <c r="D5267" s="2" t="s">
        <v>6690</v>
      </c>
      <c r="E5267" s="4">
        <v>7000</v>
      </c>
    </row>
    <row r="5268" spans="1:5">
      <c r="A5268" s="2" t="s">
        <v>3274</v>
      </c>
      <c r="B5268" s="2" t="str">
        <f>"060820671"</f>
        <v>060820671</v>
      </c>
      <c r="C5268" s="2" t="str">
        <f>"060820671"</f>
        <v>060820671</v>
      </c>
      <c r="D5268" s="2" t="s">
        <v>6691</v>
      </c>
      <c r="E5268" s="4">
        <v>5200</v>
      </c>
    </row>
    <row r="5269" spans="1:5">
      <c r="A5269" s="2" t="s">
        <v>3274</v>
      </c>
      <c r="B5269" s="2" t="str">
        <f>"060821131"</f>
        <v>060821131</v>
      </c>
      <c r="C5269" s="2" t="str">
        <f>"060821131"</f>
        <v>060821131</v>
      </c>
      <c r="D5269" s="2" t="s">
        <v>6692</v>
      </c>
      <c r="E5269" s="4">
        <v>5000</v>
      </c>
    </row>
    <row r="5270" spans="1:5">
      <c r="A5270" s="2" t="s">
        <v>3274</v>
      </c>
      <c r="B5270" s="2" t="str">
        <f>"670374"</f>
        <v>670374</v>
      </c>
      <c r="C5270" s="2" t="str">
        <f>"670374"</f>
        <v>670374</v>
      </c>
      <c r="D5270" s="2" t="s">
        <v>6693</v>
      </c>
      <c r="E5270" s="4">
        <v>8800</v>
      </c>
    </row>
    <row r="5271" spans="1:5">
      <c r="A5271" s="2" t="s">
        <v>3274</v>
      </c>
      <c r="B5271" s="2" t="str">
        <f>"060820055"</f>
        <v>060820055</v>
      </c>
      <c r="C5271" s="2" t="str">
        <f>"060820055"</f>
        <v>060820055</v>
      </c>
      <c r="D5271" s="2" t="s">
        <v>6694</v>
      </c>
      <c r="E5271" s="4">
        <v>4300</v>
      </c>
    </row>
    <row r="5272" spans="1:5">
      <c r="A5272" s="2" t="s">
        <v>3274</v>
      </c>
      <c r="B5272" s="2" t="s">
        <v>6695</v>
      </c>
      <c r="C5272" s="2" t="s">
        <v>6695</v>
      </c>
      <c r="D5272" s="2" t="s">
        <v>6696</v>
      </c>
      <c r="E5272" s="4">
        <v>5400</v>
      </c>
    </row>
    <row r="5273" spans="1:5">
      <c r="A5273" s="2" t="s">
        <v>3274</v>
      </c>
      <c r="B5273" s="2" t="str">
        <f>"060820814"</f>
        <v>060820814</v>
      </c>
      <c r="C5273" s="2" t="str">
        <f>"060820814"</f>
        <v>060820814</v>
      </c>
      <c r="D5273" s="2" t="s">
        <v>6697</v>
      </c>
      <c r="E5273" s="4">
        <v>3400</v>
      </c>
    </row>
    <row r="5274" spans="1:5">
      <c r="A5274" s="2" t="s">
        <v>3274</v>
      </c>
      <c r="B5274" s="2" t="s">
        <v>6698</v>
      </c>
      <c r="C5274" s="2" t="s">
        <v>6699</v>
      </c>
      <c r="D5274" s="2" t="s">
        <v>6700</v>
      </c>
      <c r="E5274" s="4">
        <v>17500</v>
      </c>
    </row>
    <row r="5275" spans="1:5">
      <c r="A5275" s="2" t="s">
        <v>3274</v>
      </c>
      <c r="B5275" s="2" t="str">
        <f>"9952589"</f>
        <v>9952589</v>
      </c>
      <c r="C5275" s="2" t="str">
        <f>"9952589"</f>
        <v>9952589</v>
      </c>
      <c r="D5275" s="2" t="s">
        <v>6701</v>
      </c>
      <c r="E5275" s="4">
        <v>4300</v>
      </c>
    </row>
    <row r="5276" spans="1:5">
      <c r="A5276" s="2" t="s">
        <v>3274</v>
      </c>
      <c r="B5276" s="2" t="s">
        <v>6702</v>
      </c>
      <c r="C5276" s="2" t="s">
        <v>6703</v>
      </c>
      <c r="D5276" s="2" t="s">
        <v>6704</v>
      </c>
      <c r="E5276" s="4">
        <v>3600</v>
      </c>
    </row>
    <row r="5277" spans="1:5">
      <c r="A5277" s="2" t="s">
        <v>3274</v>
      </c>
      <c r="B5277" s="2" t="s">
        <v>6705</v>
      </c>
      <c r="C5277" s="2" t="s">
        <v>6706</v>
      </c>
      <c r="D5277" s="2" t="s">
        <v>6707</v>
      </c>
      <c r="E5277" s="4">
        <v>3500</v>
      </c>
    </row>
    <row r="5278" spans="1:5">
      <c r="A5278" s="2" t="s">
        <v>3274</v>
      </c>
      <c r="B5278" s="2" t="s">
        <v>6708</v>
      </c>
      <c r="C5278" s="2" t="s">
        <v>6709</v>
      </c>
      <c r="D5278" s="2" t="s">
        <v>6710</v>
      </c>
      <c r="E5278" s="4">
        <v>3700</v>
      </c>
    </row>
    <row r="5279" spans="1:5">
      <c r="A5279" s="2" t="s">
        <v>3274</v>
      </c>
      <c r="B5279" s="2" t="s">
        <v>6073</v>
      </c>
      <c r="C5279" s="2" t="s">
        <v>6711</v>
      </c>
      <c r="D5279" s="2" t="s">
        <v>6712</v>
      </c>
      <c r="E5279" s="4">
        <v>4200</v>
      </c>
    </row>
    <row r="5280" spans="1:5">
      <c r="A5280" s="2" t="s">
        <v>3274</v>
      </c>
      <c r="B5280" s="2" t="s">
        <v>6713</v>
      </c>
      <c r="C5280" s="2" t="s">
        <v>6714</v>
      </c>
      <c r="D5280" s="2" t="s">
        <v>6715</v>
      </c>
      <c r="E5280" s="4">
        <v>3500</v>
      </c>
    </row>
    <row r="5281" spans="1:5">
      <c r="A5281" s="2" t="s">
        <v>3274</v>
      </c>
      <c r="B5281" s="2" t="s">
        <v>6716</v>
      </c>
      <c r="C5281" s="2" t="s">
        <v>6716</v>
      </c>
      <c r="D5281" s="2" t="s">
        <v>6717</v>
      </c>
      <c r="E5281" s="4">
        <v>3400</v>
      </c>
    </row>
    <row r="5282" spans="1:5">
      <c r="A5282" s="2" t="s">
        <v>3274</v>
      </c>
      <c r="B5282" s="2" t="s">
        <v>6718</v>
      </c>
      <c r="C5282" s="2" t="s">
        <v>6719</v>
      </c>
      <c r="D5282" s="2" t="s">
        <v>6720</v>
      </c>
      <c r="E5282" s="4">
        <v>3000</v>
      </c>
    </row>
    <row r="5283" spans="1:5">
      <c r="A5283" s="2" t="s">
        <v>3274</v>
      </c>
      <c r="B5283" s="2" t="s">
        <v>6721</v>
      </c>
      <c r="C5283" s="2" t="s">
        <v>6722</v>
      </c>
      <c r="D5283" s="2" t="s">
        <v>6723</v>
      </c>
      <c r="E5283" s="4">
        <v>8500</v>
      </c>
    </row>
    <row r="5284" spans="1:5">
      <c r="A5284" s="2" t="s">
        <v>3274</v>
      </c>
      <c r="B5284" s="2" t="s">
        <v>6724</v>
      </c>
      <c r="C5284" s="2" t="s">
        <v>6725</v>
      </c>
      <c r="D5284" s="2" t="s">
        <v>6726</v>
      </c>
      <c r="E5284" s="4">
        <v>15700</v>
      </c>
    </row>
    <row r="5285" spans="1:5">
      <c r="A5285" s="2" t="s">
        <v>3274</v>
      </c>
      <c r="B5285" s="2" t="str">
        <f>"060820144"</f>
        <v>060820144</v>
      </c>
      <c r="C5285" s="2" t="s">
        <v>6727</v>
      </c>
      <c r="D5285" s="2" t="s">
        <v>6728</v>
      </c>
      <c r="E5285" s="4">
        <v>5900</v>
      </c>
    </row>
    <row r="5286" spans="1:5">
      <c r="A5286" s="2" t="s">
        <v>3274</v>
      </c>
      <c r="B5286" s="2" t="str">
        <f>"450415"</f>
        <v>450415</v>
      </c>
      <c r="C5286" s="2" t="str">
        <f>"450415"</f>
        <v>450415</v>
      </c>
      <c r="D5286" s="2" t="s">
        <v>6729</v>
      </c>
      <c r="E5286" s="4">
        <v>16000</v>
      </c>
    </row>
    <row r="5287" spans="1:5">
      <c r="A5287" s="2" t="s">
        <v>3274</v>
      </c>
      <c r="B5287" s="2" t="str">
        <f>"060820999"</f>
        <v>060820999</v>
      </c>
      <c r="C5287" s="2" t="str">
        <f>"001414475-7"</f>
        <v>001414475-7</v>
      </c>
      <c r="D5287" s="2" t="s">
        <v>6730</v>
      </c>
      <c r="E5287" s="4">
        <v>10600</v>
      </c>
    </row>
    <row r="5288" spans="1:5">
      <c r="A5288" s="2" t="s">
        <v>3274</v>
      </c>
      <c r="B5288" s="2" t="str">
        <f>"030820007"</f>
        <v>030820007</v>
      </c>
      <c r="C5288" s="2" t="str">
        <f>"030820007"</f>
        <v>030820007</v>
      </c>
      <c r="D5288" s="2" t="s">
        <v>6731</v>
      </c>
      <c r="E5288" s="4">
        <v>4300</v>
      </c>
    </row>
    <row r="5289" spans="1:5">
      <c r="A5289" s="2" t="s">
        <v>3274</v>
      </c>
      <c r="B5289" s="2" t="s">
        <v>6732</v>
      </c>
      <c r="C5289" s="2" t="s">
        <v>6733</v>
      </c>
      <c r="D5289" s="2" t="s">
        <v>6734</v>
      </c>
      <c r="E5289" s="4">
        <v>8200</v>
      </c>
    </row>
    <row r="5290" spans="1:5">
      <c r="A5290" s="2" t="s">
        <v>3274</v>
      </c>
      <c r="B5290" s="2" t="s">
        <v>6735</v>
      </c>
      <c r="C5290" s="2" t="str">
        <f>"1464019535 0009745"</f>
        <v>1464019535 0009745</v>
      </c>
      <c r="D5290" s="2" t="s">
        <v>6736</v>
      </c>
      <c r="E5290" s="4">
        <v>8000</v>
      </c>
    </row>
    <row r="5291" spans="1:5">
      <c r="A5291" s="2" t="s">
        <v>3274</v>
      </c>
      <c r="B5291" s="2" t="str">
        <f>"060820216"</f>
        <v>060820216</v>
      </c>
      <c r="C5291" s="2" t="str">
        <f>"060820216"</f>
        <v>060820216</v>
      </c>
      <c r="D5291" s="2" t="s">
        <v>6737</v>
      </c>
      <c r="E5291" s="4">
        <v>5200</v>
      </c>
    </row>
    <row r="5292" spans="1:5">
      <c r="A5292" s="2" t="s">
        <v>3274</v>
      </c>
      <c r="B5292" s="2" t="str">
        <f>"451209"</f>
        <v>451209</v>
      </c>
      <c r="C5292" s="2" t="str">
        <f>"451209"</f>
        <v>451209</v>
      </c>
      <c r="D5292" s="2" t="s">
        <v>6738</v>
      </c>
      <c r="E5292" s="4">
        <v>10500</v>
      </c>
    </row>
    <row r="5293" spans="1:5">
      <c r="A5293" s="2" t="s">
        <v>3274</v>
      </c>
      <c r="B5293" s="2" t="s">
        <v>6739</v>
      </c>
      <c r="C5293" s="2" t="s">
        <v>6739</v>
      </c>
      <c r="D5293" s="2" t="s">
        <v>6740</v>
      </c>
      <c r="E5293" s="4">
        <v>7900</v>
      </c>
    </row>
    <row r="5294" spans="1:5">
      <c r="A5294" s="2" t="s">
        <v>3274</v>
      </c>
      <c r="B5294" s="2" t="s">
        <v>6741</v>
      </c>
      <c r="C5294" s="2" t="s">
        <v>6742</v>
      </c>
      <c r="D5294" s="2" t="s">
        <v>6743</v>
      </c>
      <c r="E5294" s="4">
        <v>5800</v>
      </c>
    </row>
    <row r="5295" spans="1:5">
      <c r="A5295" s="2" t="s">
        <v>3274</v>
      </c>
      <c r="B5295" s="2" t="str">
        <f>"16546-0W800"</f>
        <v>16546-0W800</v>
      </c>
      <c r="C5295" s="2" t="s">
        <v>6744</v>
      </c>
      <c r="D5295" s="2" t="s">
        <v>6745</v>
      </c>
      <c r="E5295" s="4">
        <v>6100</v>
      </c>
    </row>
    <row r="5296" spans="1:5">
      <c r="A5296" s="2" t="s">
        <v>3274</v>
      </c>
      <c r="B5296" s="2" t="str">
        <f>"060820489"</f>
        <v>060820489</v>
      </c>
      <c r="C5296" s="2" t="str">
        <f>"060820489"</f>
        <v>060820489</v>
      </c>
      <c r="D5296" s="2" t="s">
        <v>6746</v>
      </c>
      <c r="E5296" s="4">
        <v>6500</v>
      </c>
    </row>
    <row r="5297" spans="1:5">
      <c r="A5297" s="2" t="s">
        <v>3274</v>
      </c>
      <c r="B5297" s="2" t="str">
        <f>"060820163"</f>
        <v>060820163</v>
      </c>
      <c r="C5297" s="2" t="str">
        <f>"060820163"</f>
        <v>060820163</v>
      </c>
      <c r="D5297" s="2" t="s">
        <v>6747</v>
      </c>
      <c r="E5297" s="4">
        <v>7000</v>
      </c>
    </row>
    <row r="5298" spans="1:5">
      <c r="A5298" s="2" t="s">
        <v>3274</v>
      </c>
      <c r="B5298" s="2" t="s">
        <v>6748</v>
      </c>
      <c r="C5298" s="2" t="s">
        <v>6749</v>
      </c>
      <c r="D5298" s="2" t="s">
        <v>6750</v>
      </c>
      <c r="E5298" s="4">
        <v>9800</v>
      </c>
    </row>
    <row r="5299" spans="1:5">
      <c r="A5299" s="2" t="s">
        <v>3274</v>
      </c>
      <c r="B5299" s="2" t="s">
        <v>6751</v>
      </c>
      <c r="C5299" s="2" t="s">
        <v>6752</v>
      </c>
      <c r="D5299" s="2" t="s">
        <v>6753</v>
      </c>
      <c r="E5299" s="4">
        <v>9900</v>
      </c>
    </row>
    <row r="5300" spans="1:5">
      <c r="A5300" s="2" t="s">
        <v>3274</v>
      </c>
      <c r="B5300" s="2" t="str">
        <f>"451002"</f>
        <v>451002</v>
      </c>
      <c r="C5300" s="2" t="str">
        <f>"451002"</f>
        <v>451002</v>
      </c>
      <c r="D5300" s="2" t="s">
        <v>6754</v>
      </c>
      <c r="E5300" s="4">
        <v>9400</v>
      </c>
    </row>
    <row r="5301" spans="1:5">
      <c r="A5301" s="2" t="s">
        <v>3274</v>
      </c>
      <c r="B5301" s="2" t="str">
        <f>"060820147"</f>
        <v>060820147</v>
      </c>
      <c r="C5301" s="2" t="str">
        <f>"060820147"</f>
        <v>060820147</v>
      </c>
      <c r="D5301" s="2" t="s">
        <v>6755</v>
      </c>
      <c r="E5301" s="4">
        <v>6100</v>
      </c>
    </row>
    <row r="5302" spans="1:5">
      <c r="A5302" s="2" t="s">
        <v>3274</v>
      </c>
      <c r="B5302" s="2" t="s">
        <v>6756</v>
      </c>
      <c r="C5302" s="2" t="s">
        <v>6756</v>
      </c>
      <c r="D5302" s="2" t="s">
        <v>6757</v>
      </c>
      <c r="E5302" s="4">
        <v>8500</v>
      </c>
    </row>
    <row r="5303" spans="1:5">
      <c r="A5303" s="2" t="s">
        <v>3274</v>
      </c>
      <c r="B5303" s="2" t="str">
        <f>"060820111"</f>
        <v>060820111</v>
      </c>
      <c r="C5303" s="2" t="s">
        <v>6758</v>
      </c>
      <c r="D5303" s="2" t="s">
        <v>6759</v>
      </c>
      <c r="E5303" s="4">
        <v>4300</v>
      </c>
    </row>
    <row r="5304" spans="1:5">
      <c r="A5304" s="2" t="s">
        <v>3274</v>
      </c>
      <c r="B5304" s="2" t="s">
        <v>6760</v>
      </c>
      <c r="C5304" s="2" t="s">
        <v>6761</v>
      </c>
      <c r="D5304" s="2" t="s">
        <v>6762</v>
      </c>
      <c r="E5304" s="4">
        <v>12600</v>
      </c>
    </row>
    <row r="5305" spans="1:5">
      <c r="A5305" s="2" t="s">
        <v>3274</v>
      </c>
      <c r="B5305" s="2" t="s">
        <v>6763</v>
      </c>
      <c r="C5305" s="2" t="s">
        <v>6764</v>
      </c>
      <c r="D5305" s="2" t="s">
        <v>6765</v>
      </c>
      <c r="E5305" s="4">
        <v>10500</v>
      </c>
    </row>
    <row r="5306" spans="1:5">
      <c r="A5306" s="2" t="s">
        <v>3274</v>
      </c>
      <c r="B5306" s="2" t="str">
        <f>"060820887"</f>
        <v>060820887</v>
      </c>
      <c r="C5306" s="2" t="str">
        <f>"060820887"</f>
        <v>060820887</v>
      </c>
      <c r="D5306" s="2" t="s">
        <v>6766</v>
      </c>
      <c r="E5306" s="4">
        <v>9700</v>
      </c>
    </row>
    <row r="5307" spans="1:5">
      <c r="A5307" s="2" t="s">
        <v>3274</v>
      </c>
      <c r="B5307" s="2" t="s">
        <v>6767</v>
      </c>
      <c r="C5307" s="2" t="str">
        <f>"1566559929529"</f>
        <v>1566559929529</v>
      </c>
      <c r="D5307" s="2" t="s">
        <v>6768</v>
      </c>
      <c r="E5307" s="4">
        <v>9900</v>
      </c>
    </row>
    <row r="5308" spans="1:5">
      <c r="A5308" s="2" t="s">
        <v>3274</v>
      </c>
      <c r="B5308" s="2" t="str">
        <f>"060820051"</f>
        <v>060820051</v>
      </c>
      <c r="C5308" s="2" t="str">
        <f>"060820051"</f>
        <v>060820051</v>
      </c>
      <c r="D5308" s="2" t="s">
        <v>6769</v>
      </c>
      <c r="E5308" s="4">
        <v>8800</v>
      </c>
    </row>
    <row r="5309" spans="1:5">
      <c r="A5309" s="2" t="s">
        <v>3274</v>
      </c>
      <c r="B5309" s="2" t="str">
        <f>"451215"</f>
        <v>451215</v>
      </c>
      <c r="C5309" s="2" t="str">
        <f>"451215"</f>
        <v>451215</v>
      </c>
      <c r="D5309" s="2" t="s">
        <v>6770</v>
      </c>
      <c r="E5309" s="4">
        <v>9200</v>
      </c>
    </row>
    <row r="5310" spans="1:5">
      <c r="A5310" s="2" t="s">
        <v>3274</v>
      </c>
      <c r="B5310" s="2" t="s">
        <v>6771</v>
      </c>
      <c r="C5310" s="2" t="s">
        <v>6772</v>
      </c>
      <c r="D5310" s="2" t="s">
        <v>6773</v>
      </c>
      <c r="E5310" s="4">
        <v>12300</v>
      </c>
    </row>
    <row r="5311" spans="1:5">
      <c r="A5311" s="2" t="s">
        <v>3274</v>
      </c>
      <c r="B5311" s="2" t="s">
        <v>6774</v>
      </c>
      <c r="C5311" s="2" t="s">
        <v>6775</v>
      </c>
      <c r="D5311" s="2" t="s">
        <v>6776</v>
      </c>
      <c r="E5311" s="4">
        <v>8300</v>
      </c>
    </row>
    <row r="5312" spans="1:5">
      <c r="A5312" s="2" t="s">
        <v>3274</v>
      </c>
      <c r="B5312" s="2" t="s">
        <v>6777</v>
      </c>
      <c r="C5312" s="2" t="s">
        <v>6778</v>
      </c>
      <c r="D5312" s="2" t="s">
        <v>6779</v>
      </c>
      <c r="E5312" s="4">
        <v>7300</v>
      </c>
    </row>
    <row r="5313" spans="1:5">
      <c r="A5313" s="2" t="s">
        <v>3274</v>
      </c>
      <c r="B5313" s="2" t="str">
        <f>"0009604"</f>
        <v>0009604</v>
      </c>
      <c r="C5313" s="2" t="str">
        <f>"0009604"</f>
        <v>0009604</v>
      </c>
      <c r="D5313" s="2" t="s">
        <v>6780</v>
      </c>
      <c r="E5313" s="4">
        <v>7000</v>
      </c>
    </row>
    <row r="5314" spans="1:5">
      <c r="A5314" s="2" t="s">
        <v>3274</v>
      </c>
      <c r="B5314" s="2" t="str">
        <f>"301264"</f>
        <v>301264</v>
      </c>
      <c r="C5314" s="2" t="str">
        <f>"301264"</f>
        <v>301264</v>
      </c>
      <c r="D5314" s="2" t="s">
        <v>6781</v>
      </c>
      <c r="E5314" s="4">
        <v>4000</v>
      </c>
    </row>
    <row r="5315" spans="1:5">
      <c r="A5315" s="2" t="s">
        <v>3274</v>
      </c>
      <c r="B5315" s="2" t="s">
        <v>6782</v>
      </c>
      <c r="C5315" s="2" t="s">
        <v>6783</v>
      </c>
      <c r="D5315" s="2" t="s">
        <v>6784</v>
      </c>
      <c r="E5315" s="4">
        <v>13400</v>
      </c>
    </row>
    <row r="5316" spans="1:5">
      <c r="A5316" s="2" t="s">
        <v>3274</v>
      </c>
      <c r="B5316" s="2" t="s">
        <v>6785</v>
      </c>
      <c r="C5316" s="2" t="s">
        <v>6786</v>
      </c>
      <c r="D5316" s="2" t="s">
        <v>6787</v>
      </c>
      <c r="E5316" s="4">
        <v>14400</v>
      </c>
    </row>
    <row r="5317" spans="1:5">
      <c r="A5317" s="2" t="s">
        <v>3274</v>
      </c>
      <c r="B5317" s="2" t="str">
        <f>"28113-32510"</f>
        <v>28113-32510</v>
      </c>
      <c r="C5317" s="2" t="s">
        <v>6788</v>
      </c>
      <c r="D5317" s="2" t="s">
        <v>6789</v>
      </c>
      <c r="E5317" s="4">
        <v>4000</v>
      </c>
    </row>
    <row r="5318" spans="1:5">
      <c r="A5318" s="2" t="s">
        <v>3274</v>
      </c>
      <c r="B5318" s="2" t="s">
        <v>6790</v>
      </c>
      <c r="C5318" s="2" t="s">
        <v>6791</v>
      </c>
      <c r="D5318" s="2" t="s">
        <v>6792</v>
      </c>
      <c r="E5318" s="4">
        <v>6500</v>
      </c>
    </row>
    <row r="5319" spans="1:5">
      <c r="A5319" s="2" t="s">
        <v>3274</v>
      </c>
      <c r="B5319" s="2" t="s">
        <v>6793</v>
      </c>
      <c r="C5319" s="2" t="s">
        <v>6794</v>
      </c>
      <c r="D5319" s="2" t="s">
        <v>6795</v>
      </c>
      <c r="E5319" s="4">
        <v>4800</v>
      </c>
    </row>
    <row r="5320" spans="1:5">
      <c r="A5320" s="2" t="s">
        <v>3274</v>
      </c>
      <c r="B5320" s="2" t="str">
        <f>"060820103"</f>
        <v>060820103</v>
      </c>
      <c r="C5320" s="2" t="str">
        <f>"008201036"</f>
        <v>008201036</v>
      </c>
      <c r="D5320" s="2" t="s">
        <v>6796</v>
      </c>
      <c r="E5320" s="4">
        <v>3400</v>
      </c>
    </row>
    <row r="5321" spans="1:5">
      <c r="A5321" s="2" t="s">
        <v>3274</v>
      </c>
      <c r="B5321" s="2" t="s">
        <v>6797</v>
      </c>
      <c r="C5321" s="2" t="s">
        <v>6798</v>
      </c>
      <c r="D5321" s="2" t="s">
        <v>6799</v>
      </c>
      <c r="E5321" s="4">
        <v>4000</v>
      </c>
    </row>
    <row r="5322" spans="1:5">
      <c r="A5322" s="2" t="s">
        <v>3274</v>
      </c>
      <c r="B5322" s="2" t="str">
        <f>"060820222"</f>
        <v>060820222</v>
      </c>
      <c r="C5322" s="2" t="str">
        <f>"060820222"</f>
        <v>060820222</v>
      </c>
      <c r="D5322" s="2" t="s">
        <v>6800</v>
      </c>
      <c r="E5322" s="4">
        <v>3800</v>
      </c>
    </row>
    <row r="5323" spans="1:5">
      <c r="A5323" s="2" t="s">
        <v>3274</v>
      </c>
      <c r="B5323" s="2" t="str">
        <f>"060820127"</f>
        <v>060820127</v>
      </c>
      <c r="C5323" s="2" t="str">
        <f>"060820127"</f>
        <v>060820127</v>
      </c>
      <c r="D5323" s="2" t="s">
        <v>6801</v>
      </c>
      <c r="E5323" s="4">
        <v>8800</v>
      </c>
    </row>
    <row r="5324" spans="1:5">
      <c r="A5324" s="2" t="s">
        <v>3274</v>
      </c>
      <c r="B5324" s="2" t="s">
        <v>6802</v>
      </c>
      <c r="C5324" s="2" t="s">
        <v>6803</v>
      </c>
      <c r="D5324" s="2" t="s">
        <v>6804</v>
      </c>
      <c r="E5324" s="4">
        <v>3400</v>
      </c>
    </row>
    <row r="5325" spans="1:5">
      <c r="A5325" s="2" t="s">
        <v>3274</v>
      </c>
      <c r="B5325" s="2" t="s">
        <v>6805</v>
      </c>
      <c r="C5325" s="2" t="s">
        <v>6806</v>
      </c>
      <c r="D5325" s="2" t="s">
        <v>6807</v>
      </c>
      <c r="E5325" s="4">
        <v>9900</v>
      </c>
    </row>
    <row r="5326" spans="1:5">
      <c r="A5326" s="2" t="s">
        <v>3274</v>
      </c>
      <c r="B5326" s="2" t="str">
        <f>"0009605"</f>
        <v>0009605</v>
      </c>
      <c r="C5326" s="2" t="str">
        <f>"0009605"</f>
        <v>0009605</v>
      </c>
      <c r="D5326" s="2" t="s">
        <v>6808</v>
      </c>
      <c r="E5326" s="4">
        <v>4800</v>
      </c>
    </row>
    <row r="5327" spans="1:5">
      <c r="A5327" s="2" t="s">
        <v>3274</v>
      </c>
      <c r="B5327" s="2" t="str">
        <f>"030820016"</f>
        <v>030820016</v>
      </c>
      <c r="C5327" s="2" t="str">
        <f>"030820016"</f>
        <v>030820016</v>
      </c>
      <c r="D5327" s="2" t="s">
        <v>6809</v>
      </c>
      <c r="E5327" s="4">
        <v>4300</v>
      </c>
    </row>
    <row r="5328" spans="1:5">
      <c r="A5328" s="2" t="s">
        <v>3274</v>
      </c>
      <c r="B5328" s="2" t="str">
        <f>"0012149"</f>
        <v>0012149</v>
      </c>
      <c r="C5328" s="2" t="str">
        <f>"0012149"</f>
        <v>0012149</v>
      </c>
      <c r="D5328" s="2" t="s">
        <v>6810</v>
      </c>
      <c r="E5328" s="4">
        <v>8800</v>
      </c>
    </row>
    <row r="5329" spans="1:5">
      <c r="A5329" s="2" t="s">
        <v>3274</v>
      </c>
      <c r="B5329" s="2" t="str">
        <f>"060820830"</f>
        <v>060820830</v>
      </c>
      <c r="C5329" s="2" t="str">
        <f>"060820830"</f>
        <v>060820830</v>
      </c>
      <c r="D5329" s="2" t="s">
        <v>6811</v>
      </c>
      <c r="E5329" s="4">
        <v>4300</v>
      </c>
    </row>
    <row r="5330" spans="1:5">
      <c r="A5330" s="2" t="s">
        <v>3274</v>
      </c>
      <c r="B5330" s="2" t="s">
        <v>6812</v>
      </c>
      <c r="C5330" s="2" t="s">
        <v>6813</v>
      </c>
      <c r="D5330" s="2" t="s">
        <v>6814</v>
      </c>
      <c r="E5330" s="4">
        <v>4600</v>
      </c>
    </row>
    <row r="5331" spans="1:5">
      <c r="A5331" s="2" t="s">
        <v>3274</v>
      </c>
      <c r="B5331" s="2" t="str">
        <f>"060821179"</f>
        <v>060821179</v>
      </c>
      <c r="C5331" s="2" t="s">
        <v>6815</v>
      </c>
      <c r="D5331" s="2" t="s">
        <v>6816</v>
      </c>
      <c r="E5331" s="4">
        <v>4300</v>
      </c>
    </row>
    <row r="5332" spans="1:5">
      <c r="A5332" s="2" t="s">
        <v>3274</v>
      </c>
      <c r="B5332" s="2" t="s">
        <v>6817</v>
      </c>
      <c r="C5332" s="2" t="s">
        <v>6818</v>
      </c>
      <c r="D5332" s="2" t="s">
        <v>6819</v>
      </c>
      <c r="E5332" s="4">
        <v>7500</v>
      </c>
    </row>
    <row r="5333" spans="1:5">
      <c r="A5333" s="2" t="s">
        <v>3274</v>
      </c>
      <c r="B5333" s="2" t="s">
        <v>6820</v>
      </c>
      <c r="C5333" s="2" t="s">
        <v>6821</v>
      </c>
      <c r="D5333" s="2" t="s">
        <v>6822</v>
      </c>
      <c r="E5333" s="4">
        <v>13500</v>
      </c>
    </row>
    <row r="5334" spans="1:5">
      <c r="A5334" s="2" t="s">
        <v>3274</v>
      </c>
      <c r="B5334" s="2" t="str">
        <f>"13780-79210"</f>
        <v>13780-79210</v>
      </c>
      <c r="C5334" s="2" t="str">
        <f>"13780-79210"</f>
        <v>13780-79210</v>
      </c>
      <c r="D5334" s="2" t="s">
        <v>6823</v>
      </c>
      <c r="E5334" s="4">
        <v>3400</v>
      </c>
    </row>
    <row r="5335" spans="1:5">
      <c r="A5335" s="2" t="s">
        <v>3274</v>
      </c>
      <c r="B5335" s="2" t="s">
        <v>6824</v>
      </c>
      <c r="C5335" s="2" t="s">
        <v>6825</v>
      </c>
      <c r="D5335" s="2" t="s">
        <v>6826</v>
      </c>
      <c r="E5335" s="4">
        <v>5900</v>
      </c>
    </row>
    <row r="5336" spans="1:5">
      <c r="A5336" s="2" t="s">
        <v>3274</v>
      </c>
      <c r="B5336" s="2" t="str">
        <f>"060821181"</f>
        <v>060821181</v>
      </c>
      <c r="C5336" s="2" t="str">
        <f>"004756"</f>
        <v>004756</v>
      </c>
      <c r="D5336" s="2" t="s">
        <v>6827</v>
      </c>
      <c r="E5336" s="4">
        <v>8800</v>
      </c>
    </row>
    <row r="5337" spans="1:5">
      <c r="A5337" s="2" t="s">
        <v>3274</v>
      </c>
      <c r="B5337" s="2" t="str">
        <f>"0021067"</f>
        <v>0021067</v>
      </c>
      <c r="C5337" s="2" t="str">
        <f>"0021067"</f>
        <v>0021067</v>
      </c>
      <c r="D5337" s="2" t="s">
        <v>6828</v>
      </c>
      <c r="E5337" s="4">
        <v>8800</v>
      </c>
    </row>
    <row r="5338" spans="1:5">
      <c r="A5338" s="2" t="s">
        <v>3274</v>
      </c>
      <c r="B5338" s="2" t="str">
        <f>"451352"</f>
        <v>451352</v>
      </c>
      <c r="C5338" s="2" t="str">
        <f>"451352"</f>
        <v>451352</v>
      </c>
      <c r="D5338" s="2" t="s">
        <v>6829</v>
      </c>
      <c r="E5338" s="4">
        <v>4300</v>
      </c>
    </row>
    <row r="5339" spans="1:5">
      <c r="A5339" s="2" t="s">
        <v>3274</v>
      </c>
      <c r="B5339" s="2" t="str">
        <f>"1S00010"</f>
        <v>1S00010</v>
      </c>
      <c r="C5339" s="2" t="str">
        <f>"1S00010"</f>
        <v>1S00010</v>
      </c>
      <c r="D5339" s="2" t="s">
        <v>6830</v>
      </c>
      <c r="E5339" s="4">
        <v>4300</v>
      </c>
    </row>
    <row r="5340" spans="1:5">
      <c r="A5340" s="2" t="s">
        <v>3274</v>
      </c>
      <c r="B5340" s="2" t="str">
        <f>"060821230"</f>
        <v>060821230</v>
      </c>
      <c r="C5340" s="2" t="s">
        <v>6831</v>
      </c>
      <c r="D5340" s="2" t="s">
        <v>6832</v>
      </c>
      <c r="E5340" s="4">
        <v>4300</v>
      </c>
    </row>
    <row r="5341" spans="1:5">
      <c r="A5341" s="2" t="s">
        <v>3274</v>
      </c>
      <c r="B5341" s="2" t="s">
        <v>6833</v>
      </c>
      <c r="C5341" s="2" t="s">
        <v>6834</v>
      </c>
      <c r="D5341" s="2" t="s">
        <v>6835</v>
      </c>
      <c r="E5341" s="4">
        <v>9500</v>
      </c>
    </row>
    <row r="5342" spans="1:5">
      <c r="A5342" s="2" t="s">
        <v>3274</v>
      </c>
      <c r="B5342" s="2" t="s">
        <v>6836</v>
      </c>
      <c r="C5342" s="2" t="s">
        <v>6837</v>
      </c>
      <c r="D5342" s="2" t="s">
        <v>6838</v>
      </c>
      <c r="E5342" s="4">
        <v>10200</v>
      </c>
    </row>
    <row r="5343" spans="1:5">
      <c r="A5343" s="2" t="s">
        <v>3274</v>
      </c>
      <c r="B5343" s="2" t="s">
        <v>6839</v>
      </c>
      <c r="C5343" s="2" t="str">
        <f>"1566559760198"</f>
        <v>1566559760198</v>
      </c>
      <c r="D5343" s="2" t="s">
        <v>6840</v>
      </c>
      <c r="E5343" s="4">
        <v>5200</v>
      </c>
    </row>
    <row r="5344" spans="1:5">
      <c r="A5344" s="2" t="s">
        <v>3274</v>
      </c>
      <c r="B5344" s="2" t="str">
        <f>"247554"</f>
        <v>247554</v>
      </c>
      <c r="C5344" s="2" t="str">
        <f>"247554"</f>
        <v>247554</v>
      </c>
      <c r="D5344" s="2" t="s">
        <v>6841</v>
      </c>
      <c r="E5344" s="4">
        <v>4700</v>
      </c>
    </row>
    <row r="5345" spans="1:5">
      <c r="A5345" s="2" t="s">
        <v>3274</v>
      </c>
      <c r="B5345" s="2" t="str">
        <f>"300974"</f>
        <v>300974</v>
      </c>
      <c r="C5345" s="2" t="str">
        <f>"300974"</f>
        <v>300974</v>
      </c>
      <c r="D5345" s="2" t="s">
        <v>6842</v>
      </c>
      <c r="E5345" s="4">
        <v>4800</v>
      </c>
    </row>
    <row r="5346" spans="1:5">
      <c r="A5346" s="2" t="s">
        <v>3274</v>
      </c>
      <c r="B5346" s="2" t="str">
        <f>"060820170"</f>
        <v>060820170</v>
      </c>
      <c r="C5346" s="2" t="str">
        <f>"060820170"</f>
        <v>060820170</v>
      </c>
      <c r="D5346" s="2" t="s">
        <v>5888</v>
      </c>
      <c r="E5346" s="4">
        <v>3400</v>
      </c>
    </row>
    <row r="5347" spans="1:5">
      <c r="A5347" s="2" t="s">
        <v>3274</v>
      </c>
      <c r="B5347" s="2" t="str">
        <f>"060820005"</f>
        <v>060820005</v>
      </c>
      <c r="C5347" s="2" t="str">
        <f>"060820005"</f>
        <v>060820005</v>
      </c>
      <c r="D5347" s="2" t="s">
        <v>6843</v>
      </c>
      <c r="E5347" s="4">
        <v>3400</v>
      </c>
    </row>
    <row r="5348" spans="1:5">
      <c r="A5348" s="2" t="s">
        <v>3274</v>
      </c>
      <c r="B5348" s="2" t="str">
        <f>"247817"</f>
        <v>247817</v>
      </c>
      <c r="C5348" s="2" t="str">
        <f>"247817"</f>
        <v>247817</v>
      </c>
      <c r="D5348" s="2" t="s">
        <v>6843</v>
      </c>
      <c r="E5348" s="4">
        <v>3400</v>
      </c>
    </row>
    <row r="5349" spans="1:5">
      <c r="A5349" s="2" t="s">
        <v>3274</v>
      </c>
      <c r="B5349" s="2" t="str">
        <f>"0009773"</f>
        <v>0009773</v>
      </c>
      <c r="C5349" s="2" t="str">
        <f>"0009773"</f>
        <v>0009773</v>
      </c>
      <c r="D5349" s="2" t="s">
        <v>6844</v>
      </c>
      <c r="E5349" s="4">
        <v>4300</v>
      </c>
    </row>
    <row r="5350" spans="1:5">
      <c r="A5350" s="2" t="s">
        <v>3274</v>
      </c>
      <c r="B5350" s="2" t="s">
        <v>6845</v>
      </c>
      <c r="C5350" s="2" t="s">
        <v>6846</v>
      </c>
      <c r="D5350" s="2" t="s">
        <v>6847</v>
      </c>
      <c r="E5350" s="4">
        <v>23500</v>
      </c>
    </row>
    <row r="5351" spans="1:5">
      <c r="A5351" s="2" t="s">
        <v>3274</v>
      </c>
      <c r="B5351" s="2" t="str">
        <f>"247814"</f>
        <v>247814</v>
      </c>
      <c r="C5351" s="2" t="str">
        <f>"247814"</f>
        <v>247814</v>
      </c>
      <c r="D5351" s="2" t="s">
        <v>6848</v>
      </c>
      <c r="E5351" s="4">
        <v>4300</v>
      </c>
    </row>
    <row r="5352" spans="1:5">
      <c r="A5352" s="2" t="s">
        <v>3274</v>
      </c>
      <c r="B5352" s="2" t="str">
        <f>"0009758"</f>
        <v>0009758</v>
      </c>
      <c r="C5352" s="2" t="str">
        <f>"0009758 F009155"</f>
        <v>0009758 F009155</v>
      </c>
      <c r="D5352" s="2" t="s">
        <v>6849</v>
      </c>
      <c r="E5352" s="4">
        <v>4300</v>
      </c>
    </row>
    <row r="5353" spans="1:5">
      <c r="A5353" s="2" t="s">
        <v>3274</v>
      </c>
      <c r="B5353" s="2" t="s">
        <v>6850</v>
      </c>
      <c r="C5353" s="2" t="s">
        <v>6851</v>
      </c>
      <c r="D5353" s="2" t="s">
        <v>6852</v>
      </c>
      <c r="E5353" s="4">
        <v>6100</v>
      </c>
    </row>
    <row r="5354" spans="1:5">
      <c r="A5354" s="2" t="s">
        <v>3274</v>
      </c>
      <c r="B5354" s="2" t="str">
        <f>"0031180"</f>
        <v>0031180</v>
      </c>
      <c r="C5354" s="2" t="str">
        <f>"0031180"</f>
        <v>0031180</v>
      </c>
      <c r="D5354" s="2" t="s">
        <v>6853</v>
      </c>
      <c r="E5354" s="4">
        <v>6100</v>
      </c>
    </row>
    <row r="5355" spans="1:5">
      <c r="A5355" s="2" t="s">
        <v>3274</v>
      </c>
      <c r="B5355" s="2" t="str">
        <f>"0009835"</f>
        <v>0009835</v>
      </c>
      <c r="C5355" s="2" t="str">
        <f>"0009835"</f>
        <v>0009835</v>
      </c>
      <c r="D5355" s="2" t="s">
        <v>6854</v>
      </c>
      <c r="E5355" s="4">
        <v>6100</v>
      </c>
    </row>
    <row r="5356" spans="1:5">
      <c r="A5356" s="2" t="s">
        <v>3274</v>
      </c>
      <c r="B5356" s="2" t="s">
        <v>6855</v>
      </c>
      <c r="C5356" s="2" t="s">
        <v>6855</v>
      </c>
      <c r="D5356" s="2" t="s">
        <v>6856</v>
      </c>
      <c r="E5356" s="4">
        <v>3900</v>
      </c>
    </row>
    <row r="5357" spans="1:5">
      <c r="A5357" s="2" t="s">
        <v>3274</v>
      </c>
      <c r="B5357" s="2" t="str">
        <f>"21782-4"</f>
        <v>21782-4</v>
      </c>
      <c r="C5357" s="2" t="str">
        <f>"21782-4"</f>
        <v>21782-4</v>
      </c>
      <c r="D5357" s="2" t="s">
        <v>6857</v>
      </c>
      <c r="E5357" s="4">
        <v>6100</v>
      </c>
    </row>
    <row r="5358" spans="1:5">
      <c r="A5358" s="2" t="s">
        <v>3274</v>
      </c>
      <c r="B5358" s="2" t="str">
        <f>"3111124"</f>
        <v>3111124</v>
      </c>
      <c r="C5358" s="2" t="str">
        <f>"311124"</f>
        <v>311124</v>
      </c>
      <c r="D5358" s="2" t="s">
        <v>6858</v>
      </c>
      <c r="E5358" s="4">
        <v>8900</v>
      </c>
    </row>
    <row r="5359" spans="1:5">
      <c r="A5359" s="2" t="s">
        <v>3274</v>
      </c>
      <c r="B5359" s="2" t="str">
        <f>"060820713"</f>
        <v>060820713</v>
      </c>
      <c r="C5359" s="2" t="str">
        <f>"06082713"</f>
        <v>06082713</v>
      </c>
      <c r="D5359" s="2" t="s">
        <v>6859</v>
      </c>
      <c r="E5359" s="4">
        <v>10900</v>
      </c>
    </row>
    <row r="5360" spans="1:5">
      <c r="A5360" s="2" t="s">
        <v>3274</v>
      </c>
      <c r="B5360" s="2" t="s">
        <v>6860</v>
      </c>
      <c r="C5360" s="2" t="s">
        <v>6860</v>
      </c>
      <c r="D5360" s="2" t="s">
        <v>6861</v>
      </c>
      <c r="E5360" s="4">
        <v>7000</v>
      </c>
    </row>
    <row r="5361" spans="1:5">
      <c r="A5361" s="2" t="s">
        <v>3274</v>
      </c>
      <c r="B5361" s="2" t="str">
        <f>"0000357"</f>
        <v>0000357</v>
      </c>
      <c r="C5361" s="2" t="str">
        <f>"0000357"</f>
        <v>0000357</v>
      </c>
      <c r="D5361" s="2" t="s">
        <v>6862</v>
      </c>
      <c r="E5361" s="4">
        <v>4300</v>
      </c>
    </row>
    <row r="5362" spans="1:5">
      <c r="A5362" s="2" t="s">
        <v>3274</v>
      </c>
      <c r="B5362" s="2" t="str">
        <f>"0009602"</f>
        <v>0009602</v>
      </c>
      <c r="C5362" s="2" t="str">
        <f>"0009602"</f>
        <v>0009602</v>
      </c>
      <c r="D5362" s="2" t="s">
        <v>6863</v>
      </c>
      <c r="E5362" s="4">
        <v>4300</v>
      </c>
    </row>
    <row r="5363" spans="1:5">
      <c r="A5363" s="2" t="s">
        <v>3274</v>
      </c>
      <c r="B5363" s="2" t="str">
        <f>"071820051"</f>
        <v>071820051</v>
      </c>
      <c r="C5363" s="2" t="str">
        <f>"071820051"</f>
        <v>071820051</v>
      </c>
      <c r="D5363" s="2" t="s">
        <v>6864</v>
      </c>
      <c r="E5363" s="4">
        <v>3800</v>
      </c>
    </row>
    <row r="5364" spans="1:5">
      <c r="A5364" s="2" t="s">
        <v>3274</v>
      </c>
      <c r="B5364" s="2" t="s">
        <v>6865</v>
      </c>
      <c r="C5364" s="2" t="s">
        <v>6865</v>
      </c>
      <c r="D5364" s="2" t="s">
        <v>6866</v>
      </c>
      <c r="E5364" s="4">
        <v>4300</v>
      </c>
    </row>
    <row r="5365" spans="1:5">
      <c r="A5365" s="2" t="s">
        <v>3274</v>
      </c>
      <c r="B5365" s="2" t="str">
        <f>"0009747"</f>
        <v>0009747</v>
      </c>
      <c r="C5365" s="2" t="s">
        <v>6867</v>
      </c>
      <c r="D5365" s="2" t="s">
        <v>6868</v>
      </c>
      <c r="E5365" s="4">
        <v>3000</v>
      </c>
    </row>
    <row r="5366" spans="1:5">
      <c r="A5366" s="2" t="s">
        <v>3274</v>
      </c>
      <c r="B5366" s="2" t="str">
        <f>"0009863"</f>
        <v>0009863</v>
      </c>
      <c r="C5366" s="2" t="str">
        <f>"0009863"</f>
        <v>0009863</v>
      </c>
      <c r="D5366" s="2" t="s">
        <v>6869</v>
      </c>
      <c r="E5366" s="4">
        <v>5200</v>
      </c>
    </row>
    <row r="5367" spans="1:5">
      <c r="A5367" s="2" t="s">
        <v>3274</v>
      </c>
      <c r="B5367" s="2" t="str">
        <f>"247493"</f>
        <v>247493</v>
      </c>
      <c r="C5367" s="2" t="str">
        <f>"247493"</f>
        <v>247493</v>
      </c>
      <c r="D5367" s="2" t="s">
        <v>6870</v>
      </c>
      <c r="E5367" s="4">
        <v>5900</v>
      </c>
    </row>
    <row r="5368" spans="1:5">
      <c r="A5368" s="2" t="s">
        <v>3274</v>
      </c>
      <c r="B5368" s="2" t="str">
        <f>"0021083"</f>
        <v>0021083</v>
      </c>
      <c r="C5368" s="2" t="str">
        <f>"0021083"</f>
        <v>0021083</v>
      </c>
      <c r="D5368" s="2" t="s">
        <v>6871</v>
      </c>
      <c r="E5368" s="4">
        <v>4300</v>
      </c>
    </row>
    <row r="5369" spans="1:5">
      <c r="A5369" s="2" t="s">
        <v>3274</v>
      </c>
      <c r="B5369" s="2" t="str">
        <f>"0012148"</f>
        <v>0012148</v>
      </c>
      <c r="C5369" s="2" t="str">
        <f>"0012148"</f>
        <v>0012148</v>
      </c>
      <c r="D5369" s="2" t="s">
        <v>6872</v>
      </c>
      <c r="E5369" s="4">
        <v>4300</v>
      </c>
    </row>
    <row r="5370" spans="1:5">
      <c r="A5370" s="2" t="s">
        <v>3274</v>
      </c>
      <c r="B5370" s="2" t="str">
        <f>"0009749"</f>
        <v>0009749</v>
      </c>
      <c r="C5370" s="2" t="str">
        <f>"0009749"</f>
        <v>0009749</v>
      </c>
      <c r="D5370" s="2" t="s">
        <v>6873</v>
      </c>
      <c r="E5370" s="4">
        <v>3800</v>
      </c>
    </row>
    <row r="5371" spans="1:5">
      <c r="A5371" s="2" t="s">
        <v>3274</v>
      </c>
      <c r="B5371" s="2" t="str">
        <f>"010562"</f>
        <v>010562</v>
      </c>
      <c r="C5371" s="2" t="str">
        <f>"010562"</f>
        <v>010562</v>
      </c>
      <c r="D5371" s="2" t="s">
        <v>6874</v>
      </c>
      <c r="E5371" s="4">
        <v>6000</v>
      </c>
    </row>
    <row r="5372" spans="1:5">
      <c r="A5372" s="2" t="s">
        <v>3274</v>
      </c>
      <c r="B5372" s="2" t="str">
        <f>"010413"</f>
        <v>010413</v>
      </c>
      <c r="C5372" s="2" t="str">
        <f>"010413"</f>
        <v>010413</v>
      </c>
      <c r="D5372" s="2" t="s">
        <v>6875</v>
      </c>
      <c r="E5372" s="4">
        <v>4300</v>
      </c>
    </row>
    <row r="5373" spans="1:5">
      <c r="A5373" s="2" t="s">
        <v>3274</v>
      </c>
      <c r="B5373" s="2" t="str">
        <f>"0034777"</f>
        <v>0034777</v>
      </c>
      <c r="C5373" s="2" t="str">
        <f>"0034777"</f>
        <v>0034777</v>
      </c>
      <c r="D5373" s="2" t="s">
        <v>6876</v>
      </c>
      <c r="E5373" s="4">
        <v>6500</v>
      </c>
    </row>
    <row r="5374" spans="1:5">
      <c r="A5374" s="2" t="s">
        <v>3274</v>
      </c>
      <c r="B5374" s="2" t="str">
        <f>"451650"</f>
        <v>451650</v>
      </c>
      <c r="C5374" s="2" t="str">
        <f>"451650"</f>
        <v>451650</v>
      </c>
      <c r="D5374" s="2" t="s">
        <v>6877</v>
      </c>
      <c r="E5374" s="4">
        <v>9800</v>
      </c>
    </row>
    <row r="5375" spans="1:5">
      <c r="A5375" s="2" t="s">
        <v>3274</v>
      </c>
      <c r="B5375" s="2" t="s">
        <v>6878</v>
      </c>
      <c r="C5375" s="2" t="str">
        <f>"9947183"</f>
        <v>9947183</v>
      </c>
      <c r="D5375" s="2" t="s">
        <v>6879</v>
      </c>
      <c r="E5375" s="4">
        <v>4300</v>
      </c>
    </row>
    <row r="5376" spans="1:5">
      <c r="A5376" s="2" t="s">
        <v>3274</v>
      </c>
      <c r="B5376" s="2" t="str">
        <f>"23666-7"</f>
        <v>23666-7</v>
      </c>
      <c r="C5376" s="2" t="str">
        <f>"23666-7"</f>
        <v>23666-7</v>
      </c>
      <c r="D5376" s="2" t="s">
        <v>6880</v>
      </c>
      <c r="E5376" s="4">
        <v>8800</v>
      </c>
    </row>
    <row r="5377" spans="1:5">
      <c r="A5377" s="2" t="s">
        <v>3274</v>
      </c>
      <c r="B5377" s="2" t="s">
        <v>6881</v>
      </c>
      <c r="C5377" s="2" t="s">
        <v>6882</v>
      </c>
      <c r="D5377" s="2" t="s">
        <v>6883</v>
      </c>
      <c r="E5377" s="4">
        <v>9500</v>
      </c>
    </row>
    <row r="5378" spans="1:5">
      <c r="A5378" s="2" t="s">
        <v>3274</v>
      </c>
      <c r="B5378" s="2" t="str">
        <f>"060821123"</f>
        <v>060821123</v>
      </c>
      <c r="C5378" s="2" t="str">
        <f>"060821123"</f>
        <v>060821123</v>
      </c>
      <c r="D5378" s="2" t="s">
        <v>6884</v>
      </c>
      <c r="E5378" s="4">
        <v>5200</v>
      </c>
    </row>
    <row r="5379" spans="1:5">
      <c r="A5379" s="2" t="s">
        <v>3274</v>
      </c>
      <c r="B5379" s="2" t="str">
        <f>"0021069"</f>
        <v>0021069</v>
      </c>
      <c r="C5379" s="2" t="str">
        <f>"0021069"</f>
        <v>0021069</v>
      </c>
      <c r="D5379" s="2" t="s">
        <v>6885</v>
      </c>
      <c r="E5379" s="4">
        <v>6100</v>
      </c>
    </row>
    <row r="5380" spans="1:5">
      <c r="A5380" s="2" t="s">
        <v>3274</v>
      </c>
      <c r="B5380" s="2" t="str">
        <f>"010580"</f>
        <v>010580</v>
      </c>
      <c r="C5380" s="2" t="str">
        <f>"010580"</f>
        <v>010580</v>
      </c>
      <c r="D5380" s="2" t="s">
        <v>6886</v>
      </c>
      <c r="E5380" s="4">
        <v>4300</v>
      </c>
    </row>
    <row r="5381" spans="1:5">
      <c r="A5381" s="2" t="s">
        <v>3274</v>
      </c>
      <c r="B5381" s="2" t="str">
        <f>"0009743"</f>
        <v>0009743</v>
      </c>
      <c r="C5381" s="2" t="str">
        <f>"0009743"</f>
        <v>0009743</v>
      </c>
      <c r="D5381" s="2" t="s">
        <v>6887</v>
      </c>
      <c r="E5381" s="4">
        <v>4300</v>
      </c>
    </row>
    <row r="5382" spans="1:5">
      <c r="A5382" s="2" t="s">
        <v>3274</v>
      </c>
      <c r="B5382" s="2" t="str">
        <f>"060820707"</f>
        <v>060820707</v>
      </c>
      <c r="C5382" s="2" t="str">
        <f>"060820707"</f>
        <v>060820707</v>
      </c>
      <c r="D5382" s="2" t="s">
        <v>6888</v>
      </c>
      <c r="E5382" s="4">
        <v>4300</v>
      </c>
    </row>
    <row r="5383" spans="1:5">
      <c r="A5383" s="2" t="s">
        <v>3274</v>
      </c>
      <c r="B5383" s="2" t="s">
        <v>6889</v>
      </c>
      <c r="C5383" s="2" t="s">
        <v>6890</v>
      </c>
      <c r="D5383" s="2" t="s">
        <v>6891</v>
      </c>
      <c r="E5383" s="4">
        <v>5200</v>
      </c>
    </row>
    <row r="5384" spans="1:5">
      <c r="A5384" s="2" t="s">
        <v>3274</v>
      </c>
      <c r="B5384" s="2" t="str">
        <f>"060820874"</f>
        <v>060820874</v>
      </c>
      <c r="C5384" s="2" t="str">
        <f>"060820874"</f>
        <v>060820874</v>
      </c>
      <c r="D5384" s="2" t="s">
        <v>6892</v>
      </c>
      <c r="E5384" s="4">
        <v>5200</v>
      </c>
    </row>
    <row r="5385" spans="1:5">
      <c r="A5385" s="2" t="s">
        <v>3274</v>
      </c>
      <c r="B5385" s="2" t="str">
        <f>"0021082"</f>
        <v>0021082</v>
      </c>
      <c r="C5385" s="2" t="str">
        <f>"0021826"</f>
        <v>0021826</v>
      </c>
      <c r="D5385" s="2" t="s">
        <v>6893</v>
      </c>
      <c r="E5385" s="4">
        <v>4300</v>
      </c>
    </row>
    <row r="5386" spans="1:5">
      <c r="A5386" s="2" t="s">
        <v>3274</v>
      </c>
      <c r="B5386" s="2" t="str">
        <f>"060820944"</f>
        <v>060820944</v>
      </c>
      <c r="C5386" s="2" t="str">
        <f>"060820944"</f>
        <v>060820944</v>
      </c>
      <c r="D5386" s="2" t="s">
        <v>6894</v>
      </c>
      <c r="E5386" s="4">
        <v>4300</v>
      </c>
    </row>
    <row r="5387" spans="1:5">
      <c r="A5387" s="2" t="s">
        <v>3274</v>
      </c>
      <c r="B5387" s="2" t="str">
        <f>"0027793"</f>
        <v>0027793</v>
      </c>
      <c r="C5387" s="2" t="str">
        <f>"0027793"</f>
        <v>0027793</v>
      </c>
      <c r="D5387" s="2" t="s">
        <v>6893</v>
      </c>
      <c r="E5387" s="4">
        <v>6100</v>
      </c>
    </row>
    <row r="5388" spans="1:5">
      <c r="A5388" s="2" t="s">
        <v>3274</v>
      </c>
      <c r="B5388" s="2" t="str">
        <f>"0021090"</f>
        <v>0021090</v>
      </c>
      <c r="C5388" s="2" t="str">
        <f>"0021090"</f>
        <v>0021090</v>
      </c>
      <c r="D5388" s="2" t="s">
        <v>6895</v>
      </c>
      <c r="E5388" s="4">
        <v>4300</v>
      </c>
    </row>
    <row r="5389" spans="1:5">
      <c r="A5389" s="2" t="s">
        <v>3274</v>
      </c>
      <c r="B5389" s="2" t="str">
        <f>"9951318"</f>
        <v>9951318</v>
      </c>
      <c r="C5389" s="2" t="str">
        <f>"9951318"</f>
        <v>9951318</v>
      </c>
      <c r="D5389" s="2" t="s">
        <v>6896</v>
      </c>
      <c r="E5389" s="4">
        <v>6100</v>
      </c>
    </row>
    <row r="5390" spans="1:5">
      <c r="A5390" s="2" t="s">
        <v>3274</v>
      </c>
      <c r="B5390" s="2" t="str">
        <f>"5000000278060"</f>
        <v>5000000278060</v>
      </c>
      <c r="C5390" s="2" t="str">
        <f>"010650 0009811"</f>
        <v>010650 0009811</v>
      </c>
      <c r="D5390" s="2" t="s">
        <v>6897</v>
      </c>
      <c r="E5390" s="4">
        <v>6100</v>
      </c>
    </row>
    <row r="5391" spans="1:5">
      <c r="A5391" s="2" t="s">
        <v>3274</v>
      </c>
      <c r="B5391" s="2" t="str">
        <f>"247820"</f>
        <v>247820</v>
      </c>
      <c r="C5391" s="2" t="str">
        <f>"247820"</f>
        <v>247820</v>
      </c>
      <c r="D5391" s="2" t="s">
        <v>6898</v>
      </c>
      <c r="E5391" s="4">
        <v>4300</v>
      </c>
    </row>
    <row r="5392" spans="1:5">
      <c r="A5392" s="2" t="s">
        <v>3274</v>
      </c>
      <c r="B5392" s="2" t="str">
        <f>"060820109"</f>
        <v>060820109</v>
      </c>
      <c r="C5392" s="2" t="str">
        <f>"64903"</f>
        <v>64903</v>
      </c>
      <c r="D5392" s="2" t="s">
        <v>6899</v>
      </c>
      <c r="E5392" s="4">
        <v>4000</v>
      </c>
    </row>
    <row r="5393" spans="1:5">
      <c r="A5393" s="2" t="s">
        <v>3274</v>
      </c>
      <c r="B5393" s="2" t="str">
        <f>"060820202"</f>
        <v>060820202</v>
      </c>
      <c r="C5393" s="2" t="s">
        <v>6900</v>
      </c>
      <c r="D5393" s="2" t="s">
        <v>6901</v>
      </c>
      <c r="E5393" s="4">
        <v>4300</v>
      </c>
    </row>
    <row r="5394" spans="1:5">
      <c r="A5394" s="2" t="s">
        <v>3274</v>
      </c>
      <c r="B5394" s="2" t="str">
        <f>"060820131"</f>
        <v>060820131</v>
      </c>
      <c r="C5394" s="2" t="str">
        <f>"060820131"</f>
        <v>060820131</v>
      </c>
      <c r="D5394" s="2" t="s">
        <v>6902</v>
      </c>
      <c r="E5394" s="4">
        <v>3400</v>
      </c>
    </row>
    <row r="5395" spans="1:5">
      <c r="A5395" s="2" t="s">
        <v>3274</v>
      </c>
      <c r="B5395" s="2" t="str">
        <f>"0027919"</f>
        <v>0027919</v>
      </c>
      <c r="C5395" s="2" t="str">
        <f>"0027919"</f>
        <v>0027919</v>
      </c>
      <c r="D5395" s="2" t="s">
        <v>6903</v>
      </c>
      <c r="E5395" s="4">
        <v>4300</v>
      </c>
    </row>
    <row r="5396" spans="1:5">
      <c r="A5396" s="2" t="s">
        <v>3274</v>
      </c>
      <c r="B5396" s="2" t="str">
        <f>"060821033"</f>
        <v>060821033</v>
      </c>
      <c r="C5396" s="2" t="str">
        <f>"060821033 0021091"</f>
        <v>060821033 0021091</v>
      </c>
      <c r="D5396" s="2" t="s">
        <v>6904</v>
      </c>
      <c r="E5396" s="4">
        <v>4300</v>
      </c>
    </row>
    <row r="5397" spans="1:5">
      <c r="A5397" s="2" t="s">
        <v>3274</v>
      </c>
      <c r="B5397" s="2" t="str">
        <f>"060820677"</f>
        <v>060820677</v>
      </c>
      <c r="C5397" s="2" t="s">
        <v>6905</v>
      </c>
      <c r="D5397" s="2" t="s">
        <v>6906</v>
      </c>
      <c r="E5397" s="4">
        <v>3400</v>
      </c>
    </row>
    <row r="5398" spans="1:5">
      <c r="A5398" s="2" t="s">
        <v>3274</v>
      </c>
      <c r="B5398" s="2" t="str">
        <f>"0009800"</f>
        <v>0009800</v>
      </c>
      <c r="C5398" s="2" t="str">
        <f>"0009800"</f>
        <v>0009800</v>
      </c>
      <c r="D5398" s="2" t="s">
        <v>6907</v>
      </c>
      <c r="E5398" s="4">
        <v>5200</v>
      </c>
    </row>
    <row r="5399" spans="1:5">
      <c r="A5399" s="2" t="s">
        <v>3274</v>
      </c>
      <c r="B5399" s="2" t="str">
        <f>"0009812"</f>
        <v>0009812</v>
      </c>
      <c r="C5399" s="2" t="str">
        <f>"0009812"</f>
        <v>0009812</v>
      </c>
      <c r="D5399" s="2" t="s">
        <v>6908</v>
      </c>
      <c r="E5399" s="4">
        <v>4300</v>
      </c>
    </row>
    <row r="5400" spans="1:5">
      <c r="A5400" s="2" t="s">
        <v>3274</v>
      </c>
      <c r="B5400" s="2" t="str">
        <f>"0009834"</f>
        <v>0009834</v>
      </c>
      <c r="C5400" s="2" t="str">
        <f>"0009834"</f>
        <v>0009834</v>
      </c>
      <c r="D5400" s="2" t="s">
        <v>6909</v>
      </c>
      <c r="E5400" s="4">
        <v>5200</v>
      </c>
    </row>
    <row r="5401" spans="1:5">
      <c r="A5401" s="2" t="s">
        <v>3274</v>
      </c>
      <c r="B5401" s="2" t="str">
        <f>"060821074"</f>
        <v>060821074</v>
      </c>
      <c r="C5401" s="2" t="str">
        <f>"060821074"</f>
        <v>060821074</v>
      </c>
      <c r="D5401" s="2" t="s">
        <v>6910</v>
      </c>
      <c r="E5401" s="4">
        <v>4300</v>
      </c>
    </row>
    <row r="5402" spans="1:5">
      <c r="A5402" s="2" t="s">
        <v>3274</v>
      </c>
      <c r="B5402" s="2" t="str">
        <f>"9951320"</f>
        <v>9951320</v>
      </c>
      <c r="C5402" s="2" t="str">
        <f>"9951320"</f>
        <v>9951320</v>
      </c>
      <c r="D5402" s="2" t="s">
        <v>6911</v>
      </c>
      <c r="E5402" s="4">
        <v>4300</v>
      </c>
    </row>
    <row r="5403" spans="1:5">
      <c r="A5403" s="2" t="s">
        <v>3274</v>
      </c>
      <c r="B5403" s="2" t="str">
        <f>"010812"</f>
        <v>010812</v>
      </c>
      <c r="C5403" s="2" t="str">
        <f>"010812"</f>
        <v>010812</v>
      </c>
      <c r="D5403" s="2" t="s">
        <v>6912</v>
      </c>
      <c r="E5403" s="4">
        <v>5800</v>
      </c>
    </row>
    <row r="5404" spans="1:5">
      <c r="A5404" s="2" t="s">
        <v>3274</v>
      </c>
      <c r="B5404" s="2" t="str">
        <f>"9951312"</f>
        <v>9951312</v>
      </c>
      <c r="C5404" s="2" t="str">
        <f>"9951312"</f>
        <v>9951312</v>
      </c>
      <c r="D5404" s="2" t="s">
        <v>6913</v>
      </c>
      <c r="E5404" s="4">
        <v>4300</v>
      </c>
    </row>
    <row r="5405" spans="1:5">
      <c r="A5405" s="2" t="s">
        <v>3274</v>
      </c>
      <c r="B5405" s="2" t="str">
        <f>"0009803"</f>
        <v>0009803</v>
      </c>
      <c r="C5405" s="2" t="str">
        <f>"0001667"</f>
        <v>0001667</v>
      </c>
      <c r="D5405" s="2" t="s">
        <v>6914</v>
      </c>
      <c r="E5405" s="4">
        <v>4300</v>
      </c>
    </row>
    <row r="5406" spans="1:5">
      <c r="A5406" s="2" t="s">
        <v>3274</v>
      </c>
      <c r="B5406" s="2" t="str">
        <f>"071820069"</f>
        <v>071820069</v>
      </c>
      <c r="C5406" s="2" t="str">
        <f>"071820069"</f>
        <v>071820069</v>
      </c>
      <c r="D5406" s="2" t="s">
        <v>6915</v>
      </c>
      <c r="E5406" s="4">
        <v>4300</v>
      </c>
    </row>
    <row r="5407" spans="1:5">
      <c r="A5407" s="2" t="s">
        <v>3274</v>
      </c>
      <c r="B5407" s="2" t="str">
        <f>"0027784"</f>
        <v>0027784</v>
      </c>
      <c r="C5407" s="2" t="str">
        <f>"0027784"</f>
        <v>0027784</v>
      </c>
      <c r="D5407" s="2" t="s">
        <v>6916</v>
      </c>
      <c r="E5407" s="4">
        <v>3400</v>
      </c>
    </row>
    <row r="5408" spans="1:5">
      <c r="A5408" s="2" t="s">
        <v>3274</v>
      </c>
      <c r="B5408" s="2" t="str">
        <f>"0021068"</f>
        <v>0021068</v>
      </c>
      <c r="C5408" s="2" t="str">
        <f>"0021068"</f>
        <v>0021068</v>
      </c>
      <c r="D5408" s="2" t="s">
        <v>6917</v>
      </c>
      <c r="E5408" s="4">
        <v>5200</v>
      </c>
    </row>
    <row r="5409" spans="1:5">
      <c r="A5409" s="2" t="s">
        <v>3274</v>
      </c>
      <c r="B5409" s="2" t="str">
        <f>"060820184"</f>
        <v>060820184</v>
      </c>
      <c r="C5409" s="2" t="str">
        <f>"060820184"</f>
        <v>060820184</v>
      </c>
      <c r="D5409" s="2" t="s">
        <v>6918</v>
      </c>
      <c r="E5409" s="4">
        <v>4300</v>
      </c>
    </row>
    <row r="5410" spans="1:5">
      <c r="A5410" s="2" t="s">
        <v>3274</v>
      </c>
      <c r="B5410" s="2" t="s">
        <v>6919</v>
      </c>
      <c r="C5410" s="2" t="s">
        <v>6919</v>
      </c>
      <c r="D5410" s="2" t="s">
        <v>6920</v>
      </c>
      <c r="E5410" s="4">
        <v>5200</v>
      </c>
    </row>
    <row r="5411" spans="1:5">
      <c r="A5411" s="2" t="s">
        <v>3274</v>
      </c>
      <c r="B5411" s="2" t="str">
        <f>"0009766"</f>
        <v>0009766</v>
      </c>
      <c r="C5411" s="2" t="str">
        <f>"0009766"</f>
        <v>0009766</v>
      </c>
      <c r="D5411" s="2" t="s">
        <v>6921</v>
      </c>
      <c r="E5411" s="4">
        <v>6100</v>
      </c>
    </row>
    <row r="5412" spans="1:5">
      <c r="A5412" s="2" t="s">
        <v>3274</v>
      </c>
      <c r="B5412" s="2" t="str">
        <f>"060820702"</f>
        <v>060820702</v>
      </c>
      <c r="C5412" s="2" t="str">
        <f>"28113-08000 HU00010"</f>
        <v>28113-08000 HU00010</v>
      </c>
      <c r="D5412" s="2" t="s">
        <v>6922</v>
      </c>
      <c r="E5412" s="4">
        <v>4500</v>
      </c>
    </row>
    <row r="5413" spans="1:5">
      <c r="A5413" s="2" t="s">
        <v>3274</v>
      </c>
      <c r="B5413" s="2" t="str">
        <f>"060820001"</f>
        <v>060820001</v>
      </c>
      <c r="C5413" s="2" t="str">
        <f>"060820001"</f>
        <v>060820001</v>
      </c>
      <c r="D5413" s="2" t="s">
        <v>6923</v>
      </c>
      <c r="E5413" s="4">
        <v>6100</v>
      </c>
    </row>
    <row r="5414" spans="1:5">
      <c r="A5414" s="2" t="s">
        <v>3274</v>
      </c>
      <c r="B5414" s="2" t="str">
        <f>"0009645"</f>
        <v>0009645</v>
      </c>
      <c r="C5414" s="2" t="str">
        <f>"0009645"</f>
        <v>0009645</v>
      </c>
      <c r="D5414" s="2" t="s">
        <v>6924</v>
      </c>
      <c r="E5414" s="4">
        <v>4300</v>
      </c>
    </row>
    <row r="5415" spans="1:5">
      <c r="A5415" s="2" t="s">
        <v>3274</v>
      </c>
      <c r="B5415" s="2" t="str">
        <f>"450366"</f>
        <v>450366</v>
      </c>
      <c r="C5415" s="2" t="s">
        <v>6925</v>
      </c>
      <c r="D5415" s="2" t="s">
        <v>6926</v>
      </c>
      <c r="E5415" s="4">
        <v>4500</v>
      </c>
    </row>
    <row r="5416" spans="1:5">
      <c r="A5416" s="2" t="s">
        <v>3274</v>
      </c>
      <c r="B5416" s="2" t="str">
        <f>"071820160"</f>
        <v>071820160</v>
      </c>
      <c r="C5416" s="2" t="str">
        <f>"9041833 9951314"</f>
        <v>9041833 9951314</v>
      </c>
      <c r="D5416" s="2" t="s">
        <v>6927</v>
      </c>
      <c r="E5416" s="4">
        <v>3800</v>
      </c>
    </row>
    <row r="5417" spans="1:5">
      <c r="A5417" s="2" t="s">
        <v>3274</v>
      </c>
      <c r="B5417" s="2" t="str">
        <f>"0027791"</f>
        <v>0027791</v>
      </c>
      <c r="C5417" s="2" t="str">
        <f>"0027791"</f>
        <v>0027791</v>
      </c>
      <c r="D5417" s="2" t="s">
        <v>6928</v>
      </c>
      <c r="E5417" s="4">
        <v>5200</v>
      </c>
    </row>
    <row r="5418" spans="1:5">
      <c r="A5418" s="2" t="s">
        <v>3274</v>
      </c>
      <c r="B5418" s="2" t="str">
        <f>"060820777"</f>
        <v>060820777</v>
      </c>
      <c r="C5418" s="2" t="str">
        <f>"008207776"</f>
        <v>008207776</v>
      </c>
      <c r="D5418" s="2" t="s">
        <v>6929</v>
      </c>
      <c r="E5418" s="4">
        <v>3400</v>
      </c>
    </row>
    <row r="5419" spans="1:5">
      <c r="A5419" s="2" t="s">
        <v>3274</v>
      </c>
      <c r="B5419" s="2" t="str">
        <f>"0009779"</f>
        <v>0009779</v>
      </c>
      <c r="C5419" s="2" t="str">
        <f>"0009779"</f>
        <v>0009779</v>
      </c>
      <c r="D5419" s="2" t="s">
        <v>6930</v>
      </c>
      <c r="E5419" s="4">
        <v>6100</v>
      </c>
    </row>
    <row r="5420" spans="1:5">
      <c r="A5420" s="2" t="s">
        <v>3274</v>
      </c>
      <c r="B5420" s="2" t="str">
        <f>"010599"</f>
        <v>010599</v>
      </c>
      <c r="C5420" s="2" t="str">
        <f>"010599"</f>
        <v>010599</v>
      </c>
      <c r="D5420" s="2" t="s">
        <v>6931</v>
      </c>
      <c r="E5420" s="4">
        <v>3900</v>
      </c>
    </row>
    <row r="5421" spans="1:5">
      <c r="A5421" s="2" t="s">
        <v>3274</v>
      </c>
      <c r="B5421" s="2" t="str">
        <f>"0009760"</f>
        <v>0009760</v>
      </c>
      <c r="C5421" s="2" t="str">
        <f>"0009760"</f>
        <v>0009760</v>
      </c>
      <c r="D5421" s="2" t="s">
        <v>6932</v>
      </c>
      <c r="E5421" s="4">
        <v>8500</v>
      </c>
    </row>
    <row r="5422" spans="1:5">
      <c r="A5422" s="2" t="s">
        <v>3274</v>
      </c>
      <c r="B5422" s="2" t="str">
        <f>"060820220"</f>
        <v>060820220</v>
      </c>
      <c r="C5422" s="2" t="str">
        <f>"060820220 H402738"</f>
        <v>060820220 H402738</v>
      </c>
      <c r="D5422" s="2" t="s">
        <v>6933</v>
      </c>
      <c r="E5422" s="4">
        <v>4300</v>
      </c>
    </row>
    <row r="5423" spans="1:5">
      <c r="A5423" s="2" t="s">
        <v>3274</v>
      </c>
      <c r="B5423" s="2" t="str">
        <f>"0027825"</f>
        <v>0027825</v>
      </c>
      <c r="C5423" s="2" t="str">
        <f>"0027825"</f>
        <v>0027825</v>
      </c>
      <c r="D5423" s="2" t="s">
        <v>6934</v>
      </c>
      <c r="E5423" s="4">
        <v>4300</v>
      </c>
    </row>
    <row r="5424" spans="1:5">
      <c r="A5424" s="2" t="s">
        <v>3274</v>
      </c>
      <c r="B5424" s="2" t="str">
        <f>"9952707"</f>
        <v>9952707</v>
      </c>
      <c r="C5424" s="2" t="str">
        <f>"9952707"</f>
        <v>9952707</v>
      </c>
      <c r="D5424" s="2" t="s">
        <v>6935</v>
      </c>
      <c r="E5424" s="4">
        <v>4800</v>
      </c>
    </row>
    <row r="5425" spans="1:5">
      <c r="A5425" s="2" t="s">
        <v>3274</v>
      </c>
      <c r="B5425" s="2" t="str">
        <f>"060820913"</f>
        <v>060820913</v>
      </c>
      <c r="C5425" s="2" t="str">
        <f>"060820913"</f>
        <v>060820913</v>
      </c>
      <c r="D5425" s="2" t="s">
        <v>6936</v>
      </c>
      <c r="E5425" s="4">
        <v>4300</v>
      </c>
    </row>
    <row r="5426" spans="1:5">
      <c r="A5426" s="2" t="s">
        <v>3274</v>
      </c>
      <c r="B5426" s="2" t="str">
        <f>"0027867"</f>
        <v>0027867</v>
      </c>
      <c r="C5426" s="2" t="str">
        <f>"0027867"</f>
        <v>0027867</v>
      </c>
      <c r="D5426" s="2" t="s">
        <v>6042</v>
      </c>
      <c r="E5426" s="4">
        <v>7000</v>
      </c>
    </row>
    <row r="5427" spans="1:5">
      <c r="A5427" s="2" t="s">
        <v>3274</v>
      </c>
      <c r="B5427" s="2" t="str">
        <f>"001714534-7"</f>
        <v>001714534-7</v>
      </c>
      <c r="C5427" s="2" t="str">
        <f>"1714534-7"</f>
        <v>1714534-7</v>
      </c>
      <c r="D5427" s="2" t="s">
        <v>6937</v>
      </c>
      <c r="E5427" s="4">
        <v>5200</v>
      </c>
    </row>
    <row r="5428" spans="1:5">
      <c r="A5428" s="2" t="s">
        <v>3274</v>
      </c>
      <c r="B5428" s="2" t="str">
        <f>"0002201"</f>
        <v>0002201</v>
      </c>
      <c r="C5428" s="2" t="str">
        <f>"0002201"</f>
        <v>0002201</v>
      </c>
      <c r="D5428" s="2" t="s">
        <v>6938</v>
      </c>
      <c r="E5428" s="4">
        <v>3400</v>
      </c>
    </row>
    <row r="5429" spans="1:5">
      <c r="A5429" s="2" t="s">
        <v>3274</v>
      </c>
      <c r="B5429" s="2" t="s">
        <v>6939</v>
      </c>
      <c r="C5429" s="2" t="s">
        <v>6939</v>
      </c>
      <c r="D5429" s="2" t="s">
        <v>6940</v>
      </c>
      <c r="E5429" s="4">
        <v>3400</v>
      </c>
    </row>
    <row r="5430" spans="1:5">
      <c r="A5430" s="2" t="s">
        <v>3274</v>
      </c>
      <c r="B5430" s="2" t="str">
        <f>"071820094"</f>
        <v>071820094</v>
      </c>
      <c r="C5430" s="2" t="s">
        <v>6941</v>
      </c>
      <c r="D5430" s="2" t="s">
        <v>6942</v>
      </c>
      <c r="E5430" s="4">
        <v>6100</v>
      </c>
    </row>
    <row r="5431" spans="1:5">
      <c r="A5431" s="2" t="s">
        <v>3274</v>
      </c>
      <c r="B5431" s="2" t="str">
        <f>"9952574"</f>
        <v>9952574</v>
      </c>
      <c r="C5431" s="2" t="str">
        <f>"9952574"</f>
        <v>9952574</v>
      </c>
      <c r="D5431" s="2" t="s">
        <v>6943</v>
      </c>
      <c r="E5431" s="4">
        <v>7500</v>
      </c>
    </row>
    <row r="5432" spans="1:5">
      <c r="A5432" s="2" t="s">
        <v>3274</v>
      </c>
      <c r="B5432" s="2" t="s">
        <v>6944</v>
      </c>
      <c r="C5432" s="2" t="s">
        <v>6945</v>
      </c>
      <c r="D5432" s="2" t="s">
        <v>6946</v>
      </c>
      <c r="E5432" s="4">
        <v>10400</v>
      </c>
    </row>
    <row r="5433" spans="1:5">
      <c r="A5433" s="2" t="s">
        <v>3274</v>
      </c>
      <c r="B5433" s="2" t="str">
        <f>"030820037"</f>
        <v>030820037</v>
      </c>
      <c r="C5433" s="2" t="s">
        <v>6947</v>
      </c>
      <c r="D5433" s="2" t="s">
        <v>6948</v>
      </c>
      <c r="E5433" s="4">
        <v>4300</v>
      </c>
    </row>
    <row r="5434" spans="1:5">
      <c r="A5434" s="2" t="s">
        <v>3274</v>
      </c>
      <c r="B5434" s="2" t="str">
        <f>"060820513"</f>
        <v>060820513</v>
      </c>
      <c r="C5434" s="2" t="str">
        <f>"060820513"</f>
        <v>060820513</v>
      </c>
      <c r="D5434" s="2" t="s">
        <v>6949</v>
      </c>
      <c r="E5434" s="4">
        <v>5200</v>
      </c>
    </row>
    <row r="5435" spans="1:5">
      <c r="A5435" s="2" t="s">
        <v>3274</v>
      </c>
      <c r="B5435" s="2" t="str">
        <f>"260392"</f>
        <v>260392</v>
      </c>
      <c r="C5435" s="2" t="str">
        <f>"260392"</f>
        <v>260392</v>
      </c>
      <c r="D5435" s="2" t="s">
        <v>6950</v>
      </c>
      <c r="E5435" s="4">
        <v>4900</v>
      </c>
    </row>
    <row r="5436" spans="1:5">
      <c r="A5436" s="2" t="s">
        <v>3274</v>
      </c>
      <c r="B5436" s="2" t="str">
        <f>"0009607"</f>
        <v>0009607</v>
      </c>
      <c r="C5436" s="2" t="str">
        <f>"0009607"</f>
        <v>0009607</v>
      </c>
      <c r="D5436" s="2" t="s">
        <v>6951</v>
      </c>
      <c r="E5436" s="4">
        <v>4300</v>
      </c>
    </row>
    <row r="5437" spans="1:5">
      <c r="A5437" s="2" t="s">
        <v>3274</v>
      </c>
      <c r="B5437" s="2" t="str">
        <f>"311982"</f>
        <v>311982</v>
      </c>
      <c r="C5437" s="2" t="str">
        <f>"311982"</f>
        <v>311982</v>
      </c>
      <c r="D5437" s="2" t="s">
        <v>6952</v>
      </c>
      <c r="E5437" s="4">
        <v>6100</v>
      </c>
    </row>
    <row r="5438" spans="1:5">
      <c r="A5438" s="2" t="s">
        <v>3274</v>
      </c>
      <c r="B5438" s="2" t="str">
        <f>"060820139"</f>
        <v>060820139</v>
      </c>
      <c r="C5438" s="2" t="str">
        <f>"060820139"</f>
        <v>060820139</v>
      </c>
      <c r="D5438" s="2" t="s">
        <v>6953</v>
      </c>
      <c r="E5438" s="4">
        <v>4300</v>
      </c>
    </row>
    <row r="5439" spans="1:5">
      <c r="A5439" s="2" t="s">
        <v>3274</v>
      </c>
      <c r="B5439" s="2" t="s">
        <v>6954</v>
      </c>
      <c r="C5439" s="2" t="s">
        <v>6954</v>
      </c>
      <c r="D5439" s="2" t="s">
        <v>6955</v>
      </c>
      <c r="E5439" s="4">
        <v>4000</v>
      </c>
    </row>
    <row r="5440" spans="1:5">
      <c r="A5440" s="2" t="s">
        <v>3274</v>
      </c>
      <c r="B5440" s="2" t="s">
        <v>6956</v>
      </c>
      <c r="C5440" s="2" t="str">
        <f>"005126"</f>
        <v>005126</v>
      </c>
      <c r="D5440" s="2" t="s">
        <v>6957</v>
      </c>
      <c r="E5440" s="4">
        <v>7500</v>
      </c>
    </row>
    <row r="5441" spans="1:5">
      <c r="A5441" s="2" t="s">
        <v>3274</v>
      </c>
      <c r="B5441" s="2" t="str">
        <f>"0009606"</f>
        <v>0009606</v>
      </c>
      <c r="C5441" s="2" t="s">
        <v>6958</v>
      </c>
      <c r="D5441" s="2" t="s">
        <v>6959</v>
      </c>
      <c r="E5441" s="4">
        <v>5200</v>
      </c>
    </row>
    <row r="5442" spans="1:5">
      <c r="A5442" s="2" t="s">
        <v>3274</v>
      </c>
      <c r="B5442" s="2" t="s">
        <v>6960</v>
      </c>
      <c r="C5442" s="2" t="s">
        <v>6960</v>
      </c>
      <c r="D5442" s="2" t="s">
        <v>6961</v>
      </c>
      <c r="E5442" s="4">
        <v>5500</v>
      </c>
    </row>
    <row r="5443" spans="1:5">
      <c r="A5443" s="2" t="s">
        <v>3274</v>
      </c>
      <c r="B5443" s="2" t="str">
        <f>"1401148"</f>
        <v>1401148</v>
      </c>
      <c r="C5443" s="2" t="str">
        <f>"1401148"</f>
        <v>1401148</v>
      </c>
      <c r="D5443" s="2" t="s">
        <v>6962</v>
      </c>
      <c r="E5443" s="4">
        <v>3400</v>
      </c>
    </row>
    <row r="5444" spans="1:5">
      <c r="A5444" s="2" t="s">
        <v>3274</v>
      </c>
      <c r="B5444" s="2" t="s">
        <v>6963</v>
      </c>
      <c r="C5444" s="2" t="s">
        <v>6964</v>
      </c>
      <c r="D5444" s="2" t="s">
        <v>6965</v>
      </c>
      <c r="E5444" s="4">
        <v>6400</v>
      </c>
    </row>
    <row r="5445" spans="1:5">
      <c r="A5445" s="2" t="s">
        <v>3274</v>
      </c>
      <c r="B5445" s="2" t="s">
        <v>6966</v>
      </c>
      <c r="C5445" s="2" t="s">
        <v>6967</v>
      </c>
      <c r="D5445" s="2" t="s">
        <v>6968</v>
      </c>
      <c r="E5445" s="4">
        <v>9500</v>
      </c>
    </row>
    <row r="5446" spans="1:5">
      <c r="A5446" s="2" t="s">
        <v>3274</v>
      </c>
      <c r="B5446" s="2" t="str">
        <f>"060820817"</f>
        <v>060820817</v>
      </c>
      <c r="C5446" s="2" t="str">
        <f>"060820817"</f>
        <v>060820817</v>
      </c>
      <c r="D5446" s="2" t="s">
        <v>6969</v>
      </c>
      <c r="E5446" s="4">
        <v>5200</v>
      </c>
    </row>
    <row r="5447" spans="1:5">
      <c r="A5447" s="2" t="s">
        <v>3274</v>
      </c>
      <c r="B5447" s="2" t="s">
        <v>6970</v>
      </c>
      <c r="C5447" s="2" t="s">
        <v>6971</v>
      </c>
      <c r="D5447" s="2" t="s">
        <v>6972</v>
      </c>
      <c r="E5447" s="4">
        <v>4800</v>
      </c>
    </row>
    <row r="5448" spans="1:5">
      <c r="A5448" s="2" t="s">
        <v>3274</v>
      </c>
      <c r="B5448" s="2" t="s">
        <v>6973</v>
      </c>
      <c r="C5448" s="2" t="s">
        <v>6974</v>
      </c>
      <c r="D5448" s="2" t="s">
        <v>6975</v>
      </c>
      <c r="E5448" s="4">
        <v>3400</v>
      </c>
    </row>
    <row r="5449" spans="1:5">
      <c r="A5449" s="2" t="s">
        <v>3274</v>
      </c>
      <c r="B5449" s="2" t="str">
        <f>"060821228"</f>
        <v>060821228</v>
      </c>
      <c r="C5449" s="2" t="str">
        <f>"060821228"</f>
        <v>060821228</v>
      </c>
      <c r="D5449" s="2" t="s">
        <v>6976</v>
      </c>
      <c r="E5449" s="4">
        <v>8800</v>
      </c>
    </row>
    <row r="5450" spans="1:5">
      <c r="A5450" s="2" t="s">
        <v>3274</v>
      </c>
      <c r="B5450" s="2" t="str">
        <f>"0009746"</f>
        <v>0009746</v>
      </c>
      <c r="C5450" s="2" t="str">
        <f>"0009746"</f>
        <v>0009746</v>
      </c>
      <c r="D5450" s="2" t="s">
        <v>6977</v>
      </c>
      <c r="E5450" s="4">
        <v>7500</v>
      </c>
    </row>
    <row r="5451" spans="1:5">
      <c r="A5451" s="2" t="s">
        <v>3274</v>
      </c>
      <c r="B5451" s="2" t="str">
        <f>"010750"</f>
        <v>010750</v>
      </c>
      <c r="C5451" s="2" t="str">
        <f>"010750"</f>
        <v>010750</v>
      </c>
      <c r="D5451" s="2" t="s">
        <v>6978</v>
      </c>
      <c r="E5451" s="4">
        <v>8900</v>
      </c>
    </row>
    <row r="5452" spans="1:5">
      <c r="A5452" s="2" t="s">
        <v>3274</v>
      </c>
      <c r="B5452" s="2" t="s">
        <v>6979</v>
      </c>
      <c r="C5452" s="2" t="s">
        <v>6980</v>
      </c>
      <c r="D5452" s="2" t="s">
        <v>6981</v>
      </c>
      <c r="E5452" s="4">
        <v>7500</v>
      </c>
    </row>
    <row r="5453" spans="1:5">
      <c r="A5453" s="2" t="s">
        <v>3274</v>
      </c>
      <c r="B5453" s="2" t="s">
        <v>6982</v>
      </c>
      <c r="C5453" s="2" t="s">
        <v>6983</v>
      </c>
      <c r="D5453" s="2" t="s">
        <v>6984</v>
      </c>
      <c r="E5453" s="4">
        <v>5900</v>
      </c>
    </row>
    <row r="5454" spans="1:5">
      <c r="A5454" s="2" t="s">
        <v>3274</v>
      </c>
      <c r="B5454" s="2" t="str">
        <f>"0009792"</f>
        <v>0009792</v>
      </c>
      <c r="C5454" s="2" t="str">
        <f>"0009792"</f>
        <v>0009792</v>
      </c>
      <c r="D5454" s="2" t="s">
        <v>6985</v>
      </c>
      <c r="E5454" s="4">
        <v>4300</v>
      </c>
    </row>
    <row r="5455" spans="1:5">
      <c r="A5455" s="2" t="s">
        <v>3274</v>
      </c>
      <c r="B5455" s="2" t="s">
        <v>6986</v>
      </c>
      <c r="C5455" s="2" t="s">
        <v>6987</v>
      </c>
      <c r="D5455" s="2" t="s">
        <v>6988</v>
      </c>
      <c r="E5455" s="4">
        <v>4600</v>
      </c>
    </row>
    <row r="5456" spans="1:5">
      <c r="A5456" s="2" t="s">
        <v>3274</v>
      </c>
      <c r="B5456" s="2" t="s">
        <v>6989</v>
      </c>
      <c r="C5456" s="2" t="s">
        <v>6990</v>
      </c>
      <c r="D5456" s="2" t="s">
        <v>6991</v>
      </c>
      <c r="E5456" s="4">
        <v>8700</v>
      </c>
    </row>
    <row r="5457" spans="1:5">
      <c r="A5457" s="2" t="s">
        <v>3274</v>
      </c>
      <c r="B5457" s="2" t="str">
        <f>"060821004"</f>
        <v>060821004</v>
      </c>
      <c r="C5457" s="2" t="str">
        <f>"060821004"</f>
        <v>060821004</v>
      </c>
      <c r="D5457" s="2" t="s">
        <v>6992</v>
      </c>
      <c r="E5457" s="4">
        <v>6100</v>
      </c>
    </row>
    <row r="5458" spans="1:5">
      <c r="A5458" s="2" t="s">
        <v>3274</v>
      </c>
      <c r="B5458" s="2" t="s">
        <v>6993</v>
      </c>
      <c r="C5458" s="2" t="s">
        <v>6994</v>
      </c>
      <c r="D5458" s="2" t="s">
        <v>6995</v>
      </c>
      <c r="E5458" s="4">
        <v>5900</v>
      </c>
    </row>
    <row r="5459" spans="1:5">
      <c r="A5459" s="2" t="s">
        <v>3274</v>
      </c>
      <c r="B5459" s="2" t="str">
        <f>"300977"</f>
        <v>300977</v>
      </c>
      <c r="C5459" s="2" t="str">
        <f>"300977"</f>
        <v>300977</v>
      </c>
      <c r="D5459" s="2" t="s">
        <v>6996</v>
      </c>
      <c r="E5459" s="4">
        <v>6100</v>
      </c>
    </row>
    <row r="5460" spans="1:5">
      <c r="A5460" s="2" t="s">
        <v>3274</v>
      </c>
      <c r="B5460" s="2" t="str">
        <f>"0034733"</f>
        <v>0034733</v>
      </c>
      <c r="C5460" s="2" t="str">
        <f>"0034733"</f>
        <v>0034733</v>
      </c>
      <c r="D5460" s="2" t="s">
        <v>6997</v>
      </c>
      <c r="E5460" s="4">
        <v>4300</v>
      </c>
    </row>
    <row r="5461" spans="1:5">
      <c r="A5461" s="2" t="s">
        <v>3274</v>
      </c>
      <c r="B5461" s="2" t="str">
        <f>"060821226"</f>
        <v>060821226</v>
      </c>
      <c r="C5461" s="2" t="str">
        <f>"060821226"</f>
        <v>060821226</v>
      </c>
      <c r="D5461" s="2" t="s">
        <v>6998</v>
      </c>
      <c r="E5461" s="4">
        <v>3400</v>
      </c>
    </row>
    <row r="5462" spans="1:5">
      <c r="A5462" s="2" t="s">
        <v>3274</v>
      </c>
      <c r="B5462" s="2" t="str">
        <f>"060820977"</f>
        <v>060820977</v>
      </c>
      <c r="C5462" s="2" t="str">
        <f>"060820977 0017813"</f>
        <v>060820977 0017813</v>
      </c>
      <c r="D5462" s="2" t="s">
        <v>6999</v>
      </c>
      <c r="E5462" s="4">
        <v>6100</v>
      </c>
    </row>
    <row r="5463" spans="1:5">
      <c r="A5463" s="2" t="s">
        <v>3274</v>
      </c>
      <c r="B5463" s="2" t="str">
        <f>"0009761"</f>
        <v>0009761</v>
      </c>
      <c r="C5463" s="2" t="str">
        <f>"0009761"</f>
        <v>0009761</v>
      </c>
      <c r="D5463" s="2" t="s">
        <v>7000</v>
      </c>
      <c r="E5463" s="4">
        <v>4300</v>
      </c>
    </row>
    <row r="5464" spans="1:5">
      <c r="A5464" s="2" t="s">
        <v>3274</v>
      </c>
      <c r="B5464" s="2" t="str">
        <f>"060820516"</f>
        <v>060820516</v>
      </c>
      <c r="C5464" s="2" t="str">
        <f>"060820516"</f>
        <v>060820516</v>
      </c>
      <c r="D5464" s="2" t="s">
        <v>7001</v>
      </c>
      <c r="E5464" s="4">
        <v>5200</v>
      </c>
    </row>
    <row r="5465" spans="1:5">
      <c r="A5465" s="2" t="s">
        <v>3274</v>
      </c>
      <c r="B5465" s="2" t="s">
        <v>7002</v>
      </c>
      <c r="C5465" s="2" t="s">
        <v>7003</v>
      </c>
      <c r="D5465" s="2" t="s">
        <v>7004</v>
      </c>
      <c r="E5465" s="4">
        <v>3894</v>
      </c>
    </row>
    <row r="5466" spans="1:5">
      <c r="A5466" s="2" t="s">
        <v>3274</v>
      </c>
      <c r="B5466" s="2" t="str">
        <f>"0009850"</f>
        <v>0009850</v>
      </c>
      <c r="C5466" s="2" t="str">
        <f>"0009850"</f>
        <v>0009850</v>
      </c>
      <c r="D5466" s="2" t="s">
        <v>7005</v>
      </c>
      <c r="E5466" s="4">
        <v>4900</v>
      </c>
    </row>
    <row r="5467" spans="1:5">
      <c r="A5467" s="2" t="s">
        <v>3274</v>
      </c>
      <c r="B5467" s="2" t="str">
        <f>"060820997"</f>
        <v>060820997</v>
      </c>
      <c r="C5467" s="2" t="str">
        <f>"060820997"</f>
        <v>060820997</v>
      </c>
      <c r="D5467" s="2" t="s">
        <v>7006</v>
      </c>
      <c r="E5467" s="4">
        <v>5200</v>
      </c>
    </row>
    <row r="5468" spans="1:5">
      <c r="A5468" s="2" t="s">
        <v>3274</v>
      </c>
      <c r="B5468" s="2" t="str">
        <f>"060821550"</f>
        <v>060821550</v>
      </c>
      <c r="C5468" s="2" t="str">
        <f>"060821550"</f>
        <v>060821550</v>
      </c>
      <c r="D5468" s="2" t="s">
        <v>7007</v>
      </c>
      <c r="E5468" s="4">
        <v>6100</v>
      </c>
    </row>
    <row r="5469" spans="1:5">
      <c r="A5469" s="2" t="s">
        <v>3274</v>
      </c>
      <c r="B5469" s="2" t="s">
        <v>7008</v>
      </c>
      <c r="C5469" s="2" t="s">
        <v>7008</v>
      </c>
      <c r="D5469" s="2" t="s">
        <v>7009</v>
      </c>
      <c r="E5469" s="4">
        <v>5200</v>
      </c>
    </row>
    <row r="5470" spans="1:5">
      <c r="A5470" s="2" t="s">
        <v>3274</v>
      </c>
      <c r="B5470" s="2" t="s">
        <v>7010</v>
      </c>
      <c r="C5470" s="2" t="s">
        <v>7011</v>
      </c>
      <c r="D5470" s="2" t="s">
        <v>7012</v>
      </c>
      <c r="E5470" s="4">
        <v>9800</v>
      </c>
    </row>
    <row r="5471" spans="1:5">
      <c r="A5471" s="2" t="s">
        <v>3274</v>
      </c>
      <c r="B5471" s="2" t="str">
        <f>"005099"</f>
        <v>005099</v>
      </c>
      <c r="C5471" s="2" t="str">
        <f>"005099"</f>
        <v>005099</v>
      </c>
      <c r="D5471" s="2" t="s">
        <v>7013</v>
      </c>
      <c r="E5471" s="4">
        <v>4500</v>
      </c>
    </row>
    <row r="5472" spans="1:5">
      <c r="A5472" s="2" t="s">
        <v>3274</v>
      </c>
      <c r="B5472" s="2" t="str">
        <f>"0009610"</f>
        <v>0009610</v>
      </c>
      <c r="C5472" s="2" t="str">
        <f>"0009610"</f>
        <v>0009610</v>
      </c>
      <c r="D5472" s="2" t="s">
        <v>7014</v>
      </c>
      <c r="E5472" s="4">
        <v>5200</v>
      </c>
    </row>
    <row r="5473" spans="1:5">
      <c r="A5473" s="2" t="s">
        <v>3274</v>
      </c>
      <c r="B5473" s="2" t="str">
        <f>"0009621"</f>
        <v>0009621</v>
      </c>
      <c r="C5473" s="2" t="str">
        <f>"0009621"</f>
        <v>0009621</v>
      </c>
      <c r="D5473" s="2" t="s">
        <v>7015</v>
      </c>
      <c r="E5473" s="4">
        <v>3000</v>
      </c>
    </row>
    <row r="5474" spans="1:5">
      <c r="A5474" s="2" t="s">
        <v>3274</v>
      </c>
      <c r="B5474" s="2" t="str">
        <f>"004351"</f>
        <v>004351</v>
      </c>
      <c r="C5474" s="2" t="str">
        <f>"004351"</f>
        <v>004351</v>
      </c>
      <c r="D5474" s="2" t="s">
        <v>7016</v>
      </c>
      <c r="E5474" s="4">
        <v>5200</v>
      </c>
    </row>
    <row r="5475" spans="1:5">
      <c r="A5475" s="2" t="s">
        <v>3274</v>
      </c>
      <c r="B5475" s="2" t="s">
        <v>7017</v>
      </c>
      <c r="C5475" s="2" t="s">
        <v>7017</v>
      </c>
      <c r="D5475" s="2" t="s">
        <v>7018</v>
      </c>
      <c r="E5475" s="4">
        <v>12400</v>
      </c>
    </row>
    <row r="5476" spans="1:5">
      <c r="A5476" s="2" t="s">
        <v>3274</v>
      </c>
      <c r="B5476" s="2" t="s">
        <v>7019</v>
      </c>
      <c r="C5476" s="2" t="s">
        <v>7020</v>
      </c>
      <c r="D5476" s="2" t="s">
        <v>7021</v>
      </c>
      <c r="E5476" s="4">
        <v>10200</v>
      </c>
    </row>
    <row r="5477" spans="1:5">
      <c r="A5477" s="2" t="s">
        <v>3274</v>
      </c>
      <c r="B5477" s="2" t="str">
        <f>"312546"</f>
        <v>312546</v>
      </c>
      <c r="C5477" s="2" t="str">
        <f>"312546"</f>
        <v>312546</v>
      </c>
      <c r="D5477" s="2" t="s">
        <v>7022</v>
      </c>
      <c r="E5477" s="4">
        <v>4300</v>
      </c>
    </row>
    <row r="5478" spans="1:5">
      <c r="A5478" s="2" t="s">
        <v>3274</v>
      </c>
      <c r="B5478" s="2" t="s">
        <v>7023</v>
      </c>
      <c r="C5478" s="2" t="s">
        <v>7023</v>
      </c>
      <c r="D5478" s="2" t="s">
        <v>7024</v>
      </c>
      <c r="E5478" s="4">
        <v>45000</v>
      </c>
    </row>
    <row r="5479" spans="1:5">
      <c r="A5479" s="2" t="s">
        <v>3274</v>
      </c>
      <c r="B5479" s="2" t="s">
        <v>7025</v>
      </c>
      <c r="C5479" s="2" t="s">
        <v>7025</v>
      </c>
      <c r="D5479" s="2" t="s">
        <v>7026</v>
      </c>
      <c r="E5479" s="4">
        <v>43000</v>
      </c>
    </row>
    <row r="5480" spans="1:5">
      <c r="A5480" s="2" t="s">
        <v>3274</v>
      </c>
      <c r="B5480" s="2" t="str">
        <f>"071820325"</f>
        <v>071820325</v>
      </c>
      <c r="C5480" s="2" t="str">
        <f>"071820325"</f>
        <v>071820325</v>
      </c>
      <c r="D5480" s="2" t="s">
        <v>7027</v>
      </c>
      <c r="E5480" s="4">
        <v>5200</v>
      </c>
    </row>
    <row r="5481" spans="1:5">
      <c r="A5481" s="2" t="s">
        <v>3274</v>
      </c>
      <c r="B5481" s="2" t="str">
        <f>"004941"</f>
        <v>004941</v>
      </c>
      <c r="C5481" s="2" t="str">
        <f>"004941"</f>
        <v>004941</v>
      </c>
      <c r="D5481" s="2" t="s">
        <v>7028</v>
      </c>
      <c r="E5481" s="4">
        <v>7000</v>
      </c>
    </row>
    <row r="5482" spans="1:5">
      <c r="A5482" s="2" t="s">
        <v>3274</v>
      </c>
      <c r="B5482" s="2" t="str">
        <f>"010922"</f>
        <v>010922</v>
      </c>
      <c r="C5482" s="2" t="str">
        <f>"010922"</f>
        <v>010922</v>
      </c>
      <c r="D5482" s="2" t="s">
        <v>7029</v>
      </c>
      <c r="E5482" s="4">
        <v>6100</v>
      </c>
    </row>
    <row r="5483" spans="1:5">
      <c r="A5483" s="2" t="s">
        <v>3274</v>
      </c>
      <c r="B5483" s="2" t="str">
        <f>"010687"</f>
        <v>010687</v>
      </c>
      <c r="C5483" s="2" t="str">
        <f>"010687"</f>
        <v>010687</v>
      </c>
      <c r="D5483" s="2" t="s">
        <v>7030</v>
      </c>
      <c r="E5483" s="4">
        <v>7000</v>
      </c>
    </row>
    <row r="5484" spans="1:5">
      <c r="A5484" s="2" t="s">
        <v>3274</v>
      </c>
      <c r="B5484" s="2" t="str">
        <f>"060821182"</f>
        <v>060821182</v>
      </c>
      <c r="C5484" s="2" t="str">
        <f>"060821182"</f>
        <v>060821182</v>
      </c>
      <c r="D5484" s="2" t="s">
        <v>7031</v>
      </c>
      <c r="E5484" s="4">
        <v>4300</v>
      </c>
    </row>
    <row r="5485" spans="1:5">
      <c r="A5485" s="2" t="s">
        <v>3274</v>
      </c>
      <c r="B5485" s="2" t="str">
        <f>"9958979"</f>
        <v>9958979</v>
      </c>
      <c r="C5485" s="2" t="str">
        <f>"9958979"</f>
        <v>9958979</v>
      </c>
      <c r="D5485" s="2" t="s">
        <v>7032</v>
      </c>
      <c r="E5485" s="4">
        <v>6100</v>
      </c>
    </row>
    <row r="5486" spans="1:5">
      <c r="A5486" s="2" t="s">
        <v>3274</v>
      </c>
      <c r="B5486" s="2" t="str">
        <f>"010682"</f>
        <v>010682</v>
      </c>
      <c r="C5486" s="2" t="str">
        <f>"010682"</f>
        <v>010682</v>
      </c>
      <c r="D5486" s="2" t="s">
        <v>7033</v>
      </c>
      <c r="E5486" s="4">
        <v>4500</v>
      </c>
    </row>
    <row r="5487" spans="1:5">
      <c r="A5487" s="2" t="s">
        <v>3274</v>
      </c>
      <c r="B5487" s="2" t="str">
        <f>"1713Z4"</f>
        <v>1713Z4</v>
      </c>
      <c r="C5487" s="2" t="str">
        <f>"1713Z4"</f>
        <v>1713Z4</v>
      </c>
      <c r="D5487" s="2" t="s">
        <v>7034</v>
      </c>
      <c r="E5487" s="4">
        <v>8500</v>
      </c>
    </row>
    <row r="5488" spans="1:5">
      <c r="A5488" s="2" t="s">
        <v>3274</v>
      </c>
      <c r="B5488" s="2" t="s">
        <v>7035</v>
      </c>
      <c r="C5488" s="2" t="s">
        <v>7035</v>
      </c>
      <c r="D5488" s="2" t="s">
        <v>7036</v>
      </c>
      <c r="E5488" s="4">
        <v>4300</v>
      </c>
    </row>
    <row r="5489" spans="1:5">
      <c r="A5489" s="2" t="s">
        <v>3274</v>
      </c>
      <c r="B5489" s="2" t="str">
        <f>"5000000333752"</f>
        <v>5000000333752</v>
      </c>
      <c r="C5489" s="2" t="str">
        <f>"010811"</f>
        <v>010811</v>
      </c>
      <c r="D5489" s="2" t="s">
        <v>7037</v>
      </c>
      <c r="E5489" s="4">
        <v>11500</v>
      </c>
    </row>
    <row r="5490" spans="1:5">
      <c r="A5490" s="2" t="s">
        <v>3274</v>
      </c>
      <c r="B5490" s="2" t="str">
        <f>"9952569"</f>
        <v>9952569</v>
      </c>
      <c r="C5490" s="2" t="str">
        <f>"9952569"</f>
        <v>9952569</v>
      </c>
      <c r="D5490" s="2" t="s">
        <v>7038</v>
      </c>
      <c r="E5490" s="4">
        <v>11500</v>
      </c>
    </row>
    <row r="5491" spans="1:5">
      <c r="A5491" s="2" t="s">
        <v>3274</v>
      </c>
      <c r="B5491" s="2" t="str">
        <f>"9947182"</f>
        <v>9947182</v>
      </c>
      <c r="C5491" s="2" t="str">
        <f>"9947182"</f>
        <v>9947182</v>
      </c>
      <c r="D5491" s="2" t="s">
        <v>7039</v>
      </c>
      <c r="E5491" s="4">
        <v>9700</v>
      </c>
    </row>
    <row r="5492" spans="1:5">
      <c r="A5492" s="2" t="s">
        <v>3274</v>
      </c>
      <c r="B5492" s="2" t="str">
        <f>"0027854"</f>
        <v>0027854</v>
      </c>
      <c r="C5492" s="2" t="str">
        <f>"0027854"</f>
        <v>0027854</v>
      </c>
      <c r="D5492" s="2" t="s">
        <v>7040</v>
      </c>
      <c r="E5492" s="4">
        <v>6100</v>
      </c>
    </row>
    <row r="5493" spans="1:5">
      <c r="A5493" s="2" t="s">
        <v>3274</v>
      </c>
      <c r="B5493" s="2" t="s">
        <v>7041</v>
      </c>
      <c r="C5493" s="2" t="s">
        <v>7041</v>
      </c>
      <c r="D5493" s="2" t="s">
        <v>7042</v>
      </c>
      <c r="E5493" s="4">
        <v>4500</v>
      </c>
    </row>
    <row r="5494" spans="1:5">
      <c r="A5494" s="2" t="s">
        <v>3274</v>
      </c>
      <c r="B5494" s="2" t="str">
        <f>"300991"</f>
        <v>300991</v>
      </c>
      <c r="C5494" s="2" t="str">
        <f>"300991"</f>
        <v>300991</v>
      </c>
      <c r="D5494" s="2" t="s">
        <v>7042</v>
      </c>
      <c r="E5494" s="4">
        <v>4500</v>
      </c>
    </row>
    <row r="5495" spans="1:5">
      <c r="A5495" s="2" t="s">
        <v>3274</v>
      </c>
      <c r="B5495" s="2" t="s">
        <v>7043</v>
      </c>
      <c r="C5495" s="2" t="s">
        <v>7044</v>
      </c>
      <c r="D5495" s="2" t="s">
        <v>7045</v>
      </c>
      <c r="E5495" s="4">
        <v>8900</v>
      </c>
    </row>
    <row r="5496" spans="1:5">
      <c r="A5496" s="2" t="s">
        <v>3274</v>
      </c>
      <c r="B5496" s="2" t="str">
        <f>"68079487"</f>
        <v>68079487</v>
      </c>
      <c r="C5496" s="2" t="str">
        <f>"68079487"</f>
        <v>68079487</v>
      </c>
      <c r="D5496" s="2" t="s">
        <v>7046</v>
      </c>
      <c r="E5496" s="4">
        <v>45000</v>
      </c>
    </row>
    <row r="5497" spans="1:5">
      <c r="A5497" s="2" t="s">
        <v>3274</v>
      </c>
      <c r="B5497" s="2" t="s">
        <v>7047</v>
      </c>
      <c r="C5497" s="2" t="s">
        <v>7048</v>
      </c>
      <c r="D5497" s="2" t="s">
        <v>7049</v>
      </c>
      <c r="E5497" s="4">
        <v>6000</v>
      </c>
    </row>
    <row r="5498" spans="1:5">
      <c r="A5498" s="2" t="s">
        <v>3274</v>
      </c>
      <c r="B5498" s="2" t="str">
        <f>"228002"</f>
        <v>228002</v>
      </c>
      <c r="C5498" s="2" t="str">
        <f>"228002"</f>
        <v>228002</v>
      </c>
      <c r="D5498" s="2" t="s">
        <v>7050</v>
      </c>
      <c r="E5498" s="4">
        <v>5500</v>
      </c>
    </row>
    <row r="5499" spans="1:5">
      <c r="A5499" s="2" t="s">
        <v>3274</v>
      </c>
      <c r="B5499" s="2" t="str">
        <f>"247540"</f>
        <v>247540</v>
      </c>
      <c r="C5499" s="2" t="str">
        <f>"247540"</f>
        <v>247540</v>
      </c>
      <c r="D5499" s="2" t="s">
        <v>7051</v>
      </c>
      <c r="E5499" s="4">
        <v>8000</v>
      </c>
    </row>
    <row r="5500" spans="1:5">
      <c r="A5500" s="2" t="s">
        <v>3274</v>
      </c>
      <c r="B5500" s="2" t="str">
        <f>"311740"</f>
        <v>311740</v>
      </c>
      <c r="C5500" s="2" t="str">
        <f>"311740"</f>
        <v>311740</v>
      </c>
      <c r="D5500" s="2" t="s">
        <v>7052</v>
      </c>
      <c r="E5500" s="4">
        <v>5200</v>
      </c>
    </row>
    <row r="5501" spans="1:5">
      <c r="A5501" s="2" t="s">
        <v>3274</v>
      </c>
      <c r="B5501" s="2" t="str">
        <f>"004994"</f>
        <v>004994</v>
      </c>
      <c r="C5501" s="2" t="str">
        <f>"004994"</f>
        <v>004994</v>
      </c>
      <c r="D5501" s="2" t="s">
        <v>7053</v>
      </c>
      <c r="E5501" s="4">
        <v>4300</v>
      </c>
    </row>
    <row r="5502" spans="1:5">
      <c r="A5502" s="2" t="s">
        <v>3274</v>
      </c>
      <c r="B5502" s="2" t="str">
        <f>"0027914"</f>
        <v>0027914</v>
      </c>
      <c r="C5502" s="2" t="str">
        <f>"0027914"</f>
        <v>0027914</v>
      </c>
      <c r="D5502" s="2" t="s">
        <v>7054</v>
      </c>
      <c r="E5502" s="4">
        <v>6100</v>
      </c>
    </row>
    <row r="5503" spans="1:5">
      <c r="A5503" s="2" t="s">
        <v>3274</v>
      </c>
      <c r="B5503" s="2" t="str">
        <f>"060820518"</f>
        <v>060820518</v>
      </c>
      <c r="C5503" s="2" t="str">
        <f>"060820518"</f>
        <v>060820518</v>
      </c>
      <c r="D5503" s="2" t="s">
        <v>7055</v>
      </c>
      <c r="E5503" s="4">
        <v>8800</v>
      </c>
    </row>
    <row r="5504" spans="1:5">
      <c r="A5504" s="2" t="s">
        <v>3274</v>
      </c>
      <c r="B5504" s="2" t="str">
        <f>"010411"</f>
        <v>010411</v>
      </c>
      <c r="C5504" s="2" t="str">
        <f>"010411"</f>
        <v>010411</v>
      </c>
      <c r="D5504" s="2" t="s">
        <v>7056</v>
      </c>
      <c r="E5504" s="4">
        <v>25000</v>
      </c>
    </row>
    <row r="5505" spans="1:5">
      <c r="A5505" s="2" t="s">
        <v>3274</v>
      </c>
      <c r="B5505" s="2" t="s">
        <v>7057</v>
      </c>
      <c r="C5505" s="2" t="s">
        <v>7058</v>
      </c>
      <c r="D5505" s="2" t="s">
        <v>7059</v>
      </c>
      <c r="E5505" s="4">
        <v>7900</v>
      </c>
    </row>
    <row r="5506" spans="1:5">
      <c r="A5506" s="2" t="s">
        <v>3274</v>
      </c>
      <c r="B5506" s="2" t="str">
        <f>"0034652"</f>
        <v>0034652</v>
      </c>
      <c r="C5506" s="2" t="str">
        <f>"0034652"</f>
        <v>0034652</v>
      </c>
      <c r="D5506" s="2" t="s">
        <v>6219</v>
      </c>
      <c r="E5506" s="4">
        <v>15000</v>
      </c>
    </row>
    <row r="5507" spans="1:5">
      <c r="A5507" s="2" t="s">
        <v>3274</v>
      </c>
      <c r="B5507" s="2" t="str">
        <f>"670421"</f>
        <v>670421</v>
      </c>
      <c r="C5507" s="2" t="str">
        <f>"670421"</f>
        <v>670421</v>
      </c>
      <c r="D5507" s="2" t="s">
        <v>7060</v>
      </c>
      <c r="E5507" s="4">
        <v>16000</v>
      </c>
    </row>
    <row r="5508" spans="1:5">
      <c r="A5508" s="2" t="s">
        <v>3274</v>
      </c>
      <c r="B5508" s="2" t="str">
        <f>"006414011-6"</f>
        <v>006414011-6</v>
      </c>
      <c r="C5508" s="2" t="str">
        <f>"006414011-6"</f>
        <v>006414011-6</v>
      </c>
      <c r="D5508" s="2" t="s">
        <v>7061</v>
      </c>
      <c r="E5508" s="4">
        <v>10600</v>
      </c>
    </row>
    <row r="5509" spans="1:5">
      <c r="A5509" s="2" t="s">
        <v>3274</v>
      </c>
      <c r="B5509" s="2" t="str">
        <f>"060821454"</f>
        <v>060821454</v>
      </c>
      <c r="C5509" s="2" t="str">
        <f>"060821454"</f>
        <v>060821454</v>
      </c>
      <c r="D5509" s="2" t="s">
        <v>7062</v>
      </c>
      <c r="E5509" s="4">
        <v>8800</v>
      </c>
    </row>
    <row r="5510" spans="1:5">
      <c r="A5510" s="2" t="s">
        <v>3274</v>
      </c>
      <c r="B5510" s="2" t="s">
        <v>7063</v>
      </c>
      <c r="C5510" s="2" t="s">
        <v>7063</v>
      </c>
      <c r="D5510" s="2" t="s">
        <v>7064</v>
      </c>
      <c r="E5510" s="4">
        <v>3400</v>
      </c>
    </row>
    <row r="5511" spans="1:5">
      <c r="A5511" s="2" t="s">
        <v>3274</v>
      </c>
      <c r="B5511" s="2" t="str">
        <f>"090440286"</f>
        <v>090440286</v>
      </c>
      <c r="C5511" s="2" t="str">
        <f>"090440286"</f>
        <v>090440286</v>
      </c>
      <c r="D5511" s="2" t="s">
        <v>7065</v>
      </c>
      <c r="E5511" s="4">
        <v>4300</v>
      </c>
    </row>
    <row r="5512" spans="1:5">
      <c r="A5512" s="2" t="s">
        <v>3274</v>
      </c>
      <c r="B5512" s="2" t="str">
        <f>"0023084"</f>
        <v>0023084</v>
      </c>
      <c r="C5512" s="2" t="str">
        <f>"0023084"</f>
        <v>0023084</v>
      </c>
      <c r="D5512" s="2" t="s">
        <v>7066</v>
      </c>
      <c r="E5512" s="4">
        <v>4300</v>
      </c>
    </row>
    <row r="5513" spans="1:5">
      <c r="A5513" s="2" t="s">
        <v>3274</v>
      </c>
      <c r="B5513" s="2" t="str">
        <f>"0023174"</f>
        <v>0023174</v>
      </c>
      <c r="C5513" s="2" t="str">
        <f>"0023174"</f>
        <v>0023174</v>
      </c>
      <c r="D5513" s="2" t="s">
        <v>7067</v>
      </c>
      <c r="E5513" s="4">
        <v>6500</v>
      </c>
    </row>
    <row r="5514" spans="1:5">
      <c r="A5514" s="2" t="s">
        <v>3274</v>
      </c>
      <c r="B5514" s="2" t="str">
        <f>"0010987"</f>
        <v>0010987</v>
      </c>
      <c r="C5514" s="2" t="str">
        <f>"0010987"</f>
        <v>0010987</v>
      </c>
      <c r="D5514" s="2" t="s">
        <v>7068</v>
      </c>
      <c r="E5514" s="4">
        <v>29500</v>
      </c>
    </row>
    <row r="5515" spans="1:5">
      <c r="A5515" s="2" t="s">
        <v>3274</v>
      </c>
      <c r="B5515" s="2" t="str">
        <f>"670296"</f>
        <v>670296</v>
      </c>
      <c r="C5515" s="2" t="str">
        <f>"670296"</f>
        <v>670296</v>
      </c>
      <c r="D5515" s="2" t="s">
        <v>7069</v>
      </c>
      <c r="E5515" s="4">
        <v>31000</v>
      </c>
    </row>
    <row r="5516" spans="1:5">
      <c r="A5516" s="2" t="s">
        <v>3274</v>
      </c>
      <c r="B5516" s="2" t="s">
        <v>7070</v>
      </c>
      <c r="C5516" s="2" t="s">
        <v>7070</v>
      </c>
      <c r="D5516" s="2" t="s">
        <v>7071</v>
      </c>
      <c r="E5516" s="4">
        <v>4300</v>
      </c>
    </row>
    <row r="5517" spans="1:5">
      <c r="A5517" s="2" t="s">
        <v>3274</v>
      </c>
      <c r="B5517" s="2" t="str">
        <f>"0009572"</f>
        <v>0009572</v>
      </c>
      <c r="C5517" s="2" t="str">
        <f>"0009572"</f>
        <v>0009572</v>
      </c>
      <c r="D5517" s="2" t="s">
        <v>7072</v>
      </c>
      <c r="E5517" s="4">
        <v>4300</v>
      </c>
    </row>
    <row r="5518" spans="1:5">
      <c r="A5518" s="2" t="s">
        <v>3274</v>
      </c>
      <c r="B5518" s="2" t="str">
        <f>"670328"</f>
        <v>670328</v>
      </c>
      <c r="C5518" s="2" t="str">
        <f>"670328"</f>
        <v>670328</v>
      </c>
      <c r="D5518" s="2" t="s">
        <v>7073</v>
      </c>
      <c r="E5518" s="4">
        <v>12500</v>
      </c>
    </row>
    <row r="5519" spans="1:5">
      <c r="A5519" s="2" t="s">
        <v>3274</v>
      </c>
      <c r="B5519" s="2" t="str">
        <f>"060820941"</f>
        <v>060820941</v>
      </c>
      <c r="C5519" s="2" t="str">
        <f>"1705231897272"</f>
        <v>1705231897272</v>
      </c>
      <c r="D5519" s="2" t="s">
        <v>7074</v>
      </c>
      <c r="E5519" s="4">
        <v>4300</v>
      </c>
    </row>
    <row r="5520" spans="1:5">
      <c r="A5520" s="2" t="s">
        <v>3274</v>
      </c>
      <c r="B5520" s="2" t="str">
        <f>"060821229"</f>
        <v>060821229</v>
      </c>
      <c r="C5520" s="2" t="str">
        <f>"060821229"</f>
        <v>060821229</v>
      </c>
      <c r="D5520" s="2" t="s">
        <v>7075</v>
      </c>
      <c r="E5520" s="4">
        <v>4300</v>
      </c>
    </row>
    <row r="5521" spans="1:5">
      <c r="A5521" s="2" t="s">
        <v>3274</v>
      </c>
      <c r="B5521" s="2" t="str">
        <f>"9963195"</f>
        <v>9963195</v>
      </c>
      <c r="C5521" s="2" t="str">
        <f>"9963195"</f>
        <v>9963195</v>
      </c>
      <c r="D5521" s="2" t="s">
        <v>7076</v>
      </c>
      <c r="E5521" s="4">
        <v>12400</v>
      </c>
    </row>
    <row r="5522" spans="1:5">
      <c r="A5522" s="2" t="s">
        <v>3274</v>
      </c>
      <c r="B5522" s="2" t="str">
        <f>"0027984"</f>
        <v>0027984</v>
      </c>
      <c r="C5522" s="2" t="str">
        <f>"0027984"</f>
        <v>0027984</v>
      </c>
      <c r="D5522" s="2" t="s">
        <v>7077</v>
      </c>
      <c r="E5522" s="4">
        <v>6100</v>
      </c>
    </row>
    <row r="5523" spans="1:5">
      <c r="A5523" s="2" t="s">
        <v>3274</v>
      </c>
      <c r="B5523" s="2" t="str">
        <f>"9956685"</f>
        <v>9956685</v>
      </c>
      <c r="C5523" s="2" t="str">
        <f>"9956685"</f>
        <v>9956685</v>
      </c>
      <c r="D5523" s="2" t="s">
        <v>7078</v>
      </c>
      <c r="E5523" s="4">
        <v>3400</v>
      </c>
    </row>
    <row r="5524" spans="1:5">
      <c r="A5524" s="2" t="s">
        <v>3274</v>
      </c>
      <c r="B5524" s="2" t="str">
        <f>"0028006"</f>
        <v>0028006</v>
      </c>
      <c r="C5524" s="2" t="str">
        <f>"0028006"</f>
        <v>0028006</v>
      </c>
      <c r="D5524" s="2" t="s">
        <v>7079</v>
      </c>
      <c r="E5524" s="4">
        <v>4300</v>
      </c>
    </row>
    <row r="5525" spans="1:5">
      <c r="A5525" s="2" t="s">
        <v>3274</v>
      </c>
      <c r="B5525" s="2" t="str">
        <f>"0034763"</f>
        <v>0034763</v>
      </c>
      <c r="C5525" s="2" t="str">
        <f>"0034763"</f>
        <v>0034763</v>
      </c>
      <c r="D5525" s="2" t="s">
        <v>7080</v>
      </c>
      <c r="E5525" s="4">
        <v>3400</v>
      </c>
    </row>
    <row r="5526" spans="1:5">
      <c r="A5526" s="2" t="s">
        <v>3274</v>
      </c>
      <c r="B5526" s="2" t="str">
        <f>"0031194"</f>
        <v>0031194</v>
      </c>
      <c r="C5526" s="2" t="str">
        <f>"0031194"</f>
        <v>0031194</v>
      </c>
      <c r="D5526" s="2" t="s">
        <v>7081</v>
      </c>
      <c r="E5526" s="4">
        <v>4300</v>
      </c>
    </row>
    <row r="5527" spans="1:5">
      <c r="A5527" s="2" t="s">
        <v>3274</v>
      </c>
      <c r="B5527" s="2" t="str">
        <f>"060821200"</f>
        <v>060821200</v>
      </c>
      <c r="C5527" s="2" t="str">
        <f>"060821200"</f>
        <v>060821200</v>
      </c>
      <c r="D5527" s="2" t="s">
        <v>7082</v>
      </c>
      <c r="E5527" s="4">
        <v>4300</v>
      </c>
    </row>
    <row r="5528" spans="1:5">
      <c r="A5528" s="2" t="s">
        <v>3274</v>
      </c>
      <c r="B5528" s="2" t="str">
        <f>"006414007-8"</f>
        <v>006414007-8</v>
      </c>
      <c r="C5528" s="2" t="str">
        <f>"006414007-8"</f>
        <v>006414007-8</v>
      </c>
      <c r="D5528" s="2" t="s">
        <v>7083</v>
      </c>
      <c r="E5528" s="4">
        <v>9700</v>
      </c>
    </row>
    <row r="5529" spans="1:5">
      <c r="A5529" s="2" t="s">
        <v>3274</v>
      </c>
      <c r="B5529" s="2" t="str">
        <f>"23659-4"</f>
        <v>23659-4</v>
      </c>
      <c r="C5529" s="2" t="str">
        <f>"23659-4"</f>
        <v>23659-4</v>
      </c>
      <c r="D5529" s="2" t="s">
        <v>7084</v>
      </c>
      <c r="E5529" s="4">
        <v>5200</v>
      </c>
    </row>
    <row r="5530" spans="1:5">
      <c r="A5530" s="2" t="s">
        <v>3274</v>
      </c>
      <c r="B5530" s="2" t="str">
        <f>"0027995"</f>
        <v>0027995</v>
      </c>
      <c r="C5530" s="2" t="str">
        <f>"0027995"</f>
        <v>0027995</v>
      </c>
      <c r="D5530" s="2" t="s">
        <v>7085</v>
      </c>
      <c r="E5530" s="4">
        <v>4300</v>
      </c>
    </row>
    <row r="5531" spans="1:5">
      <c r="A5531" s="2" t="s">
        <v>365</v>
      </c>
      <c r="B5531" s="2" t="s">
        <v>7086</v>
      </c>
      <c r="C5531" s="2" t="s">
        <v>7087</v>
      </c>
      <c r="D5531" s="2" t="s">
        <v>7088</v>
      </c>
      <c r="E5531" s="4">
        <v>2500</v>
      </c>
    </row>
    <row r="5532" spans="1:5">
      <c r="A5532" s="2" t="s">
        <v>365</v>
      </c>
      <c r="B5532" s="2" t="s">
        <v>7089</v>
      </c>
      <c r="C5532" s="2" t="s">
        <v>7089</v>
      </c>
      <c r="D5532" s="2" t="s">
        <v>7088</v>
      </c>
      <c r="E5532" s="4">
        <v>1200</v>
      </c>
    </row>
    <row r="5533" spans="1:5">
      <c r="A5533" s="2" t="s">
        <v>365</v>
      </c>
      <c r="B5533" s="2" t="str">
        <f>"010350066"</f>
        <v>010350066</v>
      </c>
      <c r="C5533" s="2" t="str">
        <f>"3F-324"</f>
        <v>3F-324</v>
      </c>
      <c r="D5533" s="2" t="s">
        <v>7090</v>
      </c>
      <c r="E5533" s="4">
        <v>2500</v>
      </c>
    </row>
    <row r="5534" spans="1:5">
      <c r="A5534" s="2" t="s">
        <v>365</v>
      </c>
      <c r="B5534" s="2" t="str">
        <f>"550"</f>
        <v>550</v>
      </c>
      <c r="C5534" s="2" t="str">
        <f>"550"</f>
        <v>550</v>
      </c>
      <c r="D5534" s="2" t="s">
        <v>7091</v>
      </c>
      <c r="E5534" s="4">
        <v>2200</v>
      </c>
    </row>
    <row r="5535" spans="1:5">
      <c r="A5535" s="2" t="s">
        <v>365</v>
      </c>
      <c r="B5535" s="2" t="str">
        <f>"011866"</f>
        <v>011866</v>
      </c>
      <c r="C5535" s="2" t="str">
        <f>"011866"</f>
        <v>011866</v>
      </c>
      <c r="D5535" s="2" t="s">
        <v>7092</v>
      </c>
      <c r="E5535" s="4">
        <v>2000</v>
      </c>
    </row>
    <row r="5536" spans="1:5">
      <c r="A5536" s="2" t="s">
        <v>359</v>
      </c>
      <c r="B5536" s="2" t="str">
        <f>"030880016"</f>
        <v>030880016</v>
      </c>
      <c r="C5536" s="2" t="str">
        <f>"030880016"</f>
        <v>030880016</v>
      </c>
      <c r="D5536" s="2" t="s">
        <v>7093</v>
      </c>
      <c r="E5536" s="4">
        <v>4300</v>
      </c>
    </row>
    <row r="5537" spans="1:5">
      <c r="A5537" s="2" t="s">
        <v>359</v>
      </c>
      <c r="B5537" s="2" t="str">
        <f>"090980492"</f>
        <v>090980492</v>
      </c>
      <c r="C5537" s="2" t="str">
        <f>"090980492"</f>
        <v>090980492</v>
      </c>
      <c r="D5537" s="2" t="s">
        <v>7094</v>
      </c>
      <c r="E5537" s="4">
        <v>1500</v>
      </c>
    </row>
    <row r="5538" spans="1:5">
      <c r="A5538" s="2" t="s">
        <v>359</v>
      </c>
      <c r="B5538" s="2" t="str">
        <f>"030880003"</f>
        <v>030880003</v>
      </c>
      <c r="C5538" s="2" t="str">
        <f>"030880003"</f>
        <v>030880003</v>
      </c>
      <c r="D5538" s="2" t="s">
        <v>7095</v>
      </c>
      <c r="E5538" s="4">
        <v>4300</v>
      </c>
    </row>
    <row r="5539" spans="1:5">
      <c r="A5539" s="2" t="s">
        <v>359</v>
      </c>
      <c r="B5539" s="2" t="str">
        <f>"59007"</f>
        <v>59007</v>
      </c>
      <c r="C5539" s="2" t="str">
        <f>"59007"</f>
        <v>59007</v>
      </c>
      <c r="D5539" s="2" t="s">
        <v>7096</v>
      </c>
      <c r="E5539" s="4">
        <v>2900</v>
      </c>
    </row>
    <row r="5540" spans="1:5">
      <c r="A5540" s="2" t="s">
        <v>359</v>
      </c>
      <c r="B5540" s="2" t="str">
        <f>"01775"</f>
        <v>01775</v>
      </c>
      <c r="C5540" s="2" t="str">
        <f>"01775"</f>
        <v>01775</v>
      </c>
      <c r="D5540" s="2" t="s">
        <v>7097</v>
      </c>
      <c r="E5540" s="4">
        <v>2800</v>
      </c>
    </row>
    <row r="5541" spans="1:5">
      <c r="A5541" s="2" t="s">
        <v>359</v>
      </c>
      <c r="B5541" s="2" t="str">
        <f>"070740285"</f>
        <v>070740285</v>
      </c>
      <c r="C5541" s="2" t="str">
        <f>"070740285"</f>
        <v>070740285</v>
      </c>
      <c r="D5541" s="2" t="s">
        <v>7098</v>
      </c>
      <c r="E5541" s="4">
        <v>4500</v>
      </c>
    </row>
    <row r="5542" spans="1:5">
      <c r="A5542" s="2" t="s">
        <v>359</v>
      </c>
      <c r="B5542" s="2" t="str">
        <f>"0110350"</f>
        <v>0110350</v>
      </c>
      <c r="C5542" s="2" t="str">
        <f>"0110350"</f>
        <v>0110350</v>
      </c>
      <c r="D5542" s="2" t="s">
        <v>7099</v>
      </c>
      <c r="E5542" s="4">
        <v>5200</v>
      </c>
    </row>
    <row r="5543" spans="1:5">
      <c r="A5543" s="2" t="s">
        <v>5</v>
      </c>
      <c r="B5543" s="2" t="s">
        <v>7100</v>
      </c>
      <c r="C5543" s="2" t="s">
        <v>7100</v>
      </c>
      <c r="D5543" s="2" t="s">
        <v>7101</v>
      </c>
      <c r="E5543" s="4">
        <v>4000</v>
      </c>
    </row>
    <row r="5544" spans="1:5">
      <c r="A5544" s="2" t="s">
        <v>1392</v>
      </c>
      <c r="B5544" s="2" t="s">
        <v>7102</v>
      </c>
      <c r="C5544" s="2" t="s">
        <v>7102</v>
      </c>
      <c r="D5544" s="2" t="s">
        <v>7103</v>
      </c>
      <c r="E5544" s="4">
        <v>14000</v>
      </c>
    </row>
    <row r="5545" spans="1:5">
      <c r="A5545" s="2" t="s">
        <v>1478</v>
      </c>
      <c r="B5545" s="2" t="str">
        <f>"300601"</f>
        <v>300601</v>
      </c>
      <c r="C5545" s="2" t="str">
        <f>"090390022"</f>
        <v>090390022</v>
      </c>
      <c r="D5545" s="2" t="s">
        <v>7104</v>
      </c>
      <c r="E5545" s="4">
        <v>12500</v>
      </c>
    </row>
    <row r="5546" spans="1:5">
      <c r="A5546" s="2" t="s">
        <v>1478</v>
      </c>
      <c r="B5546" s="2" t="str">
        <f>"300600"</f>
        <v>300600</v>
      </c>
      <c r="C5546" s="2" t="str">
        <f>"300600"</f>
        <v>300600</v>
      </c>
      <c r="D5546" s="2" t="s">
        <v>7105</v>
      </c>
      <c r="E5546" s="4">
        <v>14200</v>
      </c>
    </row>
    <row r="5547" spans="1:5">
      <c r="A5547" s="2" t="s">
        <v>1478</v>
      </c>
      <c r="B5547" s="2" t="str">
        <f>"090390008"</f>
        <v>090390008</v>
      </c>
      <c r="C5547" s="2" t="str">
        <f>"300604"</f>
        <v>300604</v>
      </c>
      <c r="D5547" s="2" t="s">
        <v>7106</v>
      </c>
      <c r="E5547" s="4">
        <v>11500</v>
      </c>
    </row>
    <row r="5548" spans="1:5">
      <c r="A5548" s="2" t="s">
        <v>1478</v>
      </c>
      <c r="B5548" s="2" t="str">
        <f>"090390032"</f>
        <v>090390032</v>
      </c>
      <c r="C5548" s="2" t="str">
        <f>"300602 FL00230"</f>
        <v>300602 FL00230</v>
      </c>
      <c r="D5548" s="2" t="s">
        <v>7107</v>
      </c>
      <c r="E5548" s="4">
        <v>13300</v>
      </c>
    </row>
    <row r="5549" spans="1:5">
      <c r="A5549" s="2" t="s">
        <v>1478</v>
      </c>
      <c r="B5549" s="2" t="str">
        <f>"090390006"</f>
        <v>090390006</v>
      </c>
      <c r="C5549" s="2" t="str">
        <f>"090390006"</f>
        <v>090390006</v>
      </c>
      <c r="D5549" s="2" t="s">
        <v>7107</v>
      </c>
      <c r="E5549" s="4">
        <v>12400</v>
      </c>
    </row>
    <row r="5550" spans="1:5">
      <c r="A5550" s="2" t="s">
        <v>1478</v>
      </c>
      <c r="B5550" s="2" t="str">
        <f>"5000000126415"</f>
        <v>5000000126415</v>
      </c>
      <c r="C5550" s="2" t="str">
        <f>"300738 FL00270"</f>
        <v>300738 FL00270</v>
      </c>
      <c r="D5550" s="2" t="s">
        <v>7108</v>
      </c>
      <c r="E5550" s="4">
        <v>13500</v>
      </c>
    </row>
    <row r="5551" spans="1:5">
      <c r="A5551" s="2" t="s">
        <v>1478</v>
      </c>
      <c r="B5551" s="2" t="str">
        <f>"300606"</f>
        <v>300606</v>
      </c>
      <c r="C5551" s="2" t="str">
        <f>"300606"</f>
        <v>300606</v>
      </c>
      <c r="D5551" s="2" t="s">
        <v>7108</v>
      </c>
      <c r="E5551" s="4">
        <v>13500</v>
      </c>
    </row>
    <row r="5552" spans="1:5">
      <c r="A5552" s="2" t="s">
        <v>1478</v>
      </c>
      <c r="B5552" s="2" t="s">
        <v>7109</v>
      </c>
      <c r="C5552" s="2" t="s">
        <v>7109</v>
      </c>
      <c r="D5552" s="2" t="s">
        <v>7110</v>
      </c>
      <c r="E5552" s="4">
        <v>6000</v>
      </c>
    </row>
    <row r="5553" spans="1:5">
      <c r="A5553" s="2" t="s">
        <v>1478</v>
      </c>
      <c r="B5553" s="2" t="str">
        <f>"0160747"</f>
        <v>0160747</v>
      </c>
      <c r="C5553" s="2" t="str">
        <f>"0160747"</f>
        <v>0160747</v>
      </c>
      <c r="D5553" s="2" t="s">
        <v>7111</v>
      </c>
      <c r="E5553" s="4">
        <v>10600</v>
      </c>
    </row>
    <row r="5554" spans="1:5">
      <c r="A5554" s="2" t="s">
        <v>1478</v>
      </c>
      <c r="B5554" s="2" t="str">
        <f>"382653"</f>
        <v>382653</v>
      </c>
      <c r="C5554" s="2" t="str">
        <f>"382653"</f>
        <v>382653</v>
      </c>
      <c r="D5554" s="2" t="s">
        <v>7112</v>
      </c>
      <c r="E5554" s="4">
        <v>38500</v>
      </c>
    </row>
    <row r="5555" spans="1:5">
      <c r="A5555" s="2" t="s">
        <v>1478</v>
      </c>
      <c r="B5555" s="2" t="s">
        <v>7113</v>
      </c>
      <c r="C5555" s="2" t="s">
        <v>7113</v>
      </c>
      <c r="D5555" s="2" t="s">
        <v>7114</v>
      </c>
      <c r="E5555" s="4">
        <v>38675</v>
      </c>
    </row>
    <row r="5556" spans="1:5">
      <c r="A5556" s="2" t="s">
        <v>359</v>
      </c>
      <c r="B5556" s="2" t="str">
        <f>"0000307"</f>
        <v>0000307</v>
      </c>
      <c r="C5556" s="2" t="str">
        <f>"0000307"</f>
        <v>0000307</v>
      </c>
      <c r="D5556" s="2" t="s">
        <v>7115</v>
      </c>
      <c r="E5556" s="4">
        <v>12400</v>
      </c>
    </row>
    <row r="5557" spans="1:5">
      <c r="A5557" s="2" t="s">
        <v>359</v>
      </c>
      <c r="B5557" s="2" t="str">
        <f>"1782"</f>
        <v>1782</v>
      </c>
      <c r="C5557" s="2" t="str">
        <f>"1782"</f>
        <v>1782</v>
      </c>
      <c r="D5557" s="2" t="s">
        <v>7116</v>
      </c>
      <c r="E5557" s="4">
        <v>18800</v>
      </c>
    </row>
    <row r="5558" spans="1:5">
      <c r="A5558" s="2" t="s">
        <v>359</v>
      </c>
      <c r="B5558" s="2" t="str">
        <f>"20202931"</f>
        <v>20202931</v>
      </c>
      <c r="C5558" s="2" t="str">
        <f>"20202931"</f>
        <v>20202931</v>
      </c>
      <c r="D5558" s="2" t="s">
        <v>7117</v>
      </c>
      <c r="E5558" s="4">
        <v>19500</v>
      </c>
    </row>
    <row r="5559" spans="1:5">
      <c r="A5559" s="2" t="s">
        <v>2544</v>
      </c>
      <c r="B5559" s="2" t="str">
        <f>"090920160"</f>
        <v>090920160</v>
      </c>
      <c r="C5559" s="2" t="str">
        <f>"090920160"</f>
        <v>090920160</v>
      </c>
      <c r="D5559" s="2" t="s">
        <v>7118</v>
      </c>
      <c r="E5559" s="4">
        <v>61000</v>
      </c>
    </row>
    <row r="5560" spans="1:5">
      <c r="A5560" s="2" t="s">
        <v>2544</v>
      </c>
      <c r="B5560" s="2" t="s">
        <v>7119</v>
      </c>
      <c r="C5560" s="2" t="s">
        <v>7119</v>
      </c>
      <c r="D5560" s="2" t="s">
        <v>7120</v>
      </c>
      <c r="E5560" s="4">
        <v>80920</v>
      </c>
    </row>
    <row r="5561" spans="1:5">
      <c r="A5561" s="2" t="s">
        <v>2544</v>
      </c>
      <c r="B5561" s="2" t="str">
        <f>"0018855"</f>
        <v>0018855</v>
      </c>
      <c r="C5561" s="2" t="str">
        <f>"0018855"</f>
        <v>0018855</v>
      </c>
      <c r="D5561" s="2" t="s">
        <v>7121</v>
      </c>
      <c r="E5561" s="4">
        <v>95000</v>
      </c>
    </row>
    <row r="5562" spans="1:5">
      <c r="A5562" s="2" t="s">
        <v>2544</v>
      </c>
      <c r="B5562" s="2" t="str">
        <f>"0200118"</f>
        <v>0200118</v>
      </c>
      <c r="C5562" s="2" t="str">
        <f>"0200118 090920375"</f>
        <v>0200118 090920375</v>
      </c>
      <c r="D5562" s="2" t="s">
        <v>7122</v>
      </c>
      <c r="E5562" s="4">
        <v>38500</v>
      </c>
    </row>
    <row r="5563" spans="1:5">
      <c r="A5563" s="2" t="s">
        <v>2544</v>
      </c>
      <c r="B5563" s="2" t="str">
        <f>"090920376"</f>
        <v>090920376</v>
      </c>
      <c r="C5563" s="2" t="str">
        <f>"090920376"</f>
        <v>090920376</v>
      </c>
      <c r="D5563" s="2" t="s">
        <v>7122</v>
      </c>
      <c r="E5563" s="4">
        <v>65000</v>
      </c>
    </row>
    <row r="5564" spans="1:5">
      <c r="A5564" s="2" t="s">
        <v>2544</v>
      </c>
      <c r="B5564" s="2" t="str">
        <f>"090920238"</f>
        <v>090920238</v>
      </c>
      <c r="C5564" s="2" t="str">
        <f>"090920385"</f>
        <v>090920385</v>
      </c>
      <c r="D5564" s="2" t="s">
        <v>7123</v>
      </c>
      <c r="E5564" s="4">
        <v>61000</v>
      </c>
    </row>
    <row r="5565" spans="1:5">
      <c r="A5565" s="2" t="s">
        <v>2544</v>
      </c>
      <c r="B5565" s="2" t="str">
        <f>"0200268"</f>
        <v>0200268</v>
      </c>
      <c r="C5565" s="2" t="str">
        <f>"0200268"</f>
        <v>0200268</v>
      </c>
      <c r="D5565" s="2" t="s">
        <v>7124</v>
      </c>
      <c r="E5565" s="4">
        <v>68200</v>
      </c>
    </row>
    <row r="5566" spans="1:5">
      <c r="A5566" s="2" t="s">
        <v>296</v>
      </c>
      <c r="B5566" s="2" t="str">
        <f>"1650901611441"</f>
        <v>1650901611441</v>
      </c>
      <c r="C5566" s="2" t="str">
        <f>"1650901611440"</f>
        <v>1650901611440</v>
      </c>
      <c r="D5566" s="2" t="s">
        <v>7125</v>
      </c>
      <c r="E5566" s="2">
        <v>0</v>
      </c>
    </row>
    <row r="5567" spans="1:5">
      <c r="A5567" s="2" t="s">
        <v>296</v>
      </c>
      <c r="B5567" s="2" t="str">
        <f>"789412"</f>
        <v>789412</v>
      </c>
      <c r="C5567" s="2" t="str">
        <f>"8554564564"</f>
        <v>8554564564</v>
      </c>
      <c r="D5567" s="2" t="s">
        <v>7126</v>
      </c>
      <c r="E5567" s="2">
        <v>0</v>
      </c>
    </row>
    <row r="5568" spans="1:5">
      <c r="A5568" s="2" t="s">
        <v>296</v>
      </c>
      <c r="B5568" s="2" t="str">
        <f>"0008448"</f>
        <v>0008448</v>
      </c>
      <c r="C5568" s="2" t="str">
        <f>"0008448"</f>
        <v>0008448</v>
      </c>
      <c r="D5568" s="2" t="s">
        <v>7127</v>
      </c>
      <c r="E5568" s="4">
        <v>43000</v>
      </c>
    </row>
    <row r="5569" spans="1:5">
      <c r="A5569" s="2" t="s">
        <v>296</v>
      </c>
      <c r="B5569" s="2" t="str">
        <f>"0008449"</f>
        <v>0008449</v>
      </c>
      <c r="C5569" s="2" t="str">
        <f>"0008449"</f>
        <v>0008449</v>
      </c>
      <c r="D5569" s="2" t="s">
        <v>7128</v>
      </c>
      <c r="E5569" s="4">
        <v>26688</v>
      </c>
    </row>
    <row r="5570" spans="1:5">
      <c r="A5570" s="2" t="s">
        <v>296</v>
      </c>
      <c r="B5570" s="2" t="s">
        <v>7129</v>
      </c>
      <c r="C5570" s="2" t="s">
        <v>7129</v>
      </c>
      <c r="D5570" s="2" t="s">
        <v>7130</v>
      </c>
      <c r="E5570" s="2">
        <v>0</v>
      </c>
    </row>
    <row r="5571" spans="1:5">
      <c r="A5571" s="2" t="s">
        <v>296</v>
      </c>
      <c r="B5571" s="2" t="str">
        <f>"1293598-6"</f>
        <v>1293598-6</v>
      </c>
      <c r="C5571" s="2" t="str">
        <f>"1293598-6"</f>
        <v>1293598-6</v>
      </c>
      <c r="D5571" s="2" t="s">
        <v>7131</v>
      </c>
      <c r="E5571" s="4">
        <v>61000</v>
      </c>
    </row>
    <row r="5572" spans="1:5">
      <c r="A5572" s="2" t="s">
        <v>296</v>
      </c>
      <c r="B5572" s="2" t="s">
        <v>7132</v>
      </c>
      <c r="C5572" s="2" t="s">
        <v>7132</v>
      </c>
      <c r="D5572" s="2" t="s">
        <v>7133</v>
      </c>
      <c r="E5572" s="4">
        <v>79000</v>
      </c>
    </row>
    <row r="5573" spans="1:5">
      <c r="A5573" s="2" t="s">
        <v>2541</v>
      </c>
      <c r="B5573" s="2" t="s">
        <v>7134</v>
      </c>
      <c r="C5573" s="2" t="str">
        <f>"1688399991621"</f>
        <v>1688399991621</v>
      </c>
      <c r="D5573" s="2" t="s">
        <v>7135</v>
      </c>
      <c r="E5573" s="4">
        <v>105000</v>
      </c>
    </row>
    <row r="5574" spans="1:5">
      <c r="A5574" s="2" t="s">
        <v>296</v>
      </c>
      <c r="B5574" s="2" t="s">
        <v>7136</v>
      </c>
      <c r="C5574" s="2" t="s">
        <v>7136</v>
      </c>
      <c r="D5574" s="2" t="s">
        <v>7137</v>
      </c>
      <c r="E5574" s="4">
        <v>61000</v>
      </c>
    </row>
    <row r="5575" spans="1:5">
      <c r="A5575" s="2" t="s">
        <v>296</v>
      </c>
      <c r="B5575" s="2" t="str">
        <f>"0220647"</f>
        <v>0220647</v>
      </c>
      <c r="C5575" s="2" t="str">
        <f>"409290-2"</f>
        <v>409290-2</v>
      </c>
      <c r="D5575" s="2" t="s">
        <v>7138</v>
      </c>
      <c r="E5575" s="4">
        <v>38500</v>
      </c>
    </row>
    <row r="5576" spans="1:5">
      <c r="A5576" s="2" t="s">
        <v>296</v>
      </c>
      <c r="B5576" s="2" t="str">
        <f>"020220547"</f>
        <v>020220547</v>
      </c>
      <c r="C5576" s="2" t="str">
        <f>"020220547"</f>
        <v>020220547</v>
      </c>
      <c r="D5576" s="2" t="s">
        <v>7139</v>
      </c>
      <c r="E5576" s="4">
        <v>65000</v>
      </c>
    </row>
    <row r="5577" spans="1:5">
      <c r="A5577" s="2" t="s">
        <v>296</v>
      </c>
      <c r="B5577" s="2" t="str">
        <f>"0030860"</f>
        <v>0030860</v>
      </c>
      <c r="C5577" s="2" t="str">
        <f>"0030860"</f>
        <v>0030860</v>
      </c>
      <c r="D5577" s="2" t="s">
        <v>7140</v>
      </c>
      <c r="E5577" s="4">
        <v>34000</v>
      </c>
    </row>
    <row r="5578" spans="1:5">
      <c r="A5578" s="2" t="s">
        <v>2541</v>
      </c>
      <c r="B5578" s="2" t="str">
        <f>"0933371622"</f>
        <v>0933371622</v>
      </c>
      <c r="C5578" s="2" t="str">
        <f>"09993773"</f>
        <v>09993773</v>
      </c>
      <c r="D5578" s="2" t="s">
        <v>7141</v>
      </c>
      <c r="E5578" s="4">
        <v>97000</v>
      </c>
    </row>
    <row r="5579" spans="1:5">
      <c r="A5579" s="2" t="s">
        <v>5</v>
      </c>
      <c r="B5579" s="2" t="str">
        <f>"0023567"</f>
        <v>0023567</v>
      </c>
      <c r="C5579" s="2" t="str">
        <f>"0023567"</f>
        <v>0023567</v>
      </c>
      <c r="D5579" s="2" t="s">
        <v>7142</v>
      </c>
      <c r="E5579" s="4">
        <v>3400</v>
      </c>
    </row>
    <row r="5580" spans="1:5">
      <c r="A5580" s="2" t="s">
        <v>5</v>
      </c>
      <c r="B5580" s="2" t="str">
        <f>"0023501"</f>
        <v>0023501</v>
      </c>
      <c r="C5580" s="2" t="str">
        <f>"0023501"</f>
        <v>0023501</v>
      </c>
      <c r="D5580" s="2" t="s">
        <v>7143</v>
      </c>
      <c r="E5580" s="4">
        <v>6100</v>
      </c>
    </row>
    <row r="5581" spans="1:5">
      <c r="A5581" s="2" t="s">
        <v>5</v>
      </c>
      <c r="B5581" s="2" t="str">
        <f>"0023506"</f>
        <v>0023506</v>
      </c>
      <c r="C5581" s="2" t="str">
        <f>"0023506"</f>
        <v>0023506</v>
      </c>
      <c r="D5581" s="2" t="s">
        <v>7144</v>
      </c>
      <c r="E5581" s="4">
        <v>5200</v>
      </c>
    </row>
    <row r="5582" spans="1:5">
      <c r="A5582" s="2" t="s">
        <v>5</v>
      </c>
      <c r="B5582" s="2" t="str">
        <f>"56101"</f>
        <v>56101</v>
      </c>
      <c r="C5582" s="2" t="str">
        <f>"56101"</f>
        <v>56101</v>
      </c>
      <c r="D5582" s="2" t="s">
        <v>7145</v>
      </c>
      <c r="E5582" s="4">
        <v>6000</v>
      </c>
    </row>
    <row r="5583" spans="1:5">
      <c r="A5583" s="2" t="s">
        <v>5</v>
      </c>
      <c r="B5583" s="2" t="s">
        <v>7146</v>
      </c>
      <c r="C5583" s="2" t="s">
        <v>7147</v>
      </c>
      <c r="D5583" s="2" t="s">
        <v>7148</v>
      </c>
      <c r="E5583" s="4">
        <v>2000</v>
      </c>
    </row>
    <row r="5584" spans="1:5">
      <c r="A5584" s="2" t="s">
        <v>296</v>
      </c>
      <c r="B5584" s="2" t="str">
        <f>"0000594"</f>
        <v>0000594</v>
      </c>
      <c r="C5584" s="2" t="str">
        <f>"0000594"</f>
        <v>0000594</v>
      </c>
      <c r="D5584" s="2" t="s">
        <v>7149</v>
      </c>
      <c r="E5584" s="4">
        <v>3400</v>
      </c>
    </row>
    <row r="5585" spans="1:5">
      <c r="A5585" s="2" t="s">
        <v>296</v>
      </c>
      <c r="B5585" s="2" t="s">
        <v>7150</v>
      </c>
      <c r="C5585" s="2" t="s">
        <v>7150</v>
      </c>
      <c r="D5585" s="2" t="s">
        <v>7151</v>
      </c>
      <c r="E5585" s="2">
        <v>0</v>
      </c>
    </row>
    <row r="5586" spans="1:5">
      <c r="A5586" s="2" t="s">
        <v>296</v>
      </c>
      <c r="B5586" s="2" t="str">
        <f>"0195617"</f>
        <v>0195617</v>
      </c>
      <c r="C5586" s="2" t="str">
        <f>"0195617"</f>
        <v>0195617</v>
      </c>
      <c r="D5586" s="2" t="s">
        <v>7152</v>
      </c>
      <c r="E5586" s="4">
        <v>3800</v>
      </c>
    </row>
    <row r="5587" spans="1:5">
      <c r="A5587" s="2" t="s">
        <v>296</v>
      </c>
      <c r="B5587" s="2" t="str">
        <f>"0195627"</f>
        <v>0195627</v>
      </c>
      <c r="C5587" s="2" t="str">
        <f>"0195627"</f>
        <v>0195627</v>
      </c>
      <c r="D5587" s="2" t="s">
        <v>7153</v>
      </c>
      <c r="E5587" s="4">
        <v>3500</v>
      </c>
    </row>
    <row r="5588" spans="1:5">
      <c r="A5588" s="2" t="s">
        <v>5</v>
      </c>
      <c r="B5588" s="2" t="s">
        <v>7154</v>
      </c>
      <c r="C5588" s="2" t="s">
        <v>7155</v>
      </c>
      <c r="D5588" s="2" t="s">
        <v>7156</v>
      </c>
      <c r="E5588" s="4">
        <v>19600</v>
      </c>
    </row>
    <row r="5589" spans="1:5">
      <c r="A5589" s="2" t="s">
        <v>359</v>
      </c>
      <c r="B5589" s="2" t="s">
        <v>7157</v>
      </c>
      <c r="C5589" s="2" t="s">
        <v>7158</v>
      </c>
      <c r="D5589" s="2" t="s">
        <v>7159</v>
      </c>
      <c r="E5589" s="4">
        <v>1000</v>
      </c>
    </row>
    <row r="5590" spans="1:5">
      <c r="A5590" s="2" t="s">
        <v>359</v>
      </c>
      <c r="B5590" s="2" t="str">
        <f>"090350067"</f>
        <v>090350067</v>
      </c>
      <c r="C5590" s="2" t="str">
        <f>"090350067"</f>
        <v>090350067</v>
      </c>
      <c r="D5590" s="2" t="s">
        <v>7160</v>
      </c>
      <c r="E5590" s="4">
        <v>1000</v>
      </c>
    </row>
    <row r="5591" spans="1:5">
      <c r="A5591" s="2" t="s">
        <v>359</v>
      </c>
      <c r="B5591" s="2" t="str">
        <f>"3AMP"</f>
        <v>3AMP</v>
      </c>
      <c r="C5591" s="2" t="str">
        <f>"3AMP"</f>
        <v>3AMP</v>
      </c>
      <c r="D5591" s="2" t="s">
        <v>7161</v>
      </c>
      <c r="E5591" s="2">
        <v>150</v>
      </c>
    </row>
    <row r="5592" spans="1:5">
      <c r="A5592" s="2" t="s">
        <v>359</v>
      </c>
      <c r="B5592" s="2" t="str">
        <f>"0903500018"</f>
        <v>0903500018</v>
      </c>
      <c r="C5592" s="2" t="str">
        <f>"0903500018"</f>
        <v>0903500018</v>
      </c>
      <c r="D5592" s="2" t="s">
        <v>7162</v>
      </c>
      <c r="E5592" s="2">
        <v>150</v>
      </c>
    </row>
    <row r="5593" spans="1:5">
      <c r="A5593" s="2" t="s">
        <v>359</v>
      </c>
      <c r="B5593" s="2" t="str">
        <f>"0903400019"</f>
        <v>0903400019</v>
      </c>
      <c r="C5593" s="2" t="str">
        <f>"0903400019"</f>
        <v>0903400019</v>
      </c>
      <c r="D5593" s="2" t="s">
        <v>7163</v>
      </c>
      <c r="E5593" s="2">
        <v>150</v>
      </c>
    </row>
    <row r="5594" spans="1:5">
      <c r="A5594" s="2" t="s">
        <v>359</v>
      </c>
      <c r="B5594" s="2" t="str">
        <f>"0903500020"</f>
        <v>0903500020</v>
      </c>
      <c r="C5594" s="2" t="str">
        <f>"0903500020"</f>
        <v>0903500020</v>
      </c>
      <c r="D5594" s="2" t="s">
        <v>7164</v>
      </c>
      <c r="E5594" s="2">
        <v>150</v>
      </c>
    </row>
    <row r="5595" spans="1:5">
      <c r="A5595" s="2" t="s">
        <v>359</v>
      </c>
      <c r="B5595" s="2" t="str">
        <f>"0903400021"</f>
        <v>0903400021</v>
      </c>
      <c r="C5595" s="2" t="str">
        <f>"0903400021"</f>
        <v>0903400021</v>
      </c>
      <c r="D5595" s="2" t="s">
        <v>7165</v>
      </c>
      <c r="E5595" s="2">
        <v>150</v>
      </c>
    </row>
    <row r="5596" spans="1:5">
      <c r="A5596" s="2" t="s">
        <v>359</v>
      </c>
      <c r="B5596" s="2" t="str">
        <f>"090350022"</f>
        <v>090350022</v>
      </c>
      <c r="C5596" s="2" t="str">
        <f>"090350022"</f>
        <v>090350022</v>
      </c>
      <c r="D5596" s="2" t="s">
        <v>7166</v>
      </c>
      <c r="E5596" s="2">
        <v>150</v>
      </c>
    </row>
    <row r="5597" spans="1:5">
      <c r="A5597" s="2" t="s">
        <v>359</v>
      </c>
      <c r="B5597" s="2" t="s">
        <v>7167</v>
      </c>
      <c r="C5597" s="2" t="s">
        <v>7167</v>
      </c>
      <c r="D5597" s="2" t="s">
        <v>7168</v>
      </c>
      <c r="E5597" s="4">
        <v>1500</v>
      </c>
    </row>
    <row r="5598" spans="1:5">
      <c r="A5598" s="2" t="s">
        <v>359</v>
      </c>
      <c r="B5598" s="2" t="str">
        <f>"090350009"</f>
        <v>090350009</v>
      </c>
      <c r="C5598" s="2" t="str">
        <f>"090350009"</f>
        <v>090350009</v>
      </c>
      <c r="D5598" s="2" t="s">
        <v>7169</v>
      </c>
      <c r="E5598" s="2">
        <v>150</v>
      </c>
    </row>
    <row r="5599" spans="1:5">
      <c r="A5599" s="2" t="s">
        <v>359</v>
      </c>
      <c r="B5599" s="2" t="str">
        <f>"090350010"</f>
        <v>090350010</v>
      </c>
      <c r="C5599" s="2" t="str">
        <f>"090350010"</f>
        <v>090350010</v>
      </c>
      <c r="D5599" s="2" t="s">
        <v>7170</v>
      </c>
      <c r="E5599" s="2">
        <v>150</v>
      </c>
    </row>
    <row r="5600" spans="1:5">
      <c r="A5600" s="2" t="s">
        <v>359</v>
      </c>
      <c r="B5600" s="2" t="str">
        <f>"090350011"</f>
        <v>090350011</v>
      </c>
      <c r="C5600" s="2" t="str">
        <f>"090350011"</f>
        <v>090350011</v>
      </c>
      <c r="D5600" s="2" t="s">
        <v>7171</v>
      </c>
      <c r="E5600" s="2">
        <v>150</v>
      </c>
    </row>
    <row r="5601" spans="1:5">
      <c r="A5601" s="2" t="s">
        <v>359</v>
      </c>
      <c r="B5601" s="2" t="str">
        <f>"090350012"</f>
        <v>090350012</v>
      </c>
      <c r="C5601" s="2" t="str">
        <f>"090350012"</f>
        <v>090350012</v>
      </c>
      <c r="D5601" s="2" t="s">
        <v>7172</v>
      </c>
      <c r="E5601" s="2">
        <v>150</v>
      </c>
    </row>
    <row r="5602" spans="1:5">
      <c r="A5602" s="2" t="s">
        <v>359</v>
      </c>
      <c r="B5602" s="2" t="str">
        <f>"090350013"</f>
        <v>090350013</v>
      </c>
      <c r="C5602" s="2" t="str">
        <f>"090350013"</f>
        <v>090350013</v>
      </c>
      <c r="D5602" s="2" t="s">
        <v>7173</v>
      </c>
      <c r="E5602" s="2">
        <v>150</v>
      </c>
    </row>
    <row r="5603" spans="1:5">
      <c r="A5603" s="2" t="s">
        <v>359</v>
      </c>
      <c r="B5603" s="2" t="s">
        <v>7174</v>
      </c>
      <c r="C5603" s="2" t="s">
        <v>7175</v>
      </c>
      <c r="D5603" s="2" t="s">
        <v>7176</v>
      </c>
      <c r="E5603" s="2">
        <v>150</v>
      </c>
    </row>
    <row r="5604" spans="1:5">
      <c r="A5604" s="2" t="s">
        <v>5</v>
      </c>
      <c r="B5604" s="2" t="str">
        <f>"020560007"</f>
        <v>020560007</v>
      </c>
      <c r="C5604" s="2" t="str">
        <f>"055302"</f>
        <v>055302</v>
      </c>
      <c r="D5604" s="2" t="s">
        <v>7177</v>
      </c>
      <c r="E5604" s="4">
        <v>19600</v>
      </c>
    </row>
    <row r="5605" spans="1:5">
      <c r="A5605" s="2" t="s">
        <v>5</v>
      </c>
      <c r="B5605" s="2" t="str">
        <f>"020560008"</f>
        <v>020560008</v>
      </c>
      <c r="C5605" s="2" t="str">
        <f>"055303"</f>
        <v>055303</v>
      </c>
      <c r="D5605" s="2" t="s">
        <v>7178</v>
      </c>
      <c r="E5605" s="4">
        <v>18700</v>
      </c>
    </row>
    <row r="5606" spans="1:5">
      <c r="A5606" s="2" t="s">
        <v>5</v>
      </c>
      <c r="B5606" s="2" t="str">
        <f>"020560009"</f>
        <v>020560009</v>
      </c>
      <c r="C5606" s="2" t="str">
        <f>"020560009"</f>
        <v>020560009</v>
      </c>
      <c r="D5606" s="2" t="s">
        <v>7179</v>
      </c>
      <c r="E5606" s="4">
        <v>23000</v>
      </c>
    </row>
    <row r="5607" spans="1:5">
      <c r="A5607" s="2" t="s">
        <v>5</v>
      </c>
      <c r="B5607" s="2" t="str">
        <f>"020560006"</f>
        <v>020560006</v>
      </c>
      <c r="C5607" s="2" t="str">
        <f>"2TON"</f>
        <v>2TON</v>
      </c>
      <c r="D5607" s="2" t="s">
        <v>7180</v>
      </c>
      <c r="E5607" s="4">
        <v>18700</v>
      </c>
    </row>
    <row r="5608" spans="1:5">
      <c r="A5608" s="2" t="s">
        <v>5</v>
      </c>
      <c r="B5608" s="2" t="str">
        <f>"020560014"</f>
        <v>020560014</v>
      </c>
      <c r="C5608" s="2" t="str">
        <f>"020560014"</f>
        <v>020560014</v>
      </c>
      <c r="D5608" s="2" t="s">
        <v>7181</v>
      </c>
      <c r="E5608" s="4">
        <v>38500</v>
      </c>
    </row>
    <row r="5609" spans="1:5">
      <c r="A5609" s="2" t="s">
        <v>5</v>
      </c>
      <c r="B5609" s="2" t="str">
        <f>"020560016"</f>
        <v>020560016</v>
      </c>
      <c r="C5609" s="2" t="s">
        <v>7182</v>
      </c>
      <c r="D5609" s="2" t="s">
        <v>7183</v>
      </c>
      <c r="E5609" s="4">
        <v>14200</v>
      </c>
    </row>
    <row r="5610" spans="1:5">
      <c r="A5610" s="2" t="s">
        <v>296</v>
      </c>
      <c r="B5610" s="2" t="s">
        <v>7184</v>
      </c>
      <c r="C5610" s="2" t="s">
        <v>7184</v>
      </c>
      <c r="D5610" s="2" t="s">
        <v>7185</v>
      </c>
      <c r="E5610" s="2">
        <v>400</v>
      </c>
    </row>
    <row r="5611" spans="1:5">
      <c r="A5611" s="2" t="s">
        <v>296</v>
      </c>
      <c r="B5611" s="2" t="s">
        <v>7186</v>
      </c>
      <c r="C5611" s="2" t="s">
        <v>7186</v>
      </c>
      <c r="D5611" s="2" t="s">
        <v>7187</v>
      </c>
      <c r="E5611" s="2">
        <v>500</v>
      </c>
    </row>
    <row r="5612" spans="1:5">
      <c r="A5612" s="2" t="s">
        <v>296</v>
      </c>
      <c r="B5612" s="2" t="s">
        <v>7188</v>
      </c>
      <c r="C5612" s="2" t="s">
        <v>7188</v>
      </c>
      <c r="D5612" s="2" t="s">
        <v>7189</v>
      </c>
      <c r="E5612" s="4">
        <v>10500</v>
      </c>
    </row>
    <row r="5613" spans="1:5">
      <c r="A5613" s="2" t="s">
        <v>296</v>
      </c>
      <c r="B5613" s="2" t="str">
        <f>"0270020001"</f>
        <v>0270020001</v>
      </c>
      <c r="C5613" s="2" t="str">
        <f>"0270020001"</f>
        <v>0270020001</v>
      </c>
      <c r="D5613" s="2" t="s">
        <v>7190</v>
      </c>
      <c r="E5613" s="4">
        <v>10500</v>
      </c>
    </row>
    <row r="5614" spans="1:5">
      <c r="A5614" s="2" t="s">
        <v>296</v>
      </c>
      <c r="B5614" s="2" t="str">
        <f>"0680110"</f>
        <v>0680110</v>
      </c>
      <c r="C5614" s="2" t="str">
        <f>"0680110"</f>
        <v>0680110</v>
      </c>
      <c r="D5614" s="2" t="s">
        <v>7191</v>
      </c>
      <c r="E5614" s="4">
        <v>9700</v>
      </c>
    </row>
    <row r="5615" spans="1:5">
      <c r="A5615" s="2" t="s">
        <v>296</v>
      </c>
      <c r="B5615" s="2" t="str">
        <f>"0680107"</f>
        <v>0680107</v>
      </c>
      <c r="C5615" s="2" t="str">
        <f>"0680107"</f>
        <v>0680107</v>
      </c>
      <c r="D5615" s="2" t="s">
        <v>7192</v>
      </c>
      <c r="E5615" s="4">
        <v>14200</v>
      </c>
    </row>
    <row r="5616" spans="1:5">
      <c r="A5616" s="2" t="s">
        <v>296</v>
      </c>
      <c r="B5616" s="2" t="str">
        <f>"4056807687643"</f>
        <v>4056807687643</v>
      </c>
      <c r="C5616" s="2" t="str">
        <f>"15-"</f>
        <v>15-</v>
      </c>
      <c r="D5616" s="2" t="s">
        <v>7193</v>
      </c>
      <c r="E5616" s="4">
        <v>2500</v>
      </c>
    </row>
    <row r="5617" spans="1:5">
      <c r="A5617" s="2" t="s">
        <v>296</v>
      </c>
      <c r="B5617" s="2" t="s">
        <v>7194</v>
      </c>
      <c r="C5617" s="2" t="s">
        <v>7194</v>
      </c>
      <c r="D5617" s="2" t="s">
        <v>7195</v>
      </c>
      <c r="E5617" s="4">
        <v>3500</v>
      </c>
    </row>
    <row r="5618" spans="1:5">
      <c r="A5618" s="2" t="s">
        <v>296</v>
      </c>
      <c r="B5618" s="2" t="s">
        <v>7196</v>
      </c>
      <c r="C5618" s="2" t="s">
        <v>7196</v>
      </c>
      <c r="D5618" s="2" t="s">
        <v>7197</v>
      </c>
      <c r="E5618" s="4">
        <v>3900</v>
      </c>
    </row>
    <row r="5619" spans="1:5">
      <c r="A5619" s="2" t="s">
        <v>296</v>
      </c>
      <c r="B5619" s="2" t="str">
        <f>"066009"</f>
        <v>066009</v>
      </c>
      <c r="C5619" s="2" t="str">
        <f>"066009"</f>
        <v>066009</v>
      </c>
      <c r="D5619" s="2" t="s">
        <v>7198</v>
      </c>
      <c r="E5619" s="4">
        <v>6900</v>
      </c>
    </row>
    <row r="5620" spans="1:5">
      <c r="A5620" s="2" t="s">
        <v>296</v>
      </c>
      <c r="B5620" s="2" t="s">
        <v>7199</v>
      </c>
      <c r="C5620" s="2" t="s">
        <v>7199</v>
      </c>
      <c r="D5620" s="2" t="s">
        <v>7200</v>
      </c>
      <c r="E5620" s="4">
        <v>6100</v>
      </c>
    </row>
    <row r="5621" spans="1:5">
      <c r="A5621" s="2" t="s">
        <v>296</v>
      </c>
      <c r="B5621" s="2" t="str">
        <f>"4056807687698"</f>
        <v>4056807687698</v>
      </c>
      <c r="C5621" s="2" t="str">
        <f>"4056807687698"</f>
        <v>4056807687698</v>
      </c>
      <c r="D5621" s="2" t="s">
        <v>7201</v>
      </c>
      <c r="E5621" s="4">
        <v>2500</v>
      </c>
    </row>
    <row r="5622" spans="1:5">
      <c r="A5622" s="2" t="s">
        <v>296</v>
      </c>
      <c r="B5622" s="2" t="str">
        <f>"4056807687704"</f>
        <v>4056807687704</v>
      </c>
      <c r="C5622" s="2" t="str">
        <f>"4056807687704"</f>
        <v>4056807687704</v>
      </c>
      <c r="D5622" s="2" t="s">
        <v>7202</v>
      </c>
      <c r="E5622" s="4">
        <v>2500</v>
      </c>
    </row>
    <row r="5623" spans="1:5">
      <c r="A5623" s="2" t="s">
        <v>296</v>
      </c>
      <c r="B5623" s="2" t="s">
        <v>7203</v>
      </c>
      <c r="C5623" s="2" t="s">
        <v>7203</v>
      </c>
      <c r="D5623" s="2" t="s">
        <v>7204</v>
      </c>
      <c r="E5623" s="4">
        <v>3800</v>
      </c>
    </row>
    <row r="5624" spans="1:5">
      <c r="A5624" s="2" t="s">
        <v>296</v>
      </c>
      <c r="B5624" s="2" t="s">
        <v>7205</v>
      </c>
      <c r="C5624" s="2" t="s">
        <v>7205</v>
      </c>
      <c r="D5624" s="2" t="s">
        <v>7206</v>
      </c>
      <c r="E5624" s="4">
        <v>6100</v>
      </c>
    </row>
    <row r="5625" spans="1:5">
      <c r="A5625" s="2" t="s">
        <v>296</v>
      </c>
      <c r="B5625" s="2" t="str">
        <f>"090420012"</f>
        <v>090420012</v>
      </c>
      <c r="C5625" s="2" t="str">
        <f>"090420012"</f>
        <v>090420012</v>
      </c>
      <c r="D5625" s="2" t="s">
        <v>7207</v>
      </c>
      <c r="E5625" s="4">
        <v>5200</v>
      </c>
    </row>
    <row r="5626" spans="1:5">
      <c r="A5626" s="2" t="s">
        <v>296</v>
      </c>
      <c r="B5626" s="2" t="str">
        <f>"090420014"</f>
        <v>090420014</v>
      </c>
      <c r="C5626" s="2" t="str">
        <f>"090420014"</f>
        <v>090420014</v>
      </c>
      <c r="D5626" s="2" t="s">
        <v>7208</v>
      </c>
      <c r="E5626" s="4">
        <v>2500</v>
      </c>
    </row>
    <row r="5627" spans="1:5">
      <c r="A5627" s="2" t="s">
        <v>296</v>
      </c>
      <c r="B5627" s="2" t="str">
        <f>"090420015"</f>
        <v>090420015</v>
      </c>
      <c r="C5627" s="2" t="str">
        <f>"090420015"</f>
        <v>090420015</v>
      </c>
      <c r="D5627" s="2" t="s">
        <v>7209</v>
      </c>
      <c r="E5627" s="4">
        <v>2500</v>
      </c>
    </row>
    <row r="5628" spans="1:5">
      <c r="A5628" s="2" t="s">
        <v>296</v>
      </c>
      <c r="B5628" s="2" t="str">
        <f>"090420016"</f>
        <v>090420016</v>
      </c>
      <c r="C5628" s="2" t="str">
        <f>"090420016"</f>
        <v>090420016</v>
      </c>
      <c r="D5628" s="2" t="s">
        <v>7210</v>
      </c>
      <c r="E5628" s="4">
        <v>2900</v>
      </c>
    </row>
    <row r="5629" spans="1:5">
      <c r="A5629" s="2" t="s">
        <v>296</v>
      </c>
      <c r="B5629" s="2" t="str">
        <f>"090420022"</f>
        <v>090420022</v>
      </c>
      <c r="C5629" s="2" t="str">
        <f>"090420022"</f>
        <v>090420022</v>
      </c>
      <c r="D5629" s="2" t="s">
        <v>7211</v>
      </c>
      <c r="E5629" s="4">
        <v>3800</v>
      </c>
    </row>
    <row r="5630" spans="1:5">
      <c r="A5630" s="2" t="s">
        <v>296</v>
      </c>
      <c r="B5630" s="2" t="str">
        <f>"090420029"</f>
        <v>090420029</v>
      </c>
      <c r="C5630" s="2" t="str">
        <f>"090420029"</f>
        <v>090420029</v>
      </c>
      <c r="D5630" s="2" t="s">
        <v>7212</v>
      </c>
      <c r="E5630" s="4">
        <v>3900</v>
      </c>
    </row>
    <row r="5631" spans="1:5">
      <c r="A5631" s="2" t="s">
        <v>296</v>
      </c>
      <c r="B5631" s="2" t="str">
        <f>"090420023"</f>
        <v>090420023</v>
      </c>
      <c r="C5631" s="2" t="str">
        <f>"090420023"</f>
        <v>090420023</v>
      </c>
      <c r="D5631" s="2" t="s">
        <v>7213</v>
      </c>
      <c r="E5631" s="4">
        <v>3900</v>
      </c>
    </row>
    <row r="5632" spans="1:5">
      <c r="A5632" s="2" t="s">
        <v>296</v>
      </c>
      <c r="B5632" s="2" t="str">
        <f>"12-300"</f>
        <v>12-300</v>
      </c>
      <c r="C5632" s="2" t="str">
        <f>"12-300"</f>
        <v>12-300</v>
      </c>
      <c r="D5632" s="2" t="s">
        <v>7214</v>
      </c>
      <c r="E5632" s="4">
        <v>2500</v>
      </c>
    </row>
    <row r="5633" spans="1:5">
      <c r="A5633" s="2" t="s">
        <v>296</v>
      </c>
      <c r="B5633" s="2" t="str">
        <f>"14-350"</f>
        <v>14-350</v>
      </c>
      <c r="C5633" s="2" t="str">
        <f>"14-350"</f>
        <v>14-350</v>
      </c>
      <c r="D5633" s="2" t="s">
        <v>7215</v>
      </c>
      <c r="E5633" s="4">
        <v>2500</v>
      </c>
    </row>
    <row r="5634" spans="1:5">
      <c r="A5634" s="2" t="s">
        <v>296</v>
      </c>
      <c r="B5634" s="2" t="str">
        <f>"16-400"</f>
        <v>16-400</v>
      </c>
      <c r="C5634" s="2" t="str">
        <f>"16-400"</f>
        <v>16-400</v>
      </c>
      <c r="D5634" s="2" t="s">
        <v>7216</v>
      </c>
      <c r="E5634" s="4">
        <v>2500</v>
      </c>
    </row>
    <row r="5635" spans="1:5">
      <c r="A5635" s="2" t="s">
        <v>296</v>
      </c>
      <c r="B5635" s="2" t="str">
        <f>"19-475"</f>
        <v>19-475</v>
      </c>
      <c r="C5635" s="2" t="str">
        <f>"19-475"</f>
        <v>19-475</v>
      </c>
      <c r="D5635" s="2" t="s">
        <v>7217</v>
      </c>
      <c r="E5635" s="4">
        <v>3400</v>
      </c>
    </row>
    <row r="5636" spans="1:5">
      <c r="A5636" s="2" t="s">
        <v>296</v>
      </c>
      <c r="B5636" s="2" t="str">
        <f>"20-500"</f>
        <v>20-500</v>
      </c>
      <c r="C5636" s="2" t="str">
        <f>"20-500"</f>
        <v>20-500</v>
      </c>
      <c r="D5636" s="2" t="s">
        <v>7218</v>
      </c>
      <c r="E5636" s="4">
        <v>3400</v>
      </c>
    </row>
    <row r="5637" spans="1:5">
      <c r="A5637" s="2" t="s">
        <v>296</v>
      </c>
      <c r="B5637" s="2" t="str">
        <f>"21-525"</f>
        <v>21-525</v>
      </c>
      <c r="C5637" s="2" t="str">
        <f>"21-525"</f>
        <v>21-525</v>
      </c>
      <c r="D5637" s="2" t="s">
        <v>7219</v>
      </c>
      <c r="E5637" s="4">
        <v>3400</v>
      </c>
    </row>
    <row r="5638" spans="1:5">
      <c r="A5638" s="2" t="s">
        <v>296</v>
      </c>
      <c r="B5638" s="2" t="str">
        <f>"22-550"</f>
        <v>22-550</v>
      </c>
      <c r="C5638" s="2" t="str">
        <f>"22-550"</f>
        <v>22-550</v>
      </c>
      <c r="D5638" s="2" t="s">
        <v>7220</v>
      </c>
      <c r="E5638" s="4">
        <v>3400</v>
      </c>
    </row>
    <row r="5639" spans="1:5">
      <c r="A5639" s="2" t="s">
        <v>296</v>
      </c>
      <c r="B5639" s="2" t="str">
        <f>"24-600"</f>
        <v>24-600</v>
      </c>
      <c r="C5639" s="2" t="str">
        <f>"24-600"</f>
        <v>24-600</v>
      </c>
      <c r="D5639" s="2" t="s">
        <v>7221</v>
      </c>
      <c r="E5639" s="4">
        <v>3400</v>
      </c>
    </row>
    <row r="5640" spans="1:5">
      <c r="A5640" s="2" t="s">
        <v>296</v>
      </c>
      <c r="B5640" s="2" t="str">
        <f>"26-650"</f>
        <v>26-650</v>
      </c>
      <c r="C5640" s="2" t="str">
        <f>"26-650"</f>
        <v>26-650</v>
      </c>
      <c r="D5640" s="2" t="s">
        <v>7222</v>
      </c>
      <c r="E5640" s="4">
        <v>5200</v>
      </c>
    </row>
    <row r="5641" spans="1:5">
      <c r="A5641" s="2" t="s">
        <v>296</v>
      </c>
      <c r="B5641" s="2" t="s">
        <v>7223</v>
      </c>
      <c r="C5641" s="2" t="s">
        <v>7223</v>
      </c>
      <c r="D5641" s="2" t="s">
        <v>7224</v>
      </c>
      <c r="E5641" s="4">
        <v>9000</v>
      </c>
    </row>
    <row r="5642" spans="1:5">
      <c r="A5642" s="2" t="s">
        <v>296</v>
      </c>
      <c r="B5642" s="2" t="s">
        <v>7225</v>
      </c>
      <c r="C5642" s="2" t="s">
        <v>7225</v>
      </c>
      <c r="D5642" s="2" t="s">
        <v>7226</v>
      </c>
      <c r="E5642" s="4">
        <v>9000</v>
      </c>
    </row>
    <row r="5643" spans="1:5">
      <c r="A5643" s="2" t="s">
        <v>296</v>
      </c>
      <c r="B5643" s="2" t="str">
        <f>"283770"</f>
        <v>283770</v>
      </c>
      <c r="C5643" s="2" t="str">
        <f>"283770"</f>
        <v>283770</v>
      </c>
      <c r="D5643" s="2" t="s">
        <v>7227</v>
      </c>
      <c r="E5643" s="4">
        <v>3500</v>
      </c>
    </row>
    <row r="5644" spans="1:5">
      <c r="A5644" s="2" t="s">
        <v>165</v>
      </c>
      <c r="B5644" s="2" t="str">
        <f>"100031"</f>
        <v>100031</v>
      </c>
      <c r="C5644" s="2" t="str">
        <f>"100031"</f>
        <v>100031</v>
      </c>
      <c r="D5644" s="2" t="s">
        <v>7228</v>
      </c>
      <c r="E5644" s="4">
        <v>6000</v>
      </c>
    </row>
    <row r="5645" spans="1:5">
      <c r="A5645" s="2" t="s">
        <v>165</v>
      </c>
      <c r="B5645" s="2" t="str">
        <f>"7501799109156"</f>
        <v>7501799109156</v>
      </c>
      <c r="C5645" s="2" t="str">
        <f>"041010041"</f>
        <v>041010041</v>
      </c>
      <c r="D5645" s="2" t="s">
        <v>7229</v>
      </c>
      <c r="E5645" s="4">
        <v>4000</v>
      </c>
    </row>
    <row r="5646" spans="1:5">
      <c r="A5646" s="2" t="s">
        <v>165</v>
      </c>
      <c r="B5646" s="2" t="str">
        <f>"106003"</f>
        <v>106003</v>
      </c>
      <c r="C5646" s="2" t="str">
        <f>"106003"</f>
        <v>106003</v>
      </c>
      <c r="D5646" s="2" t="s">
        <v>7230</v>
      </c>
      <c r="E5646" s="4">
        <v>2900</v>
      </c>
    </row>
    <row r="5647" spans="1:5">
      <c r="A5647" s="2" t="s">
        <v>165</v>
      </c>
      <c r="B5647" s="2" t="str">
        <f>"100331"</f>
        <v>100331</v>
      </c>
      <c r="C5647" s="2" t="str">
        <f>"100331"</f>
        <v>100331</v>
      </c>
      <c r="D5647" s="2" t="s">
        <v>7231</v>
      </c>
      <c r="E5647" s="4">
        <v>6000</v>
      </c>
    </row>
    <row r="5648" spans="1:5">
      <c r="A5648" s="2" t="s">
        <v>165</v>
      </c>
      <c r="B5648" s="2" t="str">
        <f>"071924446069"</f>
        <v>071924446069</v>
      </c>
      <c r="C5648" s="2" t="str">
        <f>"071924446069"</f>
        <v>071924446069</v>
      </c>
      <c r="D5648" s="2" t="s">
        <v>7232</v>
      </c>
      <c r="E5648" s="4">
        <v>4500</v>
      </c>
    </row>
    <row r="5649" spans="1:5">
      <c r="A5649" s="2" t="s">
        <v>165</v>
      </c>
      <c r="B5649" s="2" t="s">
        <v>7233</v>
      </c>
      <c r="C5649" s="2" t="s">
        <v>7233</v>
      </c>
      <c r="D5649" s="2" t="s">
        <v>7234</v>
      </c>
      <c r="E5649" s="4">
        <v>4000</v>
      </c>
    </row>
    <row r="5650" spans="1:5">
      <c r="A5650" s="2" t="s">
        <v>165</v>
      </c>
      <c r="B5650" s="2" t="s">
        <v>7235</v>
      </c>
      <c r="C5650" s="2" t="s">
        <v>7236</v>
      </c>
      <c r="D5650" s="2" t="s">
        <v>7237</v>
      </c>
      <c r="E5650" s="4">
        <v>4000</v>
      </c>
    </row>
    <row r="5651" spans="1:5">
      <c r="A5651" s="2" t="s">
        <v>165</v>
      </c>
      <c r="B5651" s="2" t="str">
        <f>"7501799102201"</f>
        <v>7501799102201</v>
      </c>
      <c r="C5651" s="2" t="str">
        <f>"041010032"</f>
        <v>041010032</v>
      </c>
      <c r="D5651" s="2" t="s">
        <v>7238</v>
      </c>
      <c r="E5651" s="4">
        <v>4000</v>
      </c>
    </row>
    <row r="5652" spans="1:5">
      <c r="A5652" s="2" t="s">
        <v>165</v>
      </c>
      <c r="B5652" s="2" t="s">
        <v>7239</v>
      </c>
      <c r="C5652" s="2" t="s">
        <v>7239</v>
      </c>
      <c r="D5652" s="2" t="s">
        <v>7240</v>
      </c>
      <c r="E5652" s="4">
        <v>4000</v>
      </c>
    </row>
    <row r="5653" spans="1:5">
      <c r="A5653" s="2" t="s">
        <v>2541</v>
      </c>
      <c r="B5653" s="2" t="s">
        <v>7241</v>
      </c>
      <c r="C5653" s="2" t="s">
        <v>7241</v>
      </c>
      <c r="D5653" s="2" t="s">
        <v>7242</v>
      </c>
      <c r="E5653" s="4">
        <v>12400</v>
      </c>
    </row>
    <row r="5654" spans="1:5">
      <c r="A5654" s="2" t="s">
        <v>2541</v>
      </c>
      <c r="B5654" s="2" t="str">
        <f>"090230022"</f>
        <v>090230022</v>
      </c>
      <c r="C5654" s="2" t="str">
        <f>"090230022"</f>
        <v>090230022</v>
      </c>
      <c r="D5654" s="2" t="s">
        <v>7243</v>
      </c>
      <c r="E5654" s="4">
        <v>11500</v>
      </c>
    </row>
    <row r="5655" spans="1:5">
      <c r="A5655" s="2" t="s">
        <v>2541</v>
      </c>
      <c r="B5655" s="2" t="str">
        <f>"090230027"</f>
        <v>090230027</v>
      </c>
      <c r="C5655" s="2" t="str">
        <f>"090230027"</f>
        <v>090230027</v>
      </c>
      <c r="D5655" s="2" t="s">
        <v>7244</v>
      </c>
      <c r="E5655" s="4">
        <v>11500</v>
      </c>
    </row>
    <row r="5656" spans="1:5">
      <c r="A5656" s="2" t="s">
        <v>2541</v>
      </c>
      <c r="B5656" s="2" t="s">
        <v>7245</v>
      </c>
      <c r="C5656" s="2" t="s">
        <v>7245</v>
      </c>
      <c r="D5656" s="2" t="s">
        <v>7246</v>
      </c>
      <c r="E5656" s="4">
        <v>22000</v>
      </c>
    </row>
    <row r="5657" spans="1:5">
      <c r="A5657" s="2" t="s">
        <v>2541</v>
      </c>
      <c r="B5657" s="2" t="s">
        <v>7247</v>
      </c>
      <c r="C5657" s="2" t="s">
        <v>7247</v>
      </c>
      <c r="D5657" s="2" t="s">
        <v>7248</v>
      </c>
      <c r="E5657" s="4">
        <v>12400</v>
      </c>
    </row>
    <row r="5658" spans="1:5">
      <c r="A5658" s="2" t="s">
        <v>2541</v>
      </c>
      <c r="B5658" s="2" t="str">
        <f>"0004659"</f>
        <v>0004659</v>
      </c>
      <c r="C5658" s="2" t="str">
        <f>"0004659"</f>
        <v>0004659</v>
      </c>
      <c r="D5658" s="2" t="s">
        <v>7249</v>
      </c>
      <c r="E5658" s="4">
        <v>16000</v>
      </c>
    </row>
    <row r="5659" spans="1:5">
      <c r="A5659" s="2" t="s">
        <v>2541</v>
      </c>
      <c r="B5659" s="2" t="str">
        <f>"0004658"</f>
        <v>0004658</v>
      </c>
      <c r="C5659" s="2" t="str">
        <f>"0004658"</f>
        <v>0004658</v>
      </c>
      <c r="D5659" s="2" t="s">
        <v>7250</v>
      </c>
      <c r="E5659" s="4">
        <v>16000</v>
      </c>
    </row>
    <row r="5660" spans="1:5">
      <c r="A5660" s="2" t="s">
        <v>2541</v>
      </c>
      <c r="B5660" s="2" t="str">
        <f>"0202601488"</f>
        <v>0202601488</v>
      </c>
      <c r="C5660" s="2" t="str">
        <f>"020601488"</f>
        <v>020601488</v>
      </c>
      <c r="D5660" s="2" t="s">
        <v>7251</v>
      </c>
      <c r="E5660" s="4">
        <v>14200</v>
      </c>
    </row>
    <row r="5661" spans="1:5">
      <c r="A5661" s="2" t="s">
        <v>2541</v>
      </c>
      <c r="B5661" s="2" t="s">
        <v>7252</v>
      </c>
      <c r="C5661" s="2" t="s">
        <v>7252</v>
      </c>
      <c r="D5661" s="2" t="s">
        <v>7253</v>
      </c>
      <c r="E5661" s="4">
        <v>12400</v>
      </c>
    </row>
    <row r="5662" spans="1:5">
      <c r="A5662" s="2" t="s">
        <v>2541</v>
      </c>
      <c r="B5662" s="2" t="str">
        <f>"091440399"</f>
        <v>091440399</v>
      </c>
      <c r="C5662" s="2" t="str">
        <f>"091440399"</f>
        <v>091440399</v>
      </c>
      <c r="D5662" s="2" t="s">
        <v>7254</v>
      </c>
      <c r="E5662" s="4">
        <v>16000</v>
      </c>
    </row>
    <row r="5663" spans="1:5">
      <c r="A5663" s="2" t="s">
        <v>2541</v>
      </c>
      <c r="B5663" s="2" t="str">
        <f>"001484209-8"</f>
        <v>001484209-8</v>
      </c>
      <c r="C5663" s="2" t="str">
        <f>"001484209-8"</f>
        <v>001484209-8</v>
      </c>
      <c r="D5663" s="2" t="s">
        <v>7255</v>
      </c>
      <c r="E5663" s="4">
        <v>18700</v>
      </c>
    </row>
    <row r="5664" spans="1:5">
      <c r="A5664" s="2" t="s">
        <v>2541</v>
      </c>
      <c r="B5664" s="2" t="str">
        <f>"001484208-K"</f>
        <v>001484208-K</v>
      </c>
      <c r="C5664" s="2" t="str">
        <f>"001484208-K"</f>
        <v>001484208-K</v>
      </c>
      <c r="D5664" s="2" t="s">
        <v>7256</v>
      </c>
      <c r="E5664" s="4">
        <v>18700</v>
      </c>
    </row>
    <row r="5665" spans="1:5">
      <c r="A5665" s="2" t="s">
        <v>2541</v>
      </c>
      <c r="B5665" s="2" t="str">
        <f>"001296693-8"</f>
        <v>001296693-8</v>
      </c>
      <c r="C5665" s="2" t="str">
        <f>"001296693-8"</f>
        <v>001296693-8</v>
      </c>
      <c r="D5665" s="2" t="s">
        <v>7257</v>
      </c>
      <c r="E5665" s="4">
        <v>14200</v>
      </c>
    </row>
    <row r="5666" spans="1:5">
      <c r="A5666" s="2" t="s">
        <v>2541</v>
      </c>
      <c r="B5666" s="2" t="str">
        <f>"090231170"</f>
        <v>090231170</v>
      </c>
      <c r="C5666" s="2" t="str">
        <f>"090231170"</f>
        <v>090231170</v>
      </c>
      <c r="D5666" s="2" t="s">
        <v>7258</v>
      </c>
      <c r="E5666" s="4">
        <v>14200</v>
      </c>
    </row>
    <row r="5667" spans="1:5">
      <c r="A5667" s="2" t="s">
        <v>2541</v>
      </c>
      <c r="B5667" s="2" t="str">
        <f>"001296275-4"</f>
        <v>001296275-4</v>
      </c>
      <c r="C5667" s="2" t="str">
        <f>"001296275-4"</f>
        <v>001296275-4</v>
      </c>
      <c r="D5667" s="2" t="s">
        <v>7259</v>
      </c>
      <c r="E5667" s="4">
        <v>16000</v>
      </c>
    </row>
    <row r="5668" spans="1:5">
      <c r="A5668" s="2" t="s">
        <v>2541</v>
      </c>
      <c r="B5668" s="2" t="str">
        <f>"090230127"</f>
        <v>090230127</v>
      </c>
      <c r="C5668" s="2" t="str">
        <f>"090230127"</f>
        <v>090230127</v>
      </c>
      <c r="D5668" s="2" t="s">
        <v>7260</v>
      </c>
      <c r="E5668" s="4">
        <v>12400</v>
      </c>
    </row>
    <row r="5669" spans="1:5">
      <c r="A5669" s="2" t="s">
        <v>2541</v>
      </c>
      <c r="B5669" s="2" t="str">
        <f>"090231468"</f>
        <v>090231468</v>
      </c>
      <c r="C5669" s="2" t="str">
        <f>"090231468"</f>
        <v>090231468</v>
      </c>
      <c r="D5669" s="2" t="s">
        <v>7261</v>
      </c>
      <c r="E5669" s="4">
        <v>14200</v>
      </c>
    </row>
    <row r="5670" spans="1:5">
      <c r="A5670" s="2" t="s">
        <v>2541</v>
      </c>
      <c r="B5670" s="2" t="str">
        <f>"002996900-0"</f>
        <v>002996900-0</v>
      </c>
      <c r="C5670" s="2" t="str">
        <f>"00296900-0"</f>
        <v>00296900-0</v>
      </c>
      <c r="D5670" s="2" t="s">
        <v>7262</v>
      </c>
      <c r="E5670" s="4">
        <v>25000</v>
      </c>
    </row>
    <row r="5671" spans="1:5">
      <c r="A5671" s="2" t="s">
        <v>2541</v>
      </c>
      <c r="B5671" s="2" t="s">
        <v>7263</v>
      </c>
      <c r="C5671" s="2" t="s">
        <v>7263</v>
      </c>
      <c r="D5671" s="2" t="s">
        <v>7264</v>
      </c>
      <c r="E5671" s="4">
        <v>18700</v>
      </c>
    </row>
    <row r="5672" spans="1:5">
      <c r="A5672" s="2" t="s">
        <v>2541</v>
      </c>
      <c r="B5672" s="2" t="s">
        <v>7265</v>
      </c>
      <c r="C5672" s="2" t="s">
        <v>7265</v>
      </c>
      <c r="D5672" s="2" t="s">
        <v>7266</v>
      </c>
      <c r="E5672" s="4">
        <v>17000</v>
      </c>
    </row>
    <row r="5673" spans="1:5">
      <c r="A5673" s="2" t="s">
        <v>2541</v>
      </c>
      <c r="B5673" s="2" t="str">
        <f>"001796645-6"</f>
        <v>001796645-6</v>
      </c>
      <c r="C5673" s="2" t="str">
        <f>"001796645-6"</f>
        <v>001796645-6</v>
      </c>
      <c r="D5673" s="2" t="s">
        <v>7267</v>
      </c>
      <c r="E5673" s="4">
        <v>18700</v>
      </c>
    </row>
    <row r="5674" spans="1:5">
      <c r="A5674" s="2" t="s">
        <v>2541</v>
      </c>
      <c r="B5674" s="2" t="str">
        <f>"000980845-0"</f>
        <v>000980845-0</v>
      </c>
      <c r="C5674" s="2" t="str">
        <f>"000980845-0"</f>
        <v>000980845-0</v>
      </c>
      <c r="D5674" s="2" t="s">
        <v>7268</v>
      </c>
      <c r="E5674" s="4">
        <v>14200</v>
      </c>
    </row>
    <row r="5675" spans="1:5">
      <c r="A5675" s="2" t="s">
        <v>2541</v>
      </c>
      <c r="B5675" s="2" t="str">
        <f>"000980846-9"</f>
        <v>000980846-9</v>
      </c>
      <c r="C5675" s="2" t="str">
        <f>"000980846-9"</f>
        <v>000980846-9</v>
      </c>
      <c r="D5675" s="2" t="s">
        <v>7269</v>
      </c>
      <c r="E5675" s="4">
        <v>14200</v>
      </c>
    </row>
    <row r="5676" spans="1:5">
      <c r="A5676" s="2" t="s">
        <v>2541</v>
      </c>
      <c r="B5676" s="2" t="s">
        <v>7270</v>
      </c>
      <c r="C5676" s="2" t="str">
        <f>"1718745058691"</f>
        <v>1718745058691</v>
      </c>
      <c r="D5676" s="2" t="s">
        <v>7271</v>
      </c>
      <c r="E5676" s="2">
        <v>0</v>
      </c>
    </row>
    <row r="5677" spans="1:5">
      <c r="A5677" s="2" t="s">
        <v>2541</v>
      </c>
      <c r="B5677" s="2" t="s">
        <v>7272</v>
      </c>
      <c r="C5677" s="2" t="str">
        <f>"1718745086101"</f>
        <v>1718745086101</v>
      </c>
      <c r="D5677" s="2" t="s">
        <v>7273</v>
      </c>
      <c r="E5677" s="2">
        <v>0</v>
      </c>
    </row>
    <row r="5678" spans="1:5">
      <c r="A5678" s="2" t="s">
        <v>1478</v>
      </c>
      <c r="B5678" s="2" t="str">
        <f>"020610015"</f>
        <v>020610015</v>
      </c>
      <c r="C5678" s="2" t="str">
        <f>"020610015"</f>
        <v>020610015</v>
      </c>
      <c r="D5678" s="2" t="s">
        <v>7274</v>
      </c>
      <c r="E5678" s="4">
        <v>9700</v>
      </c>
    </row>
    <row r="5679" spans="1:5">
      <c r="A5679" s="2" t="s">
        <v>1478</v>
      </c>
      <c r="B5679" s="2" t="str">
        <f>"13085-40F00-TW"</f>
        <v>13085-40F00-TW</v>
      </c>
      <c r="C5679" s="2" t="str">
        <f>"13085-40F00-TW"</f>
        <v>13085-40F00-TW</v>
      </c>
      <c r="D5679" s="2" t="s">
        <v>7275</v>
      </c>
      <c r="E5679" s="4">
        <v>8500</v>
      </c>
    </row>
    <row r="5680" spans="1:5">
      <c r="A5680" s="2" t="s">
        <v>1478</v>
      </c>
      <c r="B5680" s="2" t="str">
        <f>"020610048"</f>
        <v>020610048</v>
      </c>
      <c r="C5680" s="2" t="str">
        <f>"020610048"</f>
        <v>020610048</v>
      </c>
      <c r="D5680" s="2" t="s">
        <v>7276</v>
      </c>
      <c r="E5680" s="4">
        <v>12400</v>
      </c>
    </row>
    <row r="5681" spans="1:5">
      <c r="A5681" s="2" t="s">
        <v>1478</v>
      </c>
      <c r="B5681" s="2" t="str">
        <f>"13091-40F15"</f>
        <v>13091-40F15</v>
      </c>
      <c r="C5681" s="2" t="str">
        <f>"13091-40F15"</f>
        <v>13091-40F15</v>
      </c>
      <c r="D5681" s="2" t="s">
        <v>7277</v>
      </c>
      <c r="E5681" s="4">
        <v>25000</v>
      </c>
    </row>
    <row r="5682" spans="1:5">
      <c r="A5682" s="2" t="s">
        <v>1478</v>
      </c>
      <c r="B5682" s="2" t="str">
        <f>"5 000000 109869"</f>
        <v>5 000000 109869</v>
      </c>
      <c r="C5682" s="2" t="str">
        <f>"230250"</f>
        <v>230250</v>
      </c>
      <c r="D5682" s="2" t="s">
        <v>7278</v>
      </c>
      <c r="E5682" s="4">
        <v>9700</v>
      </c>
    </row>
    <row r="5683" spans="1:5">
      <c r="A5683" s="2" t="s">
        <v>1478</v>
      </c>
      <c r="B5683" s="2" t="str">
        <f>"170534"</f>
        <v>170534</v>
      </c>
      <c r="C5683" s="2" t="str">
        <f>"170534"</f>
        <v>170534</v>
      </c>
      <c r="D5683" s="2" t="s">
        <v>7279</v>
      </c>
      <c r="E5683" s="4">
        <v>9500</v>
      </c>
    </row>
    <row r="5684" spans="1:5">
      <c r="A5684" s="2" t="s">
        <v>1478</v>
      </c>
      <c r="B5684" s="2" t="str">
        <f>"170529"</f>
        <v>170529</v>
      </c>
      <c r="C5684" s="2" t="str">
        <f>"170529"</f>
        <v>170529</v>
      </c>
      <c r="D5684" s="2" t="s">
        <v>7280</v>
      </c>
      <c r="E5684" s="4">
        <v>9000</v>
      </c>
    </row>
    <row r="5685" spans="1:5">
      <c r="A5685" s="2" t="s">
        <v>1478</v>
      </c>
      <c r="B5685" s="2" t="str">
        <f>"302654"</f>
        <v>302654</v>
      </c>
      <c r="C5685" s="2" t="str">
        <f>"1444069487"</f>
        <v>1444069487</v>
      </c>
      <c r="D5685" s="2" t="s">
        <v>7281</v>
      </c>
      <c r="E5685" s="4">
        <v>9800</v>
      </c>
    </row>
    <row r="5686" spans="1:5">
      <c r="A5686" s="2" t="s">
        <v>1478</v>
      </c>
      <c r="B5686" s="2" t="str">
        <f>"010610205"</f>
        <v>010610205</v>
      </c>
      <c r="C5686" s="2" t="str">
        <f>"010610205"</f>
        <v>010610205</v>
      </c>
      <c r="D5686" s="2" t="s">
        <v>7282</v>
      </c>
      <c r="E5686" s="4">
        <v>18700</v>
      </c>
    </row>
    <row r="5687" spans="1:5">
      <c r="A5687" s="2" t="s">
        <v>1478</v>
      </c>
      <c r="B5687" s="2" t="str">
        <f>"280190"</f>
        <v>280190</v>
      </c>
      <c r="C5687" s="2" t="str">
        <f>"280190"</f>
        <v>280190</v>
      </c>
      <c r="D5687" s="2" t="s">
        <v>7283</v>
      </c>
      <c r="E5687" s="4">
        <v>27500</v>
      </c>
    </row>
    <row r="5688" spans="1:5">
      <c r="A5688" s="2" t="s">
        <v>1478</v>
      </c>
      <c r="B5688" s="2" t="str">
        <f>"280189"</f>
        <v>280189</v>
      </c>
      <c r="C5688" s="2" t="str">
        <f>"280189"</f>
        <v>280189</v>
      </c>
      <c r="D5688" s="2" t="s">
        <v>7284</v>
      </c>
      <c r="E5688" s="4">
        <v>17500</v>
      </c>
    </row>
    <row r="5689" spans="1:5">
      <c r="A5689" s="2" t="s">
        <v>1478</v>
      </c>
      <c r="B5689" s="2" t="str">
        <f>"010610204"</f>
        <v>010610204</v>
      </c>
      <c r="C5689" s="2" t="str">
        <f>"010610204"</f>
        <v>010610204</v>
      </c>
      <c r="D5689" s="2" t="s">
        <v>7284</v>
      </c>
      <c r="E5689" s="4">
        <v>11500</v>
      </c>
    </row>
    <row r="5690" spans="1:5">
      <c r="A5690" s="2" t="s">
        <v>1478</v>
      </c>
      <c r="B5690" s="2" t="str">
        <f>"0005589"</f>
        <v>0005589</v>
      </c>
      <c r="C5690" s="2" t="str">
        <f>"0005589"</f>
        <v>0005589</v>
      </c>
      <c r="D5690" s="2" t="s">
        <v>7285</v>
      </c>
      <c r="E5690" s="4">
        <v>15900</v>
      </c>
    </row>
    <row r="5691" spans="1:5">
      <c r="A5691" s="2" t="s">
        <v>1478</v>
      </c>
      <c r="B5691" s="2" t="str">
        <f>"191208"</f>
        <v>191208</v>
      </c>
      <c r="C5691" s="2" t="str">
        <f>"191208"</f>
        <v>191208</v>
      </c>
      <c r="D5691" s="2" t="s">
        <v>7286</v>
      </c>
      <c r="E5691" s="4">
        <v>6100</v>
      </c>
    </row>
    <row r="5692" spans="1:5">
      <c r="A5692" s="2" t="s">
        <v>1478</v>
      </c>
      <c r="B5692" s="2" t="str">
        <f>"160290"</f>
        <v>160290</v>
      </c>
      <c r="C5692" s="2" t="str">
        <f>"160290"</f>
        <v>160290</v>
      </c>
      <c r="D5692" s="2" t="s">
        <v>7287</v>
      </c>
      <c r="E5692" s="4">
        <v>2200</v>
      </c>
    </row>
    <row r="5693" spans="1:5">
      <c r="A5693" s="2" t="s">
        <v>1478</v>
      </c>
      <c r="B5693" s="2" t="str">
        <f>"121306-1"</f>
        <v>121306-1</v>
      </c>
      <c r="C5693" s="2" t="str">
        <f>"1213406"</f>
        <v>1213406</v>
      </c>
      <c r="D5693" s="2" t="s">
        <v>7288</v>
      </c>
      <c r="E5693" s="4">
        <v>2000</v>
      </c>
    </row>
    <row r="5694" spans="1:5">
      <c r="A5694" s="2" t="s">
        <v>1478</v>
      </c>
      <c r="B5694" s="2" t="str">
        <f>"270231"</f>
        <v>270231</v>
      </c>
      <c r="C5694" s="2" t="str">
        <f>"270231"</f>
        <v>270231</v>
      </c>
      <c r="D5694" s="2" t="s">
        <v>7289</v>
      </c>
      <c r="E5694" s="4">
        <v>2500</v>
      </c>
    </row>
    <row r="5695" spans="1:5">
      <c r="A5695" s="2" t="s">
        <v>1478</v>
      </c>
      <c r="B5695" s="2" t="str">
        <f>"280382"</f>
        <v>280382</v>
      </c>
      <c r="C5695" s="2" t="str">
        <f>"280382"</f>
        <v>280382</v>
      </c>
      <c r="D5695" s="2" t="s">
        <v>7290</v>
      </c>
      <c r="E5695" s="4">
        <v>1500</v>
      </c>
    </row>
    <row r="5696" spans="1:5">
      <c r="A5696" s="2" t="s">
        <v>1478</v>
      </c>
      <c r="B5696" s="2" t="str">
        <f>"160291"</f>
        <v>160291</v>
      </c>
      <c r="C5696" s="2" t="str">
        <f>"160291"</f>
        <v>160291</v>
      </c>
      <c r="D5696" s="2" t="s">
        <v>7291</v>
      </c>
      <c r="E5696" s="4">
        <v>2000</v>
      </c>
    </row>
    <row r="5697" spans="1:5">
      <c r="A5697" s="2" t="s">
        <v>1478</v>
      </c>
      <c r="B5697" s="2" t="str">
        <f>"1213397-9"</f>
        <v>1213397-9</v>
      </c>
      <c r="C5697" s="2" t="str">
        <f>"1213397"</f>
        <v>1213397</v>
      </c>
      <c r="D5697" s="2" t="s">
        <v>7292</v>
      </c>
      <c r="E5697" s="4">
        <v>2000</v>
      </c>
    </row>
    <row r="5698" spans="1:5">
      <c r="A5698" s="2" t="s">
        <v>1478</v>
      </c>
      <c r="B5698" s="2" t="str">
        <f>"280344"</f>
        <v>280344</v>
      </c>
      <c r="C5698" s="2" t="str">
        <f>"280344"</f>
        <v>280344</v>
      </c>
      <c r="D5698" s="2" t="s">
        <v>7293</v>
      </c>
      <c r="E5698" s="4">
        <v>1700</v>
      </c>
    </row>
    <row r="5699" spans="1:5">
      <c r="A5699" s="2" t="s">
        <v>1478</v>
      </c>
      <c r="B5699" s="2" t="str">
        <f>"270232"</f>
        <v>270232</v>
      </c>
      <c r="C5699" s="2" t="str">
        <f>"270232"</f>
        <v>270232</v>
      </c>
      <c r="D5699" s="2" t="s">
        <v>7294</v>
      </c>
      <c r="E5699" s="4">
        <v>2500</v>
      </c>
    </row>
    <row r="5700" spans="1:5">
      <c r="A5700" s="2">
        <v>0</v>
      </c>
      <c r="B5700" s="2" t="str">
        <f>"1651942160660"</f>
        <v>1651942160660</v>
      </c>
      <c r="C5700" s="2" t="str">
        <f>"1651942160660"</f>
        <v>1651942160660</v>
      </c>
      <c r="D5700" s="2" t="s">
        <v>7295</v>
      </c>
      <c r="E5700" s="2">
        <v>42</v>
      </c>
    </row>
    <row r="5701" spans="1:5">
      <c r="A5701" s="2">
        <v>0</v>
      </c>
      <c r="B5701" s="2" t="str">
        <f>"1651942162652"</f>
        <v>1651942162652</v>
      </c>
      <c r="C5701" s="2" t="str">
        <f>"1651942162652"</f>
        <v>1651942162652</v>
      </c>
      <c r="D5701" s="2" t="s">
        <v>7295</v>
      </c>
      <c r="E5701" s="2">
        <v>42</v>
      </c>
    </row>
    <row r="5702" spans="1:5">
      <c r="A5702" s="2">
        <v>0</v>
      </c>
      <c r="B5702" s="2" t="str">
        <f>"4545645646"</f>
        <v>4545645646</v>
      </c>
      <c r="C5702" s="2" t="str">
        <f>"08450454"</f>
        <v>08450454</v>
      </c>
      <c r="D5702" s="2" t="s">
        <v>7296</v>
      </c>
      <c r="E5702" s="2">
        <v>50</v>
      </c>
    </row>
    <row r="5703" spans="1:5">
      <c r="A5703" s="2" t="s">
        <v>296</v>
      </c>
      <c r="B5703" s="2" t="str">
        <f>"001222032-4"</f>
        <v>001222032-4</v>
      </c>
      <c r="C5703" s="2" t="str">
        <f>"001222032-4"</f>
        <v>001222032-4</v>
      </c>
      <c r="D5703" s="2" t="s">
        <v>7297</v>
      </c>
      <c r="E5703" s="4">
        <v>12000</v>
      </c>
    </row>
    <row r="5704" spans="1:5">
      <c r="A5704" s="2" t="s">
        <v>296</v>
      </c>
      <c r="B5704" s="2" t="str">
        <f>"560050"</f>
        <v>560050</v>
      </c>
      <c r="C5704" s="2" t="str">
        <f>"560050"</f>
        <v>560050</v>
      </c>
      <c r="D5704" s="2" t="s">
        <v>7298</v>
      </c>
      <c r="E5704" s="4">
        <v>34000</v>
      </c>
    </row>
    <row r="5705" spans="1:5">
      <c r="A5705" s="2" t="s">
        <v>296</v>
      </c>
      <c r="B5705" s="2" t="str">
        <f>"0017730"</f>
        <v>0017730</v>
      </c>
      <c r="C5705" s="2" t="str">
        <f>"0017730"</f>
        <v>0017730</v>
      </c>
      <c r="D5705" s="2" t="s">
        <v>7299</v>
      </c>
      <c r="E5705" s="4">
        <v>14200</v>
      </c>
    </row>
    <row r="5706" spans="1:5">
      <c r="A5706" s="2" t="s">
        <v>296</v>
      </c>
      <c r="B5706" s="2" t="str">
        <f>"0010796"</f>
        <v>0010796</v>
      </c>
      <c r="C5706" s="2" t="str">
        <f>"0010796"</f>
        <v>0010796</v>
      </c>
      <c r="D5706" s="2" t="s">
        <v>7300</v>
      </c>
      <c r="E5706" s="4">
        <v>59000</v>
      </c>
    </row>
    <row r="5707" spans="1:5">
      <c r="A5707" s="2" t="s">
        <v>296</v>
      </c>
      <c r="B5707" s="2" t="str">
        <f>"010490116"</f>
        <v>010490116</v>
      </c>
      <c r="C5707" s="2" t="str">
        <f>"30531-0W800"</f>
        <v>30531-0W800</v>
      </c>
      <c r="D5707" s="2" t="s">
        <v>7301</v>
      </c>
      <c r="E5707" s="4">
        <v>39000</v>
      </c>
    </row>
    <row r="5708" spans="1:5">
      <c r="A5708" s="2">
        <v>0</v>
      </c>
      <c r="B5708" s="2" t="s">
        <v>7302</v>
      </c>
      <c r="C5708" s="2" t="str">
        <f>"1700084001232"</f>
        <v>1700084001232</v>
      </c>
      <c r="D5708" s="2" t="s">
        <v>7303</v>
      </c>
      <c r="E5708" s="2">
        <v>0</v>
      </c>
    </row>
    <row r="5709" spans="1:5">
      <c r="A5709" s="2" t="s">
        <v>5</v>
      </c>
      <c r="B5709" s="2" t="str">
        <f>"15003M"</f>
        <v>15003M</v>
      </c>
      <c r="C5709" s="2" t="str">
        <f>"15003M"</f>
        <v>15003M</v>
      </c>
      <c r="D5709" s="2" t="s">
        <v>7304</v>
      </c>
      <c r="E5709" s="4">
        <v>2000</v>
      </c>
    </row>
    <row r="5710" spans="1:5">
      <c r="A5710" s="2" t="s">
        <v>296</v>
      </c>
      <c r="B5710" s="2" t="str">
        <f>"500400"</f>
        <v>500400</v>
      </c>
      <c r="C5710" s="2" t="str">
        <f>"500400"</f>
        <v>500400</v>
      </c>
      <c r="D5710" s="2" t="s">
        <v>7305</v>
      </c>
      <c r="E5710" s="4">
        <v>1900</v>
      </c>
    </row>
    <row r="5711" spans="1:5">
      <c r="A5711" s="2" t="s">
        <v>296</v>
      </c>
      <c r="B5711" s="2" t="str">
        <f>"70002"</f>
        <v>70002</v>
      </c>
      <c r="C5711" s="2" t="str">
        <f>"70002"</f>
        <v>70002</v>
      </c>
      <c r="D5711" s="2" t="s">
        <v>7306</v>
      </c>
      <c r="E5711" s="4">
        <v>2000</v>
      </c>
    </row>
    <row r="5712" spans="1:5">
      <c r="A5712" s="2" t="s">
        <v>5</v>
      </c>
      <c r="B5712" s="2" t="str">
        <f>"023001BC"</f>
        <v>023001BC</v>
      </c>
      <c r="C5712" s="2" t="str">
        <f>"023001BC"</f>
        <v>023001BC</v>
      </c>
      <c r="D5712" s="2" t="s">
        <v>7307</v>
      </c>
      <c r="E5712" s="4">
        <v>3000</v>
      </c>
    </row>
    <row r="5713" spans="1:5">
      <c r="A5713" s="2" t="s">
        <v>5</v>
      </c>
      <c r="B5713" s="2" t="s">
        <v>7308</v>
      </c>
      <c r="C5713" s="2" t="s">
        <v>7309</v>
      </c>
      <c r="D5713" s="2" t="s">
        <v>7310</v>
      </c>
      <c r="E5713" s="4">
        <v>3000</v>
      </c>
    </row>
    <row r="5714" spans="1:5">
      <c r="A5714" s="2" t="s">
        <v>296</v>
      </c>
      <c r="B5714" s="2" t="str">
        <f>"023001R"</f>
        <v>023001R</v>
      </c>
      <c r="C5714" s="2" t="str">
        <f>"023001R"</f>
        <v>023001R</v>
      </c>
      <c r="D5714" s="2" t="s">
        <v>7311</v>
      </c>
      <c r="E5714" s="4">
        <v>3000</v>
      </c>
    </row>
    <row r="5715" spans="1:5">
      <c r="A5715" s="2" t="s">
        <v>296</v>
      </c>
      <c r="B5715" s="2" t="str">
        <f>"023001VE"</f>
        <v>023001VE</v>
      </c>
      <c r="C5715" s="2" t="str">
        <f>"023001VE"</f>
        <v>023001VE</v>
      </c>
      <c r="D5715" s="2" t="s">
        <v>7312</v>
      </c>
      <c r="E5715" s="4">
        <v>3000</v>
      </c>
    </row>
    <row r="5716" spans="1:5">
      <c r="A5716" s="2" t="s">
        <v>296</v>
      </c>
      <c r="B5716" s="2" t="str">
        <f>"023001V"</f>
        <v>023001V</v>
      </c>
      <c r="C5716" s="2" t="str">
        <f>"023001V"</f>
        <v>023001V</v>
      </c>
      <c r="D5716" s="2" t="s">
        <v>7313</v>
      </c>
      <c r="E5716" s="4">
        <v>3000</v>
      </c>
    </row>
    <row r="5717" spans="1:5">
      <c r="A5717" s="2" t="s">
        <v>1392</v>
      </c>
      <c r="B5717" s="2" t="s">
        <v>7314</v>
      </c>
      <c r="C5717" s="2" t="s">
        <v>7315</v>
      </c>
      <c r="D5717" s="2" t="s">
        <v>7316</v>
      </c>
      <c r="E5717" s="4">
        <v>10000</v>
      </c>
    </row>
    <row r="5718" spans="1:5">
      <c r="A5718" s="2" t="s">
        <v>1392</v>
      </c>
      <c r="B5718" s="2" t="s">
        <v>7317</v>
      </c>
      <c r="C5718" s="2" t="s">
        <v>7318</v>
      </c>
      <c r="D5718" s="2" t="s">
        <v>7319</v>
      </c>
      <c r="E5718" s="4">
        <v>140000</v>
      </c>
    </row>
    <row r="5719" spans="1:5">
      <c r="A5719" s="2" t="s">
        <v>5</v>
      </c>
      <c r="B5719" s="2" t="s">
        <v>7320</v>
      </c>
      <c r="C5719" s="2" t="s">
        <v>7320</v>
      </c>
      <c r="D5719" s="2" t="s">
        <v>7321</v>
      </c>
      <c r="E5719" s="4">
        <v>1000</v>
      </c>
    </row>
    <row r="5720" spans="1:5">
      <c r="A5720" s="2" t="s">
        <v>5</v>
      </c>
      <c r="B5720" s="2" t="s">
        <v>7322</v>
      </c>
      <c r="C5720" s="2" t="s">
        <v>7322</v>
      </c>
      <c r="D5720" s="2" t="s">
        <v>7323</v>
      </c>
      <c r="E5720" s="4">
        <v>1000</v>
      </c>
    </row>
    <row r="5721" spans="1:5">
      <c r="A5721" s="2" t="s">
        <v>5</v>
      </c>
      <c r="B5721" s="2" t="s">
        <v>7324</v>
      </c>
      <c r="C5721" s="2" t="s">
        <v>7324</v>
      </c>
      <c r="D5721" s="2" t="s">
        <v>7325</v>
      </c>
      <c r="E5721" s="4">
        <v>1300</v>
      </c>
    </row>
    <row r="5722" spans="1:5">
      <c r="A5722" s="2" t="s">
        <v>5</v>
      </c>
      <c r="B5722" s="2" t="str">
        <f>"1700220"</f>
        <v>1700220</v>
      </c>
      <c r="C5722" s="2" t="str">
        <f>"1700220"</f>
        <v>1700220</v>
      </c>
      <c r="D5722" s="2" t="s">
        <v>7326</v>
      </c>
      <c r="E5722" s="4">
        <v>6800</v>
      </c>
    </row>
    <row r="5723" spans="1:5">
      <c r="A5723" s="2" t="s">
        <v>5</v>
      </c>
      <c r="B5723" s="2" t="str">
        <f>"0200010"</f>
        <v>0200010</v>
      </c>
      <c r="C5723" s="2" t="str">
        <f>"0200010"</f>
        <v>0200010</v>
      </c>
      <c r="D5723" s="2" t="s">
        <v>7327</v>
      </c>
      <c r="E5723" s="4">
        <v>8500</v>
      </c>
    </row>
    <row r="5724" spans="1:5">
      <c r="A5724" s="2" t="s">
        <v>5</v>
      </c>
      <c r="B5724" s="2" t="str">
        <f>"07000030"</f>
        <v>07000030</v>
      </c>
      <c r="C5724" s="2" t="str">
        <f>"07000030"</f>
        <v>07000030</v>
      </c>
      <c r="D5724" s="2" t="s">
        <v>7328</v>
      </c>
      <c r="E5724" s="4">
        <v>5200</v>
      </c>
    </row>
    <row r="5725" spans="1:5">
      <c r="A5725" s="2" t="s">
        <v>5</v>
      </c>
      <c r="B5725" s="2" t="str">
        <f>"0700030"</f>
        <v>0700030</v>
      </c>
      <c r="C5725" s="2" t="str">
        <f>"0700030"</f>
        <v>0700030</v>
      </c>
      <c r="D5725" s="2" t="s">
        <v>7328</v>
      </c>
      <c r="E5725" s="4">
        <v>5200</v>
      </c>
    </row>
    <row r="5726" spans="1:5">
      <c r="A5726" s="2" t="s">
        <v>5</v>
      </c>
      <c r="B5726" s="2" t="str">
        <f>"008134"</f>
        <v>008134</v>
      </c>
      <c r="C5726" s="2" t="str">
        <f>"008134"</f>
        <v>008134</v>
      </c>
      <c r="D5726" s="2" t="s">
        <v>7329</v>
      </c>
      <c r="E5726" s="4">
        <v>8800</v>
      </c>
    </row>
    <row r="5727" spans="1:5">
      <c r="A5727" s="2" t="s">
        <v>5</v>
      </c>
      <c r="B5727" s="2" t="str">
        <f>"9953041"</f>
        <v>9953041</v>
      </c>
      <c r="C5727" s="2" t="str">
        <f>"9953041"</f>
        <v>9953041</v>
      </c>
      <c r="D5727" s="2" t="s">
        <v>7330</v>
      </c>
      <c r="E5727" s="4">
        <v>6100</v>
      </c>
    </row>
    <row r="5728" spans="1:5">
      <c r="A5728" s="2" t="s">
        <v>5</v>
      </c>
      <c r="B5728" s="2" t="str">
        <f>"0023671"</f>
        <v>0023671</v>
      </c>
      <c r="C5728" s="2" t="str">
        <f>"0023671"</f>
        <v>0023671</v>
      </c>
      <c r="D5728" s="2" t="s">
        <v>7331</v>
      </c>
      <c r="E5728" s="4">
        <v>6100</v>
      </c>
    </row>
    <row r="5729" spans="1:5">
      <c r="A5729" s="2" t="s">
        <v>5</v>
      </c>
      <c r="B5729" s="2" t="str">
        <f>"0150120"</f>
        <v>0150120</v>
      </c>
      <c r="C5729" s="2" t="str">
        <f>"0150120"</f>
        <v>0150120</v>
      </c>
      <c r="D5729" s="2" t="s">
        <v>7332</v>
      </c>
      <c r="E5729" s="4">
        <v>2500</v>
      </c>
    </row>
    <row r="5730" spans="1:5">
      <c r="A5730" s="2" t="s">
        <v>5</v>
      </c>
      <c r="B5730" s="2" t="str">
        <f>"050480066"</f>
        <v>050480066</v>
      </c>
      <c r="C5730" s="2" t="str">
        <f>"050480066"</f>
        <v>050480066</v>
      </c>
      <c r="D5730" s="2" t="s">
        <v>7333</v>
      </c>
      <c r="E5730" s="4">
        <v>1000</v>
      </c>
    </row>
    <row r="5731" spans="1:5">
      <c r="A5731" s="2" t="s">
        <v>5</v>
      </c>
      <c r="B5731" s="2" t="str">
        <f>"050480105"</f>
        <v>050480105</v>
      </c>
      <c r="C5731" s="2" t="str">
        <f>"050480105"</f>
        <v>050480105</v>
      </c>
      <c r="D5731" s="2" t="s">
        <v>7334</v>
      </c>
      <c r="E5731" s="2">
        <v>900</v>
      </c>
    </row>
    <row r="5732" spans="1:5">
      <c r="A5732" s="2" t="s">
        <v>5</v>
      </c>
      <c r="B5732" s="2" t="str">
        <f>"1900540"</f>
        <v>1900540</v>
      </c>
      <c r="C5732" s="2" t="str">
        <f>"1900540"</f>
        <v>1900540</v>
      </c>
      <c r="D5732" s="2" t="s">
        <v>7335</v>
      </c>
      <c r="E5732" s="4">
        <v>18700</v>
      </c>
    </row>
    <row r="5733" spans="1:5">
      <c r="A5733" s="2" t="s">
        <v>1478</v>
      </c>
      <c r="B5733" s="2" t="s">
        <v>7336</v>
      </c>
      <c r="C5733" s="2" t="str">
        <f>"1720813842277"</f>
        <v>1720813842277</v>
      </c>
      <c r="D5733" s="2" t="s">
        <v>7337</v>
      </c>
      <c r="E5733" s="2">
        <v>1</v>
      </c>
    </row>
    <row r="5734" spans="1:5">
      <c r="A5734" s="2" t="s">
        <v>365</v>
      </c>
      <c r="B5734" s="2" t="str">
        <f>"0010098"</f>
        <v>0010098</v>
      </c>
      <c r="C5734" s="2" t="str">
        <f>"8104218"</f>
        <v>8104218</v>
      </c>
      <c r="D5734" s="2" t="s">
        <v>7338</v>
      </c>
      <c r="E5734" s="4">
        <v>28000</v>
      </c>
    </row>
    <row r="5735" spans="1:5">
      <c r="A5735" s="2" t="s">
        <v>365</v>
      </c>
      <c r="B5735" s="2" t="s">
        <v>7339</v>
      </c>
      <c r="C5735" s="2" t="str">
        <f>"1688571003977"</f>
        <v>1688571003977</v>
      </c>
      <c r="D5735" s="2" t="s">
        <v>7340</v>
      </c>
      <c r="E5735" s="4">
        <v>340000</v>
      </c>
    </row>
    <row r="5736" spans="1:5">
      <c r="A5736" s="2" t="s">
        <v>365</v>
      </c>
      <c r="B5736" s="2" t="str">
        <f>"054761"</f>
        <v>054761</v>
      </c>
      <c r="C5736" s="2" t="str">
        <f>"054761"</f>
        <v>054761</v>
      </c>
      <c r="D5736" s="2" t="s">
        <v>7341</v>
      </c>
      <c r="E5736" s="4">
        <v>34000</v>
      </c>
    </row>
    <row r="5737" spans="1:5">
      <c r="A5737" s="2" t="s">
        <v>365</v>
      </c>
      <c r="B5737" s="2" t="s">
        <v>7342</v>
      </c>
      <c r="C5737" s="2" t="s">
        <v>7343</v>
      </c>
      <c r="D5737" s="2" t="s">
        <v>7344</v>
      </c>
      <c r="E5737" s="4">
        <v>320000</v>
      </c>
    </row>
    <row r="5738" spans="1:5">
      <c r="A5738" s="2" t="s">
        <v>365</v>
      </c>
      <c r="B5738" s="2" t="str">
        <f>"071230904"</f>
        <v>071230904</v>
      </c>
      <c r="C5738" s="2" t="str">
        <f>"071230904"</f>
        <v>071230904</v>
      </c>
      <c r="D5738" s="2" t="s">
        <v>7345</v>
      </c>
      <c r="E5738" s="4">
        <v>300000</v>
      </c>
    </row>
    <row r="5739" spans="1:5">
      <c r="A5739" s="2" t="s">
        <v>365</v>
      </c>
      <c r="B5739" s="2" t="s">
        <v>7346</v>
      </c>
      <c r="C5739" s="2" t="s">
        <v>7347</v>
      </c>
      <c r="D5739" s="2" t="s">
        <v>7348</v>
      </c>
      <c r="E5739" s="4">
        <v>297000</v>
      </c>
    </row>
    <row r="5740" spans="1:5">
      <c r="A5740" s="2" t="s">
        <v>365</v>
      </c>
      <c r="B5740" s="2" t="s">
        <v>7349</v>
      </c>
      <c r="C5740" s="2" t="s">
        <v>7349</v>
      </c>
      <c r="D5740" s="2" t="s">
        <v>7350</v>
      </c>
      <c r="E5740" s="4">
        <v>280000</v>
      </c>
    </row>
    <row r="5741" spans="1:5">
      <c r="A5741" s="2" t="s">
        <v>365</v>
      </c>
      <c r="B5741" s="2" t="str">
        <f>"001815243-6"</f>
        <v>001815243-6</v>
      </c>
      <c r="C5741" s="2" t="str">
        <f>"001815243-6"</f>
        <v>001815243-6</v>
      </c>
      <c r="D5741" s="2" t="s">
        <v>7351</v>
      </c>
      <c r="E5741" s="4">
        <v>385000</v>
      </c>
    </row>
    <row r="5742" spans="1:5">
      <c r="A5742" s="2" t="s">
        <v>365</v>
      </c>
      <c r="B5742" s="2" t="s">
        <v>7352</v>
      </c>
      <c r="C5742" s="2" t="s">
        <v>7353</v>
      </c>
      <c r="D5742" s="2" t="s">
        <v>7354</v>
      </c>
      <c r="E5742" s="4">
        <v>350000</v>
      </c>
    </row>
    <row r="5743" spans="1:5">
      <c r="A5743" s="2" t="s">
        <v>365</v>
      </c>
      <c r="B5743" s="2" t="s">
        <v>7355</v>
      </c>
      <c r="C5743" s="2" t="s">
        <v>7355</v>
      </c>
      <c r="D5743" s="2" t="s">
        <v>7356</v>
      </c>
      <c r="E5743" s="4">
        <v>380000</v>
      </c>
    </row>
    <row r="5744" spans="1:5">
      <c r="A5744" s="2" t="s">
        <v>296</v>
      </c>
      <c r="B5744" s="2" t="str">
        <f>"0215547"</f>
        <v>0215547</v>
      </c>
      <c r="C5744" s="2" t="str">
        <f>"0215547"</f>
        <v>0215547</v>
      </c>
      <c r="D5744" s="2" t="s">
        <v>7357</v>
      </c>
      <c r="E5744" s="4">
        <v>13500</v>
      </c>
    </row>
    <row r="5745" spans="1:5">
      <c r="A5745" s="2" t="s">
        <v>1478</v>
      </c>
      <c r="B5745" s="2" t="str">
        <f>"1001274"</f>
        <v>1001274</v>
      </c>
      <c r="C5745" s="2" t="str">
        <f>"1697204736720"</f>
        <v>1697204736720</v>
      </c>
      <c r="D5745" s="2" t="s">
        <v>7358</v>
      </c>
      <c r="E5745" s="4">
        <v>28500</v>
      </c>
    </row>
    <row r="5746" spans="1:5">
      <c r="A5746" s="2" t="s">
        <v>5</v>
      </c>
      <c r="B5746" s="2" t="s">
        <v>7359</v>
      </c>
      <c r="C5746" s="2" t="str">
        <f>"1694092421350"</f>
        <v>1694092421350</v>
      </c>
      <c r="D5746" s="2" t="s">
        <v>7360</v>
      </c>
      <c r="E5746" s="4">
        <v>9700</v>
      </c>
    </row>
    <row r="5747" spans="1:5">
      <c r="A5747" s="2" t="s">
        <v>1478</v>
      </c>
      <c r="B5747" s="2" t="s">
        <v>7361</v>
      </c>
      <c r="C5747" s="2" t="str">
        <f>"1713473428916"</f>
        <v>1713473428916</v>
      </c>
      <c r="D5747" s="2" t="s">
        <v>7362</v>
      </c>
      <c r="E5747" s="2">
        <v>0</v>
      </c>
    </row>
    <row r="5748" spans="1:5">
      <c r="A5748" s="2" t="s">
        <v>1478</v>
      </c>
      <c r="B5748" s="2" t="str">
        <f>"001411175-1"</f>
        <v>001411175-1</v>
      </c>
      <c r="C5748" s="2" t="str">
        <f>"001411175-1"</f>
        <v>001411175-1</v>
      </c>
      <c r="D5748" s="2" t="s">
        <v>7363</v>
      </c>
      <c r="E5748" s="4">
        <v>29500</v>
      </c>
    </row>
    <row r="5749" spans="1:5">
      <c r="A5749" s="2" t="s">
        <v>1478</v>
      </c>
      <c r="B5749" s="2" t="s">
        <v>7364</v>
      </c>
      <c r="C5749" s="2" t="str">
        <f>"1735908609354"</f>
        <v>1735908609354</v>
      </c>
      <c r="D5749" s="2" t="s">
        <v>7365</v>
      </c>
      <c r="E5749" s="4">
        <v>195000</v>
      </c>
    </row>
    <row r="5750" spans="1:5">
      <c r="A5750" s="2" t="s">
        <v>1478</v>
      </c>
      <c r="B5750" s="2" t="str">
        <f>"00121526-1"</f>
        <v>00121526-1</v>
      </c>
      <c r="C5750" s="2" t="str">
        <f>"1702047918937"</f>
        <v>1702047918937</v>
      </c>
      <c r="D5750" s="2" t="s">
        <v>7366</v>
      </c>
      <c r="E5750" s="4">
        <v>24100001215261</v>
      </c>
    </row>
    <row r="5751" spans="1:5">
      <c r="A5751" s="2" t="s">
        <v>1478</v>
      </c>
      <c r="B5751" s="2" t="str">
        <f>"0032730"</f>
        <v>0032730</v>
      </c>
      <c r="C5751" s="2" t="str">
        <f>"0032730"</f>
        <v>0032730</v>
      </c>
      <c r="D5751" s="2" t="s">
        <v>7367</v>
      </c>
      <c r="E5751" s="4">
        <v>28600</v>
      </c>
    </row>
    <row r="5752" spans="1:5">
      <c r="A5752" s="2" t="s">
        <v>1478</v>
      </c>
      <c r="B5752" s="2" t="str">
        <f>"9955355"</f>
        <v>9955355</v>
      </c>
      <c r="C5752" s="2" t="str">
        <f>"9955355"</f>
        <v>9955355</v>
      </c>
      <c r="D5752" s="2" t="s">
        <v>7368</v>
      </c>
      <c r="E5752" s="4">
        <v>19600</v>
      </c>
    </row>
    <row r="5753" spans="1:5">
      <c r="A5753" s="2" t="s">
        <v>1478</v>
      </c>
      <c r="B5753" s="2" t="s">
        <v>7369</v>
      </c>
      <c r="C5753" s="2" t="str">
        <f>"1695737230860"</f>
        <v>1695737230860</v>
      </c>
      <c r="D5753" s="2" t="s">
        <v>7370</v>
      </c>
      <c r="E5753" s="4">
        <v>35000</v>
      </c>
    </row>
    <row r="5754" spans="1:5">
      <c r="A5754" s="2" t="s">
        <v>1478</v>
      </c>
      <c r="B5754" s="2" t="str">
        <f>"1033-6395"</f>
        <v>1033-6395</v>
      </c>
      <c r="C5754" s="2" t="str">
        <f>"1033-6395"</f>
        <v>1033-6395</v>
      </c>
      <c r="D5754" s="2" t="s">
        <v>7371</v>
      </c>
      <c r="E5754" s="4">
        <v>25000</v>
      </c>
    </row>
    <row r="5755" spans="1:5">
      <c r="A5755" s="2" t="s">
        <v>1478</v>
      </c>
      <c r="B5755" s="2" t="s">
        <v>7372</v>
      </c>
      <c r="C5755" s="2" t="str">
        <f>"1698504880632"</f>
        <v>1698504880632</v>
      </c>
      <c r="D5755" s="2" t="s">
        <v>7373</v>
      </c>
      <c r="E5755" s="4">
        <v>150000</v>
      </c>
    </row>
    <row r="5756" spans="1:5">
      <c r="A5756" s="2" t="s">
        <v>1478</v>
      </c>
      <c r="B5756" s="2" t="str">
        <f>"9958726"</f>
        <v>9958726</v>
      </c>
      <c r="C5756" s="2" t="str">
        <f>"9958726"</f>
        <v>9958726</v>
      </c>
      <c r="D5756" s="2" t="s">
        <v>7374</v>
      </c>
      <c r="E5756" s="4">
        <v>28600</v>
      </c>
    </row>
    <row r="5757" spans="1:5">
      <c r="A5757" s="2" t="s">
        <v>4622</v>
      </c>
      <c r="B5757" s="2" t="str">
        <f>"9952458"</f>
        <v>9952458</v>
      </c>
      <c r="C5757" s="2" t="str">
        <f>"9952458"</f>
        <v>9952458</v>
      </c>
      <c r="D5757" s="2" t="s">
        <v>7375</v>
      </c>
      <c r="E5757" s="4">
        <v>97000</v>
      </c>
    </row>
    <row r="5758" spans="1:5">
      <c r="A5758" s="2" t="s">
        <v>4622</v>
      </c>
      <c r="B5758" s="2" t="str">
        <f>"8800328"</f>
        <v>8800328</v>
      </c>
      <c r="C5758" s="2" t="str">
        <f>"8800328"</f>
        <v>8800328</v>
      </c>
      <c r="D5758" s="2" t="s">
        <v>7376</v>
      </c>
      <c r="E5758" s="4">
        <v>28600</v>
      </c>
    </row>
    <row r="5759" spans="1:5">
      <c r="A5759" s="2" t="s">
        <v>4622</v>
      </c>
      <c r="B5759" s="2" t="str">
        <f>"0031224"</f>
        <v>0031224</v>
      </c>
      <c r="C5759" s="2" t="str">
        <f>"0031224"</f>
        <v>0031224</v>
      </c>
      <c r="D5759" s="2" t="s">
        <v>7377</v>
      </c>
      <c r="E5759" s="4">
        <v>52000</v>
      </c>
    </row>
    <row r="5760" spans="1:5">
      <c r="A5760" s="2" t="s">
        <v>4622</v>
      </c>
      <c r="B5760" s="2" t="str">
        <f>"002010006-0"</f>
        <v>002010006-0</v>
      </c>
      <c r="C5760" s="2" t="str">
        <f>"002010006-0"</f>
        <v>002010006-0</v>
      </c>
      <c r="D5760" s="2" t="s">
        <v>7378</v>
      </c>
      <c r="E5760" s="4">
        <v>106000</v>
      </c>
    </row>
    <row r="5761" spans="1:5">
      <c r="A5761" s="2" t="s">
        <v>4622</v>
      </c>
      <c r="B5761" s="2" t="str">
        <f>"0013268"</f>
        <v>0013268</v>
      </c>
      <c r="C5761" s="2" t="str">
        <f>"0013268"</f>
        <v>0013268</v>
      </c>
      <c r="D5761" s="2" t="s">
        <v>7379</v>
      </c>
      <c r="E5761" s="4">
        <v>38500</v>
      </c>
    </row>
    <row r="5762" spans="1:5">
      <c r="A5762" s="2" t="s">
        <v>4622</v>
      </c>
      <c r="B5762" s="2" t="str">
        <f>"0013254"</f>
        <v>0013254</v>
      </c>
      <c r="C5762" s="2" t="str">
        <f>"0013254"</f>
        <v>0013254</v>
      </c>
      <c r="D5762" s="2" t="s">
        <v>7380</v>
      </c>
      <c r="E5762" s="4">
        <v>38500</v>
      </c>
    </row>
    <row r="5763" spans="1:5">
      <c r="A5763" s="2" t="s">
        <v>4622</v>
      </c>
      <c r="B5763" s="2" t="s">
        <v>7381</v>
      </c>
      <c r="C5763" s="2" t="s">
        <v>7381</v>
      </c>
      <c r="D5763" s="2" t="s">
        <v>7382</v>
      </c>
      <c r="E5763" s="4">
        <v>95000</v>
      </c>
    </row>
    <row r="5764" spans="1:5">
      <c r="A5764" s="2" t="s">
        <v>1478</v>
      </c>
      <c r="B5764" s="2" t="str">
        <f>"9944353"</f>
        <v>9944353</v>
      </c>
      <c r="C5764" s="2" t="str">
        <f>"9944353"</f>
        <v>9944353</v>
      </c>
      <c r="D5764" s="2" t="s">
        <v>7383</v>
      </c>
      <c r="E5764" s="4">
        <v>59000</v>
      </c>
    </row>
    <row r="5765" spans="1:5">
      <c r="A5765" s="2" t="s">
        <v>4622</v>
      </c>
      <c r="B5765" s="2" t="str">
        <f>"0001308"</f>
        <v>0001308</v>
      </c>
      <c r="C5765" s="2" t="str">
        <f>"0001308"</f>
        <v>0001308</v>
      </c>
      <c r="D5765" s="2" t="s">
        <v>7384</v>
      </c>
      <c r="E5765" s="4">
        <v>43000</v>
      </c>
    </row>
    <row r="5766" spans="1:5">
      <c r="A5766" s="2" t="s">
        <v>4622</v>
      </c>
      <c r="B5766" s="2" t="str">
        <f>"9952452"</f>
        <v>9952452</v>
      </c>
      <c r="C5766" s="2" t="str">
        <f>"9952452"</f>
        <v>9952452</v>
      </c>
      <c r="D5766" s="2" t="s">
        <v>7385</v>
      </c>
      <c r="E5766" s="4">
        <v>88000</v>
      </c>
    </row>
    <row r="5767" spans="1:5" ht="27.6">
      <c r="A5767" s="2" t="s">
        <v>1478</v>
      </c>
      <c r="B5767" s="2" t="str">
        <f>"9952451"</f>
        <v>9952451</v>
      </c>
      <c r="C5767" s="2" t="str">
        <f>"9952451"</f>
        <v>9952451</v>
      </c>
      <c r="D5767" s="2" t="s">
        <v>7386</v>
      </c>
      <c r="E5767" s="4">
        <v>52000</v>
      </c>
    </row>
    <row r="5768" spans="1:5">
      <c r="A5768" s="2" t="s">
        <v>4622</v>
      </c>
      <c r="B5768" s="2" t="str">
        <f>"0017259"</f>
        <v>0017259</v>
      </c>
      <c r="C5768" s="2" t="str">
        <f>"0017259"</f>
        <v>0017259</v>
      </c>
      <c r="D5768" s="2" t="s">
        <v>7387</v>
      </c>
      <c r="E5768" s="4">
        <v>18700</v>
      </c>
    </row>
    <row r="5769" spans="1:5">
      <c r="A5769" s="2" t="s">
        <v>4622</v>
      </c>
      <c r="B5769" s="2" t="str">
        <f>"0017143807-3"</f>
        <v>0017143807-3</v>
      </c>
      <c r="C5769" s="2" t="str">
        <f>"001713807-3"</f>
        <v>001713807-3</v>
      </c>
      <c r="D5769" s="2" t="s">
        <v>7388</v>
      </c>
      <c r="E5769" s="4">
        <v>43000</v>
      </c>
    </row>
    <row r="5770" spans="1:5">
      <c r="A5770" s="2" t="s">
        <v>4622</v>
      </c>
      <c r="B5770" s="2" t="str">
        <f>"19863-3"</f>
        <v>19863-3</v>
      </c>
      <c r="C5770" s="2" t="str">
        <f>"19863-3"</f>
        <v>19863-3</v>
      </c>
      <c r="D5770" s="2" t="s">
        <v>7389</v>
      </c>
      <c r="E5770" s="4">
        <v>115000</v>
      </c>
    </row>
    <row r="5771" spans="1:5">
      <c r="A5771" s="2" t="s">
        <v>1478</v>
      </c>
      <c r="B5771" s="2" t="s">
        <v>7390</v>
      </c>
      <c r="C5771" s="2" t="str">
        <f>"1689887901689"</f>
        <v>1689887901689</v>
      </c>
      <c r="D5771" s="2" t="s">
        <v>7391</v>
      </c>
      <c r="E5771" s="4">
        <v>60000</v>
      </c>
    </row>
    <row r="5772" spans="1:5">
      <c r="A5772" s="2" t="s">
        <v>1478</v>
      </c>
      <c r="B5772" s="2" t="str">
        <f>"010340736"</f>
        <v>010340736</v>
      </c>
      <c r="C5772" s="2" t="str">
        <f>"010340736"</f>
        <v>010340736</v>
      </c>
      <c r="D5772" s="2" t="s">
        <v>7392</v>
      </c>
      <c r="E5772" s="4">
        <v>88000</v>
      </c>
    </row>
    <row r="5773" spans="1:5">
      <c r="A5773" s="2" t="s">
        <v>2541</v>
      </c>
      <c r="B5773" s="2" t="s">
        <v>7393</v>
      </c>
      <c r="C5773" s="2" t="str">
        <f>"1697290258433"</f>
        <v>1697290258433</v>
      </c>
      <c r="D5773" s="2" t="s">
        <v>7394</v>
      </c>
      <c r="E5773" s="4">
        <v>40000</v>
      </c>
    </row>
    <row r="5774" spans="1:5">
      <c r="A5774" s="2" t="s">
        <v>2541</v>
      </c>
      <c r="B5774" s="2" t="s">
        <v>7395</v>
      </c>
      <c r="C5774" s="2" t="str">
        <f>"1718744577253"</f>
        <v>1718744577253</v>
      </c>
      <c r="D5774" s="2" t="s">
        <v>7396</v>
      </c>
      <c r="E5774" s="2">
        <v>0</v>
      </c>
    </row>
    <row r="5775" spans="1:5">
      <c r="A5775" s="2" t="s">
        <v>1478</v>
      </c>
      <c r="B5775" s="2" t="s">
        <v>7397</v>
      </c>
      <c r="C5775" s="2" t="str">
        <f>"1735908583285"</f>
        <v>1735908583285</v>
      </c>
      <c r="D5775" s="2" t="s">
        <v>7398</v>
      </c>
      <c r="E5775" s="4">
        <v>370000</v>
      </c>
    </row>
    <row r="5776" spans="1:5">
      <c r="A5776" s="2" t="s">
        <v>1478</v>
      </c>
      <c r="B5776" s="2" t="str">
        <f>"9955894"</f>
        <v>9955894</v>
      </c>
      <c r="C5776" s="2" t="str">
        <f>"9955894"</f>
        <v>9955894</v>
      </c>
      <c r="D5776" s="2" t="s">
        <v>7399</v>
      </c>
      <c r="E5776" s="4">
        <v>142000</v>
      </c>
    </row>
    <row r="5777" spans="1:5">
      <c r="A5777" s="2" t="s">
        <v>1478</v>
      </c>
      <c r="B5777" s="2" t="s">
        <v>7400</v>
      </c>
      <c r="C5777" s="2" t="str">
        <f>"1695737283527"</f>
        <v>1695737283527</v>
      </c>
      <c r="D5777" s="2" t="s">
        <v>7401</v>
      </c>
      <c r="E5777" s="4">
        <v>105000</v>
      </c>
    </row>
    <row r="5778" spans="1:5">
      <c r="A5778" s="2" t="s">
        <v>296</v>
      </c>
      <c r="B5778" s="2" t="str">
        <f>"246150"</f>
        <v>246150</v>
      </c>
      <c r="C5778" s="2" t="str">
        <f>"246150"</f>
        <v>246150</v>
      </c>
      <c r="D5778" s="2" t="s">
        <v>7402</v>
      </c>
      <c r="E5778" s="4">
        <v>18000</v>
      </c>
    </row>
    <row r="5779" spans="1:5">
      <c r="A5779" s="2" t="s">
        <v>296</v>
      </c>
      <c r="B5779" s="2" t="str">
        <f>"321375"</f>
        <v>321375</v>
      </c>
      <c r="C5779" s="2" t="str">
        <f>"321375"</f>
        <v>321375</v>
      </c>
      <c r="D5779" s="2" t="s">
        <v>7403</v>
      </c>
      <c r="E5779" s="4">
        <v>5626</v>
      </c>
    </row>
    <row r="5780" spans="1:5">
      <c r="A5780" s="2" t="s">
        <v>296</v>
      </c>
      <c r="B5780" s="2" t="str">
        <f>"286770"</f>
        <v>286770</v>
      </c>
      <c r="C5780" s="2" t="str">
        <f>"286770"</f>
        <v>286770</v>
      </c>
      <c r="D5780" s="2" t="s">
        <v>7404</v>
      </c>
      <c r="E5780" s="4">
        <v>18800</v>
      </c>
    </row>
    <row r="5781" spans="1:5">
      <c r="A5781" s="2" t="s">
        <v>296</v>
      </c>
      <c r="B5781" s="2" t="str">
        <f>"285334"</f>
        <v>285334</v>
      </c>
      <c r="C5781" s="2" t="str">
        <f>"285334"</f>
        <v>285334</v>
      </c>
      <c r="D5781" s="2" t="s">
        <v>7405</v>
      </c>
      <c r="E5781" s="4">
        <v>14000</v>
      </c>
    </row>
    <row r="5782" spans="1:5">
      <c r="A5782" s="2" t="s">
        <v>296</v>
      </c>
      <c r="B5782" s="2" t="str">
        <f>"230295"</f>
        <v>230295</v>
      </c>
      <c r="C5782" s="2" t="str">
        <f>"230295"</f>
        <v>230295</v>
      </c>
      <c r="D5782" s="2" t="s">
        <v>7406</v>
      </c>
      <c r="E5782" s="4">
        <v>14000</v>
      </c>
    </row>
    <row r="5783" spans="1:5">
      <c r="A5783" s="2" t="s">
        <v>296</v>
      </c>
      <c r="B5783" s="2" t="str">
        <f>"311851"</f>
        <v>311851</v>
      </c>
      <c r="C5783" s="2" t="str">
        <f>"311851"</f>
        <v>311851</v>
      </c>
      <c r="D5783" s="2" t="s">
        <v>7407</v>
      </c>
      <c r="E5783" s="4">
        <v>3500</v>
      </c>
    </row>
    <row r="5784" spans="1:5">
      <c r="A5784" s="2" t="s">
        <v>296</v>
      </c>
      <c r="B5784" s="2" t="str">
        <f>"282375"</f>
        <v>282375</v>
      </c>
      <c r="C5784" s="2" t="str">
        <f>"282375"</f>
        <v>282375</v>
      </c>
      <c r="D5784" s="2" t="s">
        <v>7408</v>
      </c>
      <c r="E5784" s="4">
        <v>58300</v>
      </c>
    </row>
    <row r="5785" spans="1:5">
      <c r="A5785" s="2" t="s">
        <v>296</v>
      </c>
      <c r="B5785" s="2" t="str">
        <f>"0006803"</f>
        <v>0006803</v>
      </c>
      <c r="C5785" s="2" t="str">
        <f>"0006803"</f>
        <v>0006803</v>
      </c>
      <c r="D5785" s="2" t="s">
        <v>7409</v>
      </c>
      <c r="E5785" s="4">
        <v>18000</v>
      </c>
    </row>
    <row r="5786" spans="1:5">
      <c r="A5786" s="2" t="s">
        <v>296</v>
      </c>
      <c r="B5786" s="2" t="s">
        <v>7410</v>
      </c>
      <c r="C5786" s="2" t="s">
        <v>7410</v>
      </c>
      <c r="D5786" s="2" t="s">
        <v>7411</v>
      </c>
      <c r="E5786" s="4">
        <v>59000</v>
      </c>
    </row>
    <row r="5787" spans="1:5">
      <c r="A5787" s="2" t="s">
        <v>296</v>
      </c>
      <c r="B5787" s="2" t="str">
        <f>"016902"</f>
        <v>016902</v>
      </c>
      <c r="C5787" s="2" t="str">
        <f>"016902"</f>
        <v>016902</v>
      </c>
      <c r="D5787" s="2" t="s">
        <v>7412</v>
      </c>
      <c r="E5787" s="4">
        <v>21500</v>
      </c>
    </row>
    <row r="5788" spans="1:5">
      <c r="A5788" s="2" t="s">
        <v>296</v>
      </c>
      <c r="B5788" s="2" t="str">
        <f>"010060099"</f>
        <v>010060099</v>
      </c>
      <c r="C5788" s="2" t="str">
        <f>"010060099"</f>
        <v>010060099</v>
      </c>
      <c r="D5788" s="2" t="s">
        <v>7413</v>
      </c>
      <c r="E5788" s="4">
        <v>25000</v>
      </c>
    </row>
    <row r="5789" spans="1:5">
      <c r="A5789" s="2" t="s">
        <v>296</v>
      </c>
      <c r="B5789" s="2" t="str">
        <f>"280073"</f>
        <v>280073</v>
      </c>
      <c r="C5789" s="2" t="str">
        <f>"280073"</f>
        <v>280073</v>
      </c>
      <c r="D5789" s="2" t="s">
        <v>7414</v>
      </c>
      <c r="E5789" s="4">
        <v>28000</v>
      </c>
    </row>
    <row r="5790" spans="1:5">
      <c r="A5790" s="2" t="s">
        <v>296</v>
      </c>
      <c r="B5790" s="2" t="str">
        <f>"312589"</f>
        <v>312589</v>
      </c>
      <c r="C5790" s="2" t="str">
        <f>"312589"</f>
        <v>312589</v>
      </c>
      <c r="D5790" s="2" t="s">
        <v>7415</v>
      </c>
      <c r="E5790" s="4">
        <v>28600</v>
      </c>
    </row>
    <row r="5791" spans="1:5">
      <c r="A5791" s="2" t="s">
        <v>296</v>
      </c>
      <c r="B5791" s="2" t="str">
        <f>"010060097"</f>
        <v>010060097</v>
      </c>
      <c r="C5791" s="2" t="str">
        <f>"010060097"</f>
        <v>010060097</v>
      </c>
      <c r="D5791" s="2" t="s">
        <v>7416</v>
      </c>
      <c r="E5791" s="4">
        <v>25000</v>
      </c>
    </row>
    <row r="5792" spans="1:5">
      <c r="A5792" s="2" t="s">
        <v>296</v>
      </c>
      <c r="B5792" s="2" t="str">
        <f>"50533CP"</f>
        <v>50533CP</v>
      </c>
      <c r="C5792" s="2" t="str">
        <f>"50533CP"</f>
        <v>50533CP</v>
      </c>
      <c r="D5792" s="2" t="s">
        <v>7417</v>
      </c>
      <c r="E5792" s="4">
        <v>29500</v>
      </c>
    </row>
    <row r="5793" spans="1:5">
      <c r="A5793" s="2" t="s">
        <v>296</v>
      </c>
      <c r="B5793" s="2" t="str">
        <f>"012250"</f>
        <v>012250</v>
      </c>
      <c r="C5793" s="2" t="str">
        <f>"012250"</f>
        <v>012250</v>
      </c>
      <c r="D5793" s="2" t="s">
        <v>7418</v>
      </c>
      <c r="E5793" s="4">
        <v>61000</v>
      </c>
    </row>
    <row r="5794" spans="1:5">
      <c r="A5794" s="2" t="s">
        <v>296</v>
      </c>
      <c r="B5794" s="2" t="str">
        <f>"001411016-K"</f>
        <v>001411016-K</v>
      </c>
      <c r="C5794" s="2" t="str">
        <f>"1411016-K"</f>
        <v>1411016-K</v>
      </c>
      <c r="D5794" s="2" t="s">
        <v>7419</v>
      </c>
      <c r="E5794" s="4">
        <v>28600</v>
      </c>
    </row>
    <row r="5795" spans="1:5">
      <c r="A5795" s="2" t="s">
        <v>296</v>
      </c>
      <c r="B5795" s="2" t="str">
        <f>"000881"</f>
        <v>000881</v>
      </c>
      <c r="C5795" s="2" t="str">
        <f>"010060541"</f>
        <v>010060541</v>
      </c>
      <c r="D5795" s="2" t="s">
        <v>7420</v>
      </c>
      <c r="E5795" s="4">
        <v>19000</v>
      </c>
    </row>
    <row r="5796" spans="1:5">
      <c r="A5796" s="2" t="s">
        <v>296</v>
      </c>
      <c r="B5796" s="2" t="str">
        <f>"012275"</f>
        <v>012275</v>
      </c>
      <c r="C5796" s="2" t="str">
        <f>"012275"</f>
        <v>012275</v>
      </c>
      <c r="D5796" s="2" t="s">
        <v>7421</v>
      </c>
      <c r="E5796" s="4">
        <v>48400</v>
      </c>
    </row>
    <row r="5797" spans="1:5">
      <c r="A5797" s="2" t="s">
        <v>296</v>
      </c>
      <c r="B5797" s="2" t="str">
        <f>"30331724"</f>
        <v>30331724</v>
      </c>
      <c r="C5797" s="2" t="str">
        <f>"30331724"</f>
        <v>30331724</v>
      </c>
      <c r="D5797" s="2" t="s">
        <v>7422</v>
      </c>
      <c r="E5797" s="4">
        <v>16500</v>
      </c>
    </row>
    <row r="5798" spans="1:5">
      <c r="A5798" s="2" t="s">
        <v>296</v>
      </c>
      <c r="B5798" s="2" t="str">
        <f>"0000896"</f>
        <v>0000896</v>
      </c>
      <c r="C5798" s="2" t="str">
        <f>"0000896"</f>
        <v>0000896</v>
      </c>
      <c r="D5798" s="2" t="s">
        <v>7423</v>
      </c>
      <c r="E5798" s="4">
        <v>16000</v>
      </c>
    </row>
    <row r="5799" spans="1:5">
      <c r="A5799" s="2" t="s">
        <v>296</v>
      </c>
      <c r="B5799" s="2" t="str">
        <f>"5 000000 076222"</f>
        <v>5 000000 076222</v>
      </c>
      <c r="C5799" s="2" t="str">
        <f>"160079"</f>
        <v>160079</v>
      </c>
      <c r="D5799" s="2" t="s">
        <v>7424</v>
      </c>
      <c r="E5799" s="4">
        <v>32200</v>
      </c>
    </row>
    <row r="5800" spans="1:5">
      <c r="A5800" s="2" t="s">
        <v>296</v>
      </c>
      <c r="B5800" s="2" t="str">
        <f>"8-94231817"</f>
        <v>8-94231817</v>
      </c>
      <c r="C5800" s="2" t="str">
        <f>"8-94231817"</f>
        <v>8-94231817</v>
      </c>
      <c r="D5800" s="2" t="s">
        <v>7425</v>
      </c>
      <c r="E5800" s="4">
        <v>16000</v>
      </c>
    </row>
    <row r="5801" spans="1:5">
      <c r="A5801" s="2" t="s">
        <v>296</v>
      </c>
      <c r="B5801" s="2" t="str">
        <f>"1157238"</f>
        <v>1157238</v>
      </c>
      <c r="C5801" s="2" t="str">
        <f>"1157238"</f>
        <v>1157238</v>
      </c>
      <c r="D5801" s="2" t="s">
        <v>7426</v>
      </c>
      <c r="E5801" s="4">
        <v>25900</v>
      </c>
    </row>
    <row r="5802" spans="1:5">
      <c r="A5802" s="2" t="s">
        <v>296</v>
      </c>
      <c r="B5802" s="2" t="str">
        <f>"010060673"</f>
        <v>010060673</v>
      </c>
      <c r="C5802" s="2" t="str">
        <f>"01060673"</f>
        <v>01060673</v>
      </c>
      <c r="D5802" s="2" t="s">
        <v>7427</v>
      </c>
      <c r="E5802" s="4">
        <v>25000</v>
      </c>
    </row>
    <row r="5803" spans="1:5">
      <c r="A5803" s="2" t="s">
        <v>296</v>
      </c>
      <c r="B5803" s="2" t="str">
        <f>"010060670"</f>
        <v>010060670</v>
      </c>
      <c r="C5803" s="2" t="str">
        <f>"010060670"</f>
        <v>010060670</v>
      </c>
      <c r="D5803" s="2" t="s">
        <v>7428</v>
      </c>
      <c r="E5803" s="4">
        <v>28000</v>
      </c>
    </row>
    <row r="5804" spans="1:5">
      <c r="A5804" s="2" t="s">
        <v>296</v>
      </c>
      <c r="B5804" s="2" t="str">
        <f>"30331742"</f>
        <v>30331742</v>
      </c>
      <c r="C5804" s="2" t="str">
        <f>"30331742"</f>
        <v>30331742</v>
      </c>
      <c r="D5804" s="2" t="s">
        <v>7429</v>
      </c>
      <c r="E5804" s="4">
        <v>18500</v>
      </c>
    </row>
    <row r="5805" spans="1:5">
      <c r="A5805" s="2" t="s">
        <v>296</v>
      </c>
      <c r="B5805" s="2" t="str">
        <f>"010060098"</f>
        <v>010060098</v>
      </c>
      <c r="C5805" s="2" t="str">
        <f>"010060098"</f>
        <v>010060098</v>
      </c>
      <c r="D5805" s="2" t="s">
        <v>7430</v>
      </c>
      <c r="E5805" s="4">
        <v>25000</v>
      </c>
    </row>
    <row r="5806" spans="1:5">
      <c r="A5806" s="2" t="s">
        <v>296</v>
      </c>
      <c r="B5806" s="2" t="str">
        <f>"166114"</f>
        <v>166114</v>
      </c>
      <c r="C5806" s="2" t="str">
        <f>"166114"</f>
        <v>166114</v>
      </c>
      <c r="D5806" s="2" t="s">
        <v>7431</v>
      </c>
      <c r="E5806" s="4">
        <v>29000</v>
      </c>
    </row>
    <row r="5807" spans="1:5">
      <c r="A5807" s="2" t="s">
        <v>296</v>
      </c>
      <c r="B5807" s="2" t="str">
        <f>"166110"</f>
        <v>166110</v>
      </c>
      <c r="C5807" s="2" t="str">
        <f>"166110"</f>
        <v>166110</v>
      </c>
      <c r="D5807" s="2" t="s">
        <v>7432</v>
      </c>
      <c r="E5807" s="4">
        <v>35500</v>
      </c>
    </row>
    <row r="5808" spans="1:5">
      <c r="A5808" s="2" t="s">
        <v>296</v>
      </c>
      <c r="B5808" s="2" t="str">
        <f>"160110"</f>
        <v>160110</v>
      </c>
      <c r="C5808" s="2" t="str">
        <f>"001111045-2"</f>
        <v>001111045-2</v>
      </c>
      <c r="D5808" s="2" t="s">
        <v>7433</v>
      </c>
      <c r="E5808" s="4">
        <v>34000</v>
      </c>
    </row>
    <row r="5809" spans="1:5">
      <c r="A5809" s="2" t="s">
        <v>296</v>
      </c>
      <c r="B5809" s="2" t="str">
        <f>"301718"</f>
        <v>301718</v>
      </c>
      <c r="C5809" s="2" t="str">
        <f>"301718"</f>
        <v>301718</v>
      </c>
      <c r="D5809" s="2" t="s">
        <v>7434</v>
      </c>
      <c r="E5809" s="4">
        <v>58300</v>
      </c>
    </row>
    <row r="5810" spans="1:5">
      <c r="A5810" s="2" t="s">
        <v>296</v>
      </c>
      <c r="B5810" s="2" t="str">
        <f>"010060102"</f>
        <v>010060102</v>
      </c>
      <c r="C5810" s="2" t="str">
        <f>"010060102"</f>
        <v>010060102</v>
      </c>
      <c r="D5810" s="2" t="s">
        <v>7435</v>
      </c>
      <c r="E5810" s="4">
        <v>18700</v>
      </c>
    </row>
    <row r="5811" spans="1:5">
      <c r="A5811" s="2" t="s">
        <v>296</v>
      </c>
      <c r="B5811" s="2" t="str">
        <f>"3033-1721"</f>
        <v>3033-1721</v>
      </c>
      <c r="C5811" s="2" t="str">
        <f>"3033-1721"</f>
        <v>3033-1721</v>
      </c>
      <c r="D5811" s="2" t="s">
        <v>7436</v>
      </c>
      <c r="E5811" s="4">
        <v>18800</v>
      </c>
    </row>
    <row r="5812" spans="1:5">
      <c r="A5812" s="2" t="s">
        <v>296</v>
      </c>
      <c r="B5812" s="2" t="str">
        <f>"056907"</f>
        <v>056907</v>
      </c>
      <c r="C5812" s="2" t="str">
        <f>"056907"</f>
        <v>056907</v>
      </c>
      <c r="D5812" s="2" t="s">
        <v>7437</v>
      </c>
      <c r="E5812" s="4">
        <v>32000</v>
      </c>
    </row>
    <row r="5813" spans="1:5">
      <c r="A5813" s="2" t="s">
        <v>296</v>
      </c>
      <c r="B5813" s="2" t="str">
        <f>"301720"</f>
        <v>301720</v>
      </c>
      <c r="C5813" s="2" t="str">
        <f>"301720"</f>
        <v>301720</v>
      </c>
      <c r="D5813" s="2" t="s">
        <v>7438</v>
      </c>
      <c r="E5813" s="4">
        <v>39500</v>
      </c>
    </row>
    <row r="5814" spans="1:5">
      <c r="A5814" s="2" t="s">
        <v>296</v>
      </c>
      <c r="B5814" s="2" t="str">
        <f>"0003591"</f>
        <v>0003591</v>
      </c>
      <c r="C5814" s="2" t="str">
        <f>"124-CH"</f>
        <v>124-CH</v>
      </c>
      <c r="D5814" s="2" t="s">
        <v>7439</v>
      </c>
      <c r="E5814" s="4">
        <v>28600</v>
      </c>
    </row>
    <row r="5815" spans="1:5">
      <c r="A5815" s="2" t="s">
        <v>296</v>
      </c>
      <c r="B5815" s="2" t="str">
        <f>"285451"</f>
        <v>285451</v>
      </c>
      <c r="C5815" s="2" t="str">
        <f>"285451"</f>
        <v>285451</v>
      </c>
      <c r="D5815" s="2" t="s">
        <v>7440</v>
      </c>
      <c r="E5815" s="4">
        <v>38800</v>
      </c>
    </row>
    <row r="5816" spans="1:5">
      <c r="A5816" s="2" t="s">
        <v>296</v>
      </c>
      <c r="B5816" s="2" t="str">
        <f>"030124"</f>
        <v>030124</v>
      </c>
      <c r="C5816" s="2" t="str">
        <f>"030124"</f>
        <v>030124</v>
      </c>
      <c r="D5816" s="2" t="s">
        <v>7441</v>
      </c>
      <c r="E5816" s="4">
        <v>38500</v>
      </c>
    </row>
    <row r="5817" spans="1:5">
      <c r="A5817" s="2" t="s">
        <v>296</v>
      </c>
      <c r="B5817" s="2" t="str">
        <f>"166077"</f>
        <v>166077</v>
      </c>
      <c r="C5817" s="2" t="str">
        <f>"166077"</f>
        <v>166077</v>
      </c>
      <c r="D5817" s="2" t="s">
        <v>7442</v>
      </c>
      <c r="E5817" s="4">
        <v>19500</v>
      </c>
    </row>
    <row r="5818" spans="1:5">
      <c r="A5818" s="2" t="s">
        <v>296</v>
      </c>
      <c r="B5818" s="2" t="s">
        <v>7443</v>
      </c>
      <c r="C5818" s="2" t="s">
        <v>7443</v>
      </c>
      <c r="D5818" s="2" t="s">
        <v>7444</v>
      </c>
      <c r="E5818" s="4">
        <v>28600</v>
      </c>
    </row>
    <row r="5819" spans="1:5">
      <c r="A5819" s="2" t="s">
        <v>296</v>
      </c>
      <c r="B5819" s="2" t="str">
        <f>"010060540"</f>
        <v>010060540</v>
      </c>
      <c r="C5819" s="2" t="str">
        <f>"010060540"</f>
        <v>010060540</v>
      </c>
      <c r="D5819" s="2" t="s">
        <v>7444</v>
      </c>
      <c r="E5819" s="4">
        <v>19900</v>
      </c>
    </row>
    <row r="5820" spans="1:5">
      <c r="A5820" s="2" t="s">
        <v>296</v>
      </c>
      <c r="B5820" s="2" t="str">
        <f>"0000885"</f>
        <v>0000885</v>
      </c>
      <c r="C5820" s="2" t="str">
        <f>"0000885"</f>
        <v>0000885</v>
      </c>
      <c r="D5820" s="2" t="s">
        <v>7445</v>
      </c>
      <c r="E5820" s="4">
        <v>17300</v>
      </c>
    </row>
    <row r="5821" spans="1:5">
      <c r="A5821" s="2" t="s">
        <v>296</v>
      </c>
      <c r="B5821" s="2" t="str">
        <f>"301516"</f>
        <v>301516</v>
      </c>
      <c r="C5821" s="2" t="str">
        <f>"301516"</f>
        <v>301516</v>
      </c>
      <c r="D5821" s="2" t="s">
        <v>7446</v>
      </c>
      <c r="E5821" s="4">
        <v>34000</v>
      </c>
    </row>
    <row r="5822" spans="1:5">
      <c r="A5822" s="2" t="s">
        <v>296</v>
      </c>
      <c r="B5822" s="2" t="str">
        <f>"0643-050-07"</f>
        <v>0643-050-07</v>
      </c>
      <c r="C5822" s="2" t="str">
        <f>"0643-050-07"</f>
        <v>0643-050-07</v>
      </c>
      <c r="D5822" s="2" t="s">
        <v>7447</v>
      </c>
      <c r="E5822" s="4">
        <v>17800</v>
      </c>
    </row>
    <row r="5823" spans="1:5">
      <c r="A5823" s="2" t="s">
        <v>296</v>
      </c>
      <c r="B5823" s="2" t="str">
        <f>"1824570"</f>
        <v>1824570</v>
      </c>
      <c r="C5823" s="2" t="str">
        <f>"1824570"</f>
        <v>1824570</v>
      </c>
      <c r="D5823" s="2" t="s">
        <v>7448</v>
      </c>
      <c r="E5823" s="4">
        <v>34000</v>
      </c>
    </row>
    <row r="5824" spans="1:5">
      <c r="A5824" s="2" t="s">
        <v>296</v>
      </c>
      <c r="B5824" s="2" t="str">
        <f>"010060542"</f>
        <v>010060542</v>
      </c>
      <c r="C5824" s="2" t="str">
        <f>"010060542"</f>
        <v>010060542</v>
      </c>
      <c r="D5824" s="2" t="s">
        <v>7449</v>
      </c>
      <c r="E5824" s="4">
        <v>25000</v>
      </c>
    </row>
    <row r="5825" spans="1:5">
      <c r="A5825" s="2" t="s">
        <v>296</v>
      </c>
      <c r="B5825" s="2" t="str">
        <f>"300617"</f>
        <v>300617</v>
      </c>
      <c r="C5825" s="2" t="str">
        <f>"300617"</f>
        <v>300617</v>
      </c>
      <c r="D5825" s="2" t="s">
        <v>7450</v>
      </c>
      <c r="E5825" s="4">
        <v>34000</v>
      </c>
    </row>
    <row r="5826" spans="1:5">
      <c r="A5826" s="2" t="s">
        <v>296</v>
      </c>
      <c r="B5826" s="2" t="str">
        <f>"300624"</f>
        <v>300624</v>
      </c>
      <c r="C5826" s="2" t="str">
        <f>"300624"</f>
        <v>300624</v>
      </c>
      <c r="D5826" s="2" t="s">
        <v>7451</v>
      </c>
      <c r="E5826" s="4">
        <v>34200</v>
      </c>
    </row>
    <row r="5827" spans="1:5">
      <c r="A5827" s="2" t="s">
        <v>296</v>
      </c>
      <c r="B5827" s="2" t="str">
        <f>"010060539"</f>
        <v>010060539</v>
      </c>
      <c r="C5827" s="2" t="str">
        <f>"010060539"</f>
        <v>010060539</v>
      </c>
      <c r="D5827" s="2" t="s">
        <v>7452</v>
      </c>
      <c r="E5827" s="4">
        <v>28600</v>
      </c>
    </row>
    <row r="5828" spans="1:5">
      <c r="A5828" s="2" t="s">
        <v>296</v>
      </c>
      <c r="B5828" s="2" t="str">
        <f>"1901070"</f>
        <v>1901070</v>
      </c>
      <c r="C5828" s="2" t="str">
        <f>"1901070"</f>
        <v>1901070</v>
      </c>
      <c r="D5828" s="2" t="s">
        <v>7453</v>
      </c>
      <c r="E5828" s="4">
        <v>21400</v>
      </c>
    </row>
    <row r="5829" spans="1:5">
      <c r="A5829" s="2" t="s">
        <v>296</v>
      </c>
      <c r="B5829" s="2" t="str">
        <f>"001111155-6"</f>
        <v>001111155-6</v>
      </c>
      <c r="C5829" s="2" t="s">
        <v>7454</v>
      </c>
      <c r="D5829" s="2" t="s">
        <v>7455</v>
      </c>
      <c r="E5829" s="4">
        <v>71800</v>
      </c>
    </row>
    <row r="5830" spans="1:5">
      <c r="A5830" s="2" t="s">
        <v>296</v>
      </c>
      <c r="B5830" s="2" t="str">
        <f>"3033-1722"</f>
        <v>3033-1722</v>
      </c>
      <c r="C5830" s="2" t="str">
        <f>"3033-1722"</f>
        <v>3033-1722</v>
      </c>
      <c r="D5830" s="2" t="s">
        <v>7456</v>
      </c>
      <c r="E5830" s="4">
        <v>18700</v>
      </c>
    </row>
    <row r="5831" spans="1:5">
      <c r="A5831" s="2" t="s">
        <v>296</v>
      </c>
      <c r="B5831" s="2" t="str">
        <f>"160121"</f>
        <v>160121</v>
      </c>
      <c r="C5831" s="2" t="str">
        <f>"160121"</f>
        <v>160121</v>
      </c>
      <c r="D5831" s="2" t="s">
        <v>7457</v>
      </c>
      <c r="E5831" s="4">
        <v>25000</v>
      </c>
    </row>
    <row r="5832" spans="1:5">
      <c r="A5832" s="2" t="s">
        <v>296</v>
      </c>
      <c r="B5832" s="2" t="str">
        <f>"010060104"</f>
        <v>010060104</v>
      </c>
      <c r="C5832" s="2" t="str">
        <f>"010060104"</f>
        <v>010060104</v>
      </c>
      <c r="D5832" s="2" t="s">
        <v>7458</v>
      </c>
      <c r="E5832" s="4">
        <v>18700</v>
      </c>
    </row>
    <row r="5833" spans="1:5">
      <c r="A5833" s="2" t="s">
        <v>296</v>
      </c>
      <c r="B5833" s="2" t="str">
        <f>"3033-1730"</f>
        <v>3033-1730</v>
      </c>
      <c r="C5833" s="2" t="str">
        <f>"3033-1730"</f>
        <v>3033-1730</v>
      </c>
      <c r="D5833" s="2" t="s">
        <v>7459</v>
      </c>
      <c r="E5833" s="4">
        <v>18700</v>
      </c>
    </row>
    <row r="5834" spans="1:5">
      <c r="A5834" s="2" t="s">
        <v>296</v>
      </c>
      <c r="B5834" s="2" t="str">
        <f>"010060093"</f>
        <v>010060093</v>
      </c>
      <c r="C5834" s="2" t="str">
        <f>"010060093"</f>
        <v>010060093</v>
      </c>
      <c r="D5834" s="2" t="s">
        <v>7460</v>
      </c>
      <c r="E5834" s="4">
        <v>18700</v>
      </c>
    </row>
    <row r="5835" spans="1:5">
      <c r="A5835" s="2" t="s">
        <v>296</v>
      </c>
      <c r="B5835" s="2" t="str">
        <f>"3033-1732"</f>
        <v>3033-1732</v>
      </c>
      <c r="C5835" s="2" t="str">
        <f>"3033-1732"</f>
        <v>3033-1732</v>
      </c>
      <c r="D5835" s="2" t="s">
        <v>7461</v>
      </c>
      <c r="E5835" s="4">
        <v>18700</v>
      </c>
    </row>
    <row r="5836" spans="1:5">
      <c r="A5836" s="2" t="s">
        <v>296</v>
      </c>
      <c r="B5836" s="2" t="str">
        <f>"010060672"</f>
        <v>010060672</v>
      </c>
      <c r="C5836" s="2" t="str">
        <f>"010060672"</f>
        <v>010060672</v>
      </c>
      <c r="D5836" s="2" t="s">
        <v>7462</v>
      </c>
      <c r="E5836" s="4">
        <v>28600</v>
      </c>
    </row>
    <row r="5837" spans="1:5">
      <c r="A5837" s="2" t="s">
        <v>296</v>
      </c>
      <c r="B5837" s="2" t="str">
        <f>"001111047-9"</f>
        <v>001111047-9</v>
      </c>
      <c r="C5837" s="2" t="s">
        <v>7463</v>
      </c>
      <c r="D5837" s="2" t="s">
        <v>7464</v>
      </c>
      <c r="E5837" s="4">
        <v>34000</v>
      </c>
    </row>
    <row r="5838" spans="1:5">
      <c r="A5838" s="2" t="s">
        <v>296</v>
      </c>
      <c r="B5838" s="2" t="str">
        <f>"010060096"</f>
        <v>010060096</v>
      </c>
      <c r="C5838" s="2" t="str">
        <f>"010060096"</f>
        <v>010060096</v>
      </c>
      <c r="D5838" s="2" t="s">
        <v>7465</v>
      </c>
      <c r="E5838" s="4">
        <v>25000</v>
      </c>
    </row>
    <row r="5839" spans="1:5">
      <c r="A5839" s="2" t="s">
        <v>296</v>
      </c>
      <c r="B5839" s="2" t="str">
        <f>"160111"</f>
        <v>160111</v>
      </c>
      <c r="C5839" s="2" t="str">
        <f>"160111"</f>
        <v>160111</v>
      </c>
      <c r="D5839" s="2" t="s">
        <v>7466</v>
      </c>
      <c r="E5839" s="4">
        <v>34000</v>
      </c>
    </row>
    <row r="5840" spans="1:5">
      <c r="A5840" s="2" t="s">
        <v>296</v>
      </c>
      <c r="B5840" s="2" t="s">
        <v>7467</v>
      </c>
      <c r="C5840" s="2" t="s">
        <v>7467</v>
      </c>
      <c r="D5840" s="2" t="s">
        <v>7468</v>
      </c>
      <c r="E5840" s="4">
        <v>25000</v>
      </c>
    </row>
    <row r="5841" spans="1:5">
      <c r="A5841" s="2" t="s">
        <v>296</v>
      </c>
      <c r="B5841" s="2" t="str">
        <f>"001111110-6"</f>
        <v>001111110-6</v>
      </c>
      <c r="C5841" s="2" t="str">
        <f>"001111110-6"</f>
        <v>001111110-6</v>
      </c>
      <c r="D5841" s="2" t="s">
        <v>7469</v>
      </c>
      <c r="E5841" s="4">
        <v>48000</v>
      </c>
    </row>
    <row r="5842" spans="1:5">
      <c r="A5842" s="2" t="s">
        <v>296</v>
      </c>
      <c r="B5842" s="2" t="str">
        <f>"056908"</f>
        <v>056908</v>
      </c>
      <c r="C5842" s="2" t="str">
        <f>"056908"</f>
        <v>056908</v>
      </c>
      <c r="D5842" s="2" t="s">
        <v>7470</v>
      </c>
      <c r="E5842" s="4">
        <v>25000</v>
      </c>
    </row>
    <row r="5843" spans="1:5">
      <c r="A5843" s="2" t="s">
        <v>296</v>
      </c>
      <c r="B5843" s="2" t="str">
        <f>"056905"</f>
        <v>056905</v>
      </c>
      <c r="C5843" s="2" t="str">
        <f>"056905"</f>
        <v>056905</v>
      </c>
      <c r="D5843" s="2" t="s">
        <v>7471</v>
      </c>
      <c r="E5843" s="4">
        <v>25000</v>
      </c>
    </row>
    <row r="5844" spans="1:5">
      <c r="A5844" s="2" t="s">
        <v>296</v>
      </c>
      <c r="B5844" s="2" t="str">
        <f>"0000909"</f>
        <v>0000909</v>
      </c>
      <c r="C5844" s="2" t="str">
        <f>"0000909"</f>
        <v>0000909</v>
      </c>
      <c r="D5844" s="2" t="s">
        <v>7472</v>
      </c>
      <c r="E5844" s="4">
        <v>18700</v>
      </c>
    </row>
    <row r="5845" spans="1:5">
      <c r="A5845" s="2" t="s">
        <v>296</v>
      </c>
      <c r="B5845" s="2" t="str">
        <f>"160081"</f>
        <v>160081</v>
      </c>
      <c r="C5845" s="2" t="str">
        <f>"160081"</f>
        <v>160081</v>
      </c>
      <c r="D5845" s="2" t="s">
        <v>7473</v>
      </c>
      <c r="E5845" s="4">
        <v>38500</v>
      </c>
    </row>
    <row r="5846" spans="1:5">
      <c r="A5846" s="2" t="s">
        <v>296</v>
      </c>
      <c r="B5846" s="2" t="str">
        <f>"178179"</f>
        <v>178179</v>
      </c>
      <c r="C5846" s="2" t="str">
        <f>"17817.9"</f>
        <v>17817.9</v>
      </c>
      <c r="D5846" s="2" t="s">
        <v>7474</v>
      </c>
      <c r="E5846" s="4">
        <v>18700</v>
      </c>
    </row>
    <row r="5847" spans="1:5">
      <c r="A5847" s="2" t="s">
        <v>296</v>
      </c>
      <c r="B5847" s="2" t="str">
        <f>"1130710"</f>
        <v>1130710</v>
      </c>
      <c r="C5847" s="2" t="str">
        <f>"1130710"</f>
        <v>1130710</v>
      </c>
      <c r="D5847" s="2" t="s">
        <v>7475</v>
      </c>
      <c r="E5847" s="4">
        <v>27700</v>
      </c>
    </row>
    <row r="5848" spans="1:5">
      <c r="A5848" s="2" t="s">
        <v>296</v>
      </c>
      <c r="B5848" s="2" t="str">
        <f>"055920"</f>
        <v>055920</v>
      </c>
      <c r="C5848" s="2" t="str">
        <f>"055920"</f>
        <v>055920</v>
      </c>
      <c r="D5848" s="2" t="s">
        <v>7476</v>
      </c>
      <c r="E5848" s="4">
        <v>29700</v>
      </c>
    </row>
    <row r="5849" spans="1:5">
      <c r="A5849" s="2" t="s">
        <v>296</v>
      </c>
      <c r="B5849" s="2" t="str">
        <f>"166119"</f>
        <v>166119</v>
      </c>
      <c r="C5849" s="2" t="str">
        <f>"166119"</f>
        <v>166119</v>
      </c>
      <c r="D5849" s="2" t="s">
        <v>7477</v>
      </c>
      <c r="E5849" s="4">
        <v>26500</v>
      </c>
    </row>
    <row r="5850" spans="1:5">
      <c r="A5850" s="2" t="s">
        <v>2544</v>
      </c>
      <c r="B5850" s="2" t="str">
        <f>"300535"</f>
        <v>300535</v>
      </c>
      <c r="C5850" s="2" t="str">
        <f>"300535"</f>
        <v>300535</v>
      </c>
      <c r="D5850" s="2" t="s">
        <v>7478</v>
      </c>
      <c r="E5850" s="4">
        <v>39500</v>
      </c>
    </row>
    <row r="5851" spans="1:5">
      <c r="A5851" s="2" t="s">
        <v>296</v>
      </c>
      <c r="B5851" s="2" t="str">
        <f>"010060666"</f>
        <v>010060666</v>
      </c>
      <c r="C5851" s="2" t="str">
        <f>"010060666"</f>
        <v>010060666</v>
      </c>
      <c r="D5851" s="2" t="s">
        <v>7479</v>
      </c>
      <c r="E5851" s="4">
        <v>29500</v>
      </c>
    </row>
    <row r="5852" spans="1:5">
      <c r="A5852" s="2" t="s">
        <v>296</v>
      </c>
      <c r="B5852" s="2" t="str">
        <f>"001311016-6"</f>
        <v>001311016-6</v>
      </c>
      <c r="C5852" s="2" t="str">
        <f>"1311016-6"</f>
        <v>1311016-6</v>
      </c>
      <c r="D5852" s="2" t="s">
        <v>7480</v>
      </c>
      <c r="E5852" s="4">
        <v>18500</v>
      </c>
    </row>
    <row r="5853" spans="1:5">
      <c r="A5853" s="2" t="s">
        <v>296</v>
      </c>
      <c r="B5853" s="2" t="str">
        <f>"281263"</f>
        <v>281263</v>
      </c>
      <c r="C5853" s="2" t="str">
        <f>"281263"</f>
        <v>281263</v>
      </c>
      <c r="D5853" s="2" t="s">
        <v>7481</v>
      </c>
      <c r="E5853" s="4">
        <v>29500</v>
      </c>
    </row>
    <row r="5854" spans="1:5">
      <c r="A5854" s="2" t="s">
        <v>296</v>
      </c>
      <c r="B5854" s="2" t="str">
        <f>"010060282"</f>
        <v>010060282</v>
      </c>
      <c r="C5854" s="2" t="str">
        <f>"010060282"</f>
        <v>010060282</v>
      </c>
      <c r="D5854" s="2" t="s">
        <v>7482</v>
      </c>
      <c r="E5854" s="4">
        <v>25000</v>
      </c>
    </row>
    <row r="5855" spans="1:5">
      <c r="A5855" s="2" t="s">
        <v>296</v>
      </c>
      <c r="B5855" s="2" t="str">
        <f>"2533-2624"</f>
        <v>2533-2624</v>
      </c>
      <c r="C5855" s="2" t="str">
        <f>"2533-2624"</f>
        <v>2533-2624</v>
      </c>
      <c r="D5855" s="2" t="s">
        <v>7483</v>
      </c>
      <c r="E5855" s="4">
        <v>13300</v>
      </c>
    </row>
    <row r="5856" spans="1:5">
      <c r="A5856" s="2" t="s">
        <v>296</v>
      </c>
      <c r="B5856" s="2" t="str">
        <f>"010060001"</f>
        <v>010060001</v>
      </c>
      <c r="C5856" s="2" t="str">
        <f>"01006001"</f>
        <v>01006001</v>
      </c>
      <c r="D5856" s="2" t="s">
        <v>7484</v>
      </c>
      <c r="E5856" s="4">
        <v>14500</v>
      </c>
    </row>
    <row r="5857" spans="1:5">
      <c r="A5857" s="2" t="s">
        <v>296</v>
      </c>
      <c r="B5857" s="2" t="str">
        <f>"260352"</f>
        <v>260352</v>
      </c>
      <c r="C5857" s="2" t="str">
        <f>"260352"</f>
        <v>260352</v>
      </c>
      <c r="D5857" s="2" t="s">
        <v>7485</v>
      </c>
      <c r="E5857" s="4">
        <v>27800</v>
      </c>
    </row>
    <row r="5858" spans="1:5">
      <c r="A5858" s="2" t="s">
        <v>296</v>
      </c>
      <c r="B5858" s="2" t="str">
        <f>"260710"</f>
        <v>260710</v>
      </c>
      <c r="C5858" s="2" t="str">
        <f>"260710"</f>
        <v>260710</v>
      </c>
      <c r="D5858" s="2" t="s">
        <v>7486</v>
      </c>
      <c r="E5858" s="4">
        <v>18700</v>
      </c>
    </row>
    <row r="5859" spans="1:5">
      <c r="A5859" s="2" t="s">
        <v>296</v>
      </c>
      <c r="B5859" s="2" t="str">
        <f>"2533-2617"</f>
        <v>2533-2617</v>
      </c>
      <c r="C5859" s="2" t="str">
        <f>"2533-2617"</f>
        <v>2533-2617</v>
      </c>
      <c r="D5859" s="2" t="s">
        <v>7487</v>
      </c>
      <c r="E5859" s="4">
        <v>10600</v>
      </c>
    </row>
    <row r="5860" spans="1:5">
      <c r="A5860" s="2" t="s">
        <v>296</v>
      </c>
      <c r="B5860" s="2" t="str">
        <f>"10336426"</f>
        <v>10336426</v>
      </c>
      <c r="C5860" s="2" t="str">
        <f>"10336426"</f>
        <v>10336426</v>
      </c>
      <c r="D5860" s="2" t="s">
        <v>7488</v>
      </c>
      <c r="E5860" s="4">
        <v>16500</v>
      </c>
    </row>
    <row r="5861" spans="1:5">
      <c r="A5861" s="2" t="s">
        <v>296</v>
      </c>
      <c r="B5861" s="2" t="str">
        <f>"010060006"</f>
        <v>010060006</v>
      </c>
      <c r="C5861" s="2" t="str">
        <f>"010060006"</f>
        <v>010060006</v>
      </c>
      <c r="D5861" s="2" t="s">
        <v>7489</v>
      </c>
      <c r="E5861" s="4">
        <v>19600</v>
      </c>
    </row>
    <row r="5862" spans="1:5">
      <c r="A5862" s="2" t="s">
        <v>296</v>
      </c>
      <c r="B5862" s="2" t="str">
        <f>"010060708"</f>
        <v>010060708</v>
      </c>
      <c r="C5862" s="2" t="str">
        <f>"010060708"</f>
        <v>010060708</v>
      </c>
      <c r="D5862" s="2" t="s">
        <v>7490</v>
      </c>
      <c r="E5862" s="4">
        <v>34000</v>
      </c>
    </row>
    <row r="5863" spans="1:5">
      <c r="A5863" s="2" t="s">
        <v>296</v>
      </c>
      <c r="B5863" s="2" t="str">
        <f>"289627"</f>
        <v>289627</v>
      </c>
      <c r="C5863" s="2" t="str">
        <f>"289627"</f>
        <v>289627</v>
      </c>
      <c r="D5863" s="2" t="s">
        <v>7491</v>
      </c>
      <c r="E5863" s="4">
        <v>39300</v>
      </c>
    </row>
    <row r="5864" spans="1:5">
      <c r="A5864" s="2" t="s">
        <v>296</v>
      </c>
      <c r="B5864" s="2" t="str">
        <f>"312371"</f>
        <v>312371</v>
      </c>
      <c r="C5864" s="2" t="str">
        <f>"312371"</f>
        <v>312371</v>
      </c>
      <c r="D5864" s="2" t="s">
        <v>7492</v>
      </c>
      <c r="E5864" s="4">
        <v>58000</v>
      </c>
    </row>
    <row r="5865" spans="1:5">
      <c r="A5865" s="2" t="s">
        <v>296</v>
      </c>
      <c r="B5865" s="2" t="str">
        <f>"070682"</f>
        <v>070682</v>
      </c>
      <c r="C5865" s="2" t="str">
        <f>"070682"</f>
        <v>070682</v>
      </c>
      <c r="D5865" s="2" t="s">
        <v>7493</v>
      </c>
      <c r="E5865" s="4">
        <v>20500</v>
      </c>
    </row>
    <row r="5866" spans="1:5">
      <c r="A5866" s="2" t="s">
        <v>296</v>
      </c>
      <c r="B5866" s="2" t="str">
        <f>"230380"</f>
        <v>230380</v>
      </c>
      <c r="C5866" s="2" t="str">
        <f>"230380"</f>
        <v>230380</v>
      </c>
      <c r="D5866" s="2" t="s">
        <v>7494</v>
      </c>
      <c r="E5866" s="4">
        <v>38000</v>
      </c>
    </row>
    <row r="5867" spans="1:5">
      <c r="A5867" s="2" t="s">
        <v>296</v>
      </c>
      <c r="B5867" s="2" t="str">
        <f>"0000941"</f>
        <v>0000941</v>
      </c>
      <c r="C5867" s="2" t="str">
        <f>"0000941"</f>
        <v>0000941</v>
      </c>
      <c r="D5867" s="2" t="s">
        <v>7495</v>
      </c>
      <c r="E5867" s="4">
        <v>19600</v>
      </c>
    </row>
    <row r="5868" spans="1:5">
      <c r="A5868" s="2" t="s">
        <v>296</v>
      </c>
      <c r="B5868" s="2" t="str">
        <f>"020811"</f>
        <v>020811</v>
      </c>
      <c r="C5868" s="2" t="str">
        <f>"020811"</f>
        <v>020811</v>
      </c>
      <c r="D5868" s="2" t="s">
        <v>7496</v>
      </c>
      <c r="E5868" s="4">
        <v>27700</v>
      </c>
    </row>
    <row r="5869" spans="1:5">
      <c r="A5869" s="2" t="s">
        <v>296</v>
      </c>
      <c r="B5869" s="2" t="s">
        <v>7497</v>
      </c>
      <c r="C5869" s="2" t="s">
        <v>7497</v>
      </c>
      <c r="D5869" s="2" t="s">
        <v>7498</v>
      </c>
      <c r="E5869" s="4">
        <v>98000</v>
      </c>
    </row>
    <row r="5870" spans="1:5">
      <c r="A5870" s="2" t="s">
        <v>296</v>
      </c>
      <c r="B5870" s="2" t="str">
        <f>"285458"</f>
        <v>285458</v>
      </c>
      <c r="C5870" s="2" t="str">
        <f>"285458"</f>
        <v>285458</v>
      </c>
      <c r="D5870" s="2" t="s">
        <v>7499</v>
      </c>
      <c r="E5870" s="4">
        <v>58500</v>
      </c>
    </row>
    <row r="5871" spans="1:5">
      <c r="A5871" s="2" t="s">
        <v>296</v>
      </c>
      <c r="B5871" s="2" t="str">
        <f>"281113"</f>
        <v>281113</v>
      </c>
      <c r="C5871" s="2" t="str">
        <f>"281113"</f>
        <v>281113</v>
      </c>
      <c r="D5871" s="2" t="s">
        <v>7500</v>
      </c>
      <c r="E5871" s="4">
        <v>52000</v>
      </c>
    </row>
    <row r="5872" spans="1:5">
      <c r="A5872" s="2" t="s">
        <v>296</v>
      </c>
      <c r="B5872" s="2" t="str">
        <f>"210123"</f>
        <v>210123</v>
      </c>
      <c r="C5872" s="2" t="str">
        <f>"210123"</f>
        <v>210123</v>
      </c>
      <c r="D5872" s="2" t="s">
        <v>7501</v>
      </c>
      <c r="E5872" s="4">
        <v>35500</v>
      </c>
    </row>
    <row r="5873" spans="1:5">
      <c r="A5873" s="2" t="s">
        <v>296</v>
      </c>
      <c r="B5873" s="2" t="str">
        <f>"210146"</f>
        <v>210146</v>
      </c>
      <c r="C5873" s="2" t="str">
        <f>"210146"</f>
        <v>210146</v>
      </c>
      <c r="D5873" s="2" t="s">
        <v>7502</v>
      </c>
      <c r="E5873" s="4">
        <v>42500</v>
      </c>
    </row>
    <row r="5874" spans="1:5">
      <c r="A5874" s="2" t="s">
        <v>296</v>
      </c>
      <c r="B5874" s="2" t="str">
        <f>"210120"</f>
        <v>210120</v>
      </c>
      <c r="C5874" s="2" t="str">
        <f>"210120"</f>
        <v>210120</v>
      </c>
      <c r="D5874" s="2" t="s">
        <v>7503</v>
      </c>
      <c r="E5874" s="4">
        <v>29100</v>
      </c>
    </row>
    <row r="5875" spans="1:5">
      <c r="A5875" s="2" t="s">
        <v>296</v>
      </c>
      <c r="B5875" s="2" t="str">
        <f>"216120"</f>
        <v>216120</v>
      </c>
      <c r="C5875" s="2" t="str">
        <f>"216120"</f>
        <v>216120</v>
      </c>
      <c r="D5875" s="2" t="s">
        <v>7504</v>
      </c>
      <c r="E5875" s="4">
        <v>22500</v>
      </c>
    </row>
    <row r="5876" spans="1:5">
      <c r="A5876" s="2" t="s">
        <v>296</v>
      </c>
      <c r="B5876" s="2" t="str">
        <f>"210122"</f>
        <v>210122</v>
      </c>
      <c r="C5876" s="2" t="str">
        <f>"210122"</f>
        <v>210122</v>
      </c>
      <c r="D5876" s="2" t="s">
        <v>7505</v>
      </c>
      <c r="E5876" s="4">
        <v>32800</v>
      </c>
    </row>
    <row r="5877" spans="1:5">
      <c r="A5877" s="2" t="s">
        <v>296</v>
      </c>
      <c r="B5877" s="2" t="str">
        <f>"216128"</f>
        <v>216128</v>
      </c>
      <c r="C5877" s="2" t="str">
        <f>"216128"</f>
        <v>216128</v>
      </c>
      <c r="D5877" s="2" t="s">
        <v>7506</v>
      </c>
      <c r="E5877" s="4">
        <v>31500</v>
      </c>
    </row>
    <row r="5878" spans="1:5">
      <c r="A5878" s="2" t="s">
        <v>296</v>
      </c>
      <c r="B5878" s="2" t="str">
        <f>"5 0000 086054"</f>
        <v>5 0000 086054</v>
      </c>
      <c r="C5878" s="2" t="str">
        <f>"290213"</f>
        <v>290213</v>
      </c>
      <c r="D5878" s="2" t="s">
        <v>7507</v>
      </c>
      <c r="E5878" s="4">
        <v>9000</v>
      </c>
    </row>
    <row r="5879" spans="1:5">
      <c r="A5879" s="2" t="s">
        <v>296</v>
      </c>
      <c r="B5879" s="2" t="str">
        <f>"210144"</f>
        <v>210144</v>
      </c>
      <c r="C5879" s="2" t="str">
        <f>"210144"</f>
        <v>210144</v>
      </c>
      <c r="D5879" s="2" t="s">
        <v>7508</v>
      </c>
      <c r="E5879" s="4">
        <v>42500</v>
      </c>
    </row>
    <row r="5880" spans="1:5">
      <c r="A5880" s="2" t="s">
        <v>296</v>
      </c>
      <c r="B5880" s="2" t="str">
        <f>"230420"</f>
        <v>230420</v>
      </c>
      <c r="C5880" s="2" t="str">
        <f>"230420"</f>
        <v>230420</v>
      </c>
      <c r="D5880" s="2" t="s">
        <v>7509</v>
      </c>
      <c r="E5880" s="4">
        <v>34000</v>
      </c>
    </row>
    <row r="5881" spans="1:5">
      <c r="A5881" s="2" t="s">
        <v>296</v>
      </c>
      <c r="B5881" s="2" t="str">
        <f>"247365"</f>
        <v>247365</v>
      </c>
      <c r="C5881" s="2" t="str">
        <f>"247365"</f>
        <v>247365</v>
      </c>
      <c r="D5881" s="2" t="s">
        <v>7510</v>
      </c>
      <c r="E5881" s="4">
        <v>22300</v>
      </c>
    </row>
    <row r="5882" spans="1:5">
      <c r="A5882" s="2" t="s">
        <v>296</v>
      </c>
      <c r="B5882" s="2" t="str">
        <f>"312561"</f>
        <v>312561</v>
      </c>
      <c r="C5882" s="2" t="str">
        <f>"312561"</f>
        <v>312561</v>
      </c>
      <c r="D5882" s="2" t="s">
        <v>7511</v>
      </c>
      <c r="E5882" s="4">
        <v>29000</v>
      </c>
    </row>
    <row r="5883" spans="1:5">
      <c r="A5883" s="2" t="s">
        <v>296</v>
      </c>
      <c r="B5883" s="2" t="str">
        <f>"289613"</f>
        <v>289613</v>
      </c>
      <c r="C5883" s="2" t="str">
        <f>"289613"</f>
        <v>289613</v>
      </c>
      <c r="D5883" s="2" t="s">
        <v>7512</v>
      </c>
      <c r="E5883" s="4">
        <v>28000</v>
      </c>
    </row>
    <row r="5884" spans="1:5">
      <c r="A5884" s="2" t="s">
        <v>296</v>
      </c>
      <c r="B5884" s="2" t="str">
        <f>"10060305"</f>
        <v>10060305</v>
      </c>
      <c r="C5884" s="2" t="str">
        <f>"10060305"</f>
        <v>10060305</v>
      </c>
      <c r="D5884" s="2" t="s">
        <v>7513</v>
      </c>
      <c r="E5884" s="4">
        <v>38000</v>
      </c>
    </row>
    <row r="5885" spans="1:5">
      <c r="A5885" s="2" t="s">
        <v>296</v>
      </c>
      <c r="B5885" s="2" t="str">
        <f>"230351"</f>
        <v>230351</v>
      </c>
      <c r="C5885" s="2" t="str">
        <f>"230351"</f>
        <v>230351</v>
      </c>
      <c r="D5885" s="2" t="s">
        <v>7514</v>
      </c>
      <c r="E5885" s="4">
        <v>26500</v>
      </c>
    </row>
    <row r="5886" spans="1:5" ht="27.6">
      <c r="A5886" s="2" t="s">
        <v>296</v>
      </c>
      <c r="B5886" s="2" t="str">
        <f>"017302"</f>
        <v>017302</v>
      </c>
      <c r="C5886" s="2" t="str">
        <f>"017302"</f>
        <v>017302</v>
      </c>
      <c r="D5886" s="2" t="s">
        <v>7515</v>
      </c>
      <c r="E5886" s="4">
        <v>34000</v>
      </c>
    </row>
    <row r="5887" spans="1:5">
      <c r="A5887" s="2" t="s">
        <v>296</v>
      </c>
      <c r="B5887" s="2" t="str">
        <f>"010060546"</f>
        <v>010060546</v>
      </c>
      <c r="C5887" s="2" t="str">
        <f>"010060546"</f>
        <v>010060546</v>
      </c>
      <c r="D5887" s="2" t="s">
        <v>7516</v>
      </c>
      <c r="E5887" s="4">
        <v>16000</v>
      </c>
    </row>
    <row r="5888" spans="1:5">
      <c r="A5888" s="2" t="s">
        <v>296</v>
      </c>
      <c r="B5888" s="2" t="str">
        <f>"010060548"</f>
        <v>010060548</v>
      </c>
      <c r="C5888" s="2" t="str">
        <f>"010060548"</f>
        <v>010060548</v>
      </c>
      <c r="D5888" s="2" t="s">
        <v>7517</v>
      </c>
      <c r="E5888" s="4">
        <v>19000</v>
      </c>
    </row>
    <row r="5889" spans="1:5">
      <c r="A5889" s="2" t="s">
        <v>296</v>
      </c>
      <c r="B5889" s="2" t="str">
        <f>"230365"</f>
        <v>230365</v>
      </c>
      <c r="C5889" s="2" t="str">
        <f>"230365"</f>
        <v>230365</v>
      </c>
      <c r="D5889" s="2" t="s">
        <v>7518</v>
      </c>
      <c r="E5889" s="4">
        <v>34000</v>
      </c>
    </row>
    <row r="5890" spans="1:5">
      <c r="A5890" s="2" t="s">
        <v>296</v>
      </c>
      <c r="B5890" s="2" t="str">
        <f>"5000000343942"</f>
        <v>5000000343942</v>
      </c>
      <c r="C5890" s="2" t="str">
        <f>"016437"</f>
        <v>016437</v>
      </c>
      <c r="D5890" s="2" t="s">
        <v>7519</v>
      </c>
      <c r="E5890" s="4">
        <v>37647</v>
      </c>
    </row>
    <row r="5891" spans="1:5">
      <c r="A5891" s="2" t="s">
        <v>296</v>
      </c>
      <c r="B5891" s="2" t="str">
        <f>"289625"</f>
        <v>289625</v>
      </c>
      <c r="C5891" s="2" t="str">
        <f>"289625"</f>
        <v>289625</v>
      </c>
      <c r="D5891" s="2" t="s">
        <v>7520</v>
      </c>
      <c r="E5891" s="4">
        <v>78000</v>
      </c>
    </row>
    <row r="5892" spans="1:5">
      <c r="A5892" s="2" t="s">
        <v>296</v>
      </c>
      <c r="B5892" s="2" t="str">
        <f>"289389"</f>
        <v>289389</v>
      </c>
      <c r="C5892" s="2" t="str">
        <f>"289389"</f>
        <v>289389</v>
      </c>
      <c r="D5892" s="2" t="s">
        <v>7521</v>
      </c>
      <c r="E5892" s="4">
        <v>61000</v>
      </c>
    </row>
    <row r="5893" spans="1:5">
      <c r="A5893" s="2" t="s">
        <v>296</v>
      </c>
      <c r="B5893" s="2" t="str">
        <f>"281444"</f>
        <v>281444</v>
      </c>
      <c r="C5893" s="2" t="str">
        <f>"281444"</f>
        <v>281444</v>
      </c>
      <c r="D5893" s="2" t="s">
        <v>7522</v>
      </c>
      <c r="E5893" s="4">
        <v>28600</v>
      </c>
    </row>
    <row r="5894" spans="1:5">
      <c r="A5894" s="2" t="s">
        <v>296</v>
      </c>
      <c r="B5894" s="2" t="str">
        <f>"016254"</f>
        <v>016254</v>
      </c>
      <c r="C5894" s="2" t="str">
        <f>"016254"</f>
        <v>016254</v>
      </c>
      <c r="D5894" s="2" t="s">
        <v>7523</v>
      </c>
      <c r="E5894" s="4">
        <v>36700</v>
      </c>
    </row>
    <row r="5895" spans="1:5">
      <c r="A5895" s="2" t="s">
        <v>296</v>
      </c>
      <c r="B5895" s="2" t="str">
        <f>"281443"</f>
        <v>281443</v>
      </c>
      <c r="C5895" s="2" t="str">
        <f>"281443"</f>
        <v>281443</v>
      </c>
      <c r="D5895" s="2" t="s">
        <v>7524</v>
      </c>
      <c r="E5895" s="4">
        <v>28600</v>
      </c>
    </row>
    <row r="5896" spans="1:5">
      <c r="A5896" s="2" t="s">
        <v>296</v>
      </c>
      <c r="B5896" s="2" t="str">
        <f>"016427"</f>
        <v>016427</v>
      </c>
      <c r="C5896" s="2" t="str">
        <f>"016427"</f>
        <v>016427</v>
      </c>
      <c r="D5896" s="2" t="s">
        <v>7525</v>
      </c>
      <c r="E5896" s="4">
        <v>41600</v>
      </c>
    </row>
    <row r="5897" spans="1:5">
      <c r="A5897" s="2" t="s">
        <v>296</v>
      </c>
      <c r="B5897" s="2" t="str">
        <f>"288399"</f>
        <v>288399</v>
      </c>
      <c r="C5897" s="2" t="str">
        <f>"288399"</f>
        <v>288399</v>
      </c>
      <c r="D5897" s="2" t="s">
        <v>7526</v>
      </c>
      <c r="E5897" s="4">
        <v>42000</v>
      </c>
    </row>
    <row r="5898" spans="1:5">
      <c r="A5898" s="2" t="s">
        <v>296</v>
      </c>
      <c r="B5898" s="2" t="str">
        <f>"288344"</f>
        <v>288344</v>
      </c>
      <c r="C5898" s="2" t="str">
        <f>"288344"</f>
        <v>288344</v>
      </c>
      <c r="D5898" s="2" t="s">
        <v>7527</v>
      </c>
      <c r="E5898" s="4">
        <v>58300</v>
      </c>
    </row>
    <row r="5899" spans="1:5">
      <c r="A5899" s="2" t="s">
        <v>296</v>
      </c>
      <c r="B5899" s="2" t="str">
        <f>"281301"</f>
        <v>281301</v>
      </c>
      <c r="C5899" s="2" t="str">
        <f>"281301"</f>
        <v>281301</v>
      </c>
      <c r="D5899" s="2" t="s">
        <v>7528</v>
      </c>
      <c r="E5899" s="4">
        <v>28600</v>
      </c>
    </row>
    <row r="5900" spans="1:5">
      <c r="A5900" s="2" t="s">
        <v>296</v>
      </c>
      <c r="B5900" s="2" t="s">
        <v>7529</v>
      </c>
      <c r="C5900" s="2" t="s">
        <v>7529</v>
      </c>
      <c r="D5900" s="2" t="s">
        <v>7530</v>
      </c>
      <c r="E5900" s="4">
        <v>32200</v>
      </c>
    </row>
    <row r="5901" spans="1:5">
      <c r="A5901" s="2" t="s">
        <v>296</v>
      </c>
      <c r="B5901" s="2" t="s">
        <v>7531</v>
      </c>
      <c r="C5901" s="2" t="s">
        <v>7531</v>
      </c>
      <c r="D5901" s="2" t="s">
        <v>7532</v>
      </c>
      <c r="E5901" s="4">
        <v>32200</v>
      </c>
    </row>
    <row r="5902" spans="1:5">
      <c r="A5902" s="2" t="s">
        <v>296</v>
      </c>
      <c r="B5902" s="2" t="str">
        <f>"026904"</f>
        <v>026904</v>
      </c>
      <c r="C5902" s="2" t="str">
        <f>"026904"</f>
        <v>026904</v>
      </c>
      <c r="D5902" s="2" t="s">
        <v>7533</v>
      </c>
      <c r="E5902" s="4">
        <v>32000</v>
      </c>
    </row>
    <row r="5903" spans="1:5">
      <c r="A5903" s="2" t="s">
        <v>296</v>
      </c>
      <c r="B5903" s="2" t="s">
        <v>7534</v>
      </c>
      <c r="C5903" s="2" t="s">
        <v>7534</v>
      </c>
      <c r="D5903" s="2" t="s">
        <v>7535</v>
      </c>
      <c r="E5903" s="4">
        <v>35000</v>
      </c>
    </row>
    <row r="5904" spans="1:5">
      <c r="A5904" s="2" t="s">
        <v>296</v>
      </c>
      <c r="B5904" s="2" t="str">
        <f>"140733"</f>
        <v>140733</v>
      </c>
      <c r="C5904" s="2" t="str">
        <f>"140733"</f>
        <v>140733</v>
      </c>
      <c r="D5904" s="2" t="s">
        <v>7536</v>
      </c>
      <c r="E5904" s="4">
        <v>52500</v>
      </c>
    </row>
    <row r="5905" spans="1:5">
      <c r="A5905" s="2" t="s">
        <v>296</v>
      </c>
      <c r="B5905" s="2" t="s">
        <v>7537</v>
      </c>
      <c r="C5905" s="2" t="s">
        <v>7537</v>
      </c>
      <c r="D5905" s="2" t="s">
        <v>7538</v>
      </c>
      <c r="E5905" s="4">
        <v>38800</v>
      </c>
    </row>
    <row r="5906" spans="1:5">
      <c r="A5906" s="2" t="s">
        <v>296</v>
      </c>
      <c r="B5906" s="2" t="str">
        <f>"5033-2137"</f>
        <v>5033-2137</v>
      </c>
      <c r="C5906" s="2" t="str">
        <f>"5033-2137"</f>
        <v>5033-2137</v>
      </c>
      <c r="D5906" s="2" t="s">
        <v>7539</v>
      </c>
      <c r="E5906" s="4">
        <v>34000</v>
      </c>
    </row>
    <row r="5907" spans="1:5">
      <c r="A5907" s="2" t="s">
        <v>296</v>
      </c>
      <c r="B5907" s="2" t="s">
        <v>7540</v>
      </c>
      <c r="C5907" s="2" t="s">
        <v>7540</v>
      </c>
      <c r="D5907" s="2" t="s">
        <v>7541</v>
      </c>
      <c r="E5907" s="4">
        <v>38800</v>
      </c>
    </row>
    <row r="5908" spans="1:5">
      <c r="A5908" s="2" t="s">
        <v>296</v>
      </c>
      <c r="B5908" s="2" t="str">
        <f>"140161"</f>
        <v>140161</v>
      </c>
      <c r="C5908" s="2" t="str">
        <f>"140161"</f>
        <v>140161</v>
      </c>
      <c r="D5908" s="2" t="s">
        <v>7542</v>
      </c>
      <c r="E5908" s="4">
        <v>48400</v>
      </c>
    </row>
    <row r="5909" spans="1:5">
      <c r="A5909" s="2" t="s">
        <v>296</v>
      </c>
      <c r="B5909" s="2" t="str">
        <f>"181722"</f>
        <v>181722</v>
      </c>
      <c r="C5909" s="2" t="str">
        <f>"181722"</f>
        <v>181722</v>
      </c>
      <c r="D5909" s="2" t="s">
        <v>7543</v>
      </c>
      <c r="E5909" s="4">
        <v>32000</v>
      </c>
    </row>
    <row r="5910" spans="1:5">
      <c r="A5910" s="2" t="s">
        <v>296</v>
      </c>
      <c r="B5910" s="2" t="str">
        <f>"0017557"</f>
        <v>0017557</v>
      </c>
      <c r="C5910" s="2" t="str">
        <f>"0017557"</f>
        <v>0017557</v>
      </c>
      <c r="D5910" s="2" t="s">
        <v>7544</v>
      </c>
      <c r="E5910" s="4">
        <v>72000</v>
      </c>
    </row>
    <row r="5911" spans="1:5">
      <c r="A5911" s="2" t="s">
        <v>296</v>
      </c>
      <c r="B5911" s="2" t="str">
        <f>"3533-1817"</f>
        <v>3533-1817</v>
      </c>
      <c r="C5911" s="2" t="str">
        <f>"3533-1817"</f>
        <v>3533-1817</v>
      </c>
      <c r="D5911" s="2" t="s">
        <v>7545</v>
      </c>
      <c r="E5911" s="4">
        <v>18700</v>
      </c>
    </row>
    <row r="5912" spans="1:5">
      <c r="A5912" s="2" t="s">
        <v>296</v>
      </c>
      <c r="B5912" s="2" t="str">
        <f>"311758"</f>
        <v>311758</v>
      </c>
      <c r="C5912" s="2" t="str">
        <f>"311758"</f>
        <v>311758</v>
      </c>
      <c r="D5912" s="2" t="s">
        <v>7546</v>
      </c>
      <c r="E5912" s="4">
        <v>34000</v>
      </c>
    </row>
    <row r="5913" spans="1:5">
      <c r="A5913" s="2" t="s">
        <v>2541</v>
      </c>
      <c r="B5913" s="2" t="str">
        <f>"312158"</f>
        <v>312158</v>
      </c>
      <c r="C5913" s="2" t="str">
        <f>"212158"</f>
        <v>212158</v>
      </c>
      <c r="D5913" s="2" t="s">
        <v>7547</v>
      </c>
      <c r="E5913" s="4">
        <v>55000</v>
      </c>
    </row>
    <row r="5914" spans="1:5">
      <c r="A5914" s="2" t="s">
        <v>296</v>
      </c>
      <c r="B5914" s="2" t="str">
        <f>"33737"</f>
        <v>33737</v>
      </c>
      <c r="C5914" s="2" t="str">
        <f>"33737"</f>
        <v>33737</v>
      </c>
      <c r="D5914" s="2" t="s">
        <v>7548</v>
      </c>
      <c r="E5914" s="4">
        <v>27000</v>
      </c>
    </row>
    <row r="5915" spans="1:5">
      <c r="A5915" s="2" t="s">
        <v>296</v>
      </c>
      <c r="B5915" s="2" t="str">
        <f>"181647"</f>
        <v>181647</v>
      </c>
      <c r="C5915" s="2" t="str">
        <f>"181647"</f>
        <v>181647</v>
      </c>
      <c r="D5915" s="2" t="s">
        <v>7549</v>
      </c>
      <c r="E5915" s="4">
        <v>29500</v>
      </c>
    </row>
    <row r="5916" spans="1:5">
      <c r="A5916" s="2" t="s">
        <v>296</v>
      </c>
      <c r="B5916" s="2" t="str">
        <f>"35331760"</f>
        <v>35331760</v>
      </c>
      <c r="C5916" s="2" t="str">
        <f>"35331760"</f>
        <v>35331760</v>
      </c>
      <c r="D5916" s="2" t="s">
        <v>7550</v>
      </c>
      <c r="E5916" s="4">
        <v>24100</v>
      </c>
    </row>
    <row r="5917" spans="1:5">
      <c r="A5917" s="2" t="s">
        <v>296</v>
      </c>
      <c r="B5917" s="2" t="str">
        <f>"181666"</f>
        <v>181666</v>
      </c>
      <c r="C5917" s="2" t="str">
        <f>"181666"</f>
        <v>181666</v>
      </c>
      <c r="D5917" s="2" t="s">
        <v>7551</v>
      </c>
      <c r="E5917" s="4">
        <v>35800</v>
      </c>
    </row>
    <row r="5918" spans="1:5">
      <c r="A5918" s="2" t="s">
        <v>296</v>
      </c>
      <c r="B5918" s="2" t="str">
        <f>"181664"</f>
        <v>181664</v>
      </c>
      <c r="C5918" s="2" t="str">
        <f>"181664"</f>
        <v>181664</v>
      </c>
      <c r="D5918" s="2" t="s">
        <v>7552</v>
      </c>
      <c r="E5918" s="4">
        <v>37500</v>
      </c>
    </row>
    <row r="5919" spans="1:5">
      <c r="A5919" s="2" t="s">
        <v>296</v>
      </c>
      <c r="B5919" s="2" t="str">
        <f>"3533-1760"</f>
        <v>3533-1760</v>
      </c>
      <c r="C5919" s="2" t="str">
        <f>"3533-1760"</f>
        <v>3533-1760</v>
      </c>
      <c r="D5919" s="2" t="s">
        <v>7553</v>
      </c>
      <c r="E5919" s="4">
        <v>23200</v>
      </c>
    </row>
    <row r="5920" spans="1:5">
      <c r="A5920" s="2" t="s">
        <v>296</v>
      </c>
      <c r="B5920" s="2" t="str">
        <f>"186659"</f>
        <v>186659</v>
      </c>
      <c r="C5920" s="2" t="str">
        <f>"186659"</f>
        <v>186659</v>
      </c>
      <c r="D5920" s="2" t="s">
        <v>7554</v>
      </c>
      <c r="E5920" s="4">
        <v>21400</v>
      </c>
    </row>
    <row r="5921" spans="1:5">
      <c r="A5921" s="2" t="s">
        <v>296</v>
      </c>
      <c r="B5921" s="2" t="str">
        <f>"186655"</f>
        <v>186655</v>
      </c>
      <c r="C5921" s="2" t="str">
        <f>"186655"</f>
        <v>186655</v>
      </c>
      <c r="D5921" s="2" t="s">
        <v>7555</v>
      </c>
      <c r="E5921" s="4">
        <v>21400</v>
      </c>
    </row>
    <row r="5922" spans="1:5">
      <c r="A5922" s="2" t="s">
        <v>296</v>
      </c>
      <c r="B5922" s="2" t="str">
        <f>"186722"</f>
        <v>186722</v>
      </c>
      <c r="C5922" s="2" t="str">
        <f>"186722"</f>
        <v>186722</v>
      </c>
      <c r="D5922" s="2" t="s">
        <v>7556</v>
      </c>
      <c r="E5922" s="4">
        <v>22500</v>
      </c>
    </row>
    <row r="5923" spans="1:5">
      <c r="A5923" s="2" t="s">
        <v>296</v>
      </c>
      <c r="B5923" s="2" t="str">
        <f>"010060120"</f>
        <v>010060120</v>
      </c>
      <c r="C5923" s="2" t="str">
        <f>"010060120"</f>
        <v>010060120</v>
      </c>
      <c r="D5923" s="2" t="s">
        <v>7557</v>
      </c>
      <c r="E5923" s="4">
        <v>32200</v>
      </c>
    </row>
    <row r="5924" spans="1:5">
      <c r="A5924" s="2" t="s">
        <v>296</v>
      </c>
      <c r="B5924" s="2" t="str">
        <f>"181742"</f>
        <v>181742</v>
      </c>
      <c r="C5924" s="2" t="str">
        <f>"181742"</f>
        <v>181742</v>
      </c>
      <c r="D5924" s="2" t="s">
        <v>7558</v>
      </c>
      <c r="E5924" s="4">
        <v>31200</v>
      </c>
    </row>
    <row r="5925" spans="1:5">
      <c r="A5925" s="2" t="s">
        <v>296</v>
      </c>
      <c r="B5925" s="2" t="str">
        <f>"281294"</f>
        <v>281294</v>
      </c>
      <c r="C5925" s="2" t="str">
        <f>"1497691595034"</f>
        <v>1497691595034</v>
      </c>
      <c r="D5925" s="2" t="s">
        <v>7559</v>
      </c>
      <c r="E5925" s="4">
        <v>43000</v>
      </c>
    </row>
    <row r="5926" spans="1:5">
      <c r="A5926" s="2" t="s">
        <v>296</v>
      </c>
      <c r="B5926" s="2" t="str">
        <f>"281158"</f>
        <v>281158</v>
      </c>
      <c r="C5926" s="2" t="str">
        <f>"281158"</f>
        <v>281158</v>
      </c>
      <c r="D5926" s="2" t="s">
        <v>7560</v>
      </c>
      <c r="E5926" s="4">
        <v>78000</v>
      </c>
    </row>
    <row r="5927" spans="1:5">
      <c r="A5927" s="2" t="s">
        <v>296</v>
      </c>
      <c r="B5927" s="2" t="str">
        <f>"186721"</f>
        <v>186721</v>
      </c>
      <c r="C5927" s="2" t="str">
        <f>"186721"</f>
        <v>186721</v>
      </c>
      <c r="D5927" s="2" t="s">
        <v>7561</v>
      </c>
      <c r="E5927" s="4">
        <v>23000</v>
      </c>
    </row>
    <row r="5928" spans="1:5">
      <c r="A5928" s="2" t="s">
        <v>296</v>
      </c>
      <c r="B5928" s="2" t="str">
        <f>"237405"</f>
        <v>237405</v>
      </c>
      <c r="C5928" s="2" t="str">
        <f>"237405"</f>
        <v>237405</v>
      </c>
      <c r="D5928" s="2" t="s">
        <v>7562</v>
      </c>
      <c r="E5928" s="4">
        <v>68000</v>
      </c>
    </row>
    <row r="5929" spans="1:5">
      <c r="A5929" s="2" t="s">
        <v>296</v>
      </c>
      <c r="B5929" s="2" t="str">
        <f>"186723"</f>
        <v>186723</v>
      </c>
      <c r="C5929" s="2" t="str">
        <f>"186723"</f>
        <v>186723</v>
      </c>
      <c r="D5929" s="2" t="s">
        <v>7563</v>
      </c>
      <c r="E5929" s="4">
        <v>34000</v>
      </c>
    </row>
    <row r="5930" spans="1:5">
      <c r="A5930" s="2" t="s">
        <v>296</v>
      </c>
      <c r="B5930" s="2" t="str">
        <f>"010060703"</f>
        <v>010060703</v>
      </c>
      <c r="C5930" s="2" t="str">
        <f>"010060703"</f>
        <v>010060703</v>
      </c>
      <c r="D5930" s="2" t="s">
        <v>7564</v>
      </c>
      <c r="E5930" s="4">
        <v>29500</v>
      </c>
    </row>
    <row r="5931" spans="1:5">
      <c r="A5931" s="2" t="s">
        <v>296</v>
      </c>
      <c r="B5931" s="2" t="str">
        <f>"237410"</f>
        <v>237410</v>
      </c>
      <c r="C5931" s="2" t="str">
        <f>"237410"</f>
        <v>237410</v>
      </c>
      <c r="D5931" s="2" t="s">
        <v>7565</v>
      </c>
      <c r="E5931" s="4">
        <v>34000</v>
      </c>
    </row>
    <row r="5932" spans="1:5">
      <c r="A5932" s="2" t="s">
        <v>296</v>
      </c>
      <c r="B5932" s="2" t="str">
        <f>"288736"</f>
        <v>288736</v>
      </c>
      <c r="C5932" s="2" t="str">
        <f>"288736"</f>
        <v>288736</v>
      </c>
      <c r="D5932" s="2" t="s">
        <v>7566</v>
      </c>
      <c r="E5932" s="4">
        <v>39000</v>
      </c>
    </row>
    <row r="5933" spans="1:5">
      <c r="A5933" s="2" t="s">
        <v>296</v>
      </c>
      <c r="B5933" s="2" t="str">
        <f>"010060144"</f>
        <v>010060144</v>
      </c>
      <c r="C5933" s="2" t="str">
        <f>"010060144"</f>
        <v>010060144</v>
      </c>
      <c r="D5933" s="2" t="s">
        <v>7567</v>
      </c>
      <c r="E5933" s="4">
        <v>28600</v>
      </c>
    </row>
    <row r="5934" spans="1:5">
      <c r="A5934" s="2" t="s">
        <v>296</v>
      </c>
      <c r="B5934" s="2" t="str">
        <f>"4G32"</f>
        <v>4G32</v>
      </c>
      <c r="C5934" s="2" t="str">
        <f>"4G32"</f>
        <v>4G32</v>
      </c>
      <c r="D5934" s="2" t="s">
        <v>7568</v>
      </c>
      <c r="E5934" s="4">
        <v>18800</v>
      </c>
    </row>
    <row r="5935" spans="1:5">
      <c r="A5935" s="2" t="s">
        <v>296</v>
      </c>
      <c r="B5935" s="2" t="str">
        <f>"230396"</f>
        <v>230396</v>
      </c>
      <c r="C5935" s="2" t="str">
        <f>"230396"</f>
        <v>230396</v>
      </c>
      <c r="D5935" s="2" t="s">
        <v>7569</v>
      </c>
      <c r="E5935" s="4">
        <v>52000</v>
      </c>
    </row>
    <row r="5936" spans="1:5">
      <c r="A5936" s="2" t="s">
        <v>296</v>
      </c>
      <c r="B5936" s="2" t="str">
        <f>"289597"</f>
        <v>289597</v>
      </c>
      <c r="C5936" s="2" t="str">
        <f>"289597"</f>
        <v>289597</v>
      </c>
      <c r="D5936" s="2" t="s">
        <v>7570</v>
      </c>
      <c r="E5936" s="4">
        <v>36000</v>
      </c>
    </row>
    <row r="5937" spans="1:5">
      <c r="A5937" s="2" t="s">
        <v>296</v>
      </c>
      <c r="B5937" s="2" t="str">
        <f>"50332102"</f>
        <v>50332102</v>
      </c>
      <c r="C5937" s="2" t="str">
        <f>"50332102"</f>
        <v>50332102</v>
      </c>
      <c r="D5937" s="2" t="s">
        <v>7571</v>
      </c>
      <c r="E5937" s="4">
        <v>22000</v>
      </c>
    </row>
    <row r="5938" spans="1:5">
      <c r="A5938" s="2" t="s">
        <v>296</v>
      </c>
      <c r="B5938" s="2" t="str">
        <f>"230410"</f>
        <v>230410</v>
      </c>
      <c r="C5938" s="2" t="str">
        <f>"230410"</f>
        <v>230410</v>
      </c>
      <c r="D5938" s="2" t="s">
        <v>7572</v>
      </c>
      <c r="E5938" s="4">
        <v>34000</v>
      </c>
    </row>
    <row r="5939" spans="1:5">
      <c r="A5939" s="2" t="s">
        <v>296</v>
      </c>
      <c r="B5939" s="2" t="str">
        <f>"288400"</f>
        <v>288400</v>
      </c>
      <c r="C5939" s="2" t="str">
        <f>"288400"</f>
        <v>288400</v>
      </c>
      <c r="D5939" s="2" t="s">
        <v>7573</v>
      </c>
      <c r="E5939" s="4">
        <v>35800</v>
      </c>
    </row>
    <row r="5940" spans="1:5">
      <c r="A5940" s="2" t="s">
        <v>296</v>
      </c>
      <c r="B5940" s="2" t="str">
        <f>"230350"</f>
        <v>230350</v>
      </c>
      <c r="C5940" s="2" t="str">
        <f>"230350"</f>
        <v>230350</v>
      </c>
      <c r="D5940" s="2" t="s">
        <v>7574</v>
      </c>
      <c r="E5940" s="4">
        <v>28600</v>
      </c>
    </row>
    <row r="5941" spans="1:5">
      <c r="A5941" s="2" t="s">
        <v>296</v>
      </c>
      <c r="B5941" s="2" t="str">
        <f>"230375"</f>
        <v>230375</v>
      </c>
      <c r="C5941" s="2" t="str">
        <f>"230375"</f>
        <v>230375</v>
      </c>
      <c r="D5941" s="2" t="s">
        <v>7575</v>
      </c>
      <c r="E5941" s="4">
        <v>39500</v>
      </c>
    </row>
    <row r="5942" spans="1:5">
      <c r="A5942" s="2" t="s">
        <v>296</v>
      </c>
      <c r="B5942" s="2" t="str">
        <f>"237351"</f>
        <v>237351</v>
      </c>
      <c r="C5942" s="2" t="str">
        <f>"237351"</f>
        <v>237351</v>
      </c>
      <c r="D5942" s="2" t="s">
        <v>7576</v>
      </c>
      <c r="E5942" s="4">
        <v>18800</v>
      </c>
    </row>
    <row r="5943" spans="1:5">
      <c r="A5943" s="2" t="s">
        <v>296</v>
      </c>
      <c r="B5943" s="2" t="str">
        <f>"230352"</f>
        <v>230352</v>
      </c>
      <c r="C5943" s="2" t="str">
        <f>"230352"</f>
        <v>230352</v>
      </c>
      <c r="D5943" s="2" t="s">
        <v>7577</v>
      </c>
      <c r="E5943" s="4">
        <v>28600</v>
      </c>
    </row>
    <row r="5944" spans="1:5">
      <c r="A5944" s="2" t="s">
        <v>296</v>
      </c>
      <c r="B5944" s="2" t="str">
        <f>"5033-2118"</f>
        <v>5033-2118</v>
      </c>
      <c r="C5944" s="2" t="str">
        <f>"5033-2118"</f>
        <v>5033-2118</v>
      </c>
      <c r="D5944" s="2" t="s">
        <v>7578</v>
      </c>
      <c r="E5944" s="4">
        <v>18700</v>
      </c>
    </row>
    <row r="5945" spans="1:5">
      <c r="A5945" s="2" t="s">
        <v>296</v>
      </c>
      <c r="B5945" s="2" t="str">
        <f>"230370"</f>
        <v>230370</v>
      </c>
      <c r="C5945" s="2" t="str">
        <f>"230370"</f>
        <v>230370</v>
      </c>
      <c r="D5945" s="2" t="s">
        <v>7579</v>
      </c>
      <c r="E5945" s="4">
        <v>34000</v>
      </c>
    </row>
    <row r="5946" spans="1:5">
      <c r="A5946" s="2" t="s">
        <v>296</v>
      </c>
      <c r="B5946" s="2" t="str">
        <f>"5 00000 08 1264"</f>
        <v>5 00000 08 1264</v>
      </c>
      <c r="C5946" s="2" t="str">
        <f>"245205"</f>
        <v>245205</v>
      </c>
      <c r="D5946" s="2" t="s">
        <v>7580</v>
      </c>
      <c r="E5946" s="4">
        <v>34500</v>
      </c>
    </row>
    <row r="5947" spans="1:5">
      <c r="A5947" s="2" t="s">
        <v>296</v>
      </c>
      <c r="B5947" s="2" t="str">
        <f>"230400"</f>
        <v>230400</v>
      </c>
      <c r="C5947" s="2" t="str">
        <f>"230400"</f>
        <v>230400</v>
      </c>
      <c r="D5947" s="2" t="s">
        <v>7581</v>
      </c>
      <c r="E5947" s="4">
        <v>65800</v>
      </c>
    </row>
    <row r="5948" spans="1:5">
      <c r="A5948" s="2" t="s">
        <v>296</v>
      </c>
      <c r="B5948" s="2" t="str">
        <f>"33832"</f>
        <v>33832</v>
      </c>
      <c r="C5948" s="2" t="str">
        <f>"33832"</f>
        <v>33832</v>
      </c>
      <c r="D5948" s="2" t="s">
        <v>7582</v>
      </c>
      <c r="E5948" s="4">
        <v>25300</v>
      </c>
    </row>
    <row r="5949" spans="1:5">
      <c r="A5949" s="2" t="s">
        <v>296</v>
      </c>
      <c r="B5949" s="2" t="str">
        <f>"33866"</f>
        <v>33866</v>
      </c>
      <c r="C5949" s="2" t="str">
        <f>"33866"</f>
        <v>33866</v>
      </c>
      <c r="D5949" s="2" t="s">
        <v>7583</v>
      </c>
      <c r="E5949" s="4">
        <v>28700</v>
      </c>
    </row>
    <row r="5950" spans="1:5">
      <c r="A5950" s="2" t="s">
        <v>296</v>
      </c>
      <c r="B5950" s="2" t="s">
        <v>7584</v>
      </c>
      <c r="C5950" s="2" t="s">
        <v>7584</v>
      </c>
      <c r="D5950" s="2" t="s">
        <v>7585</v>
      </c>
      <c r="E5950" s="4">
        <v>25000</v>
      </c>
    </row>
    <row r="5951" spans="1:5">
      <c r="A5951" s="2" t="s">
        <v>296</v>
      </c>
      <c r="B5951" s="2" t="str">
        <f>"001411171-9"</f>
        <v>001411171-9</v>
      </c>
      <c r="C5951" s="2" t="str">
        <f>"001411171-9"</f>
        <v>001411171-9</v>
      </c>
      <c r="D5951" s="2" t="s">
        <v>7586</v>
      </c>
      <c r="E5951" s="4">
        <v>35000</v>
      </c>
    </row>
    <row r="5952" spans="1:5">
      <c r="A5952" s="2" t="s">
        <v>296</v>
      </c>
      <c r="B5952" s="2" t="str">
        <f>"181740"</f>
        <v>181740</v>
      </c>
      <c r="C5952" s="2" t="str">
        <f>"181740"</f>
        <v>181740</v>
      </c>
      <c r="D5952" s="2" t="s">
        <v>7587</v>
      </c>
      <c r="E5952" s="4">
        <v>39400</v>
      </c>
    </row>
    <row r="5953" spans="1:5">
      <c r="A5953" s="2" t="s">
        <v>296</v>
      </c>
      <c r="B5953" s="2" t="str">
        <f>"171430"</f>
        <v>171430</v>
      </c>
      <c r="C5953" s="2" t="str">
        <f>"171430"</f>
        <v>171430</v>
      </c>
      <c r="D5953" s="2" t="s">
        <v>7588</v>
      </c>
      <c r="E5953" s="4">
        <v>24100</v>
      </c>
    </row>
    <row r="5954" spans="1:5">
      <c r="A5954" s="2" t="s">
        <v>296</v>
      </c>
      <c r="B5954" s="2" t="str">
        <f>"289166"</f>
        <v>289166</v>
      </c>
      <c r="C5954" s="2" t="str">
        <f>"289166"</f>
        <v>289166</v>
      </c>
      <c r="D5954" s="2" t="s">
        <v>7589</v>
      </c>
      <c r="E5954" s="4">
        <v>85500</v>
      </c>
    </row>
    <row r="5955" spans="1:5">
      <c r="A5955" s="2" t="s">
        <v>296</v>
      </c>
      <c r="B5955" s="2" t="s">
        <v>7590</v>
      </c>
      <c r="C5955" s="2" t="s">
        <v>7591</v>
      </c>
      <c r="D5955" s="2" t="s">
        <v>7592</v>
      </c>
      <c r="E5955" s="4">
        <v>30000</v>
      </c>
    </row>
    <row r="5956" spans="1:5">
      <c r="A5956" s="2" t="s">
        <v>296</v>
      </c>
      <c r="B5956" s="2" t="str">
        <f>"1033-6396"</f>
        <v>1033-6396</v>
      </c>
      <c r="C5956" s="2" t="str">
        <f>"1033-6396"</f>
        <v>1033-6396</v>
      </c>
      <c r="D5956" s="2" t="s">
        <v>7593</v>
      </c>
      <c r="E5956" s="4">
        <v>16500</v>
      </c>
    </row>
    <row r="5957" spans="1:5">
      <c r="A5957" s="2" t="s">
        <v>296</v>
      </c>
      <c r="B5957" s="2" t="str">
        <f>"0176195"</f>
        <v>0176195</v>
      </c>
      <c r="C5957" s="2" t="str">
        <f>"0176195"</f>
        <v>0176195</v>
      </c>
      <c r="D5957" s="2" t="s">
        <v>7594</v>
      </c>
      <c r="E5957" s="4">
        <v>19800</v>
      </c>
    </row>
    <row r="5958" spans="1:5">
      <c r="A5958" s="2" t="s">
        <v>296</v>
      </c>
      <c r="B5958" s="2" t="str">
        <f>"171423"</f>
        <v>171423</v>
      </c>
      <c r="C5958" s="2" t="str">
        <f>"171423"</f>
        <v>171423</v>
      </c>
      <c r="D5958" s="2" t="s">
        <v>7595</v>
      </c>
      <c r="E5958" s="4">
        <v>38500</v>
      </c>
    </row>
    <row r="5959" spans="1:5">
      <c r="A5959" s="2" t="s">
        <v>296</v>
      </c>
      <c r="B5959" s="2" t="str">
        <f>"176423"</f>
        <v>176423</v>
      </c>
      <c r="C5959" s="2" t="str">
        <f>"176423"</f>
        <v>176423</v>
      </c>
      <c r="D5959" s="2" t="s">
        <v>7596</v>
      </c>
      <c r="E5959" s="4">
        <v>24800</v>
      </c>
    </row>
    <row r="5960" spans="1:5">
      <c r="A5960" s="2" t="s">
        <v>296</v>
      </c>
      <c r="B5960" s="2" t="str">
        <f>"5 000000 077229"</f>
        <v>5 000000 077229</v>
      </c>
      <c r="C5960" s="2" t="str">
        <f>"173502"</f>
        <v>173502</v>
      </c>
      <c r="D5960" s="2" t="s">
        <v>7597</v>
      </c>
      <c r="E5960" s="4">
        <v>48000</v>
      </c>
    </row>
    <row r="5961" spans="1:5">
      <c r="A5961" s="2" t="s">
        <v>296</v>
      </c>
      <c r="B5961" s="2" t="str">
        <f>"5 000000 0824 14"</f>
        <v>5 000000 0824 14</v>
      </c>
      <c r="C5961" s="2" t="str">
        <f>"281138"</f>
        <v>281138</v>
      </c>
      <c r="D5961" s="2" t="s">
        <v>7598</v>
      </c>
      <c r="E5961" s="4">
        <v>24500</v>
      </c>
    </row>
    <row r="5962" spans="1:5" ht="27.6">
      <c r="A5962" s="2" t="s">
        <v>296</v>
      </c>
      <c r="B5962" s="2" t="str">
        <f>"5 000000 08495 1"</f>
        <v>5 000000 08495 1</v>
      </c>
      <c r="C5962" s="2" t="str">
        <f>"289015"</f>
        <v>289015</v>
      </c>
      <c r="D5962" s="2" t="s">
        <v>7599</v>
      </c>
      <c r="E5962" s="4">
        <v>89000</v>
      </c>
    </row>
    <row r="5963" spans="1:5">
      <c r="A5963" s="2" t="s">
        <v>296</v>
      </c>
      <c r="B5963" s="2" t="str">
        <f>"5 00000 077 137"</f>
        <v>5 00000 077 137</v>
      </c>
      <c r="C5963" s="2" t="str">
        <f>"173491"</f>
        <v>173491</v>
      </c>
      <c r="D5963" s="2" t="s">
        <v>7600</v>
      </c>
      <c r="E5963" s="4">
        <v>38000</v>
      </c>
    </row>
    <row r="5964" spans="1:5">
      <c r="A5964" s="2" t="s">
        <v>296</v>
      </c>
      <c r="B5964" s="2" t="str">
        <f>"0176287"</f>
        <v>0176287</v>
      </c>
      <c r="C5964" s="2" t="str">
        <f>"0176287"</f>
        <v>0176287</v>
      </c>
      <c r="D5964" s="2" t="s">
        <v>7601</v>
      </c>
      <c r="E5964" s="4">
        <v>38000</v>
      </c>
    </row>
    <row r="5965" spans="1:5">
      <c r="A5965" s="2" t="s">
        <v>296</v>
      </c>
      <c r="B5965" s="2" t="str">
        <f>"00111150-5"</f>
        <v>00111150-5</v>
      </c>
      <c r="C5965" s="2" t="str">
        <f>"00111150-5"</f>
        <v>00111150-5</v>
      </c>
      <c r="D5965" s="2" t="s">
        <v>7602</v>
      </c>
      <c r="E5965" s="4">
        <v>38500</v>
      </c>
    </row>
    <row r="5966" spans="1:5">
      <c r="A5966" s="2" t="s">
        <v>296</v>
      </c>
      <c r="B5966" s="2" t="str">
        <f>"010060631"</f>
        <v>010060631</v>
      </c>
      <c r="C5966" s="2" t="str">
        <f>"010060631"</f>
        <v>010060631</v>
      </c>
      <c r="D5966" s="2" t="s">
        <v>7603</v>
      </c>
      <c r="E5966" s="4">
        <v>19600</v>
      </c>
    </row>
    <row r="5967" spans="1:5">
      <c r="A5967" s="2" t="s">
        <v>296</v>
      </c>
      <c r="B5967" s="2" t="str">
        <f>"010060629"</f>
        <v>010060629</v>
      </c>
      <c r="C5967" s="2" t="str">
        <f>"010060629"</f>
        <v>010060629</v>
      </c>
      <c r="D5967" s="2" t="s">
        <v>7604</v>
      </c>
      <c r="E5967" s="4">
        <v>29500</v>
      </c>
    </row>
    <row r="5968" spans="1:5">
      <c r="A5968" s="2" t="s">
        <v>296</v>
      </c>
      <c r="B5968" s="2" t="str">
        <f>"171432"</f>
        <v>171432</v>
      </c>
      <c r="C5968" s="2" t="str">
        <f>"171432"</f>
        <v>171432</v>
      </c>
      <c r="D5968" s="2" t="s">
        <v>7605</v>
      </c>
      <c r="E5968" s="4">
        <v>32200</v>
      </c>
    </row>
    <row r="5969" spans="1:5">
      <c r="A5969" s="2" t="s">
        <v>296</v>
      </c>
      <c r="B5969" s="2" t="str">
        <f>"10336430"</f>
        <v>10336430</v>
      </c>
      <c r="C5969" s="2" t="str">
        <f>"10336430"</f>
        <v>10336430</v>
      </c>
      <c r="D5969" s="2" t="s">
        <v>7606</v>
      </c>
      <c r="E5969" s="4">
        <v>13500</v>
      </c>
    </row>
    <row r="5970" spans="1:5">
      <c r="A5970" s="2" t="s">
        <v>296</v>
      </c>
      <c r="B5970" s="2" t="str">
        <f>"281381"</f>
        <v>281381</v>
      </c>
      <c r="C5970" s="2" t="str">
        <f>"281381"</f>
        <v>281381</v>
      </c>
      <c r="D5970" s="2" t="s">
        <v>7607</v>
      </c>
      <c r="E5970" s="4">
        <v>89800</v>
      </c>
    </row>
    <row r="5971" spans="1:5">
      <c r="A5971" s="2" t="s">
        <v>296</v>
      </c>
      <c r="B5971" s="2" t="str">
        <f>"010060065"</f>
        <v>010060065</v>
      </c>
      <c r="C5971" s="2" t="str">
        <f>"010060065"</f>
        <v>010060065</v>
      </c>
      <c r="D5971" s="2" t="s">
        <v>7608</v>
      </c>
      <c r="E5971" s="4">
        <v>19600</v>
      </c>
    </row>
    <row r="5972" spans="1:5">
      <c r="A5972" s="2" t="s">
        <v>296</v>
      </c>
      <c r="B5972" s="2" t="str">
        <f>"289507"</f>
        <v>289507</v>
      </c>
      <c r="C5972" s="2" t="str">
        <f>"289507"</f>
        <v>289507</v>
      </c>
      <c r="D5972" s="2" t="s">
        <v>7609</v>
      </c>
      <c r="E5972" s="4">
        <v>38500</v>
      </c>
    </row>
    <row r="5973" spans="1:5">
      <c r="A5973" s="2" t="s">
        <v>296</v>
      </c>
      <c r="B5973" s="2" t="str">
        <f>"196550"</f>
        <v>196550</v>
      </c>
      <c r="C5973" s="2" t="str">
        <f>"196550"</f>
        <v>196550</v>
      </c>
      <c r="D5973" s="2" t="s">
        <v>7610</v>
      </c>
      <c r="E5973" s="4">
        <v>28800</v>
      </c>
    </row>
    <row r="5974" spans="1:5">
      <c r="A5974" s="2" t="s">
        <v>296</v>
      </c>
      <c r="B5974" s="2" t="str">
        <f>"01000604247"</f>
        <v>01000604247</v>
      </c>
      <c r="C5974" s="2" t="str">
        <f>"01000604247"</f>
        <v>01000604247</v>
      </c>
      <c r="D5974" s="2" t="s">
        <v>7611</v>
      </c>
      <c r="E5974" s="4">
        <v>38080</v>
      </c>
    </row>
    <row r="5975" spans="1:5">
      <c r="A5975" s="2" t="s">
        <v>296</v>
      </c>
      <c r="B5975" s="2" t="str">
        <f>"34143"</f>
        <v>34143</v>
      </c>
      <c r="C5975" s="2" t="str">
        <f>"34143"</f>
        <v>34143</v>
      </c>
      <c r="D5975" s="2" t="s">
        <v>7612</v>
      </c>
      <c r="E5975" s="4">
        <v>34000</v>
      </c>
    </row>
    <row r="5976" spans="1:5">
      <c r="A5976" s="2" t="s">
        <v>296</v>
      </c>
      <c r="B5976" s="2" t="str">
        <f>"176195"</f>
        <v>176195</v>
      </c>
      <c r="C5976" s="2" t="str">
        <f>"176195"</f>
        <v>176195</v>
      </c>
      <c r="D5976" s="2" t="s">
        <v>7613</v>
      </c>
      <c r="E5976" s="4">
        <v>34000</v>
      </c>
    </row>
    <row r="5977" spans="1:5">
      <c r="A5977" s="2" t="s">
        <v>296</v>
      </c>
      <c r="B5977" s="2" t="str">
        <f>"0032681"</f>
        <v>0032681</v>
      </c>
      <c r="C5977" s="2" t="str">
        <f>"0032681"</f>
        <v>0032681</v>
      </c>
      <c r="D5977" s="2" t="s">
        <v>7614</v>
      </c>
      <c r="E5977" s="4">
        <v>12673</v>
      </c>
    </row>
    <row r="5978" spans="1:5">
      <c r="A5978" s="2" t="s">
        <v>296</v>
      </c>
      <c r="B5978" s="2" t="str">
        <f>"010060694"</f>
        <v>010060694</v>
      </c>
      <c r="C5978" s="2" t="str">
        <f>"010060694"</f>
        <v>010060694</v>
      </c>
      <c r="D5978" s="2" t="s">
        <v>7615</v>
      </c>
      <c r="E5978" s="4">
        <v>34000</v>
      </c>
    </row>
    <row r="5979" spans="1:5">
      <c r="A5979" s="2" t="s">
        <v>296</v>
      </c>
      <c r="B5979" s="2" t="str">
        <f>"281137"</f>
        <v>281137</v>
      </c>
      <c r="C5979" s="2" t="str">
        <f>"281137"</f>
        <v>281137</v>
      </c>
      <c r="D5979" s="2" t="s">
        <v>7616</v>
      </c>
      <c r="E5979" s="4">
        <v>42100</v>
      </c>
    </row>
    <row r="5980" spans="1:5">
      <c r="A5980" s="2" t="s">
        <v>296</v>
      </c>
      <c r="B5980" s="2" t="str">
        <f>"1033-6439"</f>
        <v>1033-6439</v>
      </c>
      <c r="C5980" s="2" t="str">
        <f>"1033-6439"</f>
        <v>1033-6439</v>
      </c>
      <c r="D5980" s="2" t="s">
        <v>7617</v>
      </c>
      <c r="E5980" s="4">
        <v>34000</v>
      </c>
    </row>
    <row r="5981" spans="1:5">
      <c r="A5981" s="2" t="s">
        <v>296</v>
      </c>
      <c r="B5981" s="2" t="str">
        <f>"010060424"</f>
        <v>010060424</v>
      </c>
      <c r="C5981" s="2" t="str">
        <f>"010060424"</f>
        <v>010060424</v>
      </c>
      <c r="D5981" s="2" t="s">
        <v>7617</v>
      </c>
      <c r="E5981" s="4">
        <v>34000</v>
      </c>
    </row>
    <row r="5982" spans="1:5">
      <c r="A5982" s="2" t="s">
        <v>296</v>
      </c>
      <c r="B5982" s="2" t="str">
        <f>"281139"</f>
        <v>281139</v>
      </c>
      <c r="C5982" s="2" t="str">
        <f>"281139"</f>
        <v>281139</v>
      </c>
      <c r="D5982" s="2" t="s">
        <v>7618</v>
      </c>
      <c r="E5982" s="4">
        <v>38500</v>
      </c>
    </row>
    <row r="5983" spans="1:5">
      <c r="A5983" s="2" t="s">
        <v>296</v>
      </c>
      <c r="B5983" s="2" t="str">
        <f>"88G00"</f>
        <v>88G00</v>
      </c>
      <c r="C5983" s="2" t="str">
        <f>"88G00"</f>
        <v>88G00</v>
      </c>
      <c r="D5983" s="2" t="s">
        <v>7619</v>
      </c>
      <c r="E5983" s="4">
        <v>14500</v>
      </c>
    </row>
    <row r="5984" spans="1:5">
      <c r="A5984" s="2" t="s">
        <v>296</v>
      </c>
      <c r="B5984" s="2" t="str">
        <f>"173506"</f>
        <v>173506</v>
      </c>
      <c r="C5984" s="2" t="str">
        <f>"173506"</f>
        <v>173506</v>
      </c>
      <c r="D5984" s="2" t="s">
        <v>7620</v>
      </c>
      <c r="E5984" s="4">
        <v>28000</v>
      </c>
    </row>
    <row r="5985" spans="1:5">
      <c r="A5985" s="2" t="s">
        <v>296</v>
      </c>
      <c r="B5985" s="2" t="str">
        <f>"173505"</f>
        <v>173505</v>
      </c>
      <c r="C5985" s="2" t="str">
        <f>"173505"</f>
        <v>173505</v>
      </c>
      <c r="D5985" s="2" t="s">
        <v>7621</v>
      </c>
      <c r="E5985" s="4">
        <v>31800</v>
      </c>
    </row>
    <row r="5986" spans="1:5">
      <c r="A5986" s="2" t="s">
        <v>296</v>
      </c>
      <c r="B5986" s="2" t="str">
        <f>"010060697"</f>
        <v>010060697</v>
      </c>
      <c r="C5986" s="2" t="str">
        <f>"010060697"</f>
        <v>010060697</v>
      </c>
      <c r="D5986" s="2" t="s">
        <v>7622</v>
      </c>
      <c r="E5986" s="4">
        <v>38000</v>
      </c>
    </row>
    <row r="5987" spans="1:5">
      <c r="A5987" s="2" t="s">
        <v>296</v>
      </c>
      <c r="B5987" s="2" t="str">
        <f>"288291"</f>
        <v>288291</v>
      </c>
      <c r="C5987" s="2" t="str">
        <f>"288291"</f>
        <v>288291</v>
      </c>
      <c r="D5987" s="2" t="s">
        <v>7623</v>
      </c>
      <c r="E5987" s="4">
        <v>159700</v>
      </c>
    </row>
    <row r="5988" spans="1:5">
      <c r="A5988" s="2" t="s">
        <v>296</v>
      </c>
      <c r="B5988" s="2" t="str">
        <f>"171438"</f>
        <v>171438</v>
      </c>
      <c r="C5988" s="2" t="str">
        <f>"171438"</f>
        <v>171438</v>
      </c>
      <c r="D5988" s="2" t="s">
        <v>7624</v>
      </c>
      <c r="E5988" s="4">
        <v>23400</v>
      </c>
    </row>
    <row r="5989" spans="1:5">
      <c r="A5989" s="2" t="s">
        <v>296</v>
      </c>
      <c r="B5989" s="2" t="str">
        <f>"010060028"</f>
        <v>010060028</v>
      </c>
      <c r="C5989" s="2" t="str">
        <f>"010060028"</f>
        <v>010060028</v>
      </c>
      <c r="D5989" s="2" t="s">
        <v>7625</v>
      </c>
      <c r="E5989" s="4">
        <v>19900</v>
      </c>
    </row>
    <row r="5990" spans="1:5">
      <c r="A5990" s="2" t="s">
        <v>296</v>
      </c>
      <c r="B5990" s="2" t="str">
        <f>"171406"</f>
        <v>171406</v>
      </c>
      <c r="C5990" s="2" t="str">
        <f>"171406"</f>
        <v>171406</v>
      </c>
      <c r="D5990" s="2" t="s">
        <v>7626</v>
      </c>
      <c r="E5990" s="4">
        <v>25000</v>
      </c>
    </row>
    <row r="5991" spans="1:5">
      <c r="A5991" s="2" t="s">
        <v>296</v>
      </c>
      <c r="B5991" s="2" t="str">
        <f>"176412"</f>
        <v>176412</v>
      </c>
      <c r="C5991" s="2" t="str">
        <f>"176412"</f>
        <v>176412</v>
      </c>
      <c r="D5991" s="2" t="s">
        <v>7627</v>
      </c>
      <c r="E5991" s="4">
        <v>19500</v>
      </c>
    </row>
    <row r="5992" spans="1:5">
      <c r="A5992" s="2" t="s">
        <v>296</v>
      </c>
      <c r="B5992" s="2" t="str">
        <f>"176420"</f>
        <v>176420</v>
      </c>
      <c r="C5992" s="2" t="str">
        <f>"176420"</f>
        <v>176420</v>
      </c>
      <c r="D5992" s="2" t="s">
        <v>7628</v>
      </c>
      <c r="E5992" s="4">
        <v>27700</v>
      </c>
    </row>
    <row r="5993" spans="1:5">
      <c r="A5993" s="2" t="s">
        <v>296</v>
      </c>
      <c r="B5993" s="2" t="str">
        <f>"00101NP"</f>
        <v>00101NP</v>
      </c>
      <c r="C5993" s="2" t="str">
        <f>"00101NP"</f>
        <v>00101NP</v>
      </c>
      <c r="D5993" s="2" t="s">
        <v>7629</v>
      </c>
      <c r="E5993" s="4">
        <v>43000</v>
      </c>
    </row>
    <row r="5994" spans="1:5">
      <c r="A5994" s="2" t="s">
        <v>296</v>
      </c>
      <c r="B5994" s="2" t="str">
        <f>"288395"</f>
        <v>288395</v>
      </c>
      <c r="C5994" s="2" t="str">
        <f>"288395"</f>
        <v>288395</v>
      </c>
      <c r="D5994" s="2" t="s">
        <v>7630</v>
      </c>
      <c r="E5994" s="4">
        <v>43000</v>
      </c>
    </row>
    <row r="5995" spans="1:5">
      <c r="A5995" s="2" t="s">
        <v>296</v>
      </c>
      <c r="B5995" s="2" t="str">
        <f>"171442"</f>
        <v>171442</v>
      </c>
      <c r="C5995" s="2" t="str">
        <f>"171442"</f>
        <v>171442</v>
      </c>
      <c r="D5995" s="2" t="s">
        <v>7631</v>
      </c>
      <c r="E5995" s="4">
        <v>23200</v>
      </c>
    </row>
    <row r="5996" spans="1:5">
      <c r="A5996" s="2" t="s">
        <v>296</v>
      </c>
      <c r="B5996" s="2" t="str">
        <f>"0000983"</f>
        <v>0000983</v>
      </c>
      <c r="C5996" s="2" t="str">
        <f>"0000983"</f>
        <v>0000983</v>
      </c>
      <c r="D5996" s="2" t="s">
        <v>7632</v>
      </c>
      <c r="E5996" s="4">
        <v>17200</v>
      </c>
    </row>
    <row r="5997" spans="1:5">
      <c r="A5997" s="2" t="s">
        <v>296</v>
      </c>
      <c r="B5997" s="2" t="str">
        <f>"10336403"</f>
        <v>10336403</v>
      </c>
      <c r="C5997" s="2" t="str">
        <f>"10336403"</f>
        <v>10336403</v>
      </c>
      <c r="D5997" s="2" t="s">
        <v>7633</v>
      </c>
      <c r="E5997" s="4">
        <v>24800</v>
      </c>
    </row>
    <row r="5998" spans="1:5">
      <c r="A5998" s="2" t="s">
        <v>296</v>
      </c>
      <c r="B5998" s="2" t="str">
        <f>"10060058"</f>
        <v>10060058</v>
      </c>
      <c r="C5998" s="2" t="str">
        <f>"10060058"</f>
        <v>10060058</v>
      </c>
      <c r="D5998" s="2" t="s">
        <v>7634</v>
      </c>
      <c r="E5998" s="4">
        <v>17800</v>
      </c>
    </row>
    <row r="5999" spans="1:5">
      <c r="A5999" s="2" t="s">
        <v>296</v>
      </c>
      <c r="B5999" s="2" t="str">
        <f>"010060059"</f>
        <v>010060059</v>
      </c>
      <c r="C5999" s="2" t="str">
        <f>"010060059"</f>
        <v>010060059</v>
      </c>
      <c r="D5999" s="2" t="s">
        <v>7635</v>
      </c>
      <c r="E5999" s="4">
        <v>14200</v>
      </c>
    </row>
    <row r="6000" spans="1:5">
      <c r="A6000" s="2" t="s">
        <v>296</v>
      </c>
      <c r="B6000" s="2" t="str">
        <f>"010060058"</f>
        <v>010060058</v>
      </c>
      <c r="C6000" s="2" t="str">
        <f>"010060058"</f>
        <v>010060058</v>
      </c>
      <c r="D6000" s="2" t="s">
        <v>7636</v>
      </c>
      <c r="E6000" s="4">
        <v>19600</v>
      </c>
    </row>
    <row r="6001" spans="1:5">
      <c r="A6001" s="2" t="s">
        <v>296</v>
      </c>
      <c r="B6001" s="2" t="s">
        <v>7637</v>
      </c>
      <c r="C6001" s="2" t="s">
        <v>7638</v>
      </c>
      <c r="D6001" s="2" t="s">
        <v>7639</v>
      </c>
      <c r="E6001" s="4">
        <v>57143</v>
      </c>
    </row>
    <row r="6002" spans="1:5">
      <c r="A6002" s="2" t="s">
        <v>296</v>
      </c>
      <c r="B6002" s="2" t="str">
        <f>"421181-2"</f>
        <v>421181-2</v>
      </c>
      <c r="C6002" s="2" t="str">
        <f>"421181-2"</f>
        <v>421181-2</v>
      </c>
      <c r="D6002" s="2" t="s">
        <v>7640</v>
      </c>
      <c r="E6002" s="4">
        <v>68200</v>
      </c>
    </row>
    <row r="6003" spans="1:5">
      <c r="A6003" s="2" t="s">
        <v>296</v>
      </c>
      <c r="B6003" s="2" t="str">
        <f>"312039"</f>
        <v>312039</v>
      </c>
      <c r="C6003" s="2" t="str">
        <f>"312039"</f>
        <v>312039</v>
      </c>
      <c r="D6003" s="2" t="s">
        <v>7641</v>
      </c>
      <c r="E6003" s="4">
        <v>89000</v>
      </c>
    </row>
    <row r="6004" spans="1:5">
      <c r="A6004" s="2" t="s">
        <v>296</v>
      </c>
      <c r="B6004" s="2" t="str">
        <f>"010060701"</f>
        <v>010060701</v>
      </c>
      <c r="C6004" s="2" t="str">
        <f>"010060701"</f>
        <v>010060701</v>
      </c>
      <c r="D6004" s="2" t="s">
        <v>7642</v>
      </c>
      <c r="E6004" s="4">
        <v>43000</v>
      </c>
    </row>
    <row r="6005" spans="1:5">
      <c r="A6005" s="2" t="s">
        <v>296</v>
      </c>
      <c r="B6005" s="2" t="str">
        <f>"010060968"</f>
        <v>010060968</v>
      </c>
      <c r="C6005" s="2" t="str">
        <f>"010060968"</f>
        <v>010060968</v>
      </c>
      <c r="D6005" s="2" t="s">
        <v>7643</v>
      </c>
      <c r="E6005" s="4">
        <v>25000</v>
      </c>
    </row>
    <row r="6006" spans="1:5">
      <c r="A6006" s="2" t="s">
        <v>296</v>
      </c>
      <c r="B6006" s="2" t="str">
        <f>"010060060"</f>
        <v>010060060</v>
      </c>
      <c r="C6006" s="2" t="str">
        <f>"010060060"</f>
        <v>010060060</v>
      </c>
      <c r="D6006" s="2" t="s">
        <v>7644</v>
      </c>
      <c r="E6006" s="4">
        <v>16000</v>
      </c>
    </row>
    <row r="6007" spans="1:5">
      <c r="A6007" s="2" t="s">
        <v>296</v>
      </c>
      <c r="B6007" s="2" t="str">
        <f>"010060630"</f>
        <v>010060630</v>
      </c>
      <c r="C6007" s="2" t="str">
        <f>"010060630"</f>
        <v>010060630</v>
      </c>
      <c r="D6007" s="2" t="s">
        <v>7645</v>
      </c>
      <c r="E6007" s="4">
        <v>19000</v>
      </c>
    </row>
    <row r="6008" spans="1:5">
      <c r="A6008" s="2" t="s">
        <v>296</v>
      </c>
      <c r="B6008" s="2" t="str">
        <f>"421139-1"</f>
        <v>421139-1</v>
      </c>
      <c r="C6008" s="2" t="str">
        <f>"421139-1"</f>
        <v>421139-1</v>
      </c>
      <c r="D6008" s="2" t="s">
        <v>7646</v>
      </c>
      <c r="E6008" s="4">
        <v>18900</v>
      </c>
    </row>
    <row r="6009" spans="1:5">
      <c r="A6009" s="2" t="s">
        <v>296</v>
      </c>
      <c r="B6009" s="2" t="str">
        <f>"421140-5"</f>
        <v>421140-5</v>
      </c>
      <c r="C6009" s="2" t="str">
        <f>"421140-5"</f>
        <v>421140-5</v>
      </c>
      <c r="D6009" s="2" t="s">
        <v>7647</v>
      </c>
      <c r="E6009" s="4">
        <v>38500</v>
      </c>
    </row>
    <row r="6010" spans="1:5">
      <c r="A6010" s="2" t="s">
        <v>296</v>
      </c>
      <c r="B6010" s="2" t="str">
        <f>"289217"</f>
        <v>289217</v>
      </c>
      <c r="C6010" s="2" t="str">
        <f>"289217"</f>
        <v>289217</v>
      </c>
      <c r="D6010" s="2" t="s">
        <v>7647</v>
      </c>
      <c r="E6010" s="4">
        <v>25000</v>
      </c>
    </row>
    <row r="6011" spans="1:5">
      <c r="A6011" s="2" t="s">
        <v>296</v>
      </c>
      <c r="B6011" s="2" t="str">
        <f>"10336397"</f>
        <v>10336397</v>
      </c>
      <c r="C6011" s="2" t="str">
        <f>"10336397"</f>
        <v>10336397</v>
      </c>
      <c r="D6011" s="2" t="s">
        <v>7648</v>
      </c>
      <c r="E6011" s="4">
        <v>13500</v>
      </c>
    </row>
    <row r="6012" spans="1:5">
      <c r="A6012" s="2" t="s">
        <v>296</v>
      </c>
      <c r="B6012" s="2" t="str">
        <f>"0000989"</f>
        <v>0000989</v>
      </c>
      <c r="C6012" s="2" t="str">
        <f>"0000989"</f>
        <v>0000989</v>
      </c>
      <c r="D6012" s="2" t="s">
        <v>7649</v>
      </c>
      <c r="E6012" s="4">
        <v>12400</v>
      </c>
    </row>
    <row r="6013" spans="1:5">
      <c r="A6013" s="2" t="s">
        <v>296</v>
      </c>
      <c r="B6013" s="2" t="str">
        <f>"289218"</f>
        <v>289218</v>
      </c>
      <c r="C6013" s="2" t="str">
        <f>"289218"</f>
        <v>289218</v>
      </c>
      <c r="D6013" s="2" t="s">
        <v>7650</v>
      </c>
      <c r="E6013" s="4">
        <v>22200</v>
      </c>
    </row>
    <row r="6014" spans="1:5">
      <c r="A6014" s="2" t="s">
        <v>296</v>
      </c>
      <c r="B6014" s="2" t="str">
        <f>"000421139-1"</f>
        <v>000421139-1</v>
      </c>
      <c r="C6014" s="2" t="str">
        <f>"000421139-1"</f>
        <v>000421139-1</v>
      </c>
      <c r="D6014" s="2" t="s">
        <v>7651</v>
      </c>
      <c r="E6014" s="4">
        <v>34000</v>
      </c>
    </row>
    <row r="6015" spans="1:5">
      <c r="A6015" s="2" t="s">
        <v>296</v>
      </c>
      <c r="B6015" s="2" t="str">
        <f>"171441"</f>
        <v>171441</v>
      </c>
      <c r="C6015" s="2" t="str">
        <f>"171441"</f>
        <v>171441</v>
      </c>
      <c r="D6015" s="2" t="s">
        <v>7652</v>
      </c>
      <c r="E6015" s="4">
        <v>18000</v>
      </c>
    </row>
    <row r="6016" spans="1:5">
      <c r="A6016" s="2" t="s">
        <v>296</v>
      </c>
      <c r="B6016" s="2" t="str">
        <f>"10336396"</f>
        <v>10336396</v>
      </c>
      <c r="C6016" s="2" t="str">
        <f>"10336396"</f>
        <v>10336396</v>
      </c>
      <c r="D6016" s="2" t="s">
        <v>7653</v>
      </c>
      <c r="E6016" s="4">
        <v>15500</v>
      </c>
    </row>
    <row r="6017" spans="1:5">
      <c r="A6017" s="2" t="s">
        <v>296</v>
      </c>
      <c r="B6017" s="2" t="str">
        <f>"10336399"</f>
        <v>10336399</v>
      </c>
      <c r="C6017" s="2" t="str">
        <f>"10336399"</f>
        <v>10336399</v>
      </c>
      <c r="D6017" s="2" t="s">
        <v>7654</v>
      </c>
      <c r="E6017" s="4">
        <v>14800</v>
      </c>
    </row>
    <row r="6018" spans="1:5">
      <c r="A6018" s="2" t="s">
        <v>296</v>
      </c>
      <c r="B6018" s="2" t="str">
        <f>"30331757"</f>
        <v>30331757</v>
      </c>
      <c r="C6018" s="2" t="str">
        <f>"30331757"</f>
        <v>30331757</v>
      </c>
      <c r="D6018" s="2" t="s">
        <v>7655</v>
      </c>
      <c r="E6018" s="4">
        <v>18000</v>
      </c>
    </row>
    <row r="6019" spans="1:5">
      <c r="A6019" s="2" t="s">
        <v>296</v>
      </c>
      <c r="B6019" s="2" t="str">
        <f>"0603-015"</f>
        <v>0603-015</v>
      </c>
      <c r="C6019" s="2" t="str">
        <f>"0603-015"</f>
        <v>0603-015</v>
      </c>
      <c r="D6019" s="2" t="s">
        <v>7656</v>
      </c>
      <c r="E6019" s="4">
        <v>22500</v>
      </c>
    </row>
    <row r="6020" spans="1:5">
      <c r="A6020" s="2" t="s">
        <v>296</v>
      </c>
      <c r="B6020" s="2" t="str">
        <f>"003701010-3"</f>
        <v>003701010-3</v>
      </c>
      <c r="C6020" s="2" t="str">
        <f>"00371010-3"</f>
        <v>00371010-3</v>
      </c>
      <c r="D6020" s="2" t="s">
        <v>7657</v>
      </c>
      <c r="E6020" s="4">
        <v>25000</v>
      </c>
    </row>
    <row r="6021" spans="1:5">
      <c r="A6021" s="2" t="s">
        <v>296</v>
      </c>
      <c r="B6021" s="2" t="s">
        <v>7658</v>
      </c>
      <c r="C6021" s="2" t="s">
        <v>7658</v>
      </c>
      <c r="D6021" s="2" t="s">
        <v>7659</v>
      </c>
      <c r="E6021" s="4">
        <v>39000</v>
      </c>
    </row>
    <row r="6022" spans="1:5">
      <c r="A6022" s="2" t="s">
        <v>296</v>
      </c>
      <c r="B6022" s="2" t="str">
        <f>"271238"</f>
        <v>271238</v>
      </c>
      <c r="C6022" s="2" t="str">
        <f>"271238"</f>
        <v>271238</v>
      </c>
      <c r="D6022" s="2" t="s">
        <v>7660</v>
      </c>
      <c r="E6022" s="4">
        <v>28800</v>
      </c>
    </row>
    <row r="6023" spans="1:5">
      <c r="A6023" s="2" t="s">
        <v>296</v>
      </c>
      <c r="B6023" s="2" t="str">
        <f>"38003-4300"</f>
        <v>38003-4300</v>
      </c>
      <c r="C6023" s="2" t="str">
        <f>"38003-4300"</f>
        <v>38003-4300</v>
      </c>
      <c r="D6023" s="2" t="s">
        <v>7661</v>
      </c>
      <c r="E6023" s="4">
        <v>25000</v>
      </c>
    </row>
    <row r="6024" spans="1:5">
      <c r="A6024" s="2" t="s">
        <v>296</v>
      </c>
      <c r="B6024" s="2" t="str">
        <f>"270239"</f>
        <v>270239</v>
      </c>
      <c r="C6024" s="2" t="str">
        <f>"270239"</f>
        <v>270239</v>
      </c>
      <c r="D6024" s="2" t="s">
        <v>7662</v>
      </c>
      <c r="E6024" s="4">
        <v>38500</v>
      </c>
    </row>
    <row r="6025" spans="1:5">
      <c r="A6025" s="2" t="s">
        <v>296</v>
      </c>
      <c r="B6025" s="2" t="str">
        <f>"61218"</f>
        <v>61218</v>
      </c>
      <c r="C6025" s="2" t="str">
        <f>"1445374783"</f>
        <v>1445374783</v>
      </c>
      <c r="D6025" s="2" t="s">
        <v>7663</v>
      </c>
      <c r="E6025" s="4">
        <v>14500</v>
      </c>
    </row>
    <row r="6026" spans="1:5">
      <c r="A6026" s="2" t="s">
        <v>296</v>
      </c>
      <c r="B6026" s="2" t="str">
        <f>"280068"</f>
        <v>280068</v>
      </c>
      <c r="C6026" s="2" t="str">
        <f>"280068"</f>
        <v>280068</v>
      </c>
      <c r="D6026" s="2" t="s">
        <v>7664</v>
      </c>
      <c r="E6026" s="4">
        <v>32800</v>
      </c>
    </row>
    <row r="6027" spans="1:5">
      <c r="A6027" s="2" t="s">
        <v>296</v>
      </c>
      <c r="B6027" s="2" t="str">
        <f>"001711047-0"</f>
        <v>001711047-0</v>
      </c>
      <c r="C6027" s="2" t="str">
        <f>"001711047-0"</f>
        <v>001711047-0</v>
      </c>
      <c r="D6027" s="2" t="s">
        <v>7665</v>
      </c>
      <c r="E6027" s="4">
        <v>23200</v>
      </c>
    </row>
    <row r="6028" spans="1:5">
      <c r="A6028" s="2" t="s">
        <v>296</v>
      </c>
      <c r="B6028" s="2" t="str">
        <f>"1533-2038"</f>
        <v>1533-2038</v>
      </c>
      <c r="C6028" s="2" t="str">
        <f>"1533-2038"</f>
        <v>1533-2038</v>
      </c>
      <c r="D6028" s="2" t="s">
        <v>7666</v>
      </c>
      <c r="E6028" s="4">
        <v>19900</v>
      </c>
    </row>
    <row r="6029" spans="1:5">
      <c r="A6029" s="2" t="s">
        <v>296</v>
      </c>
      <c r="B6029" s="2" t="str">
        <f>"281276"</f>
        <v>281276</v>
      </c>
      <c r="C6029" s="2" t="str">
        <f>"281276"</f>
        <v>281276</v>
      </c>
      <c r="D6029" s="2" t="s">
        <v>7667</v>
      </c>
      <c r="E6029" s="4">
        <v>25000</v>
      </c>
    </row>
    <row r="6030" spans="1:5">
      <c r="A6030" s="2" t="s">
        <v>296</v>
      </c>
      <c r="B6030" s="2" t="str">
        <f>"17110969"</f>
        <v>17110969</v>
      </c>
      <c r="C6030" s="2" t="s">
        <v>7668</v>
      </c>
      <c r="D6030" s="2" t="s">
        <v>7669</v>
      </c>
      <c r="E6030" s="4">
        <v>31500</v>
      </c>
    </row>
    <row r="6031" spans="1:5">
      <c r="A6031" s="2" t="s">
        <v>296</v>
      </c>
      <c r="B6031" s="2" t="str">
        <f>"0643-045"</f>
        <v>0643-045</v>
      </c>
      <c r="C6031" s="2" t="str">
        <f>"0643-045"</f>
        <v>0643-045</v>
      </c>
      <c r="D6031" s="2" t="s">
        <v>7670</v>
      </c>
      <c r="E6031" s="4">
        <v>28600</v>
      </c>
    </row>
    <row r="6032" spans="1:5">
      <c r="A6032" s="2" t="s">
        <v>296</v>
      </c>
      <c r="B6032" s="2" t="str">
        <f>"50829"</f>
        <v>50829</v>
      </c>
      <c r="C6032" s="2" t="str">
        <f>"50829"</f>
        <v>50829</v>
      </c>
      <c r="D6032" s="2" t="s">
        <v>7671</v>
      </c>
      <c r="E6032" s="4">
        <v>13800</v>
      </c>
    </row>
    <row r="6033" spans="1:5">
      <c r="A6033" s="2" t="s">
        <v>296</v>
      </c>
      <c r="B6033" s="2" t="str">
        <f>"10710"</f>
        <v>10710</v>
      </c>
      <c r="C6033" s="2" t="str">
        <f>"10710"</f>
        <v>10710</v>
      </c>
      <c r="D6033" s="2" t="s">
        <v>7672</v>
      </c>
      <c r="E6033" s="4">
        <v>18000</v>
      </c>
    </row>
    <row r="6034" spans="1:5">
      <c r="A6034" s="2" t="s">
        <v>296</v>
      </c>
      <c r="B6034" s="2" t="str">
        <f>"15332017"</f>
        <v>15332017</v>
      </c>
      <c r="C6034" s="2" t="str">
        <f>"15332017"</f>
        <v>15332017</v>
      </c>
      <c r="D6034" s="2" t="s">
        <v>7673</v>
      </c>
      <c r="E6034" s="4">
        <v>12500</v>
      </c>
    </row>
    <row r="6035" spans="1:5">
      <c r="A6035" s="2" t="s">
        <v>296</v>
      </c>
      <c r="B6035" s="2" t="str">
        <f>"0001014"</f>
        <v>0001014</v>
      </c>
      <c r="C6035" s="2" t="str">
        <f>"0001014"</f>
        <v>0001014</v>
      </c>
      <c r="D6035" s="2" t="s">
        <v>7674</v>
      </c>
      <c r="E6035" s="4">
        <v>28600</v>
      </c>
    </row>
    <row r="6036" spans="1:5">
      <c r="A6036" s="2" t="s">
        <v>296</v>
      </c>
      <c r="B6036" s="2" t="str">
        <f>"280071"</f>
        <v>280071</v>
      </c>
      <c r="C6036" s="2" t="str">
        <f>"280071"</f>
        <v>280071</v>
      </c>
      <c r="D6036" s="2" t="s">
        <v>7675</v>
      </c>
      <c r="E6036" s="4">
        <v>38000</v>
      </c>
    </row>
    <row r="6037" spans="1:5">
      <c r="A6037" s="2" t="s">
        <v>296</v>
      </c>
      <c r="B6037" s="2" t="str">
        <f>"0001015"</f>
        <v>0001015</v>
      </c>
      <c r="C6037" s="2" t="str">
        <f>"0001015"</f>
        <v>0001015</v>
      </c>
      <c r="D6037" s="2" t="s">
        <v>7676</v>
      </c>
      <c r="E6037" s="4">
        <v>34900</v>
      </c>
    </row>
    <row r="6038" spans="1:5" ht="27.6">
      <c r="A6038" s="2" t="s">
        <v>296</v>
      </c>
      <c r="B6038" s="2" t="str">
        <f>"010060502"</f>
        <v>010060502</v>
      </c>
      <c r="C6038" s="2" t="str">
        <f>"010060502"</f>
        <v>010060502</v>
      </c>
      <c r="D6038" s="2" t="s">
        <v>7677</v>
      </c>
      <c r="E6038" s="4">
        <v>25000</v>
      </c>
    </row>
    <row r="6039" spans="1:5">
      <c r="A6039" s="2" t="s">
        <v>296</v>
      </c>
      <c r="B6039" s="2" t="str">
        <f>"001711015-2"</f>
        <v>001711015-2</v>
      </c>
      <c r="C6039" s="2" t="str">
        <f>"001711015-2"</f>
        <v>001711015-2</v>
      </c>
      <c r="D6039" s="2" t="s">
        <v>7678</v>
      </c>
      <c r="E6039" s="4">
        <v>24100</v>
      </c>
    </row>
    <row r="6040" spans="1:5">
      <c r="A6040" s="2" t="s">
        <v>296</v>
      </c>
      <c r="B6040" s="2" t="str">
        <f>"280052"</f>
        <v>280052</v>
      </c>
      <c r="C6040" s="2" t="str">
        <f>"280052"</f>
        <v>280052</v>
      </c>
      <c r="D6040" s="2" t="s">
        <v>7679</v>
      </c>
      <c r="E6040" s="4">
        <v>18600</v>
      </c>
    </row>
    <row r="6041" spans="1:5">
      <c r="A6041" s="2" t="s">
        <v>296</v>
      </c>
      <c r="B6041" s="2" t="str">
        <f>"280038"</f>
        <v>280038</v>
      </c>
      <c r="C6041" s="2" t="str">
        <f>"280038"</f>
        <v>280038</v>
      </c>
      <c r="D6041" s="2" t="s">
        <v>7680</v>
      </c>
      <c r="E6041" s="4">
        <v>29500</v>
      </c>
    </row>
    <row r="6042" spans="1:5">
      <c r="A6042" s="2" t="s">
        <v>296</v>
      </c>
      <c r="B6042" s="2" t="str">
        <f>"001711030-6"</f>
        <v>001711030-6</v>
      </c>
      <c r="C6042" s="2" t="str">
        <f>"1711030-6"</f>
        <v>1711030-6</v>
      </c>
      <c r="D6042" s="2" t="s">
        <v>7681</v>
      </c>
      <c r="E6042" s="4">
        <v>18700</v>
      </c>
    </row>
    <row r="6043" spans="1:5">
      <c r="A6043" s="2" t="s">
        <v>296</v>
      </c>
      <c r="B6043" s="2" t="str">
        <f>"290011"</f>
        <v>290011</v>
      </c>
      <c r="C6043" s="2" t="str">
        <f>"290011"</f>
        <v>290011</v>
      </c>
      <c r="D6043" s="2" t="s">
        <v>7682</v>
      </c>
      <c r="E6043" s="4">
        <v>34000</v>
      </c>
    </row>
    <row r="6044" spans="1:5">
      <c r="A6044" s="2" t="s">
        <v>296</v>
      </c>
      <c r="B6044" s="2" t="str">
        <f>"280055"</f>
        <v>280055</v>
      </c>
      <c r="C6044" s="2" t="str">
        <f>"280055"</f>
        <v>280055</v>
      </c>
      <c r="D6044" s="2" t="s">
        <v>7683</v>
      </c>
      <c r="E6044" s="4">
        <v>19600</v>
      </c>
    </row>
    <row r="6045" spans="1:5">
      <c r="A6045" s="2" t="s">
        <v>296</v>
      </c>
      <c r="B6045" s="2" t="str">
        <f>"001711125-6"</f>
        <v>001711125-6</v>
      </c>
      <c r="C6045" s="2" t="str">
        <f>"1711125-6"</f>
        <v>1711125-6</v>
      </c>
      <c r="D6045" s="2" t="s">
        <v>7684</v>
      </c>
      <c r="E6045" s="4">
        <v>29500</v>
      </c>
    </row>
    <row r="6046" spans="1:5">
      <c r="A6046" s="2" t="s">
        <v>296</v>
      </c>
      <c r="B6046" s="2" t="str">
        <f>"001711115-9"</f>
        <v>001711115-9</v>
      </c>
      <c r="C6046" s="2" t="str">
        <f>"1711115-9"</f>
        <v>1711115-9</v>
      </c>
      <c r="D6046" s="2" t="s">
        <v>7685</v>
      </c>
      <c r="E6046" s="4">
        <v>29500</v>
      </c>
    </row>
    <row r="6047" spans="1:5">
      <c r="A6047" s="2" t="s">
        <v>296</v>
      </c>
      <c r="B6047" s="2" t="str">
        <f>"11060R"</f>
        <v>11060R</v>
      </c>
      <c r="C6047" s="2" t="str">
        <f>"11060R"</f>
        <v>11060R</v>
      </c>
      <c r="D6047" s="2" t="s">
        <v>7686</v>
      </c>
      <c r="E6047" s="4">
        <v>17900</v>
      </c>
    </row>
    <row r="6048" spans="1:5">
      <c r="A6048" s="2" t="s">
        <v>296</v>
      </c>
      <c r="B6048" s="2" t="str">
        <f>"191581"</f>
        <v>191581</v>
      </c>
      <c r="C6048" s="2" t="str">
        <f>"191581"</f>
        <v>191581</v>
      </c>
      <c r="D6048" s="2" t="s">
        <v>7687</v>
      </c>
      <c r="E6048" s="4">
        <v>37500</v>
      </c>
    </row>
    <row r="6049" spans="1:5">
      <c r="A6049" s="2" t="s">
        <v>296</v>
      </c>
      <c r="B6049" s="2" t="str">
        <f>"196580"</f>
        <v>196580</v>
      </c>
      <c r="C6049" s="2" t="str">
        <f>"196580"</f>
        <v>196580</v>
      </c>
      <c r="D6049" s="2" t="s">
        <v>7688</v>
      </c>
      <c r="E6049" s="4">
        <v>22600</v>
      </c>
    </row>
    <row r="6050" spans="1:5">
      <c r="A6050" s="2" t="s">
        <v>296</v>
      </c>
      <c r="B6050" s="2" t="str">
        <f>"191612"</f>
        <v>191612</v>
      </c>
      <c r="C6050" s="2" t="str">
        <f>"191612"</f>
        <v>191612</v>
      </c>
      <c r="D6050" s="2" t="s">
        <v>7689</v>
      </c>
      <c r="E6050" s="4">
        <v>82000</v>
      </c>
    </row>
    <row r="6051" spans="1:5">
      <c r="A6051" s="2" t="s">
        <v>296</v>
      </c>
      <c r="B6051" s="2" t="str">
        <f>"2033-7156"</f>
        <v>2033-7156</v>
      </c>
      <c r="C6051" s="2" t="str">
        <f>"2033-7156"</f>
        <v>2033-7156</v>
      </c>
      <c r="D6051" s="2" t="s">
        <v>7690</v>
      </c>
      <c r="E6051" s="4">
        <v>23900</v>
      </c>
    </row>
    <row r="6052" spans="1:5">
      <c r="A6052" s="2" t="s">
        <v>296</v>
      </c>
      <c r="B6052" s="2" t="str">
        <f>"2033-7132"</f>
        <v>2033-7132</v>
      </c>
      <c r="C6052" s="2" t="str">
        <f>"2033-7132"</f>
        <v>2033-7132</v>
      </c>
      <c r="D6052" s="2" t="s">
        <v>7691</v>
      </c>
      <c r="E6052" s="4">
        <v>18000</v>
      </c>
    </row>
    <row r="6053" spans="1:5">
      <c r="A6053" s="2" t="s">
        <v>296</v>
      </c>
      <c r="B6053" s="2" t="str">
        <f>"20337128"</f>
        <v>20337128</v>
      </c>
      <c r="C6053" s="2" t="str">
        <f>"20337128"</f>
        <v>20337128</v>
      </c>
      <c r="D6053" s="2" t="s">
        <v>7692</v>
      </c>
      <c r="E6053" s="4">
        <v>16800</v>
      </c>
    </row>
    <row r="6054" spans="1:5">
      <c r="A6054" s="2" t="s">
        <v>296</v>
      </c>
      <c r="B6054" s="2" t="str">
        <f>"281366"</f>
        <v>281366</v>
      </c>
      <c r="C6054" s="2" t="str">
        <f>"281366"</f>
        <v>281366</v>
      </c>
      <c r="D6054" s="2" t="s">
        <v>7693</v>
      </c>
      <c r="E6054" s="4">
        <v>42800</v>
      </c>
    </row>
    <row r="6055" spans="1:5">
      <c r="A6055" s="2" t="s">
        <v>296</v>
      </c>
      <c r="B6055" s="2" t="str">
        <f>"312490"</f>
        <v>312490</v>
      </c>
      <c r="C6055" s="2" t="str">
        <f>"312490"</f>
        <v>312490</v>
      </c>
      <c r="D6055" s="2" t="s">
        <v>7694</v>
      </c>
      <c r="E6055" s="4">
        <v>38500</v>
      </c>
    </row>
    <row r="6056" spans="1:5">
      <c r="A6056" s="2" t="s">
        <v>296</v>
      </c>
      <c r="B6056" s="2" t="str">
        <f>"191642"</f>
        <v>191642</v>
      </c>
      <c r="C6056" s="2" t="str">
        <f>"191642"</f>
        <v>191642</v>
      </c>
      <c r="D6056" s="2" t="s">
        <v>7695</v>
      </c>
      <c r="E6056" s="4">
        <v>38500</v>
      </c>
    </row>
    <row r="6057" spans="1:5">
      <c r="A6057" s="2" t="s">
        <v>296</v>
      </c>
      <c r="B6057" s="2" t="str">
        <f>"237360"</f>
        <v>237360</v>
      </c>
      <c r="C6057" s="2" t="str">
        <f>"237360"</f>
        <v>237360</v>
      </c>
      <c r="D6057" s="2" t="s">
        <v>7696</v>
      </c>
      <c r="E6057" s="4">
        <v>29500</v>
      </c>
    </row>
    <row r="6058" spans="1:5">
      <c r="A6058" s="2" t="s">
        <v>296</v>
      </c>
      <c r="B6058" s="2" t="str">
        <f>"191600"</f>
        <v>191600</v>
      </c>
      <c r="C6058" s="2" t="str">
        <f>"191600"</f>
        <v>191600</v>
      </c>
      <c r="D6058" s="2" t="s">
        <v>7697</v>
      </c>
      <c r="E6058" s="4">
        <v>28900</v>
      </c>
    </row>
    <row r="6059" spans="1:5">
      <c r="A6059" s="2" t="s">
        <v>296</v>
      </c>
      <c r="B6059" s="2" t="str">
        <f>"010060255"</f>
        <v>010060255</v>
      </c>
      <c r="C6059" s="2" t="str">
        <f>"010060255"</f>
        <v>010060255</v>
      </c>
      <c r="D6059" s="2" t="s">
        <v>7698</v>
      </c>
      <c r="E6059" s="4">
        <v>62000</v>
      </c>
    </row>
    <row r="6060" spans="1:5">
      <c r="A6060" s="2" t="s">
        <v>296</v>
      </c>
      <c r="B6060" s="2" t="str">
        <f>"301181"</f>
        <v>301181</v>
      </c>
      <c r="C6060" s="2" t="str">
        <f>"301181"</f>
        <v>301181</v>
      </c>
      <c r="D6060" s="2" t="s">
        <v>7699</v>
      </c>
      <c r="E6060" s="4">
        <v>54000</v>
      </c>
    </row>
    <row r="6061" spans="1:5">
      <c r="A6061" s="2" t="s">
        <v>296</v>
      </c>
      <c r="B6061" s="2" t="str">
        <f>"288774"</f>
        <v>288774</v>
      </c>
      <c r="C6061" s="2" t="str">
        <f>"288774"</f>
        <v>288774</v>
      </c>
      <c r="D6061" s="2" t="s">
        <v>7700</v>
      </c>
      <c r="E6061" s="4">
        <v>34000</v>
      </c>
    </row>
    <row r="6062" spans="1:5">
      <c r="A6062" s="2" t="s">
        <v>296</v>
      </c>
      <c r="B6062" s="2" t="str">
        <f>"000911302-9"</f>
        <v>000911302-9</v>
      </c>
      <c r="C6062" s="2" t="str">
        <f>"000911302-9"</f>
        <v>000911302-9</v>
      </c>
      <c r="D6062" s="2" t="s">
        <v>7701</v>
      </c>
      <c r="E6062" s="4">
        <v>28600</v>
      </c>
    </row>
    <row r="6063" spans="1:5">
      <c r="A6063" s="2" t="s">
        <v>296</v>
      </c>
      <c r="B6063" s="2" t="str">
        <f>"289512"</f>
        <v>289512</v>
      </c>
      <c r="C6063" s="2" t="str">
        <f>"289512"</f>
        <v>289512</v>
      </c>
      <c r="D6063" s="2" t="s">
        <v>7702</v>
      </c>
      <c r="E6063" s="4">
        <v>32200</v>
      </c>
    </row>
    <row r="6064" spans="1:5">
      <c r="A6064" s="2" t="s">
        <v>296</v>
      </c>
      <c r="B6064" s="2" t="str">
        <f>"289510"</f>
        <v>289510</v>
      </c>
      <c r="C6064" s="2" t="str">
        <f>"289510"</f>
        <v>289510</v>
      </c>
      <c r="D6064" s="2" t="s">
        <v>7703</v>
      </c>
      <c r="E6064" s="4">
        <v>34000</v>
      </c>
    </row>
    <row r="6065" spans="1:5">
      <c r="A6065" s="2" t="s">
        <v>296</v>
      </c>
      <c r="B6065" s="2" t="str">
        <f>"302281"</f>
        <v>302281</v>
      </c>
      <c r="C6065" s="2" t="str">
        <f>"302281"</f>
        <v>302281</v>
      </c>
      <c r="D6065" s="2" t="s">
        <v>7704</v>
      </c>
      <c r="E6065" s="4">
        <v>39500</v>
      </c>
    </row>
    <row r="6066" spans="1:5">
      <c r="A6066" s="2" t="s">
        <v>296</v>
      </c>
      <c r="B6066" s="2" t="str">
        <f>"25332604"</f>
        <v>25332604</v>
      </c>
      <c r="C6066" s="2" t="str">
        <f>"25332604"</f>
        <v>25332604</v>
      </c>
      <c r="D6066" s="2" t="s">
        <v>7705</v>
      </c>
      <c r="E6066" s="4">
        <v>12500</v>
      </c>
    </row>
    <row r="6067" spans="1:5">
      <c r="A6067" s="2" t="s">
        <v>296</v>
      </c>
      <c r="B6067" s="2" t="str">
        <f>"1000205"</f>
        <v>1000205</v>
      </c>
      <c r="C6067" s="2" t="str">
        <f>"1000205"</f>
        <v>1000205</v>
      </c>
      <c r="D6067" s="2" t="s">
        <v>7706</v>
      </c>
      <c r="E6067" s="4">
        <v>34000</v>
      </c>
    </row>
    <row r="6068" spans="1:5">
      <c r="A6068" s="2" t="s">
        <v>296</v>
      </c>
      <c r="B6068" s="2" t="str">
        <f>"010060578"</f>
        <v>010060578</v>
      </c>
      <c r="C6068" s="2" t="str">
        <f>"010060578"</f>
        <v>010060578</v>
      </c>
      <c r="D6068" s="2" t="s">
        <v>7707</v>
      </c>
      <c r="E6068" s="4">
        <v>34000</v>
      </c>
    </row>
    <row r="6069" spans="1:5">
      <c r="A6069" s="2" t="s">
        <v>296</v>
      </c>
      <c r="B6069" s="2" t="str">
        <f>"160114"</f>
        <v>160114</v>
      </c>
      <c r="C6069" s="2" t="str">
        <f>"160114"</f>
        <v>160114</v>
      </c>
      <c r="D6069" s="2" t="s">
        <v>7708</v>
      </c>
      <c r="E6069" s="4">
        <v>27900</v>
      </c>
    </row>
    <row r="6070" spans="1:5">
      <c r="A6070" s="2" t="s">
        <v>296</v>
      </c>
      <c r="B6070" s="2" t="str">
        <f>"87712"</f>
        <v>87712</v>
      </c>
      <c r="C6070" s="2" t="str">
        <f>"87712"</f>
        <v>87712</v>
      </c>
      <c r="D6070" s="2" t="s">
        <v>7709</v>
      </c>
      <c r="E6070" s="4">
        <v>11000</v>
      </c>
    </row>
    <row r="6071" spans="1:5">
      <c r="A6071" s="2" t="s">
        <v>296</v>
      </c>
      <c r="B6071" s="2" t="str">
        <f>"160007"</f>
        <v>160007</v>
      </c>
      <c r="C6071" s="2" t="str">
        <f>"160007"</f>
        <v>160007</v>
      </c>
      <c r="D6071" s="2" t="s">
        <v>7710</v>
      </c>
      <c r="E6071" s="4">
        <v>7000</v>
      </c>
    </row>
    <row r="6072" spans="1:5">
      <c r="A6072" s="2" t="s">
        <v>296</v>
      </c>
      <c r="B6072" s="2" t="str">
        <f>"284742"</f>
        <v>284742</v>
      </c>
      <c r="C6072" s="2" t="str">
        <f>"284742"</f>
        <v>284742</v>
      </c>
      <c r="D6072" s="2" t="s">
        <v>7711</v>
      </c>
      <c r="E6072" s="4">
        <v>115000</v>
      </c>
    </row>
    <row r="6073" spans="1:5">
      <c r="A6073" s="2" t="s">
        <v>2544</v>
      </c>
      <c r="B6073" s="2" t="str">
        <f>"230611"</f>
        <v>230611</v>
      </c>
      <c r="C6073" s="2" t="str">
        <f>"230611"</f>
        <v>230611</v>
      </c>
      <c r="D6073" s="2" t="s">
        <v>7712</v>
      </c>
      <c r="E6073" s="4">
        <v>12800</v>
      </c>
    </row>
    <row r="6074" spans="1:5">
      <c r="A6074" s="2" t="s">
        <v>2544</v>
      </c>
      <c r="B6074" s="2" t="str">
        <f>"287237"</f>
        <v>287237</v>
      </c>
      <c r="C6074" s="2" t="str">
        <f>"287237"</f>
        <v>287237</v>
      </c>
      <c r="D6074" s="2" t="s">
        <v>7713</v>
      </c>
      <c r="E6074" s="4">
        <v>17500</v>
      </c>
    </row>
    <row r="6075" spans="1:5">
      <c r="A6075" s="2" t="s">
        <v>296</v>
      </c>
      <c r="B6075" s="2" t="str">
        <f>"3194#4"</f>
        <v>3194#4</v>
      </c>
      <c r="C6075" s="2" t="str">
        <f>"3194#4"</f>
        <v>3194#4</v>
      </c>
      <c r="D6075" s="2" t="s">
        <v>7714</v>
      </c>
      <c r="E6075" s="4">
        <v>18000</v>
      </c>
    </row>
    <row r="6076" spans="1:5">
      <c r="A6076" s="2" t="s">
        <v>296</v>
      </c>
      <c r="B6076" s="2" t="str">
        <f>"3165141077193"</f>
        <v>3165141077193</v>
      </c>
      <c r="C6076" s="2" t="str">
        <f>"300518"</f>
        <v>300518</v>
      </c>
      <c r="D6076" s="2" t="s">
        <v>7715</v>
      </c>
      <c r="E6076" s="4">
        <v>18000</v>
      </c>
    </row>
    <row r="6077" spans="1:5">
      <c r="A6077" s="2" t="s">
        <v>296</v>
      </c>
      <c r="B6077" s="2" t="str">
        <f>"287651"</f>
        <v>287651</v>
      </c>
      <c r="C6077" s="2" t="str">
        <f>"287651"</f>
        <v>287651</v>
      </c>
      <c r="D6077" s="2" t="s">
        <v>7716</v>
      </c>
      <c r="E6077" s="4">
        <v>8500</v>
      </c>
    </row>
    <row r="6078" spans="1:5">
      <c r="A6078" s="2" t="s">
        <v>296</v>
      </c>
      <c r="B6078" s="2" t="str">
        <f>"287634"</f>
        <v>287634</v>
      </c>
      <c r="C6078" s="2" t="str">
        <f>"287634"</f>
        <v>287634</v>
      </c>
      <c r="D6078" s="2" t="s">
        <v>7717</v>
      </c>
      <c r="E6078" s="4">
        <v>11500</v>
      </c>
    </row>
    <row r="6079" spans="1:5">
      <c r="A6079" s="2" t="s">
        <v>296</v>
      </c>
      <c r="B6079" s="2" t="str">
        <f>"287389"</f>
        <v>287389</v>
      </c>
      <c r="C6079" s="2" t="str">
        <f>"287389"</f>
        <v>287389</v>
      </c>
      <c r="D6079" s="2" t="s">
        <v>7718</v>
      </c>
      <c r="E6079" s="4">
        <v>21400</v>
      </c>
    </row>
    <row r="6080" spans="1:5">
      <c r="A6080" s="2" t="s">
        <v>296</v>
      </c>
      <c r="B6080" s="2" t="s">
        <v>7719</v>
      </c>
      <c r="C6080" s="2" t="s">
        <v>7719</v>
      </c>
      <c r="D6080" s="2" t="s">
        <v>7720</v>
      </c>
      <c r="E6080" s="4">
        <v>6100</v>
      </c>
    </row>
    <row r="6081" spans="1:5">
      <c r="A6081" s="2" t="s">
        <v>296</v>
      </c>
      <c r="B6081" s="2" t="str">
        <f>"9702"</f>
        <v>9702</v>
      </c>
      <c r="C6081" s="2" t="str">
        <f>"9702"</f>
        <v>9702</v>
      </c>
      <c r="D6081" s="2" t="s">
        <v>7721</v>
      </c>
      <c r="E6081" s="4">
        <v>6300</v>
      </c>
    </row>
    <row r="6082" spans="1:5">
      <c r="A6082" s="2" t="s">
        <v>296</v>
      </c>
      <c r="B6082" s="2" t="str">
        <f>"39-035"</f>
        <v>39-035</v>
      </c>
      <c r="C6082" s="2" t="str">
        <f>"39-035"</f>
        <v>39-035</v>
      </c>
      <c r="D6082" s="2" t="s">
        <v>7722</v>
      </c>
      <c r="E6082" s="4">
        <v>17900</v>
      </c>
    </row>
    <row r="6083" spans="1:5">
      <c r="A6083" s="2" t="s">
        <v>296</v>
      </c>
      <c r="B6083" s="2" t="str">
        <f>"2239-033"</f>
        <v>2239-033</v>
      </c>
      <c r="C6083" s="2" t="str">
        <f>"2239-033"</f>
        <v>2239-033</v>
      </c>
      <c r="D6083" s="2" t="s">
        <v>7723</v>
      </c>
      <c r="E6083" s="4">
        <v>24500</v>
      </c>
    </row>
    <row r="6084" spans="1:5">
      <c r="A6084" s="2" t="s">
        <v>296</v>
      </c>
      <c r="B6084" s="2" t="str">
        <f>"1234B"</f>
        <v>1234B</v>
      </c>
      <c r="C6084" s="2" t="str">
        <f>"1234B"</f>
        <v>1234B</v>
      </c>
      <c r="D6084" s="2" t="s">
        <v>7724</v>
      </c>
      <c r="E6084" s="4">
        <v>14500</v>
      </c>
    </row>
    <row r="6085" spans="1:5">
      <c r="A6085" s="2" t="s">
        <v>296</v>
      </c>
      <c r="B6085" s="2" t="str">
        <f>"1171610"</f>
        <v>1171610</v>
      </c>
      <c r="C6085" s="2" t="str">
        <f>"1171610"</f>
        <v>1171610</v>
      </c>
      <c r="D6085" s="2" t="s">
        <v>7725</v>
      </c>
      <c r="E6085" s="4">
        <v>12400</v>
      </c>
    </row>
    <row r="6086" spans="1:5">
      <c r="A6086" s="2" t="s">
        <v>2544</v>
      </c>
      <c r="B6086" s="2" t="str">
        <f>"070484"</f>
        <v>070484</v>
      </c>
      <c r="C6086" s="2" t="str">
        <f>"070484"</f>
        <v>070484</v>
      </c>
      <c r="D6086" s="2" t="s">
        <v>7726</v>
      </c>
      <c r="E6086" s="4">
        <v>9700</v>
      </c>
    </row>
    <row r="6087" spans="1:5">
      <c r="A6087" s="2" t="s">
        <v>2544</v>
      </c>
      <c r="B6087" s="2" t="str">
        <f>"7502012183120"</f>
        <v>7502012183120</v>
      </c>
      <c r="C6087" s="2" t="s">
        <v>7727</v>
      </c>
      <c r="D6087" s="2" t="s">
        <v>7728</v>
      </c>
      <c r="E6087" s="4">
        <v>18000</v>
      </c>
    </row>
    <row r="6088" spans="1:5">
      <c r="A6088" s="2" t="s">
        <v>2544</v>
      </c>
      <c r="B6088" s="2" t="s">
        <v>7729</v>
      </c>
      <c r="C6088" s="2" t="s">
        <v>7729</v>
      </c>
      <c r="D6088" s="2" t="s">
        <v>7730</v>
      </c>
      <c r="E6088" s="4">
        <v>11500</v>
      </c>
    </row>
    <row r="6089" spans="1:5">
      <c r="A6089" s="2" t="s">
        <v>296</v>
      </c>
      <c r="B6089" s="2" t="str">
        <f>"7502012190999"</f>
        <v>7502012190999</v>
      </c>
      <c r="C6089" s="2" t="s">
        <v>7731</v>
      </c>
      <c r="D6089" s="2" t="s">
        <v>7732</v>
      </c>
      <c r="E6089" s="4">
        <v>9700</v>
      </c>
    </row>
    <row r="6090" spans="1:5">
      <c r="A6090" s="2" t="s">
        <v>296</v>
      </c>
      <c r="B6090" s="2" t="str">
        <f>"070363"</f>
        <v>070363</v>
      </c>
      <c r="C6090" s="2" t="str">
        <f>"070363"</f>
        <v>070363</v>
      </c>
      <c r="D6090" s="2" t="s">
        <v>7733</v>
      </c>
      <c r="E6090" s="4">
        <v>6100</v>
      </c>
    </row>
    <row r="6091" spans="1:5">
      <c r="A6091" s="2" t="s">
        <v>296</v>
      </c>
      <c r="B6091" s="2" t="str">
        <f>"282829"</f>
        <v>282829</v>
      </c>
      <c r="C6091" s="2" t="str">
        <f>"282829"</f>
        <v>282829</v>
      </c>
      <c r="D6091" s="2" t="s">
        <v>7734</v>
      </c>
      <c r="E6091" s="4">
        <v>32200</v>
      </c>
    </row>
    <row r="6092" spans="1:5">
      <c r="A6092" s="2" t="s">
        <v>296</v>
      </c>
      <c r="B6092" s="2" t="str">
        <f>"0005352"</f>
        <v>0005352</v>
      </c>
      <c r="C6092" s="2" t="str">
        <f>"0005352"</f>
        <v>0005352</v>
      </c>
      <c r="D6092" s="2" t="s">
        <v>7735</v>
      </c>
      <c r="E6092" s="4">
        <v>8800</v>
      </c>
    </row>
    <row r="6093" spans="1:5">
      <c r="A6093" s="2" t="s">
        <v>2544</v>
      </c>
      <c r="B6093" s="2" t="str">
        <f>"7502012193556"</f>
        <v>7502012193556</v>
      </c>
      <c r="C6093" s="2" t="str">
        <f>"1771870"</f>
        <v>1771870</v>
      </c>
      <c r="D6093" s="2" t="s">
        <v>7736</v>
      </c>
      <c r="E6093" s="4">
        <v>11500</v>
      </c>
    </row>
    <row r="6094" spans="1:5">
      <c r="A6094" s="2" t="s">
        <v>296</v>
      </c>
      <c r="B6094" s="2" t="str">
        <f>"287682"</f>
        <v>287682</v>
      </c>
      <c r="C6094" s="2" t="str">
        <f>"287682"</f>
        <v>287682</v>
      </c>
      <c r="D6094" s="2" t="s">
        <v>7737</v>
      </c>
      <c r="E6094" s="4">
        <v>18800</v>
      </c>
    </row>
    <row r="6095" spans="1:5">
      <c r="A6095" s="2" t="s">
        <v>296</v>
      </c>
      <c r="B6095" s="2" t="str">
        <f>"1171064"</f>
        <v>1171064</v>
      </c>
      <c r="C6095" s="2" t="str">
        <f>"1171064"</f>
        <v>1171064</v>
      </c>
      <c r="D6095" s="2" t="s">
        <v>7738</v>
      </c>
      <c r="E6095" s="4">
        <v>7000</v>
      </c>
    </row>
    <row r="6096" spans="1:5">
      <c r="A6096" s="2" t="s">
        <v>296</v>
      </c>
      <c r="B6096" s="2" t="s">
        <v>7739</v>
      </c>
      <c r="C6096" s="2" t="s">
        <v>7739</v>
      </c>
      <c r="D6096" s="2" t="s">
        <v>7740</v>
      </c>
      <c r="E6096" s="4">
        <v>10600</v>
      </c>
    </row>
    <row r="6097" spans="1:5">
      <c r="A6097" s="2" t="s">
        <v>296</v>
      </c>
      <c r="B6097" s="2" t="str">
        <f>"287684"</f>
        <v>287684</v>
      </c>
      <c r="C6097" s="2" t="str">
        <f>"287684"</f>
        <v>287684</v>
      </c>
      <c r="D6097" s="2" t="s">
        <v>7741</v>
      </c>
      <c r="E6097" s="4">
        <v>8800</v>
      </c>
    </row>
    <row r="6098" spans="1:5">
      <c r="A6098" s="2" t="s">
        <v>296</v>
      </c>
      <c r="B6098" s="2" t="str">
        <f>"287688"</f>
        <v>287688</v>
      </c>
      <c r="C6098" s="2" t="str">
        <f>"287688"</f>
        <v>287688</v>
      </c>
      <c r="D6098" s="2" t="s">
        <v>7742</v>
      </c>
      <c r="E6098" s="4">
        <v>9500</v>
      </c>
    </row>
    <row r="6099" spans="1:5">
      <c r="A6099" s="2" t="s">
        <v>2544</v>
      </c>
      <c r="B6099" s="2" t="str">
        <f>"00604G20"</f>
        <v>00604G20</v>
      </c>
      <c r="C6099" s="2" t="str">
        <f>"00604G20"</f>
        <v>00604G20</v>
      </c>
      <c r="D6099" s="2" t="s">
        <v>7743</v>
      </c>
      <c r="E6099" s="4">
        <v>5800</v>
      </c>
    </row>
    <row r="6100" spans="1:5">
      <c r="A6100" s="2" t="s">
        <v>2544</v>
      </c>
      <c r="B6100" s="2" t="str">
        <f>"0005504"</f>
        <v>0005504</v>
      </c>
      <c r="C6100" s="2" t="str">
        <f>"0005504"</f>
        <v>0005504</v>
      </c>
      <c r="D6100" s="2" t="s">
        <v>7744</v>
      </c>
      <c r="E6100" s="4">
        <v>12400</v>
      </c>
    </row>
    <row r="6101" spans="1:5">
      <c r="A6101" s="2" t="s">
        <v>296</v>
      </c>
      <c r="B6101" s="2" t="str">
        <f>"0060482"</f>
        <v>0060482</v>
      </c>
      <c r="C6101" s="2" t="str">
        <f>"0060482"</f>
        <v>0060482</v>
      </c>
      <c r="D6101" s="2" t="s">
        <v>7745</v>
      </c>
      <c r="E6101" s="4">
        <v>9700</v>
      </c>
    </row>
    <row r="6102" spans="1:5">
      <c r="A6102" s="2" t="s">
        <v>296</v>
      </c>
      <c r="B6102" s="2" t="str">
        <f>"280613"</f>
        <v>280613</v>
      </c>
      <c r="C6102" s="2" t="str">
        <f>"280613"</f>
        <v>280613</v>
      </c>
      <c r="D6102" s="2" t="s">
        <v>7746</v>
      </c>
      <c r="E6102" s="4">
        <v>10600</v>
      </c>
    </row>
    <row r="6103" spans="1:5">
      <c r="A6103" s="2" t="s">
        <v>296</v>
      </c>
      <c r="B6103" s="2" t="str">
        <f>"287658"</f>
        <v>287658</v>
      </c>
      <c r="C6103" s="2" t="str">
        <f>"287658"</f>
        <v>287658</v>
      </c>
      <c r="D6103" s="2" t="s">
        <v>7747</v>
      </c>
      <c r="E6103" s="4">
        <v>11500</v>
      </c>
    </row>
    <row r="6104" spans="1:5">
      <c r="A6104" s="2" t="s">
        <v>296</v>
      </c>
      <c r="B6104" s="2" t="str">
        <f>"2239-207"</f>
        <v>2239-207</v>
      </c>
      <c r="C6104" s="2" t="str">
        <f>"2239-207"</f>
        <v>2239-207</v>
      </c>
      <c r="D6104" s="2" t="s">
        <v>7748</v>
      </c>
      <c r="E6104" s="4">
        <v>21400</v>
      </c>
    </row>
    <row r="6105" spans="1:5">
      <c r="A6105" s="2" t="s">
        <v>296</v>
      </c>
      <c r="B6105" s="2" t="str">
        <f>"287632"</f>
        <v>287632</v>
      </c>
      <c r="C6105" s="2" t="str">
        <f>"287632"</f>
        <v>287632</v>
      </c>
      <c r="D6105" s="2" t="s">
        <v>7749</v>
      </c>
      <c r="E6105" s="4">
        <v>10600</v>
      </c>
    </row>
    <row r="6106" spans="1:5">
      <c r="A6106" s="2" t="s">
        <v>296</v>
      </c>
      <c r="B6106" s="2" t="str">
        <f>"070463"</f>
        <v>070463</v>
      </c>
      <c r="C6106" s="2" t="str">
        <f>"070463"</f>
        <v>070463</v>
      </c>
      <c r="D6106" s="2" t="s">
        <v>7750</v>
      </c>
      <c r="E6106" s="4">
        <v>8800</v>
      </c>
    </row>
    <row r="6107" spans="1:5">
      <c r="A6107" s="2" t="s">
        <v>296</v>
      </c>
      <c r="B6107" s="2" t="str">
        <f>"287677"</f>
        <v>287677</v>
      </c>
      <c r="C6107" s="2" t="str">
        <f>"287677"</f>
        <v>287677</v>
      </c>
      <c r="D6107" s="2" t="s">
        <v>7751</v>
      </c>
      <c r="E6107" s="4">
        <v>8800</v>
      </c>
    </row>
    <row r="6108" spans="1:5">
      <c r="A6108" s="2" t="s">
        <v>296</v>
      </c>
      <c r="B6108" s="2" t="str">
        <f>"287680"</f>
        <v>287680</v>
      </c>
      <c r="C6108" s="2" t="str">
        <f>"287680"</f>
        <v>287680</v>
      </c>
      <c r="D6108" s="2" t="s">
        <v>7752</v>
      </c>
      <c r="E6108" s="4">
        <v>7000</v>
      </c>
    </row>
    <row r="6109" spans="1:5">
      <c r="A6109" s="2" t="s">
        <v>2544</v>
      </c>
      <c r="B6109" s="2" t="str">
        <f>"282738"</f>
        <v>282738</v>
      </c>
      <c r="C6109" s="2" t="str">
        <f>"282738"</f>
        <v>282738</v>
      </c>
      <c r="D6109" s="2" t="s">
        <v>7753</v>
      </c>
      <c r="E6109" s="4">
        <v>11800</v>
      </c>
    </row>
    <row r="6110" spans="1:5">
      <c r="A6110" s="2" t="s">
        <v>2544</v>
      </c>
      <c r="B6110" s="2" t="str">
        <f>"287681"</f>
        <v>287681</v>
      </c>
      <c r="C6110" s="2" t="str">
        <f>"287681"</f>
        <v>287681</v>
      </c>
      <c r="D6110" s="2" t="s">
        <v>7754</v>
      </c>
      <c r="E6110" s="4">
        <v>9700</v>
      </c>
    </row>
    <row r="6111" spans="1:5">
      <c r="A6111" s="2" t="s">
        <v>296</v>
      </c>
      <c r="B6111" s="2" t="str">
        <f>"282694"</f>
        <v>282694</v>
      </c>
      <c r="C6111" s="2" t="str">
        <f>"282694"</f>
        <v>282694</v>
      </c>
      <c r="D6111" s="2" t="s">
        <v>7755</v>
      </c>
      <c r="E6111" s="4">
        <v>19600</v>
      </c>
    </row>
    <row r="6112" spans="1:5">
      <c r="A6112" s="2" t="s">
        <v>296</v>
      </c>
      <c r="B6112" s="2" t="str">
        <f>"070767"</f>
        <v>070767</v>
      </c>
      <c r="C6112" s="2" t="str">
        <f>"070767"</f>
        <v>070767</v>
      </c>
      <c r="D6112" s="2" t="s">
        <v>7756</v>
      </c>
      <c r="E6112" s="4">
        <v>10600</v>
      </c>
    </row>
    <row r="6113" spans="1:5">
      <c r="A6113" s="2" t="s">
        <v>296</v>
      </c>
      <c r="B6113" s="2" t="str">
        <f>"280456"</f>
        <v>280456</v>
      </c>
      <c r="C6113" s="2" t="str">
        <f>"280456"</f>
        <v>280456</v>
      </c>
      <c r="D6113" s="2" t="s">
        <v>7757</v>
      </c>
      <c r="E6113" s="4">
        <v>10600</v>
      </c>
    </row>
    <row r="6114" spans="1:5">
      <c r="A6114" s="2" t="s">
        <v>296</v>
      </c>
      <c r="B6114" s="2" t="str">
        <f>"287636"</f>
        <v>287636</v>
      </c>
      <c r="C6114" s="2" t="str">
        <f>"287636"</f>
        <v>287636</v>
      </c>
      <c r="D6114" s="2" t="s">
        <v>7758</v>
      </c>
      <c r="E6114" s="4">
        <v>11500</v>
      </c>
    </row>
    <row r="6115" spans="1:5">
      <c r="A6115" s="2" t="s">
        <v>296</v>
      </c>
      <c r="B6115" s="2" t="str">
        <f>"070465"</f>
        <v>070465</v>
      </c>
      <c r="C6115" s="2" t="str">
        <f>"070465"</f>
        <v>070465</v>
      </c>
      <c r="D6115" s="2" t="s">
        <v>7759</v>
      </c>
      <c r="E6115" s="4">
        <v>8800</v>
      </c>
    </row>
    <row r="6116" spans="1:5">
      <c r="A6116" s="2" t="s">
        <v>296</v>
      </c>
      <c r="B6116" s="2" t="str">
        <f>"180524"</f>
        <v>180524</v>
      </c>
      <c r="C6116" s="2" t="str">
        <f>"180524"</f>
        <v>180524</v>
      </c>
      <c r="D6116" s="2" t="s">
        <v>7760</v>
      </c>
      <c r="E6116" s="4">
        <v>9700</v>
      </c>
    </row>
    <row r="6117" spans="1:5">
      <c r="A6117" s="2" t="s">
        <v>296</v>
      </c>
      <c r="B6117" s="2" t="str">
        <f>"260466"</f>
        <v>260466</v>
      </c>
      <c r="C6117" s="2" t="str">
        <f>"260466"</f>
        <v>260466</v>
      </c>
      <c r="D6117" s="2" t="s">
        <v>7761</v>
      </c>
      <c r="E6117" s="4">
        <v>15100</v>
      </c>
    </row>
    <row r="6118" spans="1:5">
      <c r="A6118" s="2" t="s">
        <v>296</v>
      </c>
      <c r="B6118" s="2" t="str">
        <f>"283719"</f>
        <v>283719</v>
      </c>
      <c r="C6118" s="2" t="str">
        <f>"283719"</f>
        <v>283719</v>
      </c>
      <c r="D6118" s="2" t="s">
        <v>7762</v>
      </c>
      <c r="E6118" s="4">
        <v>29500</v>
      </c>
    </row>
    <row r="6119" spans="1:5">
      <c r="A6119" s="2" t="s">
        <v>296</v>
      </c>
      <c r="B6119" s="2" t="str">
        <f>"287641"</f>
        <v>287641</v>
      </c>
      <c r="C6119" s="2" t="str">
        <f>"287641"</f>
        <v>287641</v>
      </c>
      <c r="D6119" s="2" t="s">
        <v>7763</v>
      </c>
      <c r="E6119" s="4">
        <v>11500</v>
      </c>
    </row>
    <row r="6120" spans="1:5">
      <c r="A6120" s="2" t="s">
        <v>296</v>
      </c>
      <c r="B6120" s="2" t="s">
        <v>7764</v>
      </c>
      <c r="C6120" s="2" t="s">
        <v>7764</v>
      </c>
      <c r="D6120" s="2" t="s">
        <v>7765</v>
      </c>
      <c r="E6120" s="4">
        <v>9700</v>
      </c>
    </row>
    <row r="6121" spans="1:5">
      <c r="A6121" s="2" t="s">
        <v>296</v>
      </c>
      <c r="B6121" s="2" t="str">
        <f>"19901-87184"</f>
        <v>19901-87184</v>
      </c>
      <c r="C6121" s="2" t="str">
        <f>"19901-87184"</f>
        <v>19901-87184</v>
      </c>
      <c r="D6121" s="2" t="s">
        <v>7766</v>
      </c>
      <c r="E6121" s="4">
        <v>9700</v>
      </c>
    </row>
    <row r="6122" spans="1:5">
      <c r="A6122" s="2" t="s">
        <v>296</v>
      </c>
      <c r="B6122" s="2" t="s">
        <v>7767</v>
      </c>
      <c r="C6122" s="2" t="s">
        <v>7767</v>
      </c>
      <c r="D6122" s="2" t="s">
        <v>7768</v>
      </c>
      <c r="E6122" s="4">
        <v>11000</v>
      </c>
    </row>
    <row r="6123" spans="1:5">
      <c r="A6123" s="2" t="s">
        <v>2544</v>
      </c>
      <c r="B6123" s="2" t="str">
        <f>"00604D215"</f>
        <v>00604D215</v>
      </c>
      <c r="C6123" s="2" t="str">
        <f>"00604D215"</f>
        <v>00604D215</v>
      </c>
      <c r="D6123" s="2" t="s">
        <v>7769</v>
      </c>
      <c r="E6123" s="4">
        <v>10600</v>
      </c>
    </row>
    <row r="6124" spans="1:5">
      <c r="A6124" s="2" t="s">
        <v>296</v>
      </c>
      <c r="B6124" s="2" t="str">
        <f>"0183087"</f>
        <v>0183087</v>
      </c>
      <c r="C6124" s="2" t="str">
        <f>"0183087"</f>
        <v>0183087</v>
      </c>
      <c r="D6124" s="2" t="s">
        <v>7770</v>
      </c>
      <c r="E6124" s="4">
        <v>11500</v>
      </c>
    </row>
    <row r="6125" spans="1:5">
      <c r="A6125" s="2" t="s">
        <v>2544</v>
      </c>
      <c r="B6125" s="2" t="str">
        <f>"00604150Y"</f>
        <v>00604150Y</v>
      </c>
      <c r="C6125" s="2" t="str">
        <f>"00604150Y"</f>
        <v>00604150Y</v>
      </c>
      <c r="D6125" s="2" t="s">
        <v>7771</v>
      </c>
      <c r="E6125" s="4">
        <v>5500</v>
      </c>
    </row>
    <row r="6126" spans="1:5">
      <c r="A6126" s="2" t="s">
        <v>2544</v>
      </c>
      <c r="B6126" s="2" t="str">
        <f>"302880"</f>
        <v>302880</v>
      </c>
      <c r="C6126" s="2" t="str">
        <f>"302880"</f>
        <v>302880</v>
      </c>
      <c r="D6126" s="2" t="s">
        <v>7772</v>
      </c>
      <c r="E6126" s="4">
        <v>23200</v>
      </c>
    </row>
    <row r="6127" spans="1:5">
      <c r="A6127" s="2" t="s">
        <v>296</v>
      </c>
      <c r="B6127" s="2" t="str">
        <f>"0290647"</f>
        <v>0290647</v>
      </c>
      <c r="C6127" s="2" t="str">
        <f>"0290647"</f>
        <v>0290647</v>
      </c>
      <c r="D6127" s="2" t="s">
        <v>7773</v>
      </c>
      <c r="E6127" s="4">
        <v>15000</v>
      </c>
    </row>
    <row r="6128" spans="1:5">
      <c r="A6128" s="2" t="s">
        <v>296</v>
      </c>
      <c r="B6128" s="2" t="str">
        <f>"0153251"</f>
        <v>0153251</v>
      </c>
      <c r="C6128" s="2" t="str">
        <f>"0153251"</f>
        <v>0153251</v>
      </c>
      <c r="D6128" s="2" t="s">
        <v>7774</v>
      </c>
      <c r="E6128" s="4">
        <v>9700</v>
      </c>
    </row>
    <row r="6129" spans="1:5">
      <c r="A6129" s="2" t="s">
        <v>2544</v>
      </c>
      <c r="B6129" s="2" t="s">
        <v>7775</v>
      </c>
      <c r="C6129" s="2" t="s">
        <v>7775</v>
      </c>
      <c r="D6129" s="2" t="s">
        <v>7776</v>
      </c>
      <c r="E6129" s="4">
        <v>11500</v>
      </c>
    </row>
    <row r="6130" spans="1:5">
      <c r="A6130" s="2" t="s">
        <v>296</v>
      </c>
      <c r="B6130" s="2" t="str">
        <f>"247683"</f>
        <v>247683</v>
      </c>
      <c r="C6130" s="2" t="str">
        <f>"247683"</f>
        <v>247683</v>
      </c>
      <c r="D6130" s="2" t="s">
        <v>7777</v>
      </c>
      <c r="E6130" s="4">
        <v>9500</v>
      </c>
    </row>
    <row r="6131" spans="1:5">
      <c r="A6131" s="2" t="s">
        <v>296</v>
      </c>
      <c r="B6131" s="2" t="str">
        <f>"203384"</f>
        <v>203384</v>
      </c>
      <c r="C6131" s="2" t="str">
        <f>"203384"</f>
        <v>203384</v>
      </c>
      <c r="D6131" s="2" t="s">
        <v>7778</v>
      </c>
      <c r="E6131" s="4">
        <v>14500</v>
      </c>
    </row>
    <row r="6132" spans="1:5">
      <c r="A6132" s="2" t="s">
        <v>296</v>
      </c>
      <c r="B6132" s="2" t="str">
        <f>"070350"</f>
        <v>070350</v>
      </c>
      <c r="C6132" s="2" t="str">
        <f>"070350"</f>
        <v>070350</v>
      </c>
      <c r="D6132" s="2" t="s">
        <v>7779</v>
      </c>
      <c r="E6132" s="4">
        <v>14200</v>
      </c>
    </row>
    <row r="6133" spans="1:5">
      <c r="A6133" s="2" t="s">
        <v>296</v>
      </c>
      <c r="B6133" s="2" t="str">
        <f>"280462"</f>
        <v>280462</v>
      </c>
      <c r="C6133" s="2" t="str">
        <f>"280462"</f>
        <v>280462</v>
      </c>
      <c r="D6133" s="2" t="s">
        <v>7780</v>
      </c>
      <c r="E6133" s="4">
        <v>32200</v>
      </c>
    </row>
    <row r="6134" spans="1:5">
      <c r="A6134" s="2" t="s">
        <v>296</v>
      </c>
      <c r="B6134" s="2" t="str">
        <f>"302876"</f>
        <v>302876</v>
      </c>
      <c r="C6134" s="2" t="str">
        <f>"302876"</f>
        <v>302876</v>
      </c>
      <c r="D6134" s="2" t="s">
        <v>7781</v>
      </c>
      <c r="E6134" s="4">
        <v>34000</v>
      </c>
    </row>
    <row r="6135" spans="1:5">
      <c r="A6135" s="2" t="s">
        <v>296</v>
      </c>
      <c r="B6135" s="2" t="str">
        <f>"070456"</f>
        <v>070456</v>
      </c>
      <c r="C6135" s="2" t="str">
        <f>"070456"</f>
        <v>070456</v>
      </c>
      <c r="D6135" s="2" t="s">
        <v>7782</v>
      </c>
      <c r="E6135" s="4">
        <v>19600</v>
      </c>
    </row>
    <row r="6136" spans="1:5">
      <c r="A6136" s="2" t="s">
        <v>296</v>
      </c>
      <c r="B6136" s="2" t="str">
        <f>"287653"</f>
        <v>287653</v>
      </c>
      <c r="C6136" s="2" t="str">
        <f>"287653"</f>
        <v>287653</v>
      </c>
      <c r="D6136" s="2" t="s">
        <v>7783</v>
      </c>
      <c r="E6136" s="4">
        <v>9500</v>
      </c>
    </row>
    <row r="6137" spans="1:5">
      <c r="A6137" s="2" t="s">
        <v>296</v>
      </c>
      <c r="B6137" s="2" t="str">
        <f>"070481"</f>
        <v>070481</v>
      </c>
      <c r="C6137" s="2" t="str">
        <f>"070481"</f>
        <v>070481</v>
      </c>
      <c r="D6137" s="2" t="s">
        <v>7784</v>
      </c>
      <c r="E6137" s="4">
        <v>29500</v>
      </c>
    </row>
    <row r="6138" spans="1:5">
      <c r="A6138" s="2" t="s">
        <v>296</v>
      </c>
      <c r="B6138" s="2" t="str">
        <f>"280455"</f>
        <v>280455</v>
      </c>
      <c r="C6138" s="2" t="str">
        <f>"280455"</f>
        <v>280455</v>
      </c>
      <c r="D6138" s="2" t="s">
        <v>7785</v>
      </c>
      <c r="E6138" s="4">
        <v>8800</v>
      </c>
    </row>
    <row r="6139" spans="1:5">
      <c r="A6139" s="2" t="s">
        <v>296</v>
      </c>
      <c r="B6139" s="2" t="str">
        <f>"282603"</f>
        <v>282603</v>
      </c>
      <c r="C6139" s="2" t="str">
        <f>"282603"</f>
        <v>282603</v>
      </c>
      <c r="D6139" s="2" t="s">
        <v>7786</v>
      </c>
      <c r="E6139" s="4">
        <v>18500</v>
      </c>
    </row>
    <row r="6140" spans="1:5">
      <c r="A6140" s="2" t="s">
        <v>296</v>
      </c>
      <c r="B6140" s="2" t="str">
        <f>"281518"</f>
        <v>281518</v>
      </c>
      <c r="C6140" s="2" t="str">
        <f>"281518"</f>
        <v>281518</v>
      </c>
      <c r="D6140" s="2" t="s">
        <v>7787</v>
      </c>
      <c r="E6140" s="4">
        <v>11500</v>
      </c>
    </row>
    <row r="6141" spans="1:5">
      <c r="A6141" s="2" t="s">
        <v>296</v>
      </c>
      <c r="B6141" s="2" t="str">
        <f>"287615"</f>
        <v>287615</v>
      </c>
      <c r="C6141" s="2" t="str">
        <f>"287615"</f>
        <v>287615</v>
      </c>
      <c r="D6141" s="2" t="s">
        <v>7788</v>
      </c>
      <c r="E6141" s="4">
        <v>9700</v>
      </c>
    </row>
    <row r="6142" spans="1:5">
      <c r="A6142" s="2" t="s">
        <v>296</v>
      </c>
      <c r="B6142" s="2" t="str">
        <f>"287612"</f>
        <v>287612</v>
      </c>
      <c r="C6142" s="2" t="str">
        <f>"9900"</f>
        <v>9900</v>
      </c>
      <c r="D6142" s="2" t="s">
        <v>7789</v>
      </c>
      <c r="E6142" s="4">
        <v>10600</v>
      </c>
    </row>
    <row r="6143" spans="1:5">
      <c r="A6143" s="2" t="s">
        <v>296</v>
      </c>
      <c r="B6143" s="2" t="str">
        <f>"287619"</f>
        <v>287619</v>
      </c>
      <c r="C6143" s="2" t="str">
        <f>"287619"</f>
        <v>287619</v>
      </c>
      <c r="D6143" s="2" t="s">
        <v>7790</v>
      </c>
      <c r="E6143" s="4">
        <v>11500</v>
      </c>
    </row>
    <row r="6144" spans="1:5">
      <c r="A6144" s="2" t="s">
        <v>2544</v>
      </c>
      <c r="B6144" s="2" t="str">
        <f>"070457"</f>
        <v>070457</v>
      </c>
      <c r="C6144" s="2" t="str">
        <f>"070457"</f>
        <v>070457</v>
      </c>
      <c r="D6144" s="2" t="s">
        <v>7791</v>
      </c>
      <c r="E6144" s="4">
        <v>8800</v>
      </c>
    </row>
    <row r="6145" spans="1:5">
      <c r="A6145" s="2" t="s">
        <v>296</v>
      </c>
      <c r="B6145" s="2" t="str">
        <f>"006043514"</f>
        <v>006043514</v>
      </c>
      <c r="C6145" s="2" t="str">
        <f>"006043514"</f>
        <v>006043514</v>
      </c>
      <c r="D6145" s="2" t="s">
        <v>7792</v>
      </c>
      <c r="E6145" s="4">
        <v>9700</v>
      </c>
    </row>
    <row r="6146" spans="1:5">
      <c r="A6146" s="2" t="s">
        <v>296</v>
      </c>
      <c r="B6146" s="2" t="s">
        <v>7793</v>
      </c>
      <c r="C6146" s="2" t="s">
        <v>7793</v>
      </c>
      <c r="D6146" s="2" t="s">
        <v>7794</v>
      </c>
      <c r="E6146" s="4">
        <v>12400</v>
      </c>
    </row>
    <row r="6147" spans="1:5">
      <c r="A6147" s="2" t="s">
        <v>296</v>
      </c>
      <c r="B6147" s="2" t="s">
        <v>7795</v>
      </c>
      <c r="C6147" s="2" t="s">
        <v>7795</v>
      </c>
      <c r="D6147" s="2" t="s">
        <v>7794</v>
      </c>
      <c r="E6147" s="4">
        <v>8800</v>
      </c>
    </row>
    <row r="6148" spans="1:5">
      <c r="A6148" s="2" t="s">
        <v>2544</v>
      </c>
      <c r="B6148" s="2" t="str">
        <f>"632346013101"</f>
        <v>632346013101</v>
      </c>
      <c r="C6148" s="2" t="str">
        <f>"190777"</f>
        <v>190777</v>
      </c>
      <c r="D6148" s="2" t="s">
        <v>7796</v>
      </c>
      <c r="E6148" s="4">
        <v>11500</v>
      </c>
    </row>
    <row r="6149" spans="1:5">
      <c r="A6149" s="2" t="s">
        <v>2544</v>
      </c>
      <c r="B6149" s="2" t="str">
        <f>"00604TY3E"</f>
        <v>00604TY3E</v>
      </c>
      <c r="C6149" s="2" t="str">
        <f>"00604TY3E"</f>
        <v>00604TY3E</v>
      </c>
      <c r="D6149" s="2" t="s">
        <v>7797</v>
      </c>
      <c r="E6149" s="4">
        <v>12400</v>
      </c>
    </row>
    <row r="6150" spans="1:5">
      <c r="A6150" s="2" t="s">
        <v>2544</v>
      </c>
      <c r="B6150" s="2" t="str">
        <f>"00604TY5E"</f>
        <v>00604TY5E</v>
      </c>
      <c r="C6150" s="2" t="str">
        <f>"00604TY5E"</f>
        <v>00604TY5E</v>
      </c>
      <c r="D6150" s="2" t="s">
        <v>7798</v>
      </c>
      <c r="E6150" s="4">
        <v>7500</v>
      </c>
    </row>
    <row r="6151" spans="1:5">
      <c r="A6151" s="2" t="s">
        <v>296</v>
      </c>
      <c r="B6151" s="2" t="str">
        <f>"0110117"</f>
        <v>0110117</v>
      </c>
      <c r="C6151" s="2" t="str">
        <f>"0110117"</f>
        <v>0110117</v>
      </c>
      <c r="D6151" s="2" t="s">
        <v>7799</v>
      </c>
      <c r="E6151" s="4">
        <v>8800</v>
      </c>
    </row>
    <row r="6152" spans="1:5">
      <c r="A6152" s="2" t="s">
        <v>296</v>
      </c>
      <c r="B6152" s="2" t="str">
        <f>"230488"</f>
        <v>230488</v>
      </c>
      <c r="C6152" s="2" t="str">
        <f>"230488"</f>
        <v>230488</v>
      </c>
      <c r="D6152" s="2" t="s">
        <v>7800</v>
      </c>
      <c r="E6152" s="4">
        <v>160000</v>
      </c>
    </row>
    <row r="6153" spans="1:5">
      <c r="A6153" s="2" t="s">
        <v>296</v>
      </c>
      <c r="B6153" s="2" t="str">
        <f>"230481"</f>
        <v>230481</v>
      </c>
      <c r="C6153" s="2" t="str">
        <f>"230481"</f>
        <v>230481</v>
      </c>
      <c r="D6153" s="2" t="s">
        <v>7801</v>
      </c>
      <c r="E6153" s="4">
        <v>52000</v>
      </c>
    </row>
    <row r="6154" spans="1:5">
      <c r="A6154" s="2" t="s">
        <v>2544</v>
      </c>
      <c r="B6154" s="2" t="str">
        <f>"230322"</f>
        <v>230322</v>
      </c>
      <c r="C6154" s="2" t="str">
        <f>"230322"</f>
        <v>230322</v>
      </c>
      <c r="D6154" s="2" t="s">
        <v>7802</v>
      </c>
      <c r="E6154" s="4">
        <v>65000</v>
      </c>
    </row>
    <row r="6155" spans="1:5">
      <c r="A6155" s="2" t="s">
        <v>296</v>
      </c>
      <c r="B6155" s="2" t="str">
        <f>"171170"</f>
        <v>171170</v>
      </c>
      <c r="C6155" s="2" t="str">
        <f>"171170"</f>
        <v>171170</v>
      </c>
      <c r="D6155" s="2" t="s">
        <v>7803</v>
      </c>
      <c r="E6155" s="4">
        <v>75000</v>
      </c>
    </row>
    <row r="6156" spans="1:5">
      <c r="A6156" s="2" t="s">
        <v>296</v>
      </c>
      <c r="B6156" s="2" t="s">
        <v>7804</v>
      </c>
      <c r="C6156" s="2" t="s">
        <v>7804</v>
      </c>
      <c r="D6156" s="2" t="s">
        <v>7805</v>
      </c>
      <c r="E6156" s="4">
        <v>297500</v>
      </c>
    </row>
    <row r="6157" spans="1:5">
      <c r="A6157" s="2" t="s">
        <v>2544</v>
      </c>
      <c r="B6157" s="2" t="str">
        <f>"070610102"</f>
        <v>070610102</v>
      </c>
      <c r="C6157" s="2" t="str">
        <f>"070610102"</f>
        <v>070610102</v>
      </c>
      <c r="D6157" s="2" t="s">
        <v>7806</v>
      </c>
      <c r="E6157" s="4">
        <v>52000</v>
      </c>
    </row>
    <row r="6158" spans="1:5">
      <c r="A6158" s="2" t="s">
        <v>296</v>
      </c>
      <c r="B6158" s="2" t="s">
        <v>7807</v>
      </c>
      <c r="C6158" s="2" t="s">
        <v>7807</v>
      </c>
      <c r="D6158" s="2" t="s">
        <v>7808</v>
      </c>
      <c r="E6158" s="4">
        <v>8000</v>
      </c>
    </row>
    <row r="6159" spans="1:5">
      <c r="A6159" s="2" t="s">
        <v>296</v>
      </c>
      <c r="B6159" s="2" t="str">
        <f>"1600540"</f>
        <v>1600540</v>
      </c>
      <c r="C6159" s="2" t="str">
        <f>"1600540"</f>
        <v>1600540</v>
      </c>
      <c r="D6159" s="2" t="s">
        <v>7809</v>
      </c>
      <c r="E6159" s="4">
        <v>1150</v>
      </c>
    </row>
    <row r="6160" spans="1:5">
      <c r="A6160" s="2" t="s">
        <v>296</v>
      </c>
      <c r="B6160" s="2" t="str">
        <f>"0150140"</f>
        <v>0150140</v>
      </c>
      <c r="C6160" s="2" t="str">
        <f>"0150140"</f>
        <v>0150140</v>
      </c>
      <c r="D6160" s="2" t="s">
        <v>7810</v>
      </c>
      <c r="E6160" s="4">
        <v>8800</v>
      </c>
    </row>
    <row r="6161" spans="1:5">
      <c r="A6161" s="2" t="s">
        <v>2541</v>
      </c>
      <c r="B6161" s="2" t="str">
        <f>"0171421"</f>
        <v>0171421</v>
      </c>
      <c r="C6161" s="2" t="str">
        <f>"0171421"</f>
        <v>0171421</v>
      </c>
      <c r="D6161" s="2" t="s">
        <v>7811</v>
      </c>
      <c r="E6161" s="4">
        <v>9700</v>
      </c>
    </row>
    <row r="6162" spans="1:5">
      <c r="A6162" s="2" t="s">
        <v>296</v>
      </c>
      <c r="B6162" s="2" t="str">
        <f>"7891799450755"</f>
        <v>7891799450755</v>
      </c>
      <c r="C6162" s="2" t="str">
        <f>"7891799450755"</f>
        <v>7891799450755</v>
      </c>
      <c r="D6162" s="2" t="s">
        <v>7812</v>
      </c>
      <c r="E6162" s="4">
        <v>11500</v>
      </c>
    </row>
    <row r="6163" spans="1:5">
      <c r="A6163" s="2" t="s">
        <v>296</v>
      </c>
      <c r="B6163" s="2" t="str">
        <f>"1705020"</f>
        <v>1705020</v>
      </c>
      <c r="C6163" s="2" t="str">
        <f>"1705020"</f>
        <v>1705020</v>
      </c>
      <c r="D6163" s="2" t="s">
        <v>7813</v>
      </c>
      <c r="E6163" s="4">
        <v>36000</v>
      </c>
    </row>
    <row r="6164" spans="1:5">
      <c r="A6164" s="2" t="s">
        <v>296</v>
      </c>
      <c r="B6164" s="2" t="str">
        <f>"012956"</f>
        <v>012956</v>
      </c>
      <c r="C6164" s="2" t="str">
        <f>"012956"</f>
        <v>012956</v>
      </c>
      <c r="D6164" s="2" t="s">
        <v>7814</v>
      </c>
      <c r="E6164" s="4">
        <v>34000</v>
      </c>
    </row>
    <row r="6165" spans="1:5">
      <c r="A6165" s="2" t="s">
        <v>296</v>
      </c>
      <c r="B6165" s="2" t="str">
        <f>"1137610"</f>
        <v>1137610</v>
      </c>
      <c r="C6165" s="2" t="str">
        <f>"1137610"</f>
        <v>1137610</v>
      </c>
      <c r="D6165" s="2" t="s">
        <v>7815</v>
      </c>
      <c r="E6165" s="4">
        <v>1600</v>
      </c>
    </row>
    <row r="6166" spans="1:5">
      <c r="A6166" s="2" t="s">
        <v>296</v>
      </c>
      <c r="B6166" s="2" t="str">
        <f>"00109CSS/R"</f>
        <v>00109CSS/R</v>
      </c>
      <c r="C6166" s="2" t="str">
        <f>"00109CSS/R"</f>
        <v>00109CSS/R</v>
      </c>
      <c r="D6166" s="2" t="s">
        <v>7816</v>
      </c>
      <c r="E6166" s="4">
        <v>14500</v>
      </c>
    </row>
    <row r="6167" spans="1:5">
      <c r="A6167" s="2" t="s">
        <v>296</v>
      </c>
      <c r="B6167" s="2" t="str">
        <f>"0001507"</f>
        <v>0001507</v>
      </c>
      <c r="C6167" s="2" t="str">
        <f>"0001507"</f>
        <v>0001507</v>
      </c>
      <c r="D6167" s="2" t="s">
        <v>7817</v>
      </c>
      <c r="E6167" s="4">
        <v>25000</v>
      </c>
    </row>
    <row r="6168" spans="1:5">
      <c r="A6168" s="2" t="s">
        <v>296</v>
      </c>
      <c r="B6168" s="2" t="str">
        <f>"020340091"</f>
        <v>020340091</v>
      </c>
      <c r="C6168" s="2" t="str">
        <f>"8-94248-828"</f>
        <v>8-94248-828</v>
      </c>
      <c r="D6168" s="2" t="s">
        <v>7818</v>
      </c>
      <c r="E6168" s="4">
        <v>14000</v>
      </c>
    </row>
    <row r="6169" spans="1:5">
      <c r="A6169" s="2" t="s">
        <v>296</v>
      </c>
      <c r="B6169" s="2" t="str">
        <f>"071230111"</f>
        <v>071230111</v>
      </c>
      <c r="C6169" s="2" t="str">
        <f>"071230111"</f>
        <v>071230111</v>
      </c>
      <c r="D6169" s="2" t="s">
        <v>7819</v>
      </c>
      <c r="E6169" s="4">
        <v>28000</v>
      </c>
    </row>
    <row r="6170" spans="1:5">
      <c r="A6170" s="2" t="s">
        <v>296</v>
      </c>
      <c r="B6170" s="2" t="str">
        <f>"1800100"</f>
        <v>1800100</v>
      </c>
      <c r="C6170" s="2" t="str">
        <f>"1800100"</f>
        <v>1800100</v>
      </c>
      <c r="D6170" s="2" t="s">
        <v>7820</v>
      </c>
      <c r="E6170" s="4">
        <v>34000</v>
      </c>
    </row>
    <row r="6171" spans="1:5">
      <c r="A6171" s="2" t="s">
        <v>296</v>
      </c>
      <c r="B6171" s="2" t="str">
        <f>"1605020"</f>
        <v>1605020</v>
      </c>
      <c r="C6171" s="2" t="str">
        <f>"1605020"</f>
        <v>1605020</v>
      </c>
      <c r="D6171" s="2" t="s">
        <v>7821</v>
      </c>
      <c r="E6171" s="4">
        <v>55000</v>
      </c>
    </row>
    <row r="6172" spans="1:5">
      <c r="A6172" s="2" t="s">
        <v>296</v>
      </c>
      <c r="B6172" s="2" t="s">
        <v>7822</v>
      </c>
      <c r="C6172" s="2" t="s">
        <v>7822</v>
      </c>
      <c r="D6172" s="2" t="s">
        <v>7823</v>
      </c>
      <c r="E6172" s="4">
        <v>25000</v>
      </c>
    </row>
    <row r="6173" spans="1:5">
      <c r="A6173" s="2" t="s">
        <v>296</v>
      </c>
      <c r="B6173" s="2" t="str">
        <f>"001113813-6"</f>
        <v>001113813-6</v>
      </c>
      <c r="C6173" s="2" t="str">
        <f>"837-4-T"</f>
        <v>837-4-T</v>
      </c>
      <c r="D6173" s="2" t="s">
        <v>7824</v>
      </c>
      <c r="E6173" s="4">
        <v>29500</v>
      </c>
    </row>
    <row r="6174" spans="1:5">
      <c r="A6174" s="2" t="s">
        <v>296</v>
      </c>
      <c r="B6174" s="2" t="str">
        <f>"0004215"</f>
        <v>0004215</v>
      </c>
      <c r="C6174" s="2" t="str">
        <f>"0004215"</f>
        <v>0004215</v>
      </c>
      <c r="D6174" s="2" t="s">
        <v>7825</v>
      </c>
      <c r="E6174" s="4">
        <v>58300</v>
      </c>
    </row>
    <row r="6175" spans="1:5">
      <c r="A6175" s="2" t="s">
        <v>296</v>
      </c>
      <c r="B6175" s="2" t="str">
        <f>"0013292"</f>
        <v>0013292</v>
      </c>
      <c r="C6175" s="2" t="str">
        <f>"0013292"</f>
        <v>0013292</v>
      </c>
      <c r="D6175" s="2" t="s">
        <v>7826</v>
      </c>
      <c r="E6175" s="4">
        <v>25000</v>
      </c>
    </row>
    <row r="6176" spans="1:5">
      <c r="A6176" s="2" t="s">
        <v>296</v>
      </c>
      <c r="B6176" s="2" t="str">
        <f>"052023"</f>
        <v>052023</v>
      </c>
      <c r="C6176" s="2" t="str">
        <f>"052023"</f>
        <v>052023</v>
      </c>
      <c r="D6176" s="2" t="s">
        <v>7827</v>
      </c>
      <c r="E6176" s="4">
        <v>14800</v>
      </c>
    </row>
    <row r="6177" spans="1:5">
      <c r="A6177" s="2" t="s">
        <v>296</v>
      </c>
      <c r="B6177" s="2" t="s">
        <v>7828</v>
      </c>
      <c r="C6177" s="2" t="s">
        <v>7828</v>
      </c>
      <c r="D6177" s="2" t="s">
        <v>7829</v>
      </c>
      <c r="E6177" s="4">
        <v>21000</v>
      </c>
    </row>
    <row r="6178" spans="1:5">
      <c r="A6178" s="2" t="s">
        <v>296</v>
      </c>
      <c r="B6178" s="2" t="s">
        <v>7830</v>
      </c>
      <c r="C6178" s="2" t="s">
        <v>7830</v>
      </c>
      <c r="D6178" s="2" t="s">
        <v>7831</v>
      </c>
      <c r="E6178" s="4">
        <v>16000</v>
      </c>
    </row>
    <row r="6179" spans="1:5">
      <c r="A6179" s="2" t="s">
        <v>296</v>
      </c>
      <c r="B6179" s="2" t="str">
        <f>"321817"</f>
        <v>321817</v>
      </c>
      <c r="C6179" s="2" t="str">
        <f>"321817"</f>
        <v>321817</v>
      </c>
      <c r="D6179" s="2" t="s">
        <v>7832</v>
      </c>
      <c r="E6179" s="4">
        <v>320000</v>
      </c>
    </row>
    <row r="6180" spans="1:5">
      <c r="A6180" s="2" t="s">
        <v>296</v>
      </c>
      <c r="B6180" s="2" t="str">
        <f>"020340635"</f>
        <v>020340635</v>
      </c>
      <c r="C6180" s="2" t="s">
        <v>7833</v>
      </c>
      <c r="D6180" s="2" t="s">
        <v>7834</v>
      </c>
      <c r="E6180" s="4">
        <v>25500</v>
      </c>
    </row>
    <row r="6181" spans="1:5">
      <c r="A6181" s="2" t="s">
        <v>296</v>
      </c>
      <c r="B6181" s="2" t="str">
        <f>"31141024"</f>
        <v>31141024</v>
      </c>
      <c r="C6181" s="2" t="str">
        <f>"31141024"</f>
        <v>31141024</v>
      </c>
      <c r="D6181" s="2" t="s">
        <v>7835</v>
      </c>
      <c r="E6181" s="4">
        <v>25500</v>
      </c>
    </row>
    <row r="6182" spans="1:5">
      <c r="A6182" s="2" t="s">
        <v>296</v>
      </c>
      <c r="B6182" s="2" t="str">
        <f>"8090008"</f>
        <v>8090008</v>
      </c>
      <c r="C6182" s="2" t="str">
        <f>"8090008"</f>
        <v>8090008</v>
      </c>
      <c r="D6182" s="2" t="s">
        <v>7836</v>
      </c>
      <c r="E6182" s="4">
        <v>16000</v>
      </c>
    </row>
    <row r="6183" spans="1:5">
      <c r="A6183" s="2" t="s">
        <v>296</v>
      </c>
      <c r="B6183" s="2" t="s">
        <v>7837</v>
      </c>
      <c r="C6183" s="2" t="s">
        <v>7837</v>
      </c>
      <c r="D6183" s="2" t="s">
        <v>7838</v>
      </c>
      <c r="E6183" s="4">
        <v>25000</v>
      </c>
    </row>
    <row r="6184" spans="1:5">
      <c r="A6184" s="2" t="s">
        <v>296</v>
      </c>
      <c r="B6184" s="2" t="str">
        <f>"002849"</f>
        <v>002849</v>
      </c>
      <c r="C6184" s="2" t="str">
        <f>"002849"</f>
        <v>002849</v>
      </c>
      <c r="D6184" s="2" t="s">
        <v>7839</v>
      </c>
      <c r="E6184" s="4">
        <v>64000</v>
      </c>
    </row>
    <row r="6185" spans="1:5">
      <c r="A6185" s="2" t="s">
        <v>296</v>
      </c>
      <c r="B6185" s="2" t="str">
        <f>"1103970"</f>
        <v>1103970</v>
      </c>
      <c r="C6185" s="2" t="str">
        <f>"1103970"</f>
        <v>1103970</v>
      </c>
      <c r="D6185" s="2" t="s">
        <v>7840</v>
      </c>
      <c r="E6185" s="4">
        <v>28000</v>
      </c>
    </row>
    <row r="6186" spans="1:5">
      <c r="A6186" s="2" t="s">
        <v>296</v>
      </c>
      <c r="B6186" s="2" t="str">
        <f>"0002713"</f>
        <v>0002713</v>
      </c>
      <c r="C6186" s="2" t="str">
        <f>"0002713"</f>
        <v>0002713</v>
      </c>
      <c r="D6186" s="2" t="s">
        <v>7841</v>
      </c>
      <c r="E6186" s="4">
        <v>34000</v>
      </c>
    </row>
    <row r="6187" spans="1:5">
      <c r="A6187" s="2" t="s">
        <v>296</v>
      </c>
      <c r="B6187" s="2" t="s">
        <v>7842</v>
      </c>
      <c r="C6187" s="2" t="s">
        <v>7843</v>
      </c>
      <c r="D6187" s="2" t="s">
        <v>7844</v>
      </c>
      <c r="E6187" s="4">
        <v>120000</v>
      </c>
    </row>
    <row r="6188" spans="1:5">
      <c r="A6188" s="2" t="s">
        <v>296</v>
      </c>
      <c r="B6188" s="2" t="s">
        <v>7845</v>
      </c>
      <c r="C6188" s="2" t="s">
        <v>7845</v>
      </c>
      <c r="D6188" s="2" t="s">
        <v>7846</v>
      </c>
      <c r="E6188" s="4">
        <v>28500</v>
      </c>
    </row>
    <row r="6189" spans="1:5">
      <c r="A6189" s="2" t="s">
        <v>296</v>
      </c>
      <c r="B6189" s="2" t="str">
        <f>"0007367"</f>
        <v>0007367</v>
      </c>
      <c r="C6189" s="2" t="str">
        <f>"0007367"</f>
        <v>0007367</v>
      </c>
      <c r="D6189" s="2" t="s">
        <v>7847</v>
      </c>
      <c r="E6189" s="4">
        <v>38000</v>
      </c>
    </row>
    <row r="6190" spans="1:5">
      <c r="A6190" s="2" t="s">
        <v>296</v>
      </c>
      <c r="B6190" s="2" t="str">
        <f>"301934"</f>
        <v>301934</v>
      </c>
      <c r="C6190" s="2" t="str">
        <f>"301934"</f>
        <v>301934</v>
      </c>
      <c r="D6190" s="2" t="s">
        <v>7848</v>
      </c>
      <c r="E6190" s="4">
        <v>89000</v>
      </c>
    </row>
    <row r="6191" spans="1:5">
      <c r="A6191" s="2" t="s">
        <v>296</v>
      </c>
      <c r="B6191" s="2" t="str">
        <f>"0300940"</f>
        <v>0300940</v>
      </c>
      <c r="C6191" s="2" t="str">
        <f>"0300940"</f>
        <v>0300940</v>
      </c>
      <c r="D6191" s="2" t="s">
        <v>7849</v>
      </c>
      <c r="E6191" s="4">
        <v>88000</v>
      </c>
    </row>
    <row r="6192" spans="1:5">
      <c r="A6192" s="2" t="s">
        <v>296</v>
      </c>
      <c r="B6192" s="2" t="str">
        <f>"00109NT25"</f>
        <v>00109NT25</v>
      </c>
      <c r="C6192" s="2" t="str">
        <f>"00109NT25"</f>
        <v>00109NT25</v>
      </c>
      <c r="D6192" s="2" t="s">
        <v>7850</v>
      </c>
      <c r="E6192" s="4">
        <v>85300</v>
      </c>
    </row>
    <row r="6193" spans="1:5">
      <c r="A6193" s="2" t="s">
        <v>296</v>
      </c>
      <c r="B6193" s="2" t="str">
        <f>"010340805"</f>
        <v>010340805</v>
      </c>
      <c r="C6193" s="2" t="str">
        <f>"0013326"</f>
        <v>0013326</v>
      </c>
      <c r="D6193" s="2" t="s">
        <v>7851</v>
      </c>
      <c r="E6193" s="4">
        <v>38500</v>
      </c>
    </row>
    <row r="6194" spans="1:5">
      <c r="A6194" s="2" t="s">
        <v>296</v>
      </c>
      <c r="B6194" s="2" t="str">
        <f>"001092226"</f>
        <v>001092226</v>
      </c>
      <c r="C6194" s="2" t="str">
        <f>"001092226"</f>
        <v>001092226</v>
      </c>
      <c r="D6194" s="2" t="s">
        <v>7852</v>
      </c>
      <c r="E6194" s="4">
        <v>17800</v>
      </c>
    </row>
    <row r="6195" spans="1:5">
      <c r="A6195" s="2" t="s">
        <v>296</v>
      </c>
      <c r="B6195" s="2" t="str">
        <f>"0100147"</f>
        <v>0100147</v>
      </c>
      <c r="C6195" s="2" t="str">
        <f>"0100147"</f>
        <v>0100147</v>
      </c>
      <c r="D6195" s="2" t="s">
        <v>7853</v>
      </c>
      <c r="E6195" s="4">
        <v>18700</v>
      </c>
    </row>
    <row r="6196" spans="1:5">
      <c r="A6196" s="2" t="s">
        <v>296</v>
      </c>
      <c r="B6196" s="2" t="str">
        <f>"0001533"</f>
        <v>0001533</v>
      </c>
      <c r="C6196" s="2" t="str">
        <f>"0001533"</f>
        <v>0001533</v>
      </c>
      <c r="D6196" s="2" t="s">
        <v>7854</v>
      </c>
      <c r="E6196" s="4">
        <v>34000</v>
      </c>
    </row>
    <row r="6197" spans="1:5">
      <c r="A6197" s="2" t="s">
        <v>296</v>
      </c>
      <c r="B6197" s="2" t="str">
        <f>"0001314"</f>
        <v>0001314</v>
      </c>
      <c r="C6197" s="2" t="str">
        <f>"0001314"</f>
        <v>0001314</v>
      </c>
      <c r="D6197" s="2" t="s">
        <v>7855</v>
      </c>
      <c r="E6197" s="4">
        <v>14200</v>
      </c>
    </row>
    <row r="6198" spans="1:5">
      <c r="A6198" s="2" t="s">
        <v>296</v>
      </c>
      <c r="B6198" s="2" t="str">
        <f>"62003"</f>
        <v>62003</v>
      </c>
      <c r="C6198" s="2" t="str">
        <f>"62003"</f>
        <v>62003</v>
      </c>
      <c r="D6198" s="2" t="s">
        <v>7856</v>
      </c>
      <c r="E6198" s="4">
        <v>19600</v>
      </c>
    </row>
    <row r="6199" spans="1:5">
      <c r="A6199" s="2" t="s">
        <v>296</v>
      </c>
      <c r="B6199" s="2" t="str">
        <f>"290030"</f>
        <v>290030</v>
      </c>
      <c r="C6199" s="2" t="str">
        <f>"290030"</f>
        <v>290030</v>
      </c>
      <c r="D6199" s="2" t="s">
        <v>7857</v>
      </c>
      <c r="E6199" s="4">
        <v>28000</v>
      </c>
    </row>
    <row r="6200" spans="1:5">
      <c r="A6200" s="2" t="s">
        <v>296</v>
      </c>
      <c r="B6200" s="2" t="str">
        <f>"194121"</f>
        <v>194121</v>
      </c>
      <c r="C6200" s="2" t="str">
        <f>"194121"</f>
        <v>194121</v>
      </c>
      <c r="D6200" s="2" t="s">
        <v>7858</v>
      </c>
      <c r="E6200" s="4">
        <v>43000</v>
      </c>
    </row>
    <row r="6201" spans="1:5">
      <c r="A6201" s="2" t="s">
        <v>296</v>
      </c>
      <c r="B6201" s="2" t="str">
        <f>"75040"</f>
        <v>75040</v>
      </c>
      <c r="C6201" s="2" t="str">
        <f>"75040"</f>
        <v>75040</v>
      </c>
      <c r="D6201" s="2" t="s">
        <v>7859</v>
      </c>
      <c r="E6201" s="4">
        <v>32800</v>
      </c>
    </row>
    <row r="6202" spans="1:5">
      <c r="A6202" s="2" t="s">
        <v>296</v>
      </c>
      <c r="B6202" s="2" t="str">
        <f>"0001548"</f>
        <v>0001548</v>
      </c>
      <c r="C6202" s="2" t="str">
        <f>"0001548"</f>
        <v>0001548</v>
      </c>
      <c r="D6202" s="2" t="s">
        <v>7860</v>
      </c>
      <c r="E6202" s="4">
        <v>34000</v>
      </c>
    </row>
    <row r="6203" spans="1:5">
      <c r="A6203" s="2" t="s">
        <v>296</v>
      </c>
      <c r="B6203" s="2" t="s">
        <v>7861</v>
      </c>
      <c r="C6203" s="2" t="s">
        <v>7861</v>
      </c>
      <c r="D6203" s="2" t="s">
        <v>7862</v>
      </c>
      <c r="E6203" s="4">
        <v>24800</v>
      </c>
    </row>
    <row r="6204" spans="1:5">
      <c r="A6204" s="2" t="s">
        <v>296</v>
      </c>
      <c r="B6204" s="2" t="str">
        <f>"21040"</f>
        <v>21040</v>
      </c>
      <c r="C6204" s="2" t="str">
        <f>"21040"</f>
        <v>21040</v>
      </c>
      <c r="D6204" s="2" t="s">
        <v>7863</v>
      </c>
      <c r="E6204" s="4">
        <v>56800</v>
      </c>
    </row>
    <row r="6205" spans="1:5">
      <c r="A6205" s="2" t="s">
        <v>296</v>
      </c>
      <c r="B6205" s="2" t="str">
        <f>"0001574"</f>
        <v>0001574</v>
      </c>
      <c r="C6205" s="2" t="str">
        <f>"0001574"</f>
        <v>0001574</v>
      </c>
      <c r="D6205" s="2" t="s">
        <v>7864</v>
      </c>
      <c r="E6205" s="4">
        <v>29000</v>
      </c>
    </row>
    <row r="6206" spans="1:5">
      <c r="A6206" s="2" t="s">
        <v>296</v>
      </c>
      <c r="B6206" s="2" t="s">
        <v>7865</v>
      </c>
      <c r="C6206" s="2" t="s">
        <v>7865</v>
      </c>
      <c r="D6206" s="2" t="s">
        <v>7866</v>
      </c>
      <c r="E6206" s="4">
        <v>38500</v>
      </c>
    </row>
    <row r="6207" spans="1:5">
      <c r="A6207" s="2" t="s">
        <v>296</v>
      </c>
      <c r="B6207" s="2" t="str">
        <f>"020340013"</f>
        <v>020340013</v>
      </c>
      <c r="C6207" s="2" t="str">
        <f>"020340013"</f>
        <v>020340013</v>
      </c>
      <c r="D6207" s="2" t="s">
        <v>7867</v>
      </c>
      <c r="E6207" s="4">
        <v>9900</v>
      </c>
    </row>
    <row r="6208" spans="1:5">
      <c r="A6208" s="2" t="s">
        <v>296</v>
      </c>
      <c r="B6208" s="2" t="str">
        <f>"0023282"</f>
        <v>0023282</v>
      </c>
      <c r="C6208" s="2" t="str">
        <f>"0023282"</f>
        <v>0023282</v>
      </c>
      <c r="D6208" s="2" t="s">
        <v>7868</v>
      </c>
      <c r="E6208" s="4">
        <v>38000</v>
      </c>
    </row>
    <row r="6209" spans="1:5">
      <c r="A6209" s="2" t="s">
        <v>296</v>
      </c>
      <c r="B6209" s="2" t="s">
        <v>7869</v>
      </c>
      <c r="C6209" s="2" t="s">
        <v>7870</v>
      </c>
      <c r="D6209" s="2" t="s">
        <v>7871</v>
      </c>
      <c r="E6209" s="4">
        <v>25000</v>
      </c>
    </row>
    <row r="6210" spans="1:5">
      <c r="A6210" s="2" t="s">
        <v>296</v>
      </c>
      <c r="B6210" s="2" t="s">
        <v>7872</v>
      </c>
      <c r="C6210" s="2" t="s">
        <v>7872</v>
      </c>
      <c r="D6210" s="2" t="s">
        <v>7873</v>
      </c>
      <c r="E6210" s="4">
        <v>34000</v>
      </c>
    </row>
    <row r="6211" spans="1:5">
      <c r="A6211" s="2" t="s">
        <v>296</v>
      </c>
      <c r="B6211" s="2" t="str">
        <f>"1655"</f>
        <v>1655</v>
      </c>
      <c r="C6211" s="2" t="str">
        <f>"1655"</f>
        <v>1655</v>
      </c>
      <c r="D6211" s="2" t="s">
        <v>7874</v>
      </c>
      <c r="E6211" s="4">
        <v>1500</v>
      </c>
    </row>
    <row r="6212" spans="1:5">
      <c r="A6212" s="2" t="s">
        <v>296</v>
      </c>
      <c r="B6212" s="2" t="str">
        <f>"070724"</f>
        <v>070724</v>
      </c>
      <c r="C6212" s="2" t="str">
        <f>"070724"</f>
        <v>070724</v>
      </c>
      <c r="D6212" s="2" t="s">
        <v>7875</v>
      </c>
      <c r="E6212" s="4">
        <v>1400</v>
      </c>
    </row>
    <row r="6213" spans="1:5">
      <c r="A6213" s="2" t="s">
        <v>296</v>
      </c>
      <c r="B6213" s="2" t="str">
        <f>"190472"</f>
        <v>190472</v>
      </c>
      <c r="C6213" s="2" t="str">
        <f>"190472"</f>
        <v>190472</v>
      </c>
      <c r="D6213" s="2" t="s">
        <v>7876</v>
      </c>
      <c r="E6213" s="4">
        <v>1800</v>
      </c>
    </row>
    <row r="6214" spans="1:5">
      <c r="A6214" s="2" t="s">
        <v>296</v>
      </c>
      <c r="B6214" s="2" t="str">
        <f>"280411"</f>
        <v>280411</v>
      </c>
      <c r="C6214" s="2" t="str">
        <f>"280411"</f>
        <v>280411</v>
      </c>
      <c r="D6214" s="2" t="s">
        <v>7877</v>
      </c>
      <c r="E6214" s="4">
        <v>2500</v>
      </c>
    </row>
    <row r="6215" spans="1:5">
      <c r="A6215" s="2" t="s">
        <v>296</v>
      </c>
      <c r="B6215" s="2" t="str">
        <f>"170598"</f>
        <v>170598</v>
      </c>
      <c r="C6215" s="2" t="str">
        <f>"170598"</f>
        <v>170598</v>
      </c>
      <c r="D6215" s="2" t="s">
        <v>7878</v>
      </c>
      <c r="E6215" s="4">
        <v>1700</v>
      </c>
    </row>
    <row r="6216" spans="1:5">
      <c r="A6216" s="2" t="s">
        <v>296</v>
      </c>
      <c r="B6216" s="2" t="str">
        <f>"283742"</f>
        <v>283742</v>
      </c>
      <c r="C6216" s="2" t="str">
        <f>"283742"</f>
        <v>283742</v>
      </c>
      <c r="D6216" s="2" t="s">
        <v>7879</v>
      </c>
      <c r="E6216" s="4">
        <v>1800</v>
      </c>
    </row>
    <row r="6217" spans="1:5">
      <c r="A6217" s="2" t="s">
        <v>296</v>
      </c>
      <c r="B6217" s="2" t="str">
        <f>"245286"</f>
        <v>245286</v>
      </c>
      <c r="C6217" s="2" t="str">
        <f>"245286"</f>
        <v>245286</v>
      </c>
      <c r="D6217" s="2" t="s">
        <v>7880</v>
      </c>
      <c r="E6217" s="4">
        <v>1800</v>
      </c>
    </row>
    <row r="6218" spans="1:5">
      <c r="A6218" s="2" t="s">
        <v>296</v>
      </c>
      <c r="B6218" s="2" t="str">
        <f>"230801"</f>
        <v>230801</v>
      </c>
      <c r="C6218" s="2" t="str">
        <f>"230801"</f>
        <v>230801</v>
      </c>
      <c r="D6218" s="2" t="s">
        <v>7881</v>
      </c>
      <c r="E6218" s="4">
        <v>2500</v>
      </c>
    </row>
    <row r="6219" spans="1:5">
      <c r="A6219" s="2" t="s">
        <v>296</v>
      </c>
      <c r="B6219" s="2" t="str">
        <f>"180298"</f>
        <v>180298</v>
      </c>
      <c r="C6219" s="2" t="str">
        <f>"180298"</f>
        <v>180298</v>
      </c>
      <c r="D6219" s="2" t="s">
        <v>7882</v>
      </c>
      <c r="E6219" s="4">
        <v>1900</v>
      </c>
    </row>
    <row r="6220" spans="1:5">
      <c r="A6220" s="2" t="s">
        <v>296</v>
      </c>
      <c r="B6220" s="2" t="str">
        <f>"236360"</f>
        <v>236360</v>
      </c>
      <c r="C6220" s="2" t="str">
        <f>"236360"</f>
        <v>236360</v>
      </c>
      <c r="D6220" s="2" t="s">
        <v>7883</v>
      </c>
      <c r="E6220" s="4">
        <v>1700</v>
      </c>
    </row>
    <row r="6221" spans="1:5">
      <c r="A6221" s="2" t="s">
        <v>296</v>
      </c>
      <c r="B6221" s="2" t="str">
        <f>"170605"</f>
        <v>170605</v>
      </c>
      <c r="C6221" s="2" t="str">
        <f>"170605"</f>
        <v>170605</v>
      </c>
      <c r="D6221" s="2" t="s">
        <v>7884</v>
      </c>
      <c r="E6221" s="4">
        <v>1900</v>
      </c>
    </row>
    <row r="6222" spans="1:5">
      <c r="A6222" s="2" t="s">
        <v>296</v>
      </c>
      <c r="B6222" s="2" t="str">
        <f>"170604"</f>
        <v>170604</v>
      </c>
      <c r="C6222" s="2" t="str">
        <f>"170604"</f>
        <v>170604</v>
      </c>
      <c r="D6222" s="2" t="s">
        <v>7884</v>
      </c>
      <c r="E6222" s="4">
        <v>2400</v>
      </c>
    </row>
    <row r="6223" spans="1:5">
      <c r="A6223" s="2" t="s">
        <v>296</v>
      </c>
      <c r="B6223" s="2" t="str">
        <f>"1739"</f>
        <v>1739</v>
      </c>
      <c r="C6223" s="2" t="str">
        <f>"1739"</f>
        <v>1739</v>
      </c>
      <c r="D6223" s="2" t="s">
        <v>7885</v>
      </c>
      <c r="E6223" s="4">
        <v>1200</v>
      </c>
    </row>
    <row r="6224" spans="1:5">
      <c r="A6224" s="2" t="s">
        <v>296</v>
      </c>
      <c r="B6224" s="2" t="str">
        <f>"280293"</f>
        <v>280293</v>
      </c>
      <c r="C6224" s="2" t="str">
        <f>"280293"</f>
        <v>280293</v>
      </c>
      <c r="D6224" s="2" t="s">
        <v>7886</v>
      </c>
      <c r="E6224" s="4">
        <v>1800</v>
      </c>
    </row>
    <row r="6225" spans="1:5">
      <c r="A6225" s="2" t="s">
        <v>296</v>
      </c>
      <c r="B6225" s="2" t="str">
        <f>"280323"</f>
        <v>280323</v>
      </c>
      <c r="C6225" s="2" t="str">
        <f>"280323"</f>
        <v>280323</v>
      </c>
      <c r="D6225" s="2" t="s">
        <v>7886</v>
      </c>
      <c r="E6225" s="4">
        <v>1500</v>
      </c>
    </row>
    <row r="6226" spans="1:5">
      <c r="A6226" s="2" t="s">
        <v>296</v>
      </c>
      <c r="B6226" s="2" t="str">
        <f>"1629"</f>
        <v>1629</v>
      </c>
      <c r="C6226" s="2" t="str">
        <f>"1629"</f>
        <v>1629</v>
      </c>
      <c r="D6226" s="2" t="s">
        <v>7886</v>
      </c>
      <c r="E6226" s="4">
        <v>1500</v>
      </c>
    </row>
    <row r="6227" spans="1:5">
      <c r="A6227" s="2" t="s">
        <v>296</v>
      </c>
      <c r="B6227" s="2" t="str">
        <f>"190476"</f>
        <v>190476</v>
      </c>
      <c r="C6227" s="2" t="str">
        <f>"190476"</f>
        <v>190476</v>
      </c>
      <c r="D6227" s="2" t="s">
        <v>7887</v>
      </c>
      <c r="E6227" s="4">
        <v>1900</v>
      </c>
    </row>
    <row r="6228" spans="1:5">
      <c r="A6228" s="2" t="s">
        <v>296</v>
      </c>
      <c r="B6228" s="2" t="str">
        <f>"280308"</f>
        <v>280308</v>
      </c>
      <c r="C6228" s="2" t="str">
        <f>"280308"</f>
        <v>280308</v>
      </c>
      <c r="D6228" s="2" t="s">
        <v>7888</v>
      </c>
      <c r="E6228" s="4">
        <v>2400</v>
      </c>
    </row>
    <row r="6229" spans="1:5">
      <c r="A6229" s="2" t="s">
        <v>296</v>
      </c>
      <c r="B6229" s="2" t="str">
        <f>"1978"</f>
        <v>1978</v>
      </c>
      <c r="C6229" s="2" t="str">
        <f>"1978"</f>
        <v>1978</v>
      </c>
      <c r="D6229" s="2" t="s">
        <v>7889</v>
      </c>
      <c r="E6229" s="4">
        <v>1500</v>
      </c>
    </row>
    <row r="6230" spans="1:5">
      <c r="A6230" s="2" t="s">
        <v>296</v>
      </c>
      <c r="B6230" s="2" t="str">
        <f>"170599"</f>
        <v>170599</v>
      </c>
      <c r="C6230" s="2" t="str">
        <f>"170599"</f>
        <v>170599</v>
      </c>
      <c r="D6230" s="2" t="s">
        <v>7890</v>
      </c>
      <c r="E6230" s="4">
        <v>2500</v>
      </c>
    </row>
    <row r="6231" spans="1:5">
      <c r="A6231" s="2" t="s">
        <v>296</v>
      </c>
      <c r="B6231" s="2" t="str">
        <f>"1740"</f>
        <v>1740</v>
      </c>
      <c r="C6231" s="2" t="str">
        <f>"1740"</f>
        <v>1740</v>
      </c>
      <c r="D6231" s="2" t="s">
        <v>7891</v>
      </c>
      <c r="E6231" s="4">
        <v>1200</v>
      </c>
    </row>
    <row r="6232" spans="1:5">
      <c r="A6232" s="2" t="s">
        <v>296</v>
      </c>
      <c r="B6232" s="2" t="str">
        <f>"245294"</f>
        <v>245294</v>
      </c>
      <c r="C6232" s="2" t="str">
        <f>"245294"</f>
        <v>245294</v>
      </c>
      <c r="D6232" s="2" t="s">
        <v>7892</v>
      </c>
      <c r="E6232" s="4">
        <v>1800</v>
      </c>
    </row>
    <row r="6233" spans="1:5">
      <c r="A6233" s="2" t="s">
        <v>296</v>
      </c>
      <c r="B6233" s="2" t="str">
        <f>"1213408"</f>
        <v>1213408</v>
      </c>
      <c r="C6233" s="2" t="str">
        <f>"1213408"</f>
        <v>1213408</v>
      </c>
      <c r="D6233" s="2" t="s">
        <v>7893</v>
      </c>
      <c r="E6233" s="4">
        <v>1800</v>
      </c>
    </row>
    <row r="6234" spans="1:5">
      <c r="A6234" s="2" t="s">
        <v>296</v>
      </c>
      <c r="B6234" s="2" t="str">
        <f>"180297"</f>
        <v>180297</v>
      </c>
      <c r="C6234" s="2" t="str">
        <f>"180297"</f>
        <v>180297</v>
      </c>
      <c r="D6234" s="2" t="s">
        <v>7894</v>
      </c>
      <c r="E6234" s="4">
        <v>1800</v>
      </c>
    </row>
    <row r="6235" spans="1:5">
      <c r="A6235" s="2" t="s">
        <v>296</v>
      </c>
      <c r="B6235" s="2" t="str">
        <f>"280314"</f>
        <v>280314</v>
      </c>
      <c r="C6235" s="2" t="str">
        <f>"280314"</f>
        <v>280314</v>
      </c>
      <c r="D6235" s="2" t="s">
        <v>7895</v>
      </c>
      <c r="E6235" s="4">
        <v>1500</v>
      </c>
    </row>
    <row r="6236" spans="1:5">
      <c r="A6236" s="2" t="s">
        <v>296</v>
      </c>
      <c r="B6236" s="2" t="str">
        <f>"1656"</f>
        <v>1656</v>
      </c>
      <c r="C6236" s="2" t="str">
        <f>"1656"</f>
        <v>1656</v>
      </c>
      <c r="D6236" s="2" t="s">
        <v>7896</v>
      </c>
      <c r="E6236" s="4">
        <v>1500</v>
      </c>
    </row>
    <row r="6237" spans="1:5">
      <c r="A6237" s="2" t="s">
        <v>296</v>
      </c>
      <c r="B6237" s="2" t="str">
        <f>"1602200"</f>
        <v>1602200</v>
      </c>
      <c r="C6237" s="2" t="str">
        <f>"1602200"</f>
        <v>1602200</v>
      </c>
      <c r="D6237" s="2" t="s">
        <v>7897</v>
      </c>
      <c r="E6237" s="4">
        <v>1800</v>
      </c>
    </row>
    <row r="6238" spans="1:5">
      <c r="A6238" s="2" t="s">
        <v>296</v>
      </c>
      <c r="B6238" s="2" t="str">
        <f>"236364"</f>
        <v>236364</v>
      </c>
      <c r="C6238" s="2" t="str">
        <f>"236364"</f>
        <v>236364</v>
      </c>
      <c r="D6238" s="2" t="s">
        <v>7898</v>
      </c>
      <c r="E6238" s="4">
        <v>1800</v>
      </c>
    </row>
    <row r="6239" spans="1:5">
      <c r="A6239" s="2" t="s">
        <v>296</v>
      </c>
      <c r="B6239" s="2" t="str">
        <f>"280336"</f>
        <v>280336</v>
      </c>
      <c r="C6239" s="2" t="str">
        <f>"280336"</f>
        <v>280336</v>
      </c>
      <c r="D6239" s="2" t="s">
        <v>7899</v>
      </c>
      <c r="E6239" s="4">
        <v>1800</v>
      </c>
    </row>
    <row r="6240" spans="1:5">
      <c r="A6240" s="2" t="s">
        <v>296</v>
      </c>
      <c r="B6240" s="2" t="str">
        <f>"280292"</f>
        <v>280292</v>
      </c>
      <c r="C6240" s="2" t="str">
        <f>"280292"</f>
        <v>280292</v>
      </c>
      <c r="D6240" s="2" t="s">
        <v>7900</v>
      </c>
      <c r="E6240" s="4">
        <v>1800</v>
      </c>
    </row>
    <row r="6241" spans="1:5">
      <c r="A6241" s="2" t="s">
        <v>296</v>
      </c>
      <c r="B6241" s="2" t="str">
        <f>"280291"</f>
        <v>280291</v>
      </c>
      <c r="C6241" s="2" t="str">
        <f>"280291"</f>
        <v>280291</v>
      </c>
      <c r="D6241" s="2" t="s">
        <v>7900</v>
      </c>
      <c r="E6241" s="4">
        <v>1500</v>
      </c>
    </row>
    <row r="6242" spans="1:5">
      <c r="A6242" s="2" t="s">
        <v>296</v>
      </c>
      <c r="B6242" s="2" t="str">
        <f>"190477"</f>
        <v>190477</v>
      </c>
      <c r="C6242" s="2" t="str">
        <f>"190477"</f>
        <v>190477</v>
      </c>
      <c r="D6242" s="2" t="s">
        <v>7901</v>
      </c>
      <c r="E6242" s="4">
        <v>2200</v>
      </c>
    </row>
    <row r="6243" spans="1:5">
      <c r="A6243" s="2" t="s">
        <v>296</v>
      </c>
      <c r="B6243" s="2" t="str">
        <f>"1979"</f>
        <v>1979</v>
      </c>
      <c r="C6243" s="2" t="str">
        <f>"1979"</f>
        <v>1979</v>
      </c>
      <c r="D6243" s="2" t="s">
        <v>7902</v>
      </c>
      <c r="E6243" s="4">
        <v>1500</v>
      </c>
    </row>
    <row r="6244" spans="1:5">
      <c r="A6244" s="2" t="s">
        <v>296</v>
      </c>
      <c r="B6244" s="2" t="str">
        <f>"170607"</f>
        <v>170607</v>
      </c>
      <c r="C6244" s="2" t="str">
        <f>"170607"</f>
        <v>170607</v>
      </c>
      <c r="D6244" s="2" t="s">
        <v>7903</v>
      </c>
      <c r="E6244" s="4">
        <v>1800</v>
      </c>
    </row>
    <row r="6245" spans="1:5">
      <c r="A6245" s="2" t="s">
        <v>296</v>
      </c>
      <c r="B6245" s="2" t="str">
        <f>"1814506"</f>
        <v>1814506</v>
      </c>
      <c r="C6245" s="2" t="str">
        <f>"1814506"</f>
        <v>1814506</v>
      </c>
      <c r="D6245" s="2" t="s">
        <v>7904</v>
      </c>
      <c r="E6245" s="4">
        <v>2023</v>
      </c>
    </row>
    <row r="6246" spans="1:5">
      <c r="A6246" s="2" t="s">
        <v>296</v>
      </c>
      <c r="B6246" s="2" t="str">
        <f>"1400440"</f>
        <v>1400440</v>
      </c>
      <c r="C6246" s="2" t="str">
        <f>"1400440"</f>
        <v>1400440</v>
      </c>
      <c r="D6246" s="2" t="s">
        <v>7905</v>
      </c>
      <c r="E6246" s="4">
        <v>1800</v>
      </c>
    </row>
    <row r="6247" spans="1:5">
      <c r="A6247" s="2" t="s">
        <v>296</v>
      </c>
      <c r="B6247" s="2" t="s">
        <v>7906</v>
      </c>
      <c r="C6247" s="2" t="s">
        <v>7906</v>
      </c>
      <c r="D6247" s="2" t="s">
        <v>7907</v>
      </c>
      <c r="E6247" s="4">
        <v>1500</v>
      </c>
    </row>
    <row r="6248" spans="1:5">
      <c r="A6248" s="2" t="s">
        <v>296</v>
      </c>
      <c r="B6248" s="2" t="str">
        <f>"2080"</f>
        <v>2080</v>
      </c>
      <c r="C6248" s="2" t="str">
        <f>"2080"</f>
        <v>2080</v>
      </c>
      <c r="D6248" s="2" t="s">
        <v>7908</v>
      </c>
      <c r="E6248" s="4">
        <v>1500</v>
      </c>
    </row>
    <row r="6249" spans="1:5">
      <c r="A6249" s="2" t="s">
        <v>296</v>
      </c>
      <c r="B6249" s="2" t="s">
        <v>7909</v>
      </c>
      <c r="C6249" s="2" t="s">
        <v>7910</v>
      </c>
      <c r="D6249" s="2" t="s">
        <v>7911</v>
      </c>
      <c r="E6249" s="4">
        <v>25000</v>
      </c>
    </row>
    <row r="6250" spans="1:5">
      <c r="A6250" s="2" t="s">
        <v>296</v>
      </c>
      <c r="B6250" s="2" t="str">
        <f>"0341502"</f>
        <v>0341502</v>
      </c>
      <c r="C6250" s="2" t="str">
        <f>"0341502"</f>
        <v>0341502</v>
      </c>
      <c r="D6250" s="2" t="s">
        <v>7912</v>
      </c>
      <c r="E6250" s="4">
        <v>28000</v>
      </c>
    </row>
    <row r="6251" spans="1:5">
      <c r="A6251" s="2" t="s">
        <v>296</v>
      </c>
      <c r="B6251" s="2" t="str">
        <f>"321370"</f>
        <v>321370</v>
      </c>
      <c r="C6251" s="2" t="str">
        <f>"321370"</f>
        <v>321370</v>
      </c>
      <c r="D6251" s="2" t="s">
        <v>7913</v>
      </c>
      <c r="E6251" s="4">
        <v>9000</v>
      </c>
    </row>
    <row r="6252" spans="1:5">
      <c r="A6252" s="2" t="s">
        <v>296</v>
      </c>
      <c r="B6252" s="2" t="s">
        <v>7914</v>
      </c>
      <c r="C6252" s="2" t="s">
        <v>7914</v>
      </c>
      <c r="D6252" s="2" t="s">
        <v>7915</v>
      </c>
      <c r="E6252" s="4">
        <v>11400</v>
      </c>
    </row>
    <row r="6253" spans="1:5">
      <c r="A6253" s="2" t="s">
        <v>296</v>
      </c>
      <c r="B6253" s="2" t="str">
        <f>"181938"</f>
        <v>181938</v>
      </c>
      <c r="C6253" s="2" t="str">
        <f>"181938"</f>
        <v>181938</v>
      </c>
      <c r="D6253" s="2" t="s">
        <v>7916</v>
      </c>
      <c r="E6253" s="4">
        <v>7500</v>
      </c>
    </row>
    <row r="6254" spans="1:5">
      <c r="A6254" s="2" t="s">
        <v>296</v>
      </c>
      <c r="B6254" s="2" t="str">
        <f>"160028"</f>
        <v>160028</v>
      </c>
      <c r="C6254" s="2" t="str">
        <f>"160028"</f>
        <v>160028</v>
      </c>
      <c r="D6254" s="2" t="s">
        <v>7917</v>
      </c>
      <c r="E6254" s="4">
        <v>2020</v>
      </c>
    </row>
    <row r="6255" spans="1:5">
      <c r="A6255" s="2" t="s">
        <v>296</v>
      </c>
      <c r="B6255" s="2" t="str">
        <f>"260112"</f>
        <v>260112</v>
      </c>
      <c r="C6255" s="2" t="str">
        <f>"260112"</f>
        <v>260112</v>
      </c>
      <c r="D6255" s="2" t="s">
        <v>7918</v>
      </c>
      <c r="E6255" s="4">
        <v>6800</v>
      </c>
    </row>
    <row r="6256" spans="1:5">
      <c r="A6256" s="2" t="s">
        <v>296</v>
      </c>
      <c r="B6256" s="2" t="str">
        <f>"287114"</f>
        <v>287114</v>
      </c>
      <c r="C6256" s="2" t="str">
        <f>"287114"</f>
        <v>287114</v>
      </c>
      <c r="D6256" s="2" t="s">
        <v>7919</v>
      </c>
      <c r="E6256" s="4">
        <v>4500</v>
      </c>
    </row>
    <row r="6257" spans="1:5">
      <c r="A6257" s="2" t="s">
        <v>296</v>
      </c>
      <c r="B6257" s="2" t="str">
        <f>"285930"</f>
        <v>285930</v>
      </c>
      <c r="C6257" s="2" t="str">
        <f>"285930"</f>
        <v>285930</v>
      </c>
      <c r="D6257" s="2" t="s">
        <v>7920</v>
      </c>
      <c r="E6257" s="4">
        <v>6100</v>
      </c>
    </row>
    <row r="6258" spans="1:5">
      <c r="A6258" s="2" t="s">
        <v>296</v>
      </c>
      <c r="B6258" s="2" t="str">
        <f>"071183"</f>
        <v>071183</v>
      </c>
      <c r="C6258" s="2" t="str">
        <f>"071183"</f>
        <v>071183</v>
      </c>
      <c r="D6258" s="2" t="s">
        <v>7921</v>
      </c>
      <c r="E6258" s="4">
        <v>7000</v>
      </c>
    </row>
    <row r="6259" spans="1:5">
      <c r="A6259" s="2" t="s">
        <v>296</v>
      </c>
      <c r="B6259" s="2" t="s">
        <v>7922</v>
      </c>
      <c r="C6259" s="2" t="s">
        <v>7922</v>
      </c>
      <c r="D6259" s="2" t="s">
        <v>7923</v>
      </c>
      <c r="E6259" s="4">
        <v>10600</v>
      </c>
    </row>
    <row r="6260" spans="1:5">
      <c r="A6260" s="2" t="s">
        <v>296</v>
      </c>
      <c r="B6260" s="2" t="str">
        <f>"286057"</f>
        <v>286057</v>
      </c>
      <c r="C6260" s="2" t="str">
        <f>"286057"</f>
        <v>286057</v>
      </c>
      <c r="D6260" s="2" t="s">
        <v>7924</v>
      </c>
      <c r="E6260" s="4">
        <v>18900</v>
      </c>
    </row>
    <row r="6261" spans="1:5">
      <c r="A6261" s="2" t="s">
        <v>296</v>
      </c>
      <c r="B6261" s="2" t="str">
        <f>"5371203"</f>
        <v>5371203</v>
      </c>
      <c r="C6261" s="2" t="str">
        <f>"5371203"</f>
        <v>5371203</v>
      </c>
      <c r="D6261" s="2" t="s">
        <v>7925</v>
      </c>
      <c r="E6261" s="4">
        <v>15800</v>
      </c>
    </row>
    <row r="6262" spans="1:5">
      <c r="A6262" s="2" t="s">
        <v>296</v>
      </c>
      <c r="B6262" s="2" t="str">
        <f>"230131"</f>
        <v>230131</v>
      </c>
      <c r="C6262" s="2" t="str">
        <f>"230131"</f>
        <v>230131</v>
      </c>
      <c r="D6262" s="2" t="s">
        <v>7926</v>
      </c>
      <c r="E6262" s="4">
        <v>14500</v>
      </c>
    </row>
    <row r="6263" spans="1:5">
      <c r="A6263" s="2" t="s">
        <v>296</v>
      </c>
      <c r="B6263" s="2" t="s">
        <v>7927</v>
      </c>
      <c r="C6263" s="2" t="s">
        <v>7927</v>
      </c>
      <c r="D6263" s="2" t="s">
        <v>7928</v>
      </c>
      <c r="E6263" s="4">
        <v>20028</v>
      </c>
    </row>
    <row r="6264" spans="1:5">
      <c r="A6264" s="2" t="s">
        <v>296</v>
      </c>
      <c r="B6264" s="2" t="str">
        <f>"286899"</f>
        <v>286899</v>
      </c>
      <c r="C6264" s="2" t="str">
        <f>"286899"</f>
        <v>286899</v>
      </c>
      <c r="D6264" s="2" t="s">
        <v>7929</v>
      </c>
      <c r="E6264" s="4">
        <v>22800</v>
      </c>
    </row>
    <row r="6265" spans="1:5">
      <c r="A6265" s="2" t="s">
        <v>296</v>
      </c>
      <c r="B6265" s="2" t="s">
        <v>7930</v>
      </c>
      <c r="C6265" s="2" t="s">
        <v>7930</v>
      </c>
      <c r="D6265" s="2" t="s">
        <v>7931</v>
      </c>
      <c r="E6265" s="4">
        <v>28400</v>
      </c>
    </row>
    <row r="6266" spans="1:5">
      <c r="A6266" s="2" t="s">
        <v>296</v>
      </c>
      <c r="B6266" s="2" t="str">
        <f>"160003"</f>
        <v>160003</v>
      </c>
      <c r="C6266" s="2" t="str">
        <f>"160003"</f>
        <v>160003</v>
      </c>
      <c r="D6266" s="2" t="s">
        <v>7932</v>
      </c>
      <c r="E6266" s="4">
        <v>14500</v>
      </c>
    </row>
    <row r="6267" spans="1:5">
      <c r="A6267" s="2" t="s">
        <v>296</v>
      </c>
      <c r="B6267" s="2" t="str">
        <f>"1620GP"</f>
        <v>1620GP</v>
      </c>
      <c r="C6267" s="2" t="str">
        <f>"1620GP"</f>
        <v>1620GP</v>
      </c>
      <c r="D6267" s="2" t="s">
        <v>7933</v>
      </c>
      <c r="E6267" s="4">
        <v>18800</v>
      </c>
    </row>
    <row r="6268" spans="1:5">
      <c r="A6268" s="2" t="s">
        <v>296</v>
      </c>
      <c r="B6268" s="2" t="str">
        <f>"110590040"</f>
        <v>110590040</v>
      </c>
      <c r="C6268" s="2" t="str">
        <f>"110590040"</f>
        <v>110590040</v>
      </c>
      <c r="D6268" s="2" t="s">
        <v>7934</v>
      </c>
      <c r="E6268" s="4">
        <v>16100</v>
      </c>
    </row>
    <row r="6269" spans="1:5">
      <c r="A6269" s="2" t="s">
        <v>296</v>
      </c>
      <c r="B6269" s="2" t="str">
        <f>"285509"</f>
        <v>285509</v>
      </c>
      <c r="C6269" s="2" t="str">
        <f>"285509"</f>
        <v>285509</v>
      </c>
      <c r="D6269" s="2" t="s">
        <v>7935</v>
      </c>
      <c r="E6269" s="4">
        <v>28600</v>
      </c>
    </row>
    <row r="6270" spans="1:5">
      <c r="A6270" s="2" t="s">
        <v>296</v>
      </c>
      <c r="B6270" s="2" t="str">
        <f>"164063"</f>
        <v>164063</v>
      </c>
      <c r="C6270" s="2" t="str">
        <f>"164063"</f>
        <v>164063</v>
      </c>
      <c r="D6270" s="2" t="s">
        <v>7936</v>
      </c>
      <c r="E6270" s="4">
        <v>17500</v>
      </c>
    </row>
    <row r="6271" spans="1:5">
      <c r="A6271" s="2" t="s">
        <v>296</v>
      </c>
      <c r="B6271" s="2" t="str">
        <f>"070694"</f>
        <v>070694</v>
      </c>
      <c r="C6271" s="2" t="str">
        <f>"070694"</f>
        <v>070694</v>
      </c>
      <c r="D6271" s="2" t="s">
        <v>7937</v>
      </c>
      <c r="E6271" s="4">
        <v>22900</v>
      </c>
    </row>
    <row r="6272" spans="1:5">
      <c r="A6272" s="2" t="s">
        <v>296</v>
      </c>
      <c r="B6272" s="2" t="str">
        <f>"287192"</f>
        <v>287192</v>
      </c>
      <c r="C6272" s="2" t="str">
        <f>"287192"</f>
        <v>287192</v>
      </c>
      <c r="D6272" s="2" t="s">
        <v>7938</v>
      </c>
      <c r="E6272" s="4">
        <v>19000</v>
      </c>
    </row>
    <row r="6273" spans="1:5">
      <c r="A6273" s="2" t="s">
        <v>296</v>
      </c>
      <c r="B6273" s="2" t="str">
        <f>"286872"</f>
        <v>286872</v>
      </c>
      <c r="C6273" s="2" t="str">
        <f>"286872"</f>
        <v>286872</v>
      </c>
      <c r="D6273" s="2" t="s">
        <v>7939</v>
      </c>
      <c r="E6273" s="4">
        <v>17800</v>
      </c>
    </row>
    <row r="6274" spans="1:5">
      <c r="A6274" s="2" t="s">
        <v>296</v>
      </c>
      <c r="B6274" s="2" t="str">
        <f>"260136"</f>
        <v>260136</v>
      </c>
      <c r="C6274" s="2" t="str">
        <f>"260136"</f>
        <v>260136</v>
      </c>
      <c r="D6274" s="2" t="s">
        <v>7940</v>
      </c>
      <c r="E6274" s="4">
        <v>14200</v>
      </c>
    </row>
    <row r="6275" spans="1:5">
      <c r="A6275" s="2" t="s">
        <v>296</v>
      </c>
      <c r="B6275" s="2" t="str">
        <f>"260137"</f>
        <v>260137</v>
      </c>
      <c r="C6275" s="2" t="str">
        <f>"260137"</f>
        <v>260137</v>
      </c>
      <c r="D6275" s="2" t="s">
        <v>7941</v>
      </c>
      <c r="E6275" s="4">
        <v>14600</v>
      </c>
    </row>
    <row r="6276" spans="1:5">
      <c r="A6276" s="2" t="s">
        <v>296</v>
      </c>
      <c r="B6276" s="2" t="str">
        <f>"260120"</f>
        <v>260120</v>
      </c>
      <c r="C6276" s="2" t="str">
        <f>"260120"</f>
        <v>260120</v>
      </c>
      <c r="D6276" s="2" t="s">
        <v>7942</v>
      </c>
      <c r="E6276" s="4">
        <v>12000</v>
      </c>
    </row>
    <row r="6277" spans="1:5">
      <c r="A6277" s="2" t="s">
        <v>296</v>
      </c>
      <c r="B6277" s="2" t="s">
        <v>7943</v>
      </c>
      <c r="C6277" s="2" t="s">
        <v>7943</v>
      </c>
      <c r="D6277" s="2" t="s">
        <v>7944</v>
      </c>
      <c r="E6277" s="4">
        <v>12400</v>
      </c>
    </row>
    <row r="6278" spans="1:5">
      <c r="A6278" s="2" t="s">
        <v>296</v>
      </c>
      <c r="B6278" s="2" t="str">
        <f>"2537-1025"</f>
        <v>2537-1025</v>
      </c>
      <c r="C6278" s="2" t="str">
        <f>"2537-1025"</f>
        <v>2537-1025</v>
      </c>
      <c r="D6278" s="2" t="s">
        <v>7945</v>
      </c>
      <c r="E6278" s="4">
        <v>9500</v>
      </c>
    </row>
    <row r="6279" spans="1:5">
      <c r="A6279" s="2" t="s">
        <v>296</v>
      </c>
      <c r="B6279" s="2" t="str">
        <f>"260135"</f>
        <v>260135</v>
      </c>
      <c r="C6279" s="2" t="str">
        <f>"260135"</f>
        <v>260135</v>
      </c>
      <c r="D6279" s="2" t="s">
        <v>7946</v>
      </c>
      <c r="E6279" s="4">
        <v>14600</v>
      </c>
    </row>
    <row r="6280" spans="1:5">
      <c r="A6280" s="2" t="s">
        <v>296</v>
      </c>
      <c r="B6280" s="2" t="str">
        <f>"260121"</f>
        <v>260121</v>
      </c>
      <c r="C6280" s="2" t="str">
        <f>"260121"</f>
        <v>260121</v>
      </c>
      <c r="D6280" s="2" t="s">
        <v>7947</v>
      </c>
      <c r="E6280" s="4">
        <v>12400</v>
      </c>
    </row>
    <row r="6281" spans="1:5">
      <c r="A6281" s="2" t="s">
        <v>296</v>
      </c>
      <c r="B6281" s="2" t="str">
        <f>"230103"</f>
        <v>230103</v>
      </c>
      <c r="C6281" s="2" t="str">
        <f>"230103"</f>
        <v>230103</v>
      </c>
      <c r="D6281" s="2" t="s">
        <v>7948</v>
      </c>
      <c r="E6281" s="4">
        <v>14800</v>
      </c>
    </row>
    <row r="6282" spans="1:5">
      <c r="A6282" s="2" t="s">
        <v>296</v>
      </c>
      <c r="B6282" s="2" t="s">
        <v>7949</v>
      </c>
      <c r="C6282" s="2" t="s">
        <v>7949</v>
      </c>
      <c r="D6282" s="2" t="s">
        <v>7950</v>
      </c>
      <c r="E6282" s="4">
        <v>16000</v>
      </c>
    </row>
    <row r="6283" spans="1:5">
      <c r="A6283" s="2" t="s">
        <v>296</v>
      </c>
      <c r="B6283" s="2" t="str">
        <f>"788149"</f>
        <v>788149</v>
      </c>
      <c r="C6283" s="2" t="str">
        <f>"788149"</f>
        <v>788149</v>
      </c>
      <c r="D6283" s="2" t="s">
        <v>7951</v>
      </c>
      <c r="E6283" s="4">
        <v>13800</v>
      </c>
    </row>
    <row r="6284" spans="1:5">
      <c r="A6284" s="2" t="s">
        <v>296</v>
      </c>
      <c r="B6284" s="2" t="str">
        <f>"230145"</f>
        <v>230145</v>
      </c>
      <c r="C6284" s="2" t="str">
        <f>"230145"</f>
        <v>230145</v>
      </c>
      <c r="D6284" s="2" t="s">
        <v>7952</v>
      </c>
      <c r="E6284" s="4">
        <v>28600</v>
      </c>
    </row>
    <row r="6285" spans="1:5">
      <c r="A6285" s="2" t="s">
        <v>296</v>
      </c>
      <c r="B6285" s="2" t="str">
        <f>"281208"</f>
        <v>281208</v>
      </c>
      <c r="C6285" s="2" t="str">
        <f>"281208"</f>
        <v>281208</v>
      </c>
      <c r="D6285" s="2" t="s">
        <v>7953</v>
      </c>
      <c r="E6285" s="4">
        <v>24500</v>
      </c>
    </row>
    <row r="6286" spans="1:5">
      <c r="A6286" s="2" t="s">
        <v>296</v>
      </c>
      <c r="B6286" s="2" t="str">
        <f>"286977"</f>
        <v>286977</v>
      </c>
      <c r="C6286" s="2" t="str">
        <f>"286977"</f>
        <v>286977</v>
      </c>
      <c r="D6286" s="2" t="s">
        <v>7954</v>
      </c>
      <c r="E6286" s="4">
        <v>22500</v>
      </c>
    </row>
    <row r="6287" spans="1:5">
      <c r="A6287" s="2" t="s">
        <v>296</v>
      </c>
      <c r="B6287" s="2" t="str">
        <f>"286974"</f>
        <v>286974</v>
      </c>
      <c r="C6287" s="2" t="str">
        <f>"286974"</f>
        <v>286974</v>
      </c>
      <c r="D6287" s="2" t="s">
        <v>7955</v>
      </c>
      <c r="E6287" s="4">
        <v>24000</v>
      </c>
    </row>
    <row r="6288" spans="1:5">
      <c r="A6288" s="2" t="s">
        <v>296</v>
      </c>
      <c r="B6288" s="2" t="str">
        <f>"285934"</f>
        <v>285934</v>
      </c>
      <c r="C6288" s="2" t="str">
        <f>"285934"</f>
        <v>285934</v>
      </c>
      <c r="D6288" s="2" t="s">
        <v>7956</v>
      </c>
      <c r="E6288" s="4">
        <v>14340</v>
      </c>
    </row>
    <row r="6289" spans="1:5">
      <c r="A6289" s="2" t="s">
        <v>296</v>
      </c>
      <c r="B6289" s="2" t="str">
        <f>"285947"</f>
        <v>285947</v>
      </c>
      <c r="C6289" s="2" t="str">
        <f>"285947"</f>
        <v>285947</v>
      </c>
      <c r="D6289" s="2" t="s">
        <v>7957</v>
      </c>
      <c r="E6289" s="4">
        <v>19500</v>
      </c>
    </row>
    <row r="6290" spans="1:5">
      <c r="A6290" s="2" t="s">
        <v>296</v>
      </c>
      <c r="B6290" s="2" t="str">
        <f>"171206"</f>
        <v>171206</v>
      </c>
      <c r="C6290" s="2" t="str">
        <f>"171206"</f>
        <v>171206</v>
      </c>
      <c r="D6290" s="2" t="s">
        <v>7958</v>
      </c>
      <c r="E6290" s="4">
        <v>25800</v>
      </c>
    </row>
    <row r="6291" spans="1:5">
      <c r="A6291" s="2" t="s">
        <v>296</v>
      </c>
      <c r="B6291" s="2" t="str">
        <f>"285944"</f>
        <v>285944</v>
      </c>
      <c r="C6291" s="2" t="str">
        <f>"285944"</f>
        <v>285944</v>
      </c>
      <c r="D6291" s="2" t="s">
        <v>7959</v>
      </c>
      <c r="E6291" s="4">
        <v>18000</v>
      </c>
    </row>
    <row r="6292" spans="1:5">
      <c r="A6292" s="2" t="s">
        <v>296</v>
      </c>
      <c r="B6292" s="2" t="str">
        <f>"010590722"</f>
        <v>010590722</v>
      </c>
      <c r="C6292" s="2" t="str">
        <f>"010590722"</f>
        <v>010590722</v>
      </c>
      <c r="D6292" s="2" t="s">
        <v>7960</v>
      </c>
      <c r="E6292" s="4">
        <v>18000</v>
      </c>
    </row>
    <row r="6293" spans="1:5">
      <c r="A6293" s="2" t="s">
        <v>296</v>
      </c>
      <c r="B6293" s="2" t="s">
        <v>7961</v>
      </c>
      <c r="C6293" s="2" t="s">
        <v>7961</v>
      </c>
      <c r="D6293" s="2" t="s">
        <v>7962</v>
      </c>
      <c r="E6293" s="4">
        <v>12500</v>
      </c>
    </row>
    <row r="6294" spans="1:5">
      <c r="A6294" s="2" t="s">
        <v>296</v>
      </c>
      <c r="B6294" s="2" t="str">
        <f>"270102"</f>
        <v>270102</v>
      </c>
      <c r="C6294" s="2" t="str">
        <f>"270102"</f>
        <v>270102</v>
      </c>
      <c r="D6294" s="2" t="s">
        <v>7963</v>
      </c>
      <c r="E6294" s="4">
        <v>18800</v>
      </c>
    </row>
    <row r="6295" spans="1:5">
      <c r="A6295" s="2" t="s">
        <v>296</v>
      </c>
      <c r="B6295" s="2" t="str">
        <f>"270123"</f>
        <v>270123</v>
      </c>
      <c r="C6295" s="2" t="str">
        <f>"270123"</f>
        <v>270123</v>
      </c>
      <c r="D6295" s="2" t="s">
        <v>7964</v>
      </c>
      <c r="E6295" s="4">
        <v>17500</v>
      </c>
    </row>
    <row r="6296" spans="1:5">
      <c r="A6296" s="2" t="s">
        <v>296</v>
      </c>
      <c r="B6296" s="2" t="str">
        <f>"010590193"</f>
        <v>010590193</v>
      </c>
      <c r="C6296" s="2" t="str">
        <f>"010590193"</f>
        <v>010590193</v>
      </c>
      <c r="D6296" s="2" t="s">
        <v>7965</v>
      </c>
      <c r="E6296" s="4">
        <v>16000</v>
      </c>
    </row>
    <row r="6297" spans="1:5">
      <c r="A6297" s="2" t="s">
        <v>296</v>
      </c>
      <c r="B6297" s="2" t="str">
        <f>"2405"</f>
        <v>2405</v>
      </c>
      <c r="C6297" s="2" t="str">
        <f>"2405"</f>
        <v>2405</v>
      </c>
      <c r="D6297" s="2" t="s">
        <v>7966</v>
      </c>
      <c r="E6297" s="4">
        <v>12800</v>
      </c>
    </row>
    <row r="6298" spans="1:5">
      <c r="A6298" s="2" t="s">
        <v>296</v>
      </c>
      <c r="B6298" s="2" t="str">
        <f>"280931"</f>
        <v>280931</v>
      </c>
      <c r="C6298" s="2" t="str">
        <f>"280931"</f>
        <v>280931</v>
      </c>
      <c r="D6298" s="2" t="s">
        <v>7967</v>
      </c>
      <c r="E6298" s="4">
        <v>16000</v>
      </c>
    </row>
    <row r="6299" spans="1:5">
      <c r="A6299" s="2" t="s">
        <v>296</v>
      </c>
      <c r="B6299" s="2" t="s">
        <v>7968</v>
      </c>
      <c r="C6299" s="2" t="s">
        <v>7968</v>
      </c>
      <c r="D6299" s="2" t="s">
        <v>7969</v>
      </c>
      <c r="E6299" s="4">
        <v>12400</v>
      </c>
    </row>
    <row r="6300" spans="1:5">
      <c r="A6300" s="2" t="s">
        <v>296</v>
      </c>
      <c r="B6300" s="2" t="str">
        <f>"230602"</f>
        <v>230602</v>
      </c>
      <c r="C6300" s="2" t="str">
        <f>"230602"</f>
        <v>230602</v>
      </c>
      <c r="D6300" s="2" t="s">
        <v>7970</v>
      </c>
      <c r="E6300" s="4">
        <v>26800</v>
      </c>
    </row>
    <row r="6301" spans="1:5">
      <c r="A6301" s="2" t="s">
        <v>296</v>
      </c>
      <c r="B6301" s="2" t="str">
        <f>"198174"</f>
        <v>198174</v>
      </c>
      <c r="C6301" s="2" t="str">
        <f>"198174"</f>
        <v>198174</v>
      </c>
      <c r="D6301" s="2" t="s">
        <v>7971</v>
      </c>
      <c r="E6301" s="4">
        <v>14800</v>
      </c>
    </row>
    <row r="6302" spans="1:5">
      <c r="A6302" s="2" t="s">
        <v>296</v>
      </c>
      <c r="B6302" s="2" t="str">
        <f>"198070"</f>
        <v>198070</v>
      </c>
      <c r="C6302" s="2" t="str">
        <f>"198070"</f>
        <v>198070</v>
      </c>
      <c r="D6302" s="2" t="s">
        <v>7972</v>
      </c>
      <c r="E6302" s="4">
        <v>14500</v>
      </c>
    </row>
    <row r="6303" spans="1:5">
      <c r="A6303" s="2" t="s">
        <v>296</v>
      </c>
      <c r="B6303" s="2" t="str">
        <f>"10590194"</f>
        <v>10590194</v>
      </c>
      <c r="C6303" s="2" t="str">
        <f>"10590194"</f>
        <v>10590194</v>
      </c>
      <c r="D6303" s="2" t="s">
        <v>7973</v>
      </c>
      <c r="E6303" s="4">
        <v>12500</v>
      </c>
    </row>
    <row r="6304" spans="1:5">
      <c r="A6304" s="2" t="s">
        <v>296</v>
      </c>
      <c r="B6304" s="2" t="str">
        <f>"286082"</f>
        <v>286082</v>
      </c>
      <c r="C6304" s="2" t="str">
        <f>"286082"</f>
        <v>286082</v>
      </c>
      <c r="D6304" s="2" t="s">
        <v>7974</v>
      </c>
      <c r="E6304" s="4">
        <v>23800</v>
      </c>
    </row>
    <row r="6305" spans="1:5">
      <c r="A6305" s="2" t="s">
        <v>296</v>
      </c>
      <c r="B6305" s="2" t="str">
        <f>"286175"</f>
        <v>286175</v>
      </c>
      <c r="C6305" s="2" t="str">
        <f>"286175"</f>
        <v>286175</v>
      </c>
      <c r="D6305" s="2" t="s">
        <v>7975</v>
      </c>
      <c r="E6305" s="4">
        <v>24800</v>
      </c>
    </row>
    <row r="6306" spans="1:5">
      <c r="A6306" s="2" t="s">
        <v>296</v>
      </c>
      <c r="B6306" s="2" t="str">
        <f>"1A00113"</f>
        <v>1A00113</v>
      </c>
      <c r="C6306" s="2" t="str">
        <f>"1A00113"</f>
        <v>1A00113</v>
      </c>
      <c r="D6306" s="2" t="s">
        <v>7976</v>
      </c>
      <c r="E6306" s="4">
        <v>18700</v>
      </c>
    </row>
    <row r="6307" spans="1:5">
      <c r="A6307" s="2" t="s">
        <v>296</v>
      </c>
      <c r="B6307" s="2" t="str">
        <f>"25371025"</f>
        <v>25371025</v>
      </c>
      <c r="C6307" s="2" t="str">
        <f>"25371025"</f>
        <v>25371025</v>
      </c>
      <c r="D6307" s="2" t="s">
        <v>7977</v>
      </c>
      <c r="E6307" s="4">
        <v>9500</v>
      </c>
    </row>
    <row r="6308" spans="1:5">
      <c r="A6308" s="2" t="s">
        <v>296</v>
      </c>
      <c r="B6308" s="2" t="s">
        <v>7978</v>
      </c>
      <c r="C6308" s="2" t="s">
        <v>7978</v>
      </c>
      <c r="D6308" s="2" t="s">
        <v>7977</v>
      </c>
      <c r="E6308" s="4">
        <v>7800</v>
      </c>
    </row>
    <row r="6309" spans="1:5">
      <c r="A6309" s="2" t="s">
        <v>296</v>
      </c>
      <c r="B6309" s="2" t="str">
        <f>"285431"</f>
        <v>285431</v>
      </c>
      <c r="C6309" s="2" t="str">
        <f>"285431"</f>
        <v>285431</v>
      </c>
      <c r="D6309" s="2" t="s">
        <v>7979</v>
      </c>
      <c r="E6309" s="4">
        <v>49000</v>
      </c>
    </row>
    <row r="6310" spans="1:5">
      <c r="A6310" s="2" t="s">
        <v>296</v>
      </c>
      <c r="B6310" s="2" t="str">
        <f>"0617-015"</f>
        <v>0617-015</v>
      </c>
      <c r="C6310" s="2" t="str">
        <f>"0617-015"</f>
        <v>0617-015</v>
      </c>
      <c r="D6310" s="2" t="s">
        <v>7980</v>
      </c>
      <c r="E6310" s="4">
        <v>18500</v>
      </c>
    </row>
    <row r="6311" spans="1:5">
      <c r="A6311" s="2" t="s">
        <v>296</v>
      </c>
      <c r="B6311" s="2" t="str">
        <f>"20-067/5"</f>
        <v>20-067/5</v>
      </c>
      <c r="C6311" s="2" t="str">
        <f>"20-067/5"</f>
        <v>20-067/5</v>
      </c>
      <c r="D6311" s="2" t="s">
        <v>7981</v>
      </c>
      <c r="E6311" s="4">
        <v>15800</v>
      </c>
    </row>
    <row r="6312" spans="1:5">
      <c r="A6312" s="2" t="s">
        <v>296</v>
      </c>
      <c r="B6312" s="2" t="str">
        <f>"0276047"</f>
        <v>0276047</v>
      </c>
      <c r="C6312" s="2" t="str">
        <f>"0276047"</f>
        <v>0276047</v>
      </c>
      <c r="D6312" s="2" t="s">
        <v>7982</v>
      </c>
      <c r="E6312" s="4">
        <v>13800</v>
      </c>
    </row>
    <row r="6313" spans="1:5">
      <c r="A6313" s="2" t="s">
        <v>296</v>
      </c>
      <c r="B6313" s="2" t="str">
        <f>"010590723"</f>
        <v>010590723</v>
      </c>
      <c r="C6313" s="2" t="str">
        <f>"010590723"</f>
        <v>010590723</v>
      </c>
      <c r="D6313" s="2" t="s">
        <v>7983</v>
      </c>
      <c r="E6313" s="4">
        <v>17800</v>
      </c>
    </row>
    <row r="6314" spans="1:5">
      <c r="A6314" s="2" t="s">
        <v>296</v>
      </c>
      <c r="B6314" s="2" t="str">
        <f>"0200303"</f>
        <v>0200303</v>
      </c>
      <c r="C6314" s="2" t="str">
        <f>"0200303"</f>
        <v>0200303</v>
      </c>
      <c r="D6314" s="2" t="s">
        <v>7984</v>
      </c>
      <c r="E6314" s="4">
        <v>16000</v>
      </c>
    </row>
    <row r="6315" spans="1:5">
      <c r="A6315" s="2" t="s">
        <v>296</v>
      </c>
      <c r="B6315" s="2" t="str">
        <f>"010590721"</f>
        <v>010590721</v>
      </c>
      <c r="C6315" s="2" t="str">
        <f>"010590721"</f>
        <v>010590721</v>
      </c>
      <c r="D6315" s="2" t="s">
        <v>7985</v>
      </c>
      <c r="E6315" s="4">
        <v>16900</v>
      </c>
    </row>
    <row r="6316" spans="1:5">
      <c r="A6316" s="2" t="s">
        <v>296</v>
      </c>
      <c r="B6316" s="2" t="str">
        <f>"260139"</f>
        <v>260139</v>
      </c>
      <c r="C6316" s="2" t="str">
        <f>"260139"</f>
        <v>260139</v>
      </c>
      <c r="D6316" s="2" t="s">
        <v>7986</v>
      </c>
      <c r="E6316" s="4">
        <v>16000</v>
      </c>
    </row>
    <row r="6317" spans="1:5">
      <c r="A6317" s="2" t="s">
        <v>296</v>
      </c>
      <c r="B6317" s="2" t="str">
        <f>"230132"</f>
        <v>230132</v>
      </c>
      <c r="C6317" s="2" t="str">
        <f>"230132"</f>
        <v>230132</v>
      </c>
      <c r="D6317" s="2" t="s">
        <v>7987</v>
      </c>
      <c r="E6317" s="4">
        <v>12400</v>
      </c>
    </row>
    <row r="6318" spans="1:5">
      <c r="A6318" s="2" t="s">
        <v>296</v>
      </c>
      <c r="B6318" s="2" t="str">
        <f>"230100"</f>
        <v>230100</v>
      </c>
      <c r="C6318" s="2" t="str">
        <f>"230100"</f>
        <v>230100</v>
      </c>
      <c r="D6318" s="2" t="s">
        <v>7988</v>
      </c>
      <c r="E6318" s="4">
        <v>12900</v>
      </c>
    </row>
    <row r="6319" spans="1:5">
      <c r="A6319" s="2" t="s">
        <v>296</v>
      </c>
      <c r="B6319" s="2" t="str">
        <f>"1623"</f>
        <v>1623</v>
      </c>
      <c r="C6319" s="2" t="str">
        <f>"1623"</f>
        <v>1623</v>
      </c>
      <c r="D6319" s="2" t="s">
        <v>7989</v>
      </c>
      <c r="E6319" s="4">
        <v>16500</v>
      </c>
    </row>
    <row r="6320" spans="1:5">
      <c r="A6320" s="2" t="s">
        <v>296</v>
      </c>
      <c r="B6320" s="2" t="str">
        <f>"285548"</f>
        <v>285548</v>
      </c>
      <c r="C6320" s="2" t="str">
        <f>"285548"</f>
        <v>285548</v>
      </c>
      <c r="D6320" s="2" t="s">
        <v>7990</v>
      </c>
      <c r="E6320" s="4">
        <v>22300</v>
      </c>
    </row>
    <row r="6321" spans="1:5">
      <c r="A6321" s="2" t="s">
        <v>296</v>
      </c>
      <c r="B6321" s="2" t="s">
        <v>7991</v>
      </c>
      <c r="C6321" s="2" t="s">
        <v>7991</v>
      </c>
      <c r="D6321" s="2" t="s">
        <v>7992</v>
      </c>
      <c r="E6321" s="4">
        <v>14300</v>
      </c>
    </row>
    <row r="6322" spans="1:5">
      <c r="A6322" s="2" t="s">
        <v>296</v>
      </c>
      <c r="B6322" s="2" t="s">
        <v>7993</v>
      </c>
      <c r="C6322" s="2" t="s">
        <v>7993</v>
      </c>
      <c r="D6322" s="2" t="s">
        <v>7994</v>
      </c>
      <c r="E6322" s="4">
        <v>17800</v>
      </c>
    </row>
    <row r="6323" spans="1:5">
      <c r="A6323" s="2" t="s">
        <v>296</v>
      </c>
      <c r="B6323" s="2" t="str">
        <f>"30371027"</f>
        <v>30371027</v>
      </c>
      <c r="C6323" s="2" t="str">
        <f>"30371027"</f>
        <v>30371027</v>
      </c>
      <c r="D6323" s="2" t="s">
        <v>7995</v>
      </c>
      <c r="E6323" s="4">
        <v>12900</v>
      </c>
    </row>
    <row r="6324" spans="1:5">
      <c r="A6324" s="2" t="s">
        <v>296</v>
      </c>
      <c r="B6324" s="2" t="str">
        <f>"1144733"</f>
        <v>1144733</v>
      </c>
      <c r="C6324" s="2" t="str">
        <f>"1144733"</f>
        <v>1144733</v>
      </c>
      <c r="D6324" s="2" t="s">
        <v>7996</v>
      </c>
      <c r="E6324" s="4">
        <v>29000</v>
      </c>
    </row>
    <row r="6325" spans="1:5">
      <c r="A6325" s="2" t="s">
        <v>296</v>
      </c>
      <c r="B6325" s="2" t="str">
        <f>"010590347"</f>
        <v>010590347</v>
      </c>
      <c r="C6325" s="2" t="str">
        <f>"010590347"</f>
        <v>010590347</v>
      </c>
      <c r="D6325" s="2" t="s">
        <v>7997</v>
      </c>
      <c r="E6325" s="4">
        <v>17000</v>
      </c>
    </row>
    <row r="6326" spans="1:5">
      <c r="A6326" s="2" t="s">
        <v>296</v>
      </c>
      <c r="B6326" s="2" t="str">
        <f>"010591098"</f>
        <v>010591098</v>
      </c>
      <c r="C6326" s="2" t="str">
        <f>"1605"</f>
        <v>1605</v>
      </c>
      <c r="D6326" s="2" t="s">
        <v>7998</v>
      </c>
      <c r="E6326" s="4">
        <v>15500</v>
      </c>
    </row>
    <row r="6327" spans="1:5">
      <c r="A6327" s="2" t="s">
        <v>296</v>
      </c>
      <c r="B6327" s="2" t="s">
        <v>7999</v>
      </c>
      <c r="C6327" s="2" t="s">
        <v>7999</v>
      </c>
      <c r="D6327" s="2" t="s">
        <v>8000</v>
      </c>
      <c r="E6327" s="4">
        <v>14200</v>
      </c>
    </row>
    <row r="6328" spans="1:5">
      <c r="A6328" s="2" t="s">
        <v>296</v>
      </c>
      <c r="B6328" s="2" t="str">
        <f>"164060"</f>
        <v>164060</v>
      </c>
      <c r="C6328" s="2" t="str">
        <f>"164060"</f>
        <v>164060</v>
      </c>
      <c r="D6328" s="2" t="s">
        <v>8001</v>
      </c>
      <c r="E6328" s="4">
        <v>18700</v>
      </c>
    </row>
    <row r="6329" spans="1:5">
      <c r="A6329" s="2" t="s">
        <v>296</v>
      </c>
      <c r="B6329" s="2" t="str">
        <f>"164117"</f>
        <v>164117</v>
      </c>
      <c r="C6329" s="2" t="str">
        <f>"164117"</f>
        <v>164117</v>
      </c>
      <c r="D6329" s="2" t="s">
        <v>8002</v>
      </c>
      <c r="E6329" s="4">
        <v>18500</v>
      </c>
    </row>
    <row r="6330" spans="1:5">
      <c r="A6330" s="2" t="s">
        <v>296</v>
      </c>
      <c r="B6330" s="2" t="s">
        <v>8003</v>
      </c>
      <c r="C6330" s="2" t="s">
        <v>8003</v>
      </c>
      <c r="D6330" s="2" t="s">
        <v>8004</v>
      </c>
      <c r="E6330" s="4">
        <v>12800</v>
      </c>
    </row>
    <row r="6331" spans="1:5">
      <c r="A6331" s="2" t="s">
        <v>296</v>
      </c>
      <c r="B6331" s="2" t="str">
        <f>"181549"</f>
        <v>181549</v>
      </c>
      <c r="C6331" s="2" t="str">
        <f>"181549"</f>
        <v>181549</v>
      </c>
      <c r="D6331" s="2" t="s">
        <v>8005</v>
      </c>
      <c r="E6331" s="4">
        <v>18800</v>
      </c>
    </row>
    <row r="6332" spans="1:5">
      <c r="A6332" s="2" t="s">
        <v>296</v>
      </c>
      <c r="B6332" s="2" t="str">
        <f>"50371022"</f>
        <v>50371022</v>
      </c>
      <c r="C6332" s="2" t="str">
        <f>"50371022"</f>
        <v>50371022</v>
      </c>
      <c r="D6332" s="2" t="s">
        <v>8006</v>
      </c>
      <c r="E6332" s="4">
        <v>13300</v>
      </c>
    </row>
    <row r="6333" spans="1:5">
      <c r="A6333" s="2" t="s">
        <v>296</v>
      </c>
      <c r="B6333" s="2" t="str">
        <f>"5033-1044"</f>
        <v>5033-1044</v>
      </c>
      <c r="C6333" s="2" t="str">
        <f>"5033-1044"</f>
        <v>5033-1044</v>
      </c>
      <c r="D6333" s="2" t="s">
        <v>8007</v>
      </c>
      <c r="E6333" s="4">
        <v>15100</v>
      </c>
    </row>
    <row r="6334" spans="1:5">
      <c r="A6334" s="2" t="s">
        <v>296</v>
      </c>
      <c r="B6334" s="2" t="str">
        <f>"181901"</f>
        <v>181901</v>
      </c>
      <c r="C6334" s="2" t="str">
        <f>"181901"</f>
        <v>181901</v>
      </c>
      <c r="D6334" s="2" t="s">
        <v>8008</v>
      </c>
      <c r="E6334" s="4">
        <v>22500</v>
      </c>
    </row>
    <row r="6335" spans="1:5">
      <c r="A6335" s="2" t="s">
        <v>296</v>
      </c>
      <c r="B6335" s="2" t="str">
        <f>"5037-1066"</f>
        <v>5037-1066</v>
      </c>
      <c r="C6335" s="2" t="str">
        <f>"5037-1066"</f>
        <v>5037-1066</v>
      </c>
      <c r="D6335" s="2" t="s">
        <v>8009</v>
      </c>
      <c r="E6335" s="4">
        <v>16000</v>
      </c>
    </row>
    <row r="6336" spans="1:5">
      <c r="A6336" s="2" t="s">
        <v>296</v>
      </c>
      <c r="B6336" s="2" t="str">
        <f>"230142"</f>
        <v>230142</v>
      </c>
      <c r="C6336" s="2" t="str">
        <f>"230142"</f>
        <v>230142</v>
      </c>
      <c r="D6336" s="2" t="s">
        <v>8010</v>
      </c>
      <c r="E6336" s="4">
        <v>18900</v>
      </c>
    </row>
    <row r="6337" spans="1:5">
      <c r="A6337" s="2" t="s">
        <v>296</v>
      </c>
      <c r="B6337" s="2" t="str">
        <f>"1147730"</f>
        <v>1147730</v>
      </c>
      <c r="C6337" s="2" t="str">
        <f>"1147730"</f>
        <v>1147730</v>
      </c>
      <c r="D6337" s="2" t="s">
        <v>8011</v>
      </c>
      <c r="E6337" s="4">
        <v>12800</v>
      </c>
    </row>
    <row r="6338" spans="1:5">
      <c r="A6338" s="2" t="s">
        <v>296</v>
      </c>
      <c r="B6338" s="2" t="s">
        <v>8012</v>
      </c>
      <c r="C6338" s="2" t="s">
        <v>8012</v>
      </c>
      <c r="D6338" s="2" t="s">
        <v>8013</v>
      </c>
      <c r="E6338" s="4">
        <v>12500</v>
      </c>
    </row>
    <row r="6339" spans="1:5">
      <c r="A6339" s="2" t="s">
        <v>296</v>
      </c>
      <c r="B6339" s="2" t="s">
        <v>8014</v>
      </c>
      <c r="C6339" s="2" t="s">
        <v>8014</v>
      </c>
      <c r="D6339" s="2" t="s">
        <v>8015</v>
      </c>
      <c r="E6339" s="4">
        <v>18700</v>
      </c>
    </row>
    <row r="6340" spans="1:5">
      <c r="A6340" s="2" t="s">
        <v>296</v>
      </c>
      <c r="B6340" s="2" t="str">
        <f>"171350"</f>
        <v>171350</v>
      </c>
      <c r="C6340" s="2" t="str">
        <f>"171350"</f>
        <v>171350</v>
      </c>
      <c r="D6340" s="2" t="s">
        <v>8016</v>
      </c>
      <c r="E6340" s="4">
        <v>15100</v>
      </c>
    </row>
    <row r="6341" spans="1:5">
      <c r="A6341" s="2" t="s">
        <v>296</v>
      </c>
      <c r="B6341" s="2" t="str">
        <f>"371/5A000"</f>
        <v>371/5A000</v>
      </c>
      <c r="C6341" s="2" t="str">
        <f>"371/5A000"</f>
        <v>371/5A000</v>
      </c>
      <c r="D6341" s="2" t="s">
        <v>8017</v>
      </c>
      <c r="E6341" s="4">
        <v>13900</v>
      </c>
    </row>
    <row r="6342" spans="1:5">
      <c r="A6342" s="2" t="s">
        <v>296</v>
      </c>
      <c r="B6342" s="2" t="s">
        <v>8018</v>
      </c>
      <c r="C6342" s="2" t="s">
        <v>8018</v>
      </c>
      <c r="D6342" s="2" t="s">
        <v>8019</v>
      </c>
      <c r="E6342" s="4">
        <v>14200</v>
      </c>
    </row>
    <row r="6343" spans="1:5">
      <c r="A6343" s="2" t="s">
        <v>296</v>
      </c>
      <c r="B6343" s="2" t="s">
        <v>8020</v>
      </c>
      <c r="C6343" s="2" t="s">
        <v>8020</v>
      </c>
      <c r="D6343" s="2" t="s">
        <v>8021</v>
      </c>
      <c r="E6343" s="4">
        <v>11500</v>
      </c>
    </row>
    <row r="6344" spans="1:5">
      <c r="A6344" s="2" t="s">
        <v>296</v>
      </c>
      <c r="B6344" s="2" t="s">
        <v>8022</v>
      </c>
      <c r="C6344" s="2" t="s">
        <v>8022</v>
      </c>
      <c r="D6344" s="2" t="s">
        <v>8023</v>
      </c>
      <c r="E6344" s="4">
        <v>16000</v>
      </c>
    </row>
    <row r="6345" spans="1:5">
      <c r="A6345" s="2" t="s">
        <v>296</v>
      </c>
      <c r="B6345" s="2" t="str">
        <f>"20371095"</f>
        <v>20371095</v>
      </c>
      <c r="C6345" s="2" t="str">
        <f>"20371095"</f>
        <v>20371095</v>
      </c>
      <c r="D6345" s="2" t="s">
        <v>8024</v>
      </c>
      <c r="E6345" s="4">
        <v>12500</v>
      </c>
    </row>
    <row r="6346" spans="1:5">
      <c r="A6346" s="2" t="s">
        <v>296</v>
      </c>
      <c r="B6346" s="2" t="str">
        <f>"1117"</f>
        <v>1117</v>
      </c>
      <c r="C6346" s="2" t="str">
        <f>"1117"</f>
        <v>1117</v>
      </c>
      <c r="D6346" s="2" t="s">
        <v>8025</v>
      </c>
      <c r="E6346" s="4">
        <v>12400</v>
      </c>
    </row>
    <row r="6347" spans="1:5">
      <c r="A6347" s="2" t="s">
        <v>296</v>
      </c>
      <c r="B6347" s="2" t="s">
        <v>8026</v>
      </c>
      <c r="C6347" s="2" t="s">
        <v>8026</v>
      </c>
      <c r="D6347" s="2" t="s">
        <v>8027</v>
      </c>
      <c r="E6347" s="4">
        <v>16800</v>
      </c>
    </row>
    <row r="6348" spans="1:5">
      <c r="A6348" s="2" t="s">
        <v>296</v>
      </c>
      <c r="B6348" s="2" t="s">
        <v>8028</v>
      </c>
      <c r="C6348" s="2" t="s">
        <v>8028</v>
      </c>
      <c r="D6348" s="2" t="s">
        <v>8027</v>
      </c>
      <c r="E6348" s="4">
        <v>16500</v>
      </c>
    </row>
    <row r="6349" spans="1:5">
      <c r="A6349" s="2" t="s">
        <v>296</v>
      </c>
      <c r="B6349" s="2" t="str">
        <f>"010590676"</f>
        <v>010590676</v>
      </c>
      <c r="C6349" s="2" t="str">
        <f>"010590676"</f>
        <v>010590676</v>
      </c>
      <c r="D6349" s="2" t="s">
        <v>8029</v>
      </c>
      <c r="E6349" s="4">
        <v>12400</v>
      </c>
    </row>
    <row r="6350" spans="1:5">
      <c r="A6350" s="2" t="s">
        <v>296</v>
      </c>
      <c r="B6350" s="2" t="str">
        <f>"020-MN1431"</f>
        <v>020-MN1431</v>
      </c>
      <c r="C6350" s="2" t="str">
        <f>"020-MN1431"</f>
        <v>020-MN1431</v>
      </c>
      <c r="D6350" s="2" t="s">
        <v>8029</v>
      </c>
      <c r="E6350" s="4">
        <v>9000</v>
      </c>
    </row>
    <row r="6351" spans="1:5">
      <c r="A6351" s="2" t="s">
        <v>296</v>
      </c>
      <c r="B6351" s="2" t="s">
        <v>8030</v>
      </c>
      <c r="C6351" s="2" t="s">
        <v>8030</v>
      </c>
      <c r="D6351" s="2" t="s">
        <v>8031</v>
      </c>
      <c r="E6351" s="4">
        <v>12000</v>
      </c>
    </row>
    <row r="6352" spans="1:5">
      <c r="A6352" s="2" t="s">
        <v>296</v>
      </c>
      <c r="B6352" s="2" t="str">
        <f>"020-602/5A"</f>
        <v>020-602/5A</v>
      </c>
      <c r="C6352" s="2" t="str">
        <f>"020-602/5A"</f>
        <v>020-602/5A</v>
      </c>
      <c r="D6352" s="2" t="s">
        <v>8032</v>
      </c>
      <c r="E6352" s="4">
        <v>12400</v>
      </c>
    </row>
    <row r="6353" spans="1:5">
      <c r="A6353" s="2" t="s">
        <v>296</v>
      </c>
      <c r="B6353" s="2" t="s">
        <v>8033</v>
      </c>
      <c r="C6353" s="2" t="s">
        <v>8033</v>
      </c>
      <c r="D6353" s="2" t="s">
        <v>8034</v>
      </c>
      <c r="E6353" s="4">
        <v>17800</v>
      </c>
    </row>
    <row r="6354" spans="1:5">
      <c r="A6354" s="2" t="s">
        <v>296</v>
      </c>
      <c r="B6354" s="2" t="s">
        <v>8035</v>
      </c>
      <c r="C6354" s="2" t="s">
        <v>8035</v>
      </c>
      <c r="D6354" s="2" t="s">
        <v>8036</v>
      </c>
      <c r="E6354" s="4">
        <v>14200</v>
      </c>
    </row>
    <row r="6355" spans="1:5">
      <c r="A6355" s="2" t="s">
        <v>296</v>
      </c>
      <c r="B6355" s="2" t="str">
        <f>"0108903"</f>
        <v>0108903</v>
      </c>
      <c r="C6355" s="2" t="str">
        <f>"0108903"</f>
        <v>0108903</v>
      </c>
      <c r="D6355" s="2" t="s">
        <v>8037</v>
      </c>
      <c r="E6355" s="4">
        <v>12600</v>
      </c>
    </row>
    <row r="6356" spans="1:5">
      <c r="A6356" s="2" t="s">
        <v>296</v>
      </c>
      <c r="B6356" s="2" t="s">
        <v>8038</v>
      </c>
      <c r="C6356" s="2" t="s">
        <v>8038</v>
      </c>
      <c r="D6356" s="2" t="s">
        <v>8039</v>
      </c>
      <c r="E6356" s="4">
        <v>6500</v>
      </c>
    </row>
    <row r="6357" spans="1:5">
      <c r="A6357" s="2" t="s">
        <v>296</v>
      </c>
      <c r="B6357" s="2" t="str">
        <f>"230136"</f>
        <v>230136</v>
      </c>
      <c r="C6357" s="2" t="str">
        <f>"230136"</f>
        <v>230136</v>
      </c>
      <c r="D6357" s="2" t="s">
        <v>8040</v>
      </c>
      <c r="E6357" s="4">
        <v>9500</v>
      </c>
    </row>
    <row r="6358" spans="1:5">
      <c r="A6358" s="2" t="s">
        <v>296</v>
      </c>
      <c r="B6358" s="2" t="str">
        <f>"2537-1022"</f>
        <v>2537-1022</v>
      </c>
      <c r="C6358" s="2" t="str">
        <f>"2537-1022"</f>
        <v>2537-1022</v>
      </c>
      <c r="D6358" s="2" t="s">
        <v>8041</v>
      </c>
      <c r="E6358" s="4">
        <v>7000</v>
      </c>
    </row>
    <row r="6359" spans="1:5">
      <c r="A6359" s="2" t="s">
        <v>296</v>
      </c>
      <c r="B6359" s="2" t="str">
        <f>"287190"</f>
        <v>287190</v>
      </c>
      <c r="C6359" s="2" t="str">
        <f>"287190"</f>
        <v>287190</v>
      </c>
      <c r="D6359" s="2" t="s">
        <v>8042</v>
      </c>
      <c r="E6359" s="4">
        <v>19800</v>
      </c>
    </row>
    <row r="6360" spans="1:5">
      <c r="A6360" s="2" t="s">
        <v>296</v>
      </c>
      <c r="B6360" s="2" t="str">
        <f>"1701643"</f>
        <v>1701643</v>
      </c>
      <c r="C6360" s="2" t="str">
        <f>"1701643"</f>
        <v>1701643</v>
      </c>
      <c r="D6360" s="2" t="s">
        <v>8043</v>
      </c>
      <c r="E6360" s="4">
        <v>8500</v>
      </c>
    </row>
    <row r="6361" spans="1:5">
      <c r="A6361" s="2" t="s">
        <v>296</v>
      </c>
      <c r="B6361" s="2" t="str">
        <f>"285429"</f>
        <v>285429</v>
      </c>
      <c r="C6361" s="2" t="str">
        <f>"285429"</f>
        <v>285429</v>
      </c>
      <c r="D6361" s="2" t="s">
        <v>8044</v>
      </c>
      <c r="E6361" s="4">
        <v>24800</v>
      </c>
    </row>
    <row r="6362" spans="1:5">
      <c r="A6362" s="2" t="s">
        <v>296</v>
      </c>
      <c r="B6362" s="2" t="str">
        <f>"164082"</f>
        <v>164082</v>
      </c>
      <c r="C6362" s="2" t="str">
        <f>"164082"</f>
        <v>164082</v>
      </c>
      <c r="D6362" s="2" t="s">
        <v>8045</v>
      </c>
      <c r="E6362" s="4">
        <v>19600</v>
      </c>
    </row>
    <row r="6363" spans="1:5">
      <c r="A6363" s="2" t="s">
        <v>296</v>
      </c>
      <c r="B6363" s="2" t="str">
        <f>"1701693"</f>
        <v>1701693</v>
      </c>
      <c r="C6363" s="2" t="str">
        <f>"1701693"</f>
        <v>1701693</v>
      </c>
      <c r="D6363" s="2" t="s">
        <v>8046</v>
      </c>
      <c r="E6363" s="4">
        <v>9600</v>
      </c>
    </row>
    <row r="6364" spans="1:5">
      <c r="A6364" s="2" t="s">
        <v>296</v>
      </c>
      <c r="B6364" s="2" t="str">
        <f>"164083"</f>
        <v>164083</v>
      </c>
      <c r="C6364" s="2" t="str">
        <f>"164083"</f>
        <v>164083</v>
      </c>
      <c r="D6364" s="2" t="s">
        <v>8047</v>
      </c>
      <c r="E6364" s="4">
        <v>18800</v>
      </c>
    </row>
    <row r="6365" spans="1:5">
      <c r="A6365" s="2" t="s">
        <v>296</v>
      </c>
      <c r="B6365" s="2" t="str">
        <f>"070693"</f>
        <v>070693</v>
      </c>
      <c r="C6365" s="2" t="str">
        <f>"070693"</f>
        <v>070693</v>
      </c>
      <c r="D6365" s="2" t="s">
        <v>8048</v>
      </c>
      <c r="E6365" s="4">
        <v>10500</v>
      </c>
    </row>
    <row r="6366" spans="1:5">
      <c r="A6366" s="2" t="s">
        <v>296</v>
      </c>
      <c r="B6366" s="2" t="s">
        <v>8049</v>
      </c>
      <c r="C6366" s="2" t="s">
        <v>8049</v>
      </c>
      <c r="D6366" s="2" t="s">
        <v>8050</v>
      </c>
      <c r="E6366" s="4">
        <v>10600</v>
      </c>
    </row>
    <row r="6367" spans="1:5">
      <c r="A6367" s="2" t="s">
        <v>296</v>
      </c>
      <c r="B6367" s="2" t="s">
        <v>8051</v>
      </c>
      <c r="C6367" s="2" t="s">
        <v>8051</v>
      </c>
      <c r="D6367" s="2" t="s">
        <v>8052</v>
      </c>
      <c r="E6367" s="2">
        <v>0</v>
      </c>
    </row>
    <row r="6368" spans="1:5">
      <c r="A6368" s="2" t="s">
        <v>296</v>
      </c>
      <c r="B6368" s="2" t="str">
        <f>"00106L2250"</f>
        <v>00106L2250</v>
      </c>
      <c r="C6368" s="2" t="str">
        <f>"00106L2250"</f>
        <v>00106L2250</v>
      </c>
      <c r="D6368" s="2" t="s">
        <v>8053</v>
      </c>
      <c r="E6368" s="4">
        <v>10500</v>
      </c>
    </row>
    <row r="6369" spans="1:5">
      <c r="A6369" s="2" t="s">
        <v>296</v>
      </c>
      <c r="B6369" s="2" t="str">
        <f>"110590035"</f>
        <v>110590035</v>
      </c>
      <c r="C6369" s="2" t="str">
        <f>"110590035"</f>
        <v>110590035</v>
      </c>
      <c r="D6369" s="2" t="s">
        <v>8054</v>
      </c>
      <c r="E6369" s="4">
        <v>9700</v>
      </c>
    </row>
    <row r="6370" spans="1:5">
      <c r="A6370" s="2" t="s">
        <v>296</v>
      </c>
      <c r="B6370" s="2" t="str">
        <f>"070691"</f>
        <v>070691</v>
      </c>
      <c r="C6370" s="2" t="str">
        <f>"070691"</f>
        <v>070691</v>
      </c>
      <c r="D6370" s="2" t="s">
        <v>8055</v>
      </c>
      <c r="E6370" s="4">
        <v>12400</v>
      </c>
    </row>
    <row r="6371" spans="1:5">
      <c r="A6371" s="2" t="s">
        <v>296</v>
      </c>
      <c r="B6371" s="2" t="str">
        <f>"286876"</f>
        <v>286876</v>
      </c>
      <c r="C6371" s="2" t="str">
        <f>"286876"</f>
        <v>286876</v>
      </c>
      <c r="D6371" s="2" t="s">
        <v>8056</v>
      </c>
      <c r="E6371" s="4">
        <v>9700</v>
      </c>
    </row>
    <row r="6372" spans="1:5">
      <c r="A6372" s="2" t="s">
        <v>296</v>
      </c>
      <c r="B6372" s="2" t="s">
        <v>8057</v>
      </c>
      <c r="C6372" s="2" t="s">
        <v>8057</v>
      </c>
      <c r="D6372" s="2" t="s">
        <v>8058</v>
      </c>
      <c r="E6372" s="4">
        <v>9700</v>
      </c>
    </row>
    <row r="6373" spans="1:5">
      <c r="A6373" s="2" t="s">
        <v>296</v>
      </c>
      <c r="B6373" s="2" t="str">
        <f>"160020"</f>
        <v>160020</v>
      </c>
      <c r="C6373" s="2" t="str">
        <f>"160020"</f>
        <v>160020</v>
      </c>
      <c r="D6373" s="2" t="s">
        <v>8059</v>
      </c>
      <c r="E6373" s="4">
        <v>10600</v>
      </c>
    </row>
    <row r="6374" spans="1:5">
      <c r="A6374" s="2" t="s">
        <v>296</v>
      </c>
      <c r="B6374" s="2" t="str">
        <f>"285510"</f>
        <v>285510</v>
      </c>
      <c r="C6374" s="2" t="str">
        <f>"285510"</f>
        <v>285510</v>
      </c>
      <c r="D6374" s="2" t="s">
        <v>8060</v>
      </c>
      <c r="E6374" s="4">
        <v>32200</v>
      </c>
    </row>
    <row r="6375" spans="1:5">
      <c r="A6375" s="2" t="s">
        <v>296</v>
      </c>
      <c r="B6375" s="2" t="str">
        <f>"160021"</f>
        <v>160021</v>
      </c>
      <c r="C6375" s="2" t="str">
        <f>"160021"</f>
        <v>160021</v>
      </c>
      <c r="D6375" s="2" t="s">
        <v>8061</v>
      </c>
      <c r="E6375" s="4">
        <v>10600</v>
      </c>
    </row>
    <row r="6376" spans="1:5">
      <c r="A6376" s="2" t="s">
        <v>296</v>
      </c>
      <c r="B6376" s="2" t="str">
        <f>"285485"</f>
        <v>285485</v>
      </c>
      <c r="C6376" s="2" t="str">
        <f>"285485"</f>
        <v>285485</v>
      </c>
      <c r="D6376" s="2" t="s">
        <v>8062</v>
      </c>
      <c r="E6376" s="4">
        <v>16800</v>
      </c>
    </row>
    <row r="6377" spans="1:5">
      <c r="A6377" s="2" t="s">
        <v>296</v>
      </c>
      <c r="B6377" s="2" t="str">
        <f>"286906"</f>
        <v>286906</v>
      </c>
      <c r="C6377" s="2" t="str">
        <f>"286906"</f>
        <v>286906</v>
      </c>
      <c r="D6377" s="2" t="s">
        <v>8063</v>
      </c>
      <c r="E6377" s="4">
        <v>6160</v>
      </c>
    </row>
    <row r="6378" spans="1:5">
      <c r="A6378" s="2" t="s">
        <v>296</v>
      </c>
      <c r="B6378" s="2" t="str">
        <f>"281085"</f>
        <v>281085</v>
      </c>
      <c r="C6378" s="2" t="str">
        <f>"281085"</f>
        <v>281085</v>
      </c>
      <c r="D6378" s="2" t="s">
        <v>8064</v>
      </c>
      <c r="E6378" s="4">
        <v>9500</v>
      </c>
    </row>
    <row r="6379" spans="1:5">
      <c r="A6379" s="2" t="s">
        <v>296</v>
      </c>
      <c r="B6379" s="2" t="str">
        <f>"10-067/4"</f>
        <v>10-067/4</v>
      </c>
      <c r="C6379" s="2" t="str">
        <f>"10-067/4"</f>
        <v>10-067/4</v>
      </c>
      <c r="D6379" s="2" t="s">
        <v>8065</v>
      </c>
      <c r="E6379" s="4">
        <v>10800</v>
      </c>
    </row>
    <row r="6380" spans="1:5">
      <c r="A6380" s="2" t="s">
        <v>296</v>
      </c>
      <c r="B6380" s="2" t="str">
        <f>"010590353"</f>
        <v>010590353</v>
      </c>
      <c r="C6380" s="2" t="str">
        <f>"010590353"</f>
        <v>010590353</v>
      </c>
      <c r="D6380" s="2" t="s">
        <v>8066</v>
      </c>
      <c r="E6380" s="4">
        <v>9700</v>
      </c>
    </row>
    <row r="6381" spans="1:5">
      <c r="A6381" s="2" t="s">
        <v>296</v>
      </c>
      <c r="B6381" s="2" t="str">
        <f>"1602393"</f>
        <v>1602393</v>
      </c>
      <c r="C6381" s="2" t="str">
        <f>"1602393"</f>
        <v>1602393</v>
      </c>
      <c r="D6381" s="2" t="s">
        <v>8067</v>
      </c>
      <c r="E6381" s="4">
        <v>11500</v>
      </c>
    </row>
    <row r="6382" spans="1:5">
      <c r="A6382" s="2" t="s">
        <v>296</v>
      </c>
      <c r="B6382" s="2" t="s">
        <v>8068</v>
      </c>
      <c r="C6382" s="2" t="s">
        <v>8068</v>
      </c>
      <c r="D6382" s="2" t="s">
        <v>8069</v>
      </c>
      <c r="E6382" s="4">
        <v>7000</v>
      </c>
    </row>
    <row r="6383" spans="1:5">
      <c r="A6383" s="2" t="s">
        <v>296</v>
      </c>
      <c r="B6383" s="2" t="str">
        <f>"286865"</f>
        <v>286865</v>
      </c>
      <c r="C6383" s="2" t="str">
        <f>"286865"</f>
        <v>286865</v>
      </c>
      <c r="D6383" s="2" t="s">
        <v>8070</v>
      </c>
      <c r="E6383" s="4">
        <v>28687</v>
      </c>
    </row>
    <row r="6384" spans="1:5">
      <c r="A6384" s="2" t="s">
        <v>296</v>
      </c>
      <c r="B6384" s="2" t="s">
        <v>8071</v>
      </c>
      <c r="C6384" s="2" t="s">
        <v>8071</v>
      </c>
      <c r="D6384" s="2" t="s">
        <v>8072</v>
      </c>
      <c r="E6384" s="4">
        <v>9700</v>
      </c>
    </row>
    <row r="6385" spans="1:5">
      <c r="A6385" s="2" t="s">
        <v>296</v>
      </c>
      <c r="B6385" s="2" t="str">
        <f>"1037-1069"</f>
        <v>1037-1069</v>
      </c>
      <c r="C6385" s="2" t="str">
        <f>"1037-1069"</f>
        <v>1037-1069</v>
      </c>
      <c r="D6385" s="2" t="s">
        <v>8073</v>
      </c>
      <c r="E6385" s="4">
        <v>9700</v>
      </c>
    </row>
    <row r="6386" spans="1:5">
      <c r="A6386" s="2" t="s">
        <v>296</v>
      </c>
      <c r="B6386" s="2" t="s">
        <v>8074</v>
      </c>
      <c r="C6386" s="2" t="s">
        <v>8074</v>
      </c>
      <c r="D6386" s="2" t="s">
        <v>8075</v>
      </c>
      <c r="E6386" s="4">
        <v>10600</v>
      </c>
    </row>
    <row r="6387" spans="1:5">
      <c r="A6387" s="2" t="s">
        <v>296</v>
      </c>
      <c r="B6387" s="2" t="s">
        <v>8076</v>
      </c>
      <c r="C6387" s="2" t="s">
        <v>8076</v>
      </c>
      <c r="D6387" s="2" t="s">
        <v>8077</v>
      </c>
      <c r="E6387" s="4">
        <v>8500</v>
      </c>
    </row>
    <row r="6388" spans="1:5">
      <c r="A6388" s="2" t="s">
        <v>296</v>
      </c>
      <c r="B6388" s="2" t="str">
        <f>"25371045"</f>
        <v>25371045</v>
      </c>
      <c r="C6388" s="2" t="str">
        <f>"25371045"</f>
        <v>25371045</v>
      </c>
      <c r="D6388" s="2" t="s">
        <v>8078</v>
      </c>
      <c r="E6388" s="4">
        <v>9000</v>
      </c>
    </row>
    <row r="6389" spans="1:5">
      <c r="A6389" s="2" t="s">
        <v>296</v>
      </c>
      <c r="B6389" s="2" t="str">
        <f>"286100"</f>
        <v>286100</v>
      </c>
      <c r="C6389" s="2" t="str">
        <f>"286100"</f>
        <v>286100</v>
      </c>
      <c r="D6389" s="2" t="s">
        <v>8079</v>
      </c>
      <c r="E6389" s="4">
        <v>13800</v>
      </c>
    </row>
    <row r="6390" spans="1:5">
      <c r="A6390" s="2" t="s">
        <v>296</v>
      </c>
      <c r="B6390" s="2" t="s">
        <v>8080</v>
      </c>
      <c r="C6390" s="2" t="s">
        <v>8080</v>
      </c>
      <c r="D6390" s="2" t="s">
        <v>8081</v>
      </c>
      <c r="E6390" s="4">
        <v>10115</v>
      </c>
    </row>
    <row r="6391" spans="1:5">
      <c r="A6391" s="2" t="s">
        <v>296</v>
      </c>
      <c r="B6391" s="2" t="str">
        <f>"260097"</f>
        <v>260097</v>
      </c>
      <c r="C6391" s="2" t="str">
        <f>"260097"</f>
        <v>260097</v>
      </c>
      <c r="D6391" s="2" t="s">
        <v>8082</v>
      </c>
      <c r="E6391" s="4">
        <v>11500</v>
      </c>
    </row>
    <row r="6392" spans="1:5">
      <c r="A6392" s="2" t="s">
        <v>296</v>
      </c>
      <c r="B6392" s="2" t="str">
        <f>"260122"</f>
        <v>260122</v>
      </c>
      <c r="C6392" s="2" t="str">
        <f>"260122"</f>
        <v>260122</v>
      </c>
      <c r="D6392" s="2" t="s">
        <v>8083</v>
      </c>
      <c r="E6392" s="4">
        <v>10800</v>
      </c>
    </row>
    <row r="6393" spans="1:5">
      <c r="A6393" s="2" t="s">
        <v>296</v>
      </c>
      <c r="B6393" s="2" t="str">
        <f>"191288"</f>
        <v>191288</v>
      </c>
      <c r="C6393" s="2" t="str">
        <f>"191288"</f>
        <v>191288</v>
      </c>
      <c r="D6393" s="2" t="s">
        <v>8084</v>
      </c>
      <c r="E6393" s="4">
        <v>16500</v>
      </c>
    </row>
    <row r="6394" spans="1:5">
      <c r="A6394" s="2" t="s">
        <v>296</v>
      </c>
      <c r="B6394" s="2" t="str">
        <f>"287154"</f>
        <v>287154</v>
      </c>
      <c r="C6394" s="2" t="str">
        <f>"287154"</f>
        <v>287154</v>
      </c>
      <c r="D6394" s="2" t="s">
        <v>8085</v>
      </c>
      <c r="E6394" s="4">
        <v>19800</v>
      </c>
    </row>
    <row r="6395" spans="1:5">
      <c r="A6395" s="2" t="s">
        <v>296</v>
      </c>
      <c r="B6395" s="2" t="str">
        <f>"260127"</f>
        <v>260127</v>
      </c>
      <c r="C6395" s="2" t="str">
        <f>"260127"</f>
        <v>260127</v>
      </c>
      <c r="D6395" s="2" t="s">
        <v>8086</v>
      </c>
      <c r="E6395" s="4">
        <v>7900</v>
      </c>
    </row>
    <row r="6396" spans="1:5">
      <c r="A6396" s="2" t="s">
        <v>296</v>
      </c>
      <c r="B6396" s="2" t="str">
        <f>"210068"</f>
        <v>210068</v>
      </c>
      <c r="C6396" s="2" t="str">
        <f>"210068"</f>
        <v>210068</v>
      </c>
      <c r="D6396" s="2" t="s">
        <v>8087</v>
      </c>
      <c r="E6396" s="4">
        <v>9500</v>
      </c>
    </row>
    <row r="6397" spans="1:5">
      <c r="A6397" s="2" t="s">
        <v>296</v>
      </c>
      <c r="B6397" s="2" t="str">
        <f>"210066"</f>
        <v>210066</v>
      </c>
      <c r="C6397" s="2" t="str">
        <f>"210066"</f>
        <v>210066</v>
      </c>
      <c r="D6397" s="2" t="s">
        <v>8088</v>
      </c>
      <c r="E6397" s="4">
        <v>12400</v>
      </c>
    </row>
    <row r="6398" spans="1:5">
      <c r="A6398" s="2" t="s">
        <v>296</v>
      </c>
      <c r="B6398" s="2" t="str">
        <f>"285739"</f>
        <v>285739</v>
      </c>
      <c r="C6398" s="2" t="str">
        <f>"285739"</f>
        <v>285739</v>
      </c>
      <c r="D6398" s="2" t="s">
        <v>8089</v>
      </c>
      <c r="E6398" s="4">
        <v>14800</v>
      </c>
    </row>
    <row r="6399" spans="1:5">
      <c r="A6399" s="2" t="s">
        <v>296</v>
      </c>
      <c r="B6399" s="2" t="str">
        <f>"247837"</f>
        <v>247837</v>
      </c>
      <c r="C6399" s="2" t="str">
        <f>"247837"</f>
        <v>247837</v>
      </c>
      <c r="D6399" s="2" t="s">
        <v>8090</v>
      </c>
      <c r="E6399" s="4">
        <v>11500</v>
      </c>
    </row>
    <row r="6400" spans="1:5">
      <c r="A6400" s="2" t="s">
        <v>296</v>
      </c>
      <c r="B6400" s="2" t="str">
        <f>"010590070"</f>
        <v>010590070</v>
      </c>
      <c r="C6400" s="2" t="str">
        <f>"010590070"</f>
        <v>010590070</v>
      </c>
      <c r="D6400" s="2" t="s">
        <v>8091</v>
      </c>
      <c r="E6400" s="4">
        <v>13685</v>
      </c>
    </row>
    <row r="6401" spans="1:5">
      <c r="A6401" s="2" t="s">
        <v>296</v>
      </c>
      <c r="B6401" s="2" t="str">
        <f>"230125"</f>
        <v>230125</v>
      </c>
      <c r="C6401" s="2" t="str">
        <f>"230125"</f>
        <v>230125</v>
      </c>
      <c r="D6401" s="2" t="s">
        <v>8092</v>
      </c>
      <c r="E6401" s="4">
        <v>11500</v>
      </c>
    </row>
    <row r="6402" spans="1:5">
      <c r="A6402" s="2" t="s">
        <v>296</v>
      </c>
      <c r="B6402" s="2" t="str">
        <f>"230111"</f>
        <v>230111</v>
      </c>
      <c r="C6402" s="2" t="str">
        <f>"230111"</f>
        <v>230111</v>
      </c>
      <c r="D6402" s="2" t="s">
        <v>8093</v>
      </c>
      <c r="E6402" s="4">
        <v>6500</v>
      </c>
    </row>
    <row r="6403" spans="1:5">
      <c r="A6403" s="2" t="s">
        <v>296</v>
      </c>
      <c r="B6403" s="2" t="str">
        <f>"281213"</f>
        <v>281213</v>
      </c>
      <c r="C6403" s="2" t="str">
        <f>"281213"</f>
        <v>281213</v>
      </c>
      <c r="D6403" s="2" t="s">
        <v>8094</v>
      </c>
      <c r="E6403" s="4">
        <v>11500</v>
      </c>
    </row>
    <row r="6404" spans="1:5">
      <c r="A6404" s="2" t="s">
        <v>296</v>
      </c>
      <c r="B6404" s="2" t="str">
        <f>"1215130"</f>
        <v>1215130</v>
      </c>
      <c r="C6404" s="2" t="str">
        <f>"1215130"</f>
        <v>1215130</v>
      </c>
      <c r="D6404" s="2" t="s">
        <v>8095</v>
      </c>
      <c r="E6404" s="4">
        <v>6500</v>
      </c>
    </row>
    <row r="6405" spans="1:5">
      <c r="A6405" s="2" t="s">
        <v>296</v>
      </c>
      <c r="B6405" s="2" t="str">
        <f>"285553"</f>
        <v>285553</v>
      </c>
      <c r="C6405" s="2" t="str">
        <f>"285553"</f>
        <v>285553</v>
      </c>
      <c r="D6405" s="2" t="s">
        <v>8096</v>
      </c>
      <c r="E6405" s="4">
        <v>19600</v>
      </c>
    </row>
    <row r="6406" spans="1:5">
      <c r="A6406" s="2" t="s">
        <v>296</v>
      </c>
      <c r="B6406" s="2" t="str">
        <f>"286316"</f>
        <v>286316</v>
      </c>
      <c r="C6406" s="2" t="str">
        <f>"286316"</f>
        <v>286316</v>
      </c>
      <c r="D6406" s="2" t="s">
        <v>8097</v>
      </c>
      <c r="E6406" s="4">
        <v>12500</v>
      </c>
    </row>
    <row r="6407" spans="1:5">
      <c r="A6407" s="2" t="s">
        <v>296</v>
      </c>
      <c r="B6407" s="2" t="str">
        <f>"236087"</f>
        <v>236087</v>
      </c>
      <c r="C6407" s="2" t="str">
        <f>"236087"</f>
        <v>236087</v>
      </c>
      <c r="D6407" s="2" t="s">
        <v>8098</v>
      </c>
      <c r="E6407" s="4">
        <v>18500</v>
      </c>
    </row>
    <row r="6408" spans="1:5">
      <c r="A6408" s="2" t="s">
        <v>296</v>
      </c>
      <c r="B6408" s="2" t="str">
        <f>"181956"</f>
        <v>181956</v>
      </c>
      <c r="C6408" s="2" t="str">
        <f>"181956"</f>
        <v>181956</v>
      </c>
      <c r="D6408" s="2" t="s">
        <v>8099</v>
      </c>
      <c r="E6408" s="4">
        <v>9700</v>
      </c>
    </row>
    <row r="6409" spans="1:5">
      <c r="A6409" s="2" t="s">
        <v>296</v>
      </c>
      <c r="B6409" s="2" t="str">
        <f>"010590946"</f>
        <v>010590946</v>
      </c>
      <c r="C6409" s="2" t="str">
        <f>"010590946"</f>
        <v>010590946</v>
      </c>
      <c r="D6409" s="2" t="s">
        <v>8100</v>
      </c>
      <c r="E6409" s="4">
        <v>14200</v>
      </c>
    </row>
    <row r="6410" spans="1:5">
      <c r="A6410" s="2" t="s">
        <v>296</v>
      </c>
      <c r="B6410" s="2" t="str">
        <f>"127138"</f>
        <v>127138</v>
      </c>
      <c r="C6410" s="2" t="str">
        <f>"127138"</f>
        <v>127138</v>
      </c>
      <c r="D6410" s="2" t="s">
        <v>8101</v>
      </c>
      <c r="E6410" s="4">
        <v>9700</v>
      </c>
    </row>
    <row r="6411" spans="1:5">
      <c r="A6411" s="2" t="s">
        <v>296</v>
      </c>
      <c r="B6411" s="2" t="str">
        <f>"1158138"</f>
        <v>1158138</v>
      </c>
      <c r="C6411" s="2" t="str">
        <f>"1158138"</f>
        <v>1158138</v>
      </c>
      <c r="D6411" s="2" t="s">
        <v>8102</v>
      </c>
      <c r="E6411" s="4">
        <v>11500</v>
      </c>
    </row>
    <row r="6412" spans="1:5">
      <c r="A6412" s="2" t="s">
        <v>296</v>
      </c>
      <c r="B6412" s="2" t="s">
        <v>8103</v>
      </c>
      <c r="C6412" s="2" t="s">
        <v>8103</v>
      </c>
      <c r="D6412" s="2" t="s">
        <v>8104</v>
      </c>
      <c r="E6412" s="4">
        <v>12468</v>
      </c>
    </row>
    <row r="6413" spans="1:5">
      <c r="A6413" s="2" t="s">
        <v>296</v>
      </c>
      <c r="B6413" s="2" t="str">
        <f>"181561"</f>
        <v>181561</v>
      </c>
      <c r="C6413" s="2" t="str">
        <f>"181561"</f>
        <v>181561</v>
      </c>
      <c r="D6413" s="2" t="s">
        <v>8104</v>
      </c>
      <c r="E6413" s="4">
        <v>9800</v>
      </c>
    </row>
    <row r="6414" spans="1:5">
      <c r="A6414" s="2" t="s">
        <v>296</v>
      </c>
      <c r="B6414" s="2" t="str">
        <f>"181560"</f>
        <v>181560</v>
      </c>
      <c r="C6414" s="2" t="str">
        <f>"181560"</f>
        <v>181560</v>
      </c>
      <c r="D6414" s="2" t="s">
        <v>8105</v>
      </c>
      <c r="E6414" s="4">
        <v>10600</v>
      </c>
    </row>
    <row r="6415" spans="1:5">
      <c r="A6415" s="2" t="s">
        <v>296</v>
      </c>
      <c r="B6415" s="2" t="str">
        <f>"230620"</f>
        <v>230620</v>
      </c>
      <c r="C6415" s="2" t="str">
        <f>"230620"</f>
        <v>230620</v>
      </c>
      <c r="D6415" s="2" t="s">
        <v>8106</v>
      </c>
      <c r="E6415" s="4">
        <v>18800</v>
      </c>
    </row>
    <row r="6416" spans="1:5">
      <c r="A6416" s="2" t="s">
        <v>296</v>
      </c>
      <c r="B6416" s="2" t="str">
        <f>"2301"</f>
        <v>2301</v>
      </c>
      <c r="C6416" s="2" t="str">
        <f>"2301"</f>
        <v>2301</v>
      </c>
      <c r="D6416" s="2" t="s">
        <v>8107</v>
      </c>
      <c r="E6416" s="4">
        <v>14500</v>
      </c>
    </row>
    <row r="6417" spans="1:5">
      <c r="A6417" s="2" t="s">
        <v>296</v>
      </c>
      <c r="B6417" s="2" t="s">
        <v>8108</v>
      </c>
      <c r="C6417" s="2" t="s">
        <v>8108</v>
      </c>
      <c r="D6417" s="2" t="s">
        <v>8109</v>
      </c>
      <c r="E6417" s="4">
        <v>11500</v>
      </c>
    </row>
    <row r="6418" spans="1:5">
      <c r="A6418" s="2" t="s">
        <v>296</v>
      </c>
      <c r="B6418" s="2" t="str">
        <f>"285597"</f>
        <v>285597</v>
      </c>
      <c r="C6418" s="2" t="str">
        <f>"285597"</f>
        <v>285597</v>
      </c>
      <c r="D6418" s="2" t="s">
        <v>8110</v>
      </c>
      <c r="E6418" s="4">
        <v>12400</v>
      </c>
    </row>
    <row r="6419" spans="1:5">
      <c r="A6419" s="2" t="s">
        <v>296</v>
      </c>
      <c r="B6419" s="2" t="str">
        <f>"181955"</f>
        <v>181955</v>
      </c>
      <c r="C6419" s="2" t="str">
        <f>"181955"</f>
        <v>181955</v>
      </c>
      <c r="D6419" s="2" t="s">
        <v>8111</v>
      </c>
      <c r="E6419" s="4">
        <v>9700</v>
      </c>
    </row>
    <row r="6420" spans="1:5">
      <c r="A6420" s="2" t="s">
        <v>296</v>
      </c>
      <c r="B6420" s="2" t="str">
        <f>"171358"</f>
        <v>171358</v>
      </c>
      <c r="C6420" s="2" t="str">
        <f>"171358"</f>
        <v>171358</v>
      </c>
      <c r="D6420" s="2" t="s">
        <v>8112</v>
      </c>
      <c r="E6420" s="4">
        <v>9500</v>
      </c>
    </row>
    <row r="6421" spans="1:5">
      <c r="A6421" s="2" t="s">
        <v>296</v>
      </c>
      <c r="B6421" s="2" t="str">
        <f>"171360"</f>
        <v>171360</v>
      </c>
      <c r="C6421" s="2" t="str">
        <f>"171360"</f>
        <v>171360</v>
      </c>
      <c r="D6421" s="2" t="s">
        <v>8113</v>
      </c>
      <c r="E6421" s="4">
        <v>9500</v>
      </c>
    </row>
    <row r="6422" spans="1:5">
      <c r="A6422" s="2" t="s">
        <v>296</v>
      </c>
      <c r="B6422" s="2" t="str">
        <f>"010590256"</f>
        <v>010590256</v>
      </c>
      <c r="C6422" s="2" t="str">
        <f>"010590256"</f>
        <v>010590256</v>
      </c>
      <c r="D6422" s="2" t="s">
        <v>8114</v>
      </c>
      <c r="E6422" s="4">
        <v>11900</v>
      </c>
    </row>
    <row r="6423" spans="1:5">
      <c r="A6423" s="2" t="s">
        <v>296</v>
      </c>
      <c r="B6423" s="2" t="str">
        <f>"286520"</f>
        <v>286520</v>
      </c>
      <c r="C6423" s="2" t="str">
        <f>"286520"</f>
        <v>286520</v>
      </c>
      <c r="D6423" s="2" t="s">
        <v>8115</v>
      </c>
      <c r="E6423" s="4">
        <v>22500</v>
      </c>
    </row>
    <row r="6424" spans="1:5">
      <c r="A6424" s="2" t="s">
        <v>296</v>
      </c>
      <c r="B6424" s="2" t="str">
        <f>"010590996"</f>
        <v>010590996</v>
      </c>
      <c r="C6424" s="2" t="str">
        <f>"010590996"</f>
        <v>010590996</v>
      </c>
      <c r="D6424" s="2" t="s">
        <v>8116</v>
      </c>
      <c r="E6424" s="4">
        <v>11500</v>
      </c>
    </row>
    <row r="6425" spans="1:5">
      <c r="A6425" s="2" t="s">
        <v>296</v>
      </c>
      <c r="B6425" s="2" t="str">
        <f>"285951"</f>
        <v>285951</v>
      </c>
      <c r="C6425" s="2" t="str">
        <f>"285951"</f>
        <v>285951</v>
      </c>
      <c r="D6425" s="2" t="s">
        <v>8117</v>
      </c>
      <c r="E6425" s="4">
        <v>10500</v>
      </c>
    </row>
    <row r="6426" spans="1:5">
      <c r="A6426" s="2" t="s">
        <v>296</v>
      </c>
      <c r="B6426" s="2" t="s">
        <v>8118</v>
      </c>
      <c r="C6426" s="2" t="s">
        <v>8118</v>
      </c>
      <c r="D6426" s="2" t="s">
        <v>8119</v>
      </c>
      <c r="E6426" s="4">
        <v>11305</v>
      </c>
    </row>
    <row r="6427" spans="1:5">
      <c r="A6427" s="2" t="s">
        <v>296</v>
      </c>
      <c r="B6427" s="2" t="str">
        <f>"286527"</f>
        <v>286527</v>
      </c>
      <c r="C6427" s="2" t="str">
        <f>"286527"</f>
        <v>286527</v>
      </c>
      <c r="D6427" s="2" t="s">
        <v>8120</v>
      </c>
      <c r="E6427" s="4">
        <v>18900</v>
      </c>
    </row>
    <row r="6428" spans="1:5">
      <c r="A6428" s="2" t="s">
        <v>296</v>
      </c>
      <c r="B6428" s="2" t="s">
        <v>8121</v>
      </c>
      <c r="C6428" s="2" t="s">
        <v>8121</v>
      </c>
      <c r="D6428" s="2" t="s">
        <v>8122</v>
      </c>
      <c r="E6428" s="4">
        <v>10600</v>
      </c>
    </row>
    <row r="6429" spans="1:5">
      <c r="A6429" s="2" t="s">
        <v>296</v>
      </c>
      <c r="B6429" s="2" t="str">
        <f>"0213847"</f>
        <v>0213847</v>
      </c>
      <c r="C6429" s="2" t="str">
        <f>"0213847"</f>
        <v>0213847</v>
      </c>
      <c r="D6429" s="2" t="s">
        <v>8123</v>
      </c>
      <c r="E6429" s="4">
        <v>7000</v>
      </c>
    </row>
    <row r="6430" spans="1:5">
      <c r="A6430" s="2" t="s">
        <v>296</v>
      </c>
      <c r="B6430" s="2" t="str">
        <f>"286525"</f>
        <v>286525</v>
      </c>
      <c r="C6430" s="2" t="str">
        <f>"286525"</f>
        <v>286525</v>
      </c>
      <c r="D6430" s="2" t="s">
        <v>8124</v>
      </c>
      <c r="E6430" s="4">
        <v>18900</v>
      </c>
    </row>
    <row r="6431" spans="1:5">
      <c r="A6431" s="2" t="s">
        <v>296</v>
      </c>
      <c r="B6431" s="2" t="str">
        <f>"000401266-6"</f>
        <v>000401266-6</v>
      </c>
      <c r="C6431" s="2" t="str">
        <f>"000401266-6"</f>
        <v>000401266-6</v>
      </c>
      <c r="D6431" s="2" t="s">
        <v>8125</v>
      </c>
      <c r="E6431" s="4">
        <v>10600</v>
      </c>
    </row>
    <row r="6432" spans="1:5">
      <c r="A6432" s="2" t="s">
        <v>296</v>
      </c>
      <c r="B6432" s="2" t="str">
        <f>"171370"</f>
        <v>171370</v>
      </c>
      <c r="C6432" s="2" t="str">
        <f>"171370"</f>
        <v>171370</v>
      </c>
      <c r="D6432" s="2" t="s">
        <v>8126</v>
      </c>
      <c r="E6432" s="4">
        <v>10500</v>
      </c>
    </row>
    <row r="6433" spans="1:5">
      <c r="A6433" s="2" t="s">
        <v>2544</v>
      </c>
      <c r="B6433" s="2" t="str">
        <f>"0011590"</f>
        <v>0011590</v>
      </c>
      <c r="C6433" s="2" t="str">
        <f>"0011590"</f>
        <v>0011590</v>
      </c>
      <c r="D6433" s="2" t="s">
        <v>8127</v>
      </c>
      <c r="E6433" s="4">
        <v>18700</v>
      </c>
    </row>
    <row r="6434" spans="1:5">
      <c r="A6434" s="2" t="s">
        <v>296</v>
      </c>
      <c r="B6434" s="2" t="str">
        <f>"171367"</f>
        <v>171367</v>
      </c>
      <c r="C6434" s="2" t="str">
        <f>"171367"</f>
        <v>171367</v>
      </c>
      <c r="D6434" s="2" t="s">
        <v>8128</v>
      </c>
      <c r="E6434" s="4">
        <v>9600</v>
      </c>
    </row>
    <row r="6435" spans="1:5">
      <c r="A6435" s="2" t="s">
        <v>296</v>
      </c>
      <c r="B6435" s="2" t="str">
        <f>"281387"</f>
        <v>281387</v>
      </c>
      <c r="C6435" s="2" t="str">
        <f>"281387"</f>
        <v>281387</v>
      </c>
      <c r="D6435" s="2" t="s">
        <v>8129</v>
      </c>
      <c r="E6435" s="4">
        <v>14200</v>
      </c>
    </row>
    <row r="6436" spans="1:5">
      <c r="A6436" s="2" t="s">
        <v>296</v>
      </c>
      <c r="B6436" s="2" t="str">
        <f>"010590197"</f>
        <v>010590197</v>
      </c>
      <c r="C6436" s="2" t="str">
        <f>"010590197"</f>
        <v>010590197</v>
      </c>
      <c r="D6436" s="2" t="s">
        <v>8130</v>
      </c>
      <c r="E6436" s="4">
        <v>9900</v>
      </c>
    </row>
    <row r="6437" spans="1:5">
      <c r="A6437" s="2" t="s">
        <v>296</v>
      </c>
      <c r="B6437" s="2" t="str">
        <f>"010590252"</f>
        <v>010590252</v>
      </c>
      <c r="C6437" s="2" t="str">
        <f>"010590252"</f>
        <v>010590252</v>
      </c>
      <c r="D6437" s="2" t="s">
        <v>8131</v>
      </c>
      <c r="E6437" s="4">
        <v>16000</v>
      </c>
    </row>
    <row r="6438" spans="1:5">
      <c r="A6438" s="2" t="s">
        <v>296</v>
      </c>
      <c r="B6438" s="2" t="str">
        <f>"171130"</f>
        <v>171130</v>
      </c>
      <c r="C6438" s="2" t="str">
        <f>"171130"</f>
        <v>171130</v>
      </c>
      <c r="D6438" s="2" t="s">
        <v>8132</v>
      </c>
      <c r="E6438" s="4">
        <v>18700</v>
      </c>
    </row>
    <row r="6439" spans="1:5">
      <c r="A6439" s="2" t="s">
        <v>296</v>
      </c>
      <c r="B6439" s="2" t="str">
        <f>"171369"</f>
        <v>171369</v>
      </c>
      <c r="C6439" s="2" t="str">
        <f>"171369"</f>
        <v>171369</v>
      </c>
      <c r="D6439" s="2" t="s">
        <v>8133</v>
      </c>
      <c r="E6439" s="4">
        <v>9700</v>
      </c>
    </row>
    <row r="6440" spans="1:5">
      <c r="A6440" s="2" t="s">
        <v>296</v>
      </c>
      <c r="B6440" s="2" t="s">
        <v>8134</v>
      </c>
      <c r="C6440" s="2" t="s">
        <v>8134</v>
      </c>
      <c r="D6440" s="2" t="s">
        <v>8135</v>
      </c>
      <c r="E6440" s="4">
        <v>18700</v>
      </c>
    </row>
    <row r="6441" spans="1:5">
      <c r="A6441" s="2" t="s">
        <v>296</v>
      </c>
      <c r="B6441" s="2" t="str">
        <f>"010590067"</f>
        <v>010590067</v>
      </c>
      <c r="C6441" s="2" t="str">
        <f>"010590067"</f>
        <v>010590067</v>
      </c>
      <c r="D6441" s="2" t="s">
        <v>8136</v>
      </c>
      <c r="E6441" s="4">
        <v>10600</v>
      </c>
    </row>
    <row r="6442" spans="1:5">
      <c r="A6442" s="2" t="s">
        <v>296</v>
      </c>
      <c r="B6442" s="2" t="str">
        <f>"010591211"</f>
        <v>010591211</v>
      </c>
      <c r="C6442" s="2" t="str">
        <f>"010591211"</f>
        <v>010591211</v>
      </c>
      <c r="D6442" s="2" t="s">
        <v>8137</v>
      </c>
      <c r="E6442" s="4">
        <v>11900</v>
      </c>
    </row>
    <row r="6443" spans="1:5">
      <c r="A6443" s="2" t="s">
        <v>296</v>
      </c>
      <c r="B6443" s="2" t="s">
        <v>8138</v>
      </c>
      <c r="C6443" s="2" t="s">
        <v>8138</v>
      </c>
      <c r="D6443" s="2" t="s">
        <v>8139</v>
      </c>
      <c r="E6443" s="4">
        <v>22372</v>
      </c>
    </row>
    <row r="6444" spans="1:5">
      <c r="A6444" s="2" t="s">
        <v>296</v>
      </c>
      <c r="B6444" s="2" t="str">
        <f>"270166"</f>
        <v>270166</v>
      </c>
      <c r="C6444" s="2" t="str">
        <f>"270166"</f>
        <v>270166</v>
      </c>
      <c r="D6444" s="2" t="s">
        <v>8140</v>
      </c>
      <c r="E6444" s="4">
        <v>16000</v>
      </c>
    </row>
    <row r="6445" spans="1:5">
      <c r="A6445" s="2" t="s">
        <v>296</v>
      </c>
      <c r="B6445" s="2" t="str">
        <f>"270120"</f>
        <v>270120</v>
      </c>
      <c r="C6445" s="2" t="str">
        <f>"270120"</f>
        <v>270120</v>
      </c>
      <c r="D6445" s="2" t="s">
        <v>8141</v>
      </c>
      <c r="E6445" s="4">
        <v>6900</v>
      </c>
    </row>
    <row r="6446" spans="1:5">
      <c r="A6446" s="2" t="s">
        <v>296</v>
      </c>
      <c r="B6446" s="2" t="str">
        <f>"010590464"</f>
        <v>010590464</v>
      </c>
      <c r="C6446" s="2" t="str">
        <f>"010590464"</f>
        <v>010590464</v>
      </c>
      <c r="D6446" s="2" t="s">
        <v>8142</v>
      </c>
      <c r="E6446" s="4">
        <v>11500</v>
      </c>
    </row>
    <row r="6447" spans="1:5">
      <c r="A6447" s="2" t="s">
        <v>296</v>
      </c>
      <c r="B6447" s="2" t="str">
        <f>"285786"</f>
        <v>285786</v>
      </c>
      <c r="C6447" s="2" t="str">
        <f>"285786"</f>
        <v>285786</v>
      </c>
      <c r="D6447" s="2" t="s">
        <v>8143</v>
      </c>
      <c r="E6447" s="4">
        <v>13800</v>
      </c>
    </row>
    <row r="6448" spans="1:5">
      <c r="A6448" s="2" t="s">
        <v>296</v>
      </c>
      <c r="B6448" s="2" t="str">
        <f>"270106"</f>
        <v>270106</v>
      </c>
      <c r="C6448" s="2" t="str">
        <f>"270106"</f>
        <v>270106</v>
      </c>
      <c r="D6448" s="2" t="s">
        <v>8144</v>
      </c>
      <c r="E6448" s="4">
        <v>14500</v>
      </c>
    </row>
    <row r="6449" spans="1:5">
      <c r="A6449" s="2" t="s">
        <v>296</v>
      </c>
      <c r="B6449" s="2" t="str">
        <f>"0100483"</f>
        <v>0100483</v>
      </c>
      <c r="C6449" s="2" t="str">
        <f>"0100483"</f>
        <v>0100483</v>
      </c>
      <c r="D6449" s="2" t="s">
        <v>8145</v>
      </c>
      <c r="E6449" s="4">
        <v>8800</v>
      </c>
    </row>
    <row r="6450" spans="1:5">
      <c r="A6450" s="2" t="s">
        <v>296</v>
      </c>
      <c r="B6450" s="2" t="s">
        <v>8146</v>
      </c>
      <c r="C6450" s="2" t="s">
        <v>8146</v>
      </c>
      <c r="D6450" s="2" t="s">
        <v>8147</v>
      </c>
      <c r="E6450" s="4">
        <v>8800</v>
      </c>
    </row>
    <row r="6451" spans="1:5">
      <c r="A6451" s="2" t="s">
        <v>296</v>
      </c>
      <c r="B6451" s="2" t="str">
        <f>"280926"</f>
        <v>280926</v>
      </c>
      <c r="C6451" s="2" t="str">
        <f>"280926"</f>
        <v>280926</v>
      </c>
      <c r="D6451" s="2" t="s">
        <v>8148</v>
      </c>
      <c r="E6451" s="4">
        <v>9500</v>
      </c>
    </row>
    <row r="6452" spans="1:5">
      <c r="A6452" s="2" t="s">
        <v>296</v>
      </c>
      <c r="B6452" s="2" t="s">
        <v>8149</v>
      </c>
      <c r="C6452" s="2" t="s">
        <v>8149</v>
      </c>
      <c r="D6452" s="2" t="s">
        <v>8150</v>
      </c>
      <c r="E6452" s="4">
        <v>8800</v>
      </c>
    </row>
    <row r="6453" spans="1:5">
      <c r="A6453" s="2" t="s">
        <v>296</v>
      </c>
      <c r="B6453" s="2" t="str">
        <f>"280109"</f>
        <v>280109</v>
      </c>
      <c r="C6453" s="2" t="str">
        <f>"280109"</f>
        <v>280109</v>
      </c>
      <c r="D6453" s="2" t="s">
        <v>8151</v>
      </c>
      <c r="E6453" s="4">
        <v>14756</v>
      </c>
    </row>
    <row r="6454" spans="1:5">
      <c r="A6454" s="2" t="s">
        <v>296</v>
      </c>
      <c r="B6454" s="2" t="str">
        <f>"001715093-6"</f>
        <v>001715093-6</v>
      </c>
      <c r="C6454" s="2" t="str">
        <f>"001715093-6"</f>
        <v>001715093-6</v>
      </c>
      <c r="D6454" s="2" t="s">
        <v>8152</v>
      </c>
      <c r="E6454" s="4">
        <v>10600</v>
      </c>
    </row>
    <row r="6455" spans="1:5">
      <c r="A6455" s="2" t="s">
        <v>296</v>
      </c>
      <c r="B6455" s="2" t="str">
        <f>"280102"</f>
        <v>280102</v>
      </c>
      <c r="C6455" s="2" t="str">
        <f>"280102"</f>
        <v>280102</v>
      </c>
      <c r="D6455" s="2" t="s">
        <v>8153</v>
      </c>
      <c r="E6455" s="4">
        <v>9700</v>
      </c>
    </row>
    <row r="6456" spans="1:5">
      <c r="A6456" s="2" t="s">
        <v>296</v>
      </c>
      <c r="B6456" s="2" t="s">
        <v>8154</v>
      </c>
      <c r="C6456" s="2" t="s">
        <v>8154</v>
      </c>
      <c r="D6456" s="2" t="s">
        <v>8155</v>
      </c>
      <c r="E6456" s="4">
        <v>9700</v>
      </c>
    </row>
    <row r="6457" spans="1:5">
      <c r="A6457" s="2" t="s">
        <v>296</v>
      </c>
      <c r="B6457" s="2" t="str">
        <f>"0301493"</f>
        <v>0301493</v>
      </c>
      <c r="C6457" s="2" t="str">
        <f>"0301493"</f>
        <v>0301493</v>
      </c>
      <c r="D6457" s="2" t="s">
        <v>8156</v>
      </c>
      <c r="E6457" s="4">
        <v>18700</v>
      </c>
    </row>
    <row r="6458" spans="1:5">
      <c r="A6458" s="2" t="s">
        <v>296</v>
      </c>
      <c r="B6458" s="2" t="s">
        <v>8157</v>
      </c>
      <c r="C6458" s="2" t="s">
        <v>8157</v>
      </c>
      <c r="D6458" s="2" t="s">
        <v>8158</v>
      </c>
      <c r="E6458" s="4">
        <v>12500</v>
      </c>
    </row>
    <row r="6459" spans="1:5">
      <c r="A6459" s="2" t="s">
        <v>296</v>
      </c>
      <c r="B6459" s="2" t="str">
        <f>"191265"</f>
        <v>191265</v>
      </c>
      <c r="C6459" s="2" t="str">
        <f>"191265"</f>
        <v>191265</v>
      </c>
      <c r="D6459" s="2" t="s">
        <v>8159</v>
      </c>
      <c r="E6459" s="4">
        <v>12800</v>
      </c>
    </row>
    <row r="6460" spans="1:5">
      <c r="A6460" s="2" t="s">
        <v>296</v>
      </c>
      <c r="B6460" s="2" t="str">
        <f>"0010-755/4A"</f>
        <v>0010-755/4A</v>
      </c>
      <c r="C6460" s="2" t="str">
        <f>"0010-755/4A"</f>
        <v>0010-755/4A</v>
      </c>
      <c r="D6460" s="2" t="s">
        <v>8160</v>
      </c>
      <c r="E6460" s="4">
        <v>12800</v>
      </c>
    </row>
    <row r="6461" spans="1:5">
      <c r="A6461" s="2" t="s">
        <v>296</v>
      </c>
      <c r="B6461" s="2" t="str">
        <f>"0009105735"</f>
        <v>0009105735</v>
      </c>
      <c r="C6461" s="2" t="str">
        <f>"0009105735"</f>
        <v>0009105735</v>
      </c>
      <c r="D6461" s="2" t="s">
        <v>8161</v>
      </c>
      <c r="E6461" s="4">
        <v>8800</v>
      </c>
    </row>
    <row r="6462" spans="1:5">
      <c r="A6462" s="2" t="s">
        <v>296</v>
      </c>
      <c r="B6462" s="2" t="str">
        <f>"198078"</f>
        <v>198078</v>
      </c>
      <c r="C6462" s="2" t="str">
        <f>"198078"</f>
        <v>198078</v>
      </c>
      <c r="D6462" s="2" t="s">
        <v>8162</v>
      </c>
      <c r="E6462" s="4">
        <v>11500</v>
      </c>
    </row>
    <row r="6463" spans="1:5">
      <c r="A6463" s="2" t="s">
        <v>296</v>
      </c>
      <c r="B6463" s="2" t="str">
        <f>"198166"</f>
        <v>198166</v>
      </c>
      <c r="C6463" s="2" t="str">
        <f>"198166"</f>
        <v>198166</v>
      </c>
      <c r="D6463" s="2" t="s">
        <v>8163</v>
      </c>
      <c r="E6463" s="4">
        <v>11500</v>
      </c>
    </row>
    <row r="6464" spans="1:5">
      <c r="A6464" s="2" t="s">
        <v>296</v>
      </c>
      <c r="B6464" s="2" t="str">
        <f>"198002"</f>
        <v>198002</v>
      </c>
      <c r="C6464" s="2" t="str">
        <f>"198002"</f>
        <v>198002</v>
      </c>
      <c r="D6464" s="2" t="s">
        <v>8164</v>
      </c>
      <c r="E6464" s="4">
        <v>37500</v>
      </c>
    </row>
    <row r="6465" spans="1:5">
      <c r="A6465" s="2" t="s">
        <v>296</v>
      </c>
      <c r="B6465" s="2" t="str">
        <f>"20-465"</f>
        <v>20-465</v>
      </c>
      <c r="C6465" s="2" t="str">
        <f>"20-465"</f>
        <v>20-465</v>
      </c>
      <c r="D6465" s="2" t="s">
        <v>8165</v>
      </c>
      <c r="E6465" s="4">
        <v>17800</v>
      </c>
    </row>
    <row r="6466" spans="1:5">
      <c r="A6466" s="2" t="s">
        <v>296</v>
      </c>
      <c r="B6466" s="2" t="str">
        <f>"198155"</f>
        <v>198155</v>
      </c>
      <c r="C6466" s="2" t="str">
        <f>"198155"</f>
        <v>198155</v>
      </c>
      <c r="D6466" s="2" t="s">
        <v>8166</v>
      </c>
      <c r="E6466" s="4">
        <v>22800</v>
      </c>
    </row>
    <row r="6467" spans="1:5">
      <c r="A6467" s="2" t="s">
        <v>296</v>
      </c>
      <c r="B6467" s="2" t="str">
        <f>"1037-1019"</f>
        <v>1037-1019</v>
      </c>
      <c r="C6467" s="2" t="str">
        <f>"1037-1019"</f>
        <v>1037-1019</v>
      </c>
      <c r="D6467" s="2" t="s">
        <v>8167</v>
      </c>
      <c r="E6467" s="4">
        <v>9700</v>
      </c>
    </row>
    <row r="6468" spans="1:5">
      <c r="A6468" s="2" t="s">
        <v>296</v>
      </c>
      <c r="B6468" s="2" t="s">
        <v>8168</v>
      </c>
      <c r="C6468" s="2" t="s">
        <v>8168</v>
      </c>
      <c r="D6468" s="2" t="s">
        <v>8169</v>
      </c>
      <c r="E6468" s="4">
        <v>11900</v>
      </c>
    </row>
    <row r="6469" spans="1:5">
      <c r="A6469" s="2" t="s">
        <v>296</v>
      </c>
      <c r="B6469" s="2" t="s">
        <v>8170</v>
      </c>
      <c r="C6469" s="2" t="s">
        <v>8170</v>
      </c>
      <c r="D6469" s="2" t="s">
        <v>8171</v>
      </c>
      <c r="E6469" s="4">
        <v>12400</v>
      </c>
    </row>
    <row r="6470" spans="1:5">
      <c r="A6470" s="2" t="s">
        <v>296</v>
      </c>
      <c r="B6470" s="2" t="str">
        <f>"071241"</f>
        <v>071241</v>
      </c>
      <c r="C6470" s="2" t="str">
        <f>"071241"</f>
        <v>071241</v>
      </c>
      <c r="D6470" s="2" t="s">
        <v>8172</v>
      </c>
      <c r="E6470" s="4">
        <v>17800</v>
      </c>
    </row>
    <row r="6471" spans="1:5">
      <c r="A6471" s="2" t="s">
        <v>296</v>
      </c>
      <c r="B6471" s="2" t="s">
        <v>8173</v>
      </c>
      <c r="C6471" s="2" t="s">
        <v>8173</v>
      </c>
      <c r="D6471" s="2" t="s">
        <v>8174</v>
      </c>
      <c r="E6471" s="4">
        <v>18800</v>
      </c>
    </row>
    <row r="6472" spans="1:5">
      <c r="A6472" s="2" t="s">
        <v>296</v>
      </c>
      <c r="B6472" s="2" t="s">
        <v>8175</v>
      </c>
      <c r="C6472" s="2" t="s">
        <v>8175</v>
      </c>
      <c r="D6472" s="2" t="s">
        <v>8176</v>
      </c>
      <c r="E6472" s="4">
        <v>9700</v>
      </c>
    </row>
    <row r="6473" spans="1:5">
      <c r="A6473" s="2" t="s">
        <v>296</v>
      </c>
      <c r="B6473" s="2" t="str">
        <f>"110590071"</f>
        <v>110590071</v>
      </c>
      <c r="C6473" s="2" t="str">
        <f>"110590071"</f>
        <v>110590071</v>
      </c>
      <c r="D6473" s="2" t="s">
        <v>8177</v>
      </c>
      <c r="E6473" s="4">
        <v>9700</v>
      </c>
    </row>
    <row r="6474" spans="1:5">
      <c r="A6474" s="2" t="s">
        <v>296</v>
      </c>
      <c r="B6474" s="2" t="str">
        <f>"160022"</f>
        <v>160022</v>
      </c>
      <c r="C6474" s="2" t="str">
        <f>"160022"</f>
        <v>160022</v>
      </c>
      <c r="D6474" s="2" t="s">
        <v>8178</v>
      </c>
      <c r="E6474" s="4">
        <v>9800</v>
      </c>
    </row>
    <row r="6475" spans="1:5">
      <c r="A6475" s="2" t="s">
        <v>296</v>
      </c>
      <c r="B6475" s="2" t="str">
        <f>"070696"</f>
        <v>070696</v>
      </c>
      <c r="C6475" s="2" t="str">
        <f>"070696"</f>
        <v>070696</v>
      </c>
      <c r="D6475" s="2" t="s">
        <v>8179</v>
      </c>
      <c r="E6475" s="4">
        <v>19800</v>
      </c>
    </row>
    <row r="6476" spans="1:5">
      <c r="A6476" s="2" t="s">
        <v>296</v>
      </c>
      <c r="B6476" s="2" t="str">
        <f>"010590684"</f>
        <v>010590684</v>
      </c>
      <c r="C6476" s="2" t="str">
        <f>"010590684"</f>
        <v>010590684</v>
      </c>
      <c r="D6476" s="2" t="s">
        <v>8180</v>
      </c>
      <c r="E6476" s="4">
        <v>10900</v>
      </c>
    </row>
    <row r="6477" spans="1:5">
      <c r="A6477" s="2" t="s">
        <v>296</v>
      </c>
      <c r="B6477" s="2" t="str">
        <f>"160009"</f>
        <v>160009</v>
      </c>
      <c r="C6477" s="2" t="str">
        <f>"160009"</f>
        <v>160009</v>
      </c>
      <c r="D6477" s="2" t="s">
        <v>8181</v>
      </c>
      <c r="E6477" s="4">
        <v>7000</v>
      </c>
    </row>
    <row r="6478" spans="1:5">
      <c r="A6478" s="2" t="s">
        <v>296</v>
      </c>
      <c r="B6478" s="2" t="str">
        <f>"171267"</f>
        <v>171267</v>
      </c>
      <c r="C6478" s="2" t="str">
        <f>"171267"</f>
        <v>171267</v>
      </c>
      <c r="D6478" s="2" t="s">
        <v>8182</v>
      </c>
      <c r="E6478" s="4">
        <v>14900</v>
      </c>
    </row>
    <row r="6479" spans="1:5">
      <c r="A6479" s="2" t="s">
        <v>2544</v>
      </c>
      <c r="B6479" s="2" t="str">
        <f>"171131"</f>
        <v>171131</v>
      </c>
      <c r="C6479" s="2" t="str">
        <f>"171131"</f>
        <v>171131</v>
      </c>
      <c r="D6479" s="2" t="s">
        <v>8183</v>
      </c>
      <c r="E6479" s="4">
        <v>18700</v>
      </c>
    </row>
    <row r="6480" spans="1:5">
      <c r="A6480" s="2" t="s">
        <v>296</v>
      </c>
      <c r="B6480" s="2" t="str">
        <f>"280091"</f>
        <v>280091</v>
      </c>
      <c r="C6480" s="2" t="str">
        <f>"280091"</f>
        <v>280091</v>
      </c>
      <c r="D6480" s="2" t="s">
        <v>8184</v>
      </c>
      <c r="E6480" s="4">
        <v>12500</v>
      </c>
    </row>
    <row r="6481" spans="1:5">
      <c r="A6481" s="2" t="s">
        <v>296</v>
      </c>
      <c r="B6481" s="2" t="str">
        <f>"171340"</f>
        <v>171340</v>
      </c>
      <c r="C6481" s="2" t="str">
        <f>"171340"</f>
        <v>171340</v>
      </c>
      <c r="D6481" s="2" t="s">
        <v>8185</v>
      </c>
      <c r="E6481" s="4">
        <v>9900</v>
      </c>
    </row>
    <row r="6482" spans="1:5">
      <c r="A6482" s="2" t="s">
        <v>296</v>
      </c>
      <c r="B6482" s="2" t="str">
        <f>"289215"</f>
        <v>289215</v>
      </c>
      <c r="C6482" s="2" t="str">
        <f>"289215"</f>
        <v>289215</v>
      </c>
      <c r="D6482" s="2" t="s">
        <v>8186</v>
      </c>
      <c r="E6482" s="4">
        <v>25000</v>
      </c>
    </row>
    <row r="6483" spans="1:5">
      <c r="A6483" s="2" t="s">
        <v>296</v>
      </c>
      <c r="B6483" s="2" t="s">
        <v>8187</v>
      </c>
      <c r="C6483" s="2" t="s">
        <v>8187</v>
      </c>
      <c r="D6483" s="2" t="s">
        <v>8188</v>
      </c>
      <c r="E6483" s="4">
        <v>12500</v>
      </c>
    </row>
    <row r="6484" spans="1:5">
      <c r="A6484" s="2" t="s">
        <v>296</v>
      </c>
      <c r="B6484" s="2" t="s">
        <v>8189</v>
      </c>
      <c r="C6484" s="2" t="s">
        <v>8189</v>
      </c>
      <c r="D6484" s="2" t="s">
        <v>8190</v>
      </c>
      <c r="E6484" s="4">
        <v>16000</v>
      </c>
    </row>
    <row r="6485" spans="1:5">
      <c r="A6485" s="2" t="s">
        <v>296</v>
      </c>
      <c r="B6485" s="2" t="s">
        <v>8191</v>
      </c>
      <c r="C6485" s="2" t="s">
        <v>8191</v>
      </c>
      <c r="D6485" s="2" t="s">
        <v>8192</v>
      </c>
      <c r="E6485" s="4">
        <v>18000</v>
      </c>
    </row>
    <row r="6486" spans="1:5">
      <c r="A6486" s="2" t="s">
        <v>296</v>
      </c>
      <c r="B6486" s="2" t="str">
        <f>"1114892-1"</f>
        <v>1114892-1</v>
      </c>
      <c r="C6486" s="2" t="str">
        <f>"1114892-1"</f>
        <v>1114892-1</v>
      </c>
      <c r="D6486" s="2" t="s">
        <v>8193</v>
      </c>
      <c r="E6486" s="4">
        <v>34000</v>
      </c>
    </row>
    <row r="6487" spans="1:5">
      <c r="A6487" s="2" t="s">
        <v>296</v>
      </c>
      <c r="B6487" s="2" t="s">
        <v>8194</v>
      </c>
      <c r="C6487" s="2" t="s">
        <v>8194</v>
      </c>
      <c r="D6487" s="2" t="s">
        <v>8195</v>
      </c>
      <c r="E6487" s="4">
        <v>68200</v>
      </c>
    </row>
    <row r="6488" spans="1:5">
      <c r="A6488" s="2" t="s">
        <v>296</v>
      </c>
      <c r="B6488" s="2" t="str">
        <f>"0629-049"</f>
        <v>0629-049</v>
      </c>
      <c r="C6488" s="2" t="str">
        <f>"0629-049"</f>
        <v>0629-049</v>
      </c>
      <c r="D6488" s="2" t="s">
        <v>8196</v>
      </c>
      <c r="E6488" s="4">
        <v>42100</v>
      </c>
    </row>
    <row r="6489" spans="1:5">
      <c r="A6489" s="2" t="s">
        <v>296</v>
      </c>
      <c r="B6489" s="2" t="s">
        <v>8197</v>
      </c>
      <c r="C6489" s="2" t="s">
        <v>8197</v>
      </c>
      <c r="D6489" s="2" t="s">
        <v>8198</v>
      </c>
      <c r="E6489" s="4">
        <v>42800</v>
      </c>
    </row>
    <row r="6490" spans="1:5">
      <c r="A6490" s="2" t="s">
        <v>296</v>
      </c>
      <c r="B6490" s="2" t="str">
        <f>"160314"</f>
        <v>160314</v>
      </c>
      <c r="C6490" s="2" t="str">
        <f>"160314"</f>
        <v>160314</v>
      </c>
      <c r="D6490" s="2" t="s">
        <v>8199</v>
      </c>
      <c r="E6490" s="4">
        <v>58300</v>
      </c>
    </row>
    <row r="6491" spans="1:5">
      <c r="A6491" s="2" t="s">
        <v>296</v>
      </c>
      <c r="B6491" s="2" t="str">
        <f>"1602136"</f>
        <v>1602136</v>
      </c>
      <c r="C6491" s="2" t="str">
        <f>"1602136"</f>
        <v>1602136</v>
      </c>
      <c r="D6491" s="2" t="s">
        <v>8200</v>
      </c>
      <c r="E6491" s="4">
        <v>43000</v>
      </c>
    </row>
    <row r="6492" spans="1:5">
      <c r="A6492" s="2" t="s">
        <v>296</v>
      </c>
      <c r="B6492" s="2" t="str">
        <f>"8-94156-657"</f>
        <v>8-94156-657</v>
      </c>
      <c r="C6492" s="2" t="str">
        <f>"8-94156-657"</f>
        <v>8-94156-657</v>
      </c>
      <c r="D6492" s="2" t="s">
        <v>8201</v>
      </c>
      <c r="E6492" s="4">
        <v>43000</v>
      </c>
    </row>
    <row r="6493" spans="1:5">
      <c r="A6493" s="2" t="s">
        <v>296</v>
      </c>
      <c r="B6493" s="2" t="s">
        <v>8202</v>
      </c>
      <c r="C6493" s="2" t="s">
        <v>8202</v>
      </c>
      <c r="D6493" s="2" t="s">
        <v>8203</v>
      </c>
      <c r="E6493" s="4">
        <v>48500</v>
      </c>
    </row>
    <row r="6494" spans="1:5">
      <c r="A6494" s="2" t="s">
        <v>296</v>
      </c>
      <c r="B6494" s="2" t="s">
        <v>8204</v>
      </c>
      <c r="C6494" s="2" t="s">
        <v>8204</v>
      </c>
      <c r="D6494" s="2" t="s">
        <v>8205</v>
      </c>
      <c r="E6494" s="4">
        <v>97000</v>
      </c>
    </row>
    <row r="6495" spans="1:5">
      <c r="A6495" s="2" t="s">
        <v>296</v>
      </c>
      <c r="B6495" s="2" t="str">
        <f>"97-01"</f>
        <v>97-01</v>
      </c>
      <c r="C6495" s="2" t="str">
        <f>"97-01"</f>
        <v>97-01</v>
      </c>
      <c r="D6495" s="2" t="s">
        <v>8206</v>
      </c>
      <c r="E6495" s="4">
        <v>48000</v>
      </c>
    </row>
    <row r="6496" spans="1:5">
      <c r="A6496" s="2" t="s">
        <v>296</v>
      </c>
      <c r="B6496" s="2" t="str">
        <f>"283619"</f>
        <v>283619</v>
      </c>
      <c r="C6496" s="2" t="str">
        <f>"283619"</f>
        <v>283619</v>
      </c>
      <c r="D6496" s="2" t="s">
        <v>8207</v>
      </c>
      <c r="E6496" s="4">
        <v>39500</v>
      </c>
    </row>
    <row r="6497" spans="1:5">
      <c r="A6497" s="2" t="s">
        <v>296</v>
      </c>
      <c r="B6497" s="2" t="str">
        <f>"283618"</f>
        <v>283618</v>
      </c>
      <c r="C6497" s="2" t="str">
        <f>"283618"</f>
        <v>283618</v>
      </c>
      <c r="D6497" s="2" t="s">
        <v>8208</v>
      </c>
      <c r="E6497" s="4">
        <v>48500</v>
      </c>
    </row>
    <row r="6498" spans="1:5">
      <c r="A6498" s="2" t="s">
        <v>296</v>
      </c>
      <c r="B6498" s="2" t="str">
        <f>"282979"</f>
        <v>282979</v>
      </c>
      <c r="C6498" s="2" t="str">
        <f>"282979"</f>
        <v>282979</v>
      </c>
      <c r="D6498" s="2" t="s">
        <v>8209</v>
      </c>
      <c r="E6498" s="4">
        <v>38700</v>
      </c>
    </row>
    <row r="6499" spans="1:5">
      <c r="A6499" s="2" t="s">
        <v>296</v>
      </c>
      <c r="B6499" s="2" t="str">
        <f>"284659"</f>
        <v>284659</v>
      </c>
      <c r="C6499" s="2" t="str">
        <f>"284659"</f>
        <v>284659</v>
      </c>
      <c r="D6499" s="2" t="s">
        <v>8210</v>
      </c>
      <c r="E6499" s="4">
        <v>47800</v>
      </c>
    </row>
    <row r="6500" spans="1:5">
      <c r="A6500" s="2" t="s">
        <v>296</v>
      </c>
      <c r="B6500" s="2" t="str">
        <f>"282629"</f>
        <v>282629</v>
      </c>
      <c r="C6500" s="2" t="str">
        <f>"282629"</f>
        <v>282629</v>
      </c>
      <c r="D6500" s="2" t="s">
        <v>8211</v>
      </c>
      <c r="E6500" s="4">
        <v>38500</v>
      </c>
    </row>
    <row r="6501" spans="1:5">
      <c r="A6501" s="2" t="s">
        <v>296</v>
      </c>
      <c r="B6501" s="2" t="str">
        <f>"10760700"</f>
        <v>10760700</v>
      </c>
      <c r="C6501" s="2" t="str">
        <f>"10760700"</f>
        <v>10760700</v>
      </c>
      <c r="D6501" s="2" t="s">
        <v>8212</v>
      </c>
      <c r="E6501" s="4">
        <v>42602</v>
      </c>
    </row>
    <row r="6502" spans="1:5">
      <c r="A6502" s="2" t="s">
        <v>296</v>
      </c>
      <c r="B6502" s="2" t="str">
        <f>"1D760700"</f>
        <v>1D760700</v>
      </c>
      <c r="C6502" s="2" t="str">
        <f>"1D760700"</f>
        <v>1D760700</v>
      </c>
      <c r="D6502" s="2" t="s">
        <v>8212</v>
      </c>
      <c r="E6502" s="4">
        <v>35800</v>
      </c>
    </row>
    <row r="6503" spans="1:5">
      <c r="A6503" s="2" t="s">
        <v>296</v>
      </c>
      <c r="B6503" s="2" t="str">
        <f>"171470"</f>
        <v>171470</v>
      </c>
      <c r="C6503" s="2" t="str">
        <f>"171470"</f>
        <v>171470</v>
      </c>
      <c r="D6503" s="2" t="s">
        <v>8213</v>
      </c>
      <c r="E6503" s="4">
        <v>28200</v>
      </c>
    </row>
    <row r="6504" spans="1:5">
      <c r="A6504" s="2" t="s">
        <v>296</v>
      </c>
      <c r="B6504" s="2" t="str">
        <f>"289564"</f>
        <v>289564</v>
      </c>
      <c r="C6504" s="2" t="str">
        <f>"289564"</f>
        <v>289564</v>
      </c>
      <c r="D6504" s="2" t="s">
        <v>8214</v>
      </c>
      <c r="E6504" s="4">
        <v>42800</v>
      </c>
    </row>
    <row r="6505" spans="1:5">
      <c r="A6505" s="2" t="s">
        <v>296</v>
      </c>
      <c r="B6505" s="2" t="str">
        <f>"283907"</f>
        <v>283907</v>
      </c>
      <c r="C6505" s="2" t="str">
        <f>"283907"</f>
        <v>283907</v>
      </c>
      <c r="D6505" s="2" t="s">
        <v>8215</v>
      </c>
      <c r="E6505" s="4">
        <v>54000</v>
      </c>
    </row>
    <row r="6506" spans="1:5">
      <c r="A6506" s="2" t="s">
        <v>296</v>
      </c>
      <c r="B6506" s="2" t="str">
        <f>"283007"</f>
        <v>283007</v>
      </c>
      <c r="C6506" s="2" t="str">
        <f>"283007"</f>
        <v>283007</v>
      </c>
      <c r="D6506" s="2" t="s">
        <v>8216</v>
      </c>
      <c r="E6506" s="4">
        <v>64000</v>
      </c>
    </row>
    <row r="6507" spans="1:5">
      <c r="A6507" s="2" t="s">
        <v>296</v>
      </c>
      <c r="B6507" s="2" t="str">
        <f>"071025"</f>
        <v>071025</v>
      </c>
      <c r="C6507" s="2" t="str">
        <f>"071025"</f>
        <v>071025</v>
      </c>
      <c r="D6507" s="2" t="s">
        <v>8217</v>
      </c>
      <c r="E6507" s="4">
        <v>38500</v>
      </c>
    </row>
    <row r="6508" spans="1:5">
      <c r="A6508" s="2" t="s">
        <v>296</v>
      </c>
      <c r="B6508" s="2" t="str">
        <f>"282958"</f>
        <v>282958</v>
      </c>
      <c r="C6508" s="2" t="str">
        <f>"282958"</f>
        <v>282958</v>
      </c>
      <c r="D6508" s="2" t="s">
        <v>8218</v>
      </c>
      <c r="E6508" s="4">
        <v>37500</v>
      </c>
    </row>
    <row r="6509" spans="1:5">
      <c r="A6509" s="2" t="s">
        <v>296</v>
      </c>
      <c r="B6509" s="2" t="str">
        <f>"282405"</f>
        <v>282405</v>
      </c>
      <c r="C6509" s="2" t="str">
        <f>"282405"</f>
        <v>282405</v>
      </c>
      <c r="D6509" s="2" t="s">
        <v>8219</v>
      </c>
      <c r="E6509" s="4">
        <v>72500</v>
      </c>
    </row>
    <row r="6510" spans="1:5">
      <c r="A6510" s="2" t="s">
        <v>296</v>
      </c>
      <c r="B6510" s="2" t="str">
        <f>"282954"</f>
        <v>282954</v>
      </c>
      <c r="C6510" s="2" t="str">
        <f>"282954"</f>
        <v>282954</v>
      </c>
      <c r="D6510" s="2" t="s">
        <v>8220</v>
      </c>
      <c r="E6510" s="4">
        <v>85800</v>
      </c>
    </row>
    <row r="6511" spans="1:5">
      <c r="A6511" s="2" t="s">
        <v>296</v>
      </c>
      <c r="B6511" s="2" t="str">
        <f>"4ZC1"</f>
        <v>4ZC1</v>
      </c>
      <c r="C6511" s="2" t="str">
        <f>"4ZC1"</f>
        <v>4ZC1</v>
      </c>
      <c r="D6511" s="2" t="s">
        <v>8221</v>
      </c>
      <c r="E6511" s="4">
        <v>56700</v>
      </c>
    </row>
    <row r="6512" spans="1:5">
      <c r="A6512" s="2" t="s">
        <v>296</v>
      </c>
      <c r="B6512" s="2" t="str">
        <f>"160316"</f>
        <v>160316</v>
      </c>
      <c r="C6512" s="2" t="str">
        <f>"160316"</f>
        <v>160316</v>
      </c>
      <c r="D6512" s="2" t="s">
        <v>8222</v>
      </c>
      <c r="E6512" s="4">
        <v>69500</v>
      </c>
    </row>
    <row r="6513" spans="1:5">
      <c r="A6513" s="2" t="s">
        <v>296</v>
      </c>
      <c r="B6513" s="2" t="str">
        <f>"3331953"</f>
        <v>3331953</v>
      </c>
      <c r="C6513" s="2" t="str">
        <f>"3331953"</f>
        <v>3331953</v>
      </c>
      <c r="D6513" s="2" t="s">
        <v>8223</v>
      </c>
      <c r="E6513" s="4">
        <v>55800</v>
      </c>
    </row>
    <row r="6514" spans="1:5">
      <c r="A6514" s="2" t="s">
        <v>296</v>
      </c>
      <c r="B6514" s="2" t="str">
        <f>"282781"</f>
        <v>282781</v>
      </c>
      <c r="C6514" s="2" t="str">
        <f>"282781"</f>
        <v>282781</v>
      </c>
      <c r="D6514" s="2" t="s">
        <v>8224</v>
      </c>
      <c r="E6514" s="4">
        <v>47800</v>
      </c>
    </row>
    <row r="6515" spans="1:5">
      <c r="A6515" s="2" t="s">
        <v>296</v>
      </c>
      <c r="B6515" s="2" t="str">
        <f>"071136"</f>
        <v>071136</v>
      </c>
      <c r="C6515" s="2" t="str">
        <f>"071136"</f>
        <v>071136</v>
      </c>
      <c r="D6515" s="2" t="s">
        <v>8225</v>
      </c>
      <c r="E6515" s="4">
        <v>52000</v>
      </c>
    </row>
    <row r="6516" spans="1:5">
      <c r="A6516" s="2" t="s">
        <v>296</v>
      </c>
      <c r="B6516" s="2" t="str">
        <f>"140195"</f>
        <v>140195</v>
      </c>
      <c r="C6516" s="2" t="str">
        <f>"140195"</f>
        <v>140195</v>
      </c>
      <c r="D6516" s="2" t="s">
        <v>8226</v>
      </c>
      <c r="E6516" s="4">
        <v>34500</v>
      </c>
    </row>
    <row r="6517" spans="1:5">
      <c r="A6517" s="2" t="s">
        <v>296</v>
      </c>
      <c r="B6517" s="2" t="str">
        <f>"26368"</f>
        <v>26368</v>
      </c>
      <c r="C6517" s="2" t="str">
        <f>"26368"</f>
        <v>26368</v>
      </c>
      <c r="D6517" s="2" t="s">
        <v>8227</v>
      </c>
      <c r="E6517" s="4">
        <v>40500</v>
      </c>
    </row>
    <row r="6518" spans="1:5">
      <c r="A6518" s="2" t="s">
        <v>296</v>
      </c>
      <c r="B6518" s="2" t="str">
        <f>"281246"</f>
        <v>281246</v>
      </c>
      <c r="C6518" s="2" t="str">
        <f>"281246"</f>
        <v>281246</v>
      </c>
      <c r="D6518" s="2" t="s">
        <v>8228</v>
      </c>
      <c r="E6518" s="4">
        <v>88500</v>
      </c>
    </row>
    <row r="6519" spans="1:5">
      <c r="A6519" s="2" t="s">
        <v>296</v>
      </c>
      <c r="B6519" s="2" t="str">
        <f>"0211064"</f>
        <v>0211064</v>
      </c>
      <c r="C6519" s="2" t="str">
        <f>"0211064"</f>
        <v>0211064</v>
      </c>
      <c r="D6519" s="2" t="s">
        <v>8229</v>
      </c>
      <c r="E6519" s="4">
        <v>43000</v>
      </c>
    </row>
    <row r="6520" spans="1:5">
      <c r="A6520" s="2" t="s">
        <v>296</v>
      </c>
      <c r="B6520" s="2" t="str">
        <f>"252436"</f>
        <v>252436</v>
      </c>
      <c r="C6520" s="2" t="str">
        <f>"252436"</f>
        <v>252436</v>
      </c>
      <c r="D6520" s="2" t="s">
        <v>8230</v>
      </c>
      <c r="E6520" s="4">
        <v>48400</v>
      </c>
    </row>
    <row r="6521" spans="1:5">
      <c r="A6521" s="2" t="s">
        <v>296</v>
      </c>
      <c r="B6521" s="2" t="str">
        <f>"171465"</f>
        <v>171465</v>
      </c>
      <c r="C6521" s="2" t="str">
        <f>"171465"</f>
        <v>171465</v>
      </c>
      <c r="D6521" s="2" t="s">
        <v>8231</v>
      </c>
      <c r="E6521" s="4">
        <v>58300</v>
      </c>
    </row>
    <row r="6522" spans="1:5">
      <c r="A6522" s="2" t="s">
        <v>296</v>
      </c>
      <c r="B6522" s="2" t="s">
        <v>8232</v>
      </c>
      <c r="C6522" s="2" t="s">
        <v>8232</v>
      </c>
      <c r="D6522" s="2" t="s">
        <v>8233</v>
      </c>
      <c r="E6522" s="4">
        <v>48400</v>
      </c>
    </row>
    <row r="6523" spans="1:5">
      <c r="A6523" s="2" t="s">
        <v>296</v>
      </c>
      <c r="B6523" s="2" t="str">
        <f>"0198207"</f>
        <v>0198207</v>
      </c>
      <c r="C6523" s="2" t="str">
        <f>"0198207"</f>
        <v>0198207</v>
      </c>
      <c r="D6523" s="2" t="s">
        <v>8234</v>
      </c>
      <c r="E6523" s="4">
        <v>43000</v>
      </c>
    </row>
    <row r="6524" spans="1:5">
      <c r="A6524" s="2" t="s">
        <v>296</v>
      </c>
      <c r="B6524" s="2" t="str">
        <f>"280033"</f>
        <v>280033</v>
      </c>
      <c r="C6524" s="2" t="str">
        <f>"280033"</f>
        <v>280033</v>
      </c>
      <c r="D6524" s="2" t="s">
        <v>8235</v>
      </c>
      <c r="E6524" s="4">
        <v>35200</v>
      </c>
    </row>
    <row r="6525" spans="1:5">
      <c r="A6525" s="2" t="s">
        <v>296</v>
      </c>
      <c r="B6525" s="2" t="str">
        <f>"284599"</f>
        <v>284599</v>
      </c>
      <c r="C6525" s="2" t="str">
        <f>"284599"</f>
        <v>284599</v>
      </c>
      <c r="D6525" s="2" t="s">
        <v>8236</v>
      </c>
      <c r="E6525" s="4">
        <v>47900</v>
      </c>
    </row>
    <row r="6526" spans="1:5">
      <c r="A6526" s="2" t="s">
        <v>296</v>
      </c>
      <c r="B6526" s="2" t="s">
        <v>8237</v>
      </c>
      <c r="C6526" s="2" t="s">
        <v>8237</v>
      </c>
      <c r="D6526" s="2" t="s">
        <v>8238</v>
      </c>
      <c r="E6526" s="4">
        <v>159664</v>
      </c>
    </row>
    <row r="6527" spans="1:5">
      <c r="A6527" s="2" t="s">
        <v>296</v>
      </c>
      <c r="B6527" s="2" t="str">
        <f>"1700801"</f>
        <v>1700801</v>
      </c>
      <c r="C6527" s="2" t="str">
        <f>"1700801"</f>
        <v>1700801</v>
      </c>
      <c r="D6527" s="2" t="s">
        <v>8239</v>
      </c>
      <c r="E6527" s="4">
        <v>8000</v>
      </c>
    </row>
    <row r="6528" spans="1:5">
      <c r="A6528" s="2" t="s">
        <v>296</v>
      </c>
      <c r="B6528" s="2" t="str">
        <f>"001526003-3"</f>
        <v>001526003-3</v>
      </c>
      <c r="C6528" s="2" t="str">
        <f>"001526003-3"</f>
        <v>001526003-3</v>
      </c>
      <c r="D6528" s="2" t="s">
        <v>8240</v>
      </c>
      <c r="E6528" s="4">
        <v>12400</v>
      </c>
    </row>
    <row r="6529" spans="1:5">
      <c r="A6529" s="2" t="s">
        <v>296</v>
      </c>
      <c r="B6529" s="2" t="s">
        <v>8241</v>
      </c>
      <c r="C6529" s="2" t="s">
        <v>8241</v>
      </c>
      <c r="D6529" s="2" t="s">
        <v>8242</v>
      </c>
      <c r="E6529" s="4">
        <v>9700</v>
      </c>
    </row>
    <row r="6530" spans="1:5">
      <c r="A6530" s="2" t="s">
        <v>296</v>
      </c>
      <c r="B6530" s="2" t="str">
        <f>"014873"</f>
        <v>014873</v>
      </c>
      <c r="C6530" s="2" t="str">
        <f>"014873"</f>
        <v>014873</v>
      </c>
      <c r="D6530" s="2" t="s">
        <v>8243</v>
      </c>
      <c r="E6530" s="4">
        <v>41200</v>
      </c>
    </row>
    <row r="6531" spans="1:5">
      <c r="A6531" s="2" t="s">
        <v>296</v>
      </c>
      <c r="B6531" s="2" t="str">
        <f>"280058"</f>
        <v>280058</v>
      </c>
      <c r="C6531" s="2" t="str">
        <f>"280058"</f>
        <v>280058</v>
      </c>
      <c r="D6531" s="2" t="s">
        <v>8244</v>
      </c>
      <c r="E6531" s="4">
        <v>12000</v>
      </c>
    </row>
    <row r="6532" spans="1:5">
      <c r="A6532" s="2" t="s">
        <v>296</v>
      </c>
      <c r="B6532" s="2" t="str">
        <f>"280040"</f>
        <v>280040</v>
      </c>
      <c r="C6532" s="2" t="str">
        <f>"280040"</f>
        <v>280040</v>
      </c>
      <c r="D6532" s="2" t="s">
        <v>8245</v>
      </c>
      <c r="E6532" s="4">
        <v>39000</v>
      </c>
    </row>
    <row r="6533" spans="1:5">
      <c r="A6533" s="2" t="s">
        <v>296</v>
      </c>
      <c r="B6533" s="2" t="str">
        <f>"283408"</f>
        <v>283408</v>
      </c>
      <c r="C6533" s="2" t="str">
        <f>"283408"</f>
        <v>283408</v>
      </c>
      <c r="D6533" s="2" t="s">
        <v>8246</v>
      </c>
      <c r="E6533" s="4">
        <v>52000</v>
      </c>
    </row>
    <row r="6534" spans="1:5">
      <c r="A6534" s="2" t="s">
        <v>296</v>
      </c>
      <c r="B6534" s="2" t="str">
        <f>"281612"</f>
        <v>281612</v>
      </c>
      <c r="C6534" s="2" t="str">
        <f>"281612"</f>
        <v>281612</v>
      </c>
      <c r="D6534" s="2" t="s">
        <v>8247</v>
      </c>
      <c r="E6534" s="4">
        <v>12495</v>
      </c>
    </row>
    <row r="6535" spans="1:5">
      <c r="A6535" s="2" t="s">
        <v>296</v>
      </c>
      <c r="B6535" s="2" t="str">
        <f>"1601830"</f>
        <v>1601830</v>
      </c>
      <c r="C6535" s="2" t="str">
        <f>"1601830"</f>
        <v>1601830</v>
      </c>
      <c r="D6535" s="2" t="s">
        <v>8248</v>
      </c>
      <c r="E6535" s="4">
        <v>6480</v>
      </c>
    </row>
    <row r="6536" spans="1:5">
      <c r="A6536" s="2" t="s">
        <v>296</v>
      </c>
      <c r="B6536" s="2" t="str">
        <f>"311907"</f>
        <v>311907</v>
      </c>
      <c r="C6536" s="2" t="str">
        <f>"311907"</f>
        <v>311907</v>
      </c>
      <c r="D6536" s="2" t="s">
        <v>8249</v>
      </c>
      <c r="E6536" s="4">
        <v>14000</v>
      </c>
    </row>
    <row r="6537" spans="1:5">
      <c r="A6537" s="2" t="s">
        <v>296</v>
      </c>
      <c r="B6537" s="2" t="str">
        <f>"230304"</f>
        <v>230304</v>
      </c>
      <c r="C6537" s="2" t="str">
        <f>"230304"</f>
        <v>230304</v>
      </c>
      <c r="D6537" s="2" t="s">
        <v>8250</v>
      </c>
      <c r="E6537" s="4">
        <v>15200</v>
      </c>
    </row>
    <row r="6538" spans="1:5">
      <c r="A6538" s="2" t="s">
        <v>296</v>
      </c>
      <c r="B6538" s="2" t="str">
        <f>"8177305"</f>
        <v>8177305</v>
      </c>
      <c r="C6538" s="2" t="str">
        <f>"8177305"</f>
        <v>8177305</v>
      </c>
      <c r="D6538" s="2" t="s">
        <v>8251</v>
      </c>
      <c r="E6538" s="4">
        <v>20800</v>
      </c>
    </row>
    <row r="6539" spans="1:5">
      <c r="A6539" s="2" t="s">
        <v>296</v>
      </c>
      <c r="B6539" s="2" t="s">
        <v>8252</v>
      </c>
      <c r="C6539" s="2" t="s">
        <v>8252</v>
      </c>
      <c r="D6539" s="2" t="s">
        <v>8253</v>
      </c>
      <c r="E6539" s="4">
        <v>4500</v>
      </c>
    </row>
    <row r="6540" spans="1:5">
      <c r="A6540" s="2" t="s">
        <v>296</v>
      </c>
      <c r="B6540" s="2" t="str">
        <f>"311074"</f>
        <v>311074</v>
      </c>
      <c r="C6540" s="2" t="str">
        <f>"311074"</f>
        <v>311074</v>
      </c>
      <c r="D6540" s="2" t="s">
        <v>8254</v>
      </c>
      <c r="E6540" s="4">
        <v>19200</v>
      </c>
    </row>
    <row r="6541" spans="1:5">
      <c r="A6541" s="2" t="s">
        <v>296</v>
      </c>
      <c r="B6541" s="2" t="str">
        <f>"247357"</f>
        <v>247357</v>
      </c>
      <c r="C6541" s="2" t="str">
        <f>"247357"</f>
        <v>247357</v>
      </c>
      <c r="D6541" s="2" t="s">
        <v>8255</v>
      </c>
      <c r="E6541" s="4">
        <v>14000</v>
      </c>
    </row>
    <row r="6542" spans="1:5">
      <c r="A6542" s="2" t="s">
        <v>296</v>
      </c>
      <c r="B6542" s="2" t="str">
        <f>"311903"</f>
        <v>311903</v>
      </c>
      <c r="C6542" s="2" t="str">
        <f>"311903"</f>
        <v>311903</v>
      </c>
      <c r="D6542" s="2" t="s">
        <v>8256</v>
      </c>
      <c r="E6542" s="4">
        <v>12000</v>
      </c>
    </row>
    <row r="6543" spans="1:5">
      <c r="A6543" s="2" t="s">
        <v>296</v>
      </c>
      <c r="B6543" s="2" t="str">
        <f>"183200"</f>
        <v>183200</v>
      </c>
      <c r="C6543" s="2" t="str">
        <f>"183200"</f>
        <v>183200</v>
      </c>
      <c r="D6543" s="2" t="s">
        <v>8257</v>
      </c>
      <c r="E6543" s="4">
        <v>16000</v>
      </c>
    </row>
    <row r="6544" spans="1:5">
      <c r="A6544" s="2" t="s">
        <v>296</v>
      </c>
      <c r="B6544" s="2" t="str">
        <f>"230291"</f>
        <v>230291</v>
      </c>
      <c r="C6544" s="2" t="str">
        <f>"230291"</f>
        <v>230291</v>
      </c>
      <c r="D6544" s="2" t="s">
        <v>8250</v>
      </c>
      <c r="E6544" s="4">
        <v>19200</v>
      </c>
    </row>
    <row r="6545" spans="1:5">
      <c r="A6545" s="2" t="s">
        <v>296</v>
      </c>
      <c r="B6545" s="2" t="str">
        <f>"055341"</f>
        <v>055341</v>
      </c>
      <c r="C6545" s="2" t="str">
        <f>"055341"</f>
        <v>055341</v>
      </c>
      <c r="D6545" s="2" t="s">
        <v>8258</v>
      </c>
      <c r="E6545" s="4">
        <v>25000</v>
      </c>
    </row>
    <row r="6546" spans="1:5">
      <c r="A6546" s="2" t="s">
        <v>296</v>
      </c>
      <c r="B6546" s="2" t="str">
        <f>"321363"</f>
        <v>321363</v>
      </c>
      <c r="C6546" s="2" t="str">
        <f>"321363"</f>
        <v>321363</v>
      </c>
      <c r="D6546" s="2" t="s">
        <v>8259</v>
      </c>
      <c r="E6546" s="4">
        <v>4300</v>
      </c>
    </row>
    <row r="6547" spans="1:5">
      <c r="A6547" s="2" t="s">
        <v>296</v>
      </c>
      <c r="B6547" s="2" t="str">
        <f>"11195318"</f>
        <v>11195318</v>
      </c>
      <c r="C6547" s="2" t="str">
        <f>"11195318"</f>
        <v>11195318</v>
      </c>
      <c r="D6547" s="2" t="s">
        <v>8260</v>
      </c>
      <c r="E6547" s="4">
        <v>22500</v>
      </c>
    </row>
    <row r="6548" spans="1:5">
      <c r="A6548" s="2" t="s">
        <v>296</v>
      </c>
      <c r="B6548" s="2" t="str">
        <f>"170663"</f>
        <v>170663</v>
      </c>
      <c r="C6548" s="2" t="str">
        <f>"170663"</f>
        <v>170663</v>
      </c>
      <c r="D6548" s="2" t="s">
        <v>8261</v>
      </c>
      <c r="E6548" s="4">
        <v>18800</v>
      </c>
    </row>
    <row r="6549" spans="1:5">
      <c r="A6549" s="2" t="s">
        <v>296</v>
      </c>
      <c r="B6549" s="2" t="str">
        <f>"311868"</f>
        <v>311868</v>
      </c>
      <c r="C6549" s="2" t="str">
        <f>"311868"</f>
        <v>311868</v>
      </c>
      <c r="D6549" s="2" t="s">
        <v>8262</v>
      </c>
      <c r="E6549" s="4">
        <v>12000</v>
      </c>
    </row>
    <row r="6550" spans="1:5">
      <c r="A6550" s="2" t="s">
        <v>296</v>
      </c>
      <c r="B6550" s="2" t="str">
        <f>"170654"</f>
        <v>170654</v>
      </c>
      <c r="C6550" s="2" t="str">
        <f>"170654"</f>
        <v>170654</v>
      </c>
      <c r="D6550" s="2" t="s">
        <v>8263</v>
      </c>
      <c r="E6550" s="4">
        <v>15600</v>
      </c>
    </row>
    <row r="6551" spans="1:5">
      <c r="A6551" s="2" t="s">
        <v>296</v>
      </c>
      <c r="B6551" s="2" t="str">
        <f>"311880"</f>
        <v>311880</v>
      </c>
      <c r="C6551" s="2" t="str">
        <f>"311880"</f>
        <v>311880</v>
      </c>
      <c r="D6551" s="2" t="s">
        <v>8264</v>
      </c>
      <c r="E6551" s="4">
        <v>10000</v>
      </c>
    </row>
    <row r="6552" spans="1:5" ht="27.6">
      <c r="A6552" s="2" t="s">
        <v>296</v>
      </c>
      <c r="B6552" s="2" t="str">
        <f>"301761"</f>
        <v>301761</v>
      </c>
      <c r="C6552" s="2" t="str">
        <f>"301761 010770534"</f>
        <v>301761 010770534</v>
      </c>
      <c r="D6552" s="2" t="s">
        <v>8265</v>
      </c>
      <c r="E6552" s="4">
        <v>28600</v>
      </c>
    </row>
    <row r="6553" spans="1:5">
      <c r="A6553" s="2" t="s">
        <v>296</v>
      </c>
      <c r="B6553" s="2" t="str">
        <f>"280301"</f>
        <v>280301</v>
      </c>
      <c r="C6553" s="2" t="str">
        <f>"280301"</f>
        <v>280301</v>
      </c>
      <c r="D6553" s="2" t="s">
        <v>8266</v>
      </c>
      <c r="E6553" s="4">
        <v>13600</v>
      </c>
    </row>
    <row r="6554" spans="1:5">
      <c r="A6554" s="2" t="s">
        <v>296</v>
      </c>
      <c r="B6554" s="2" t="str">
        <f>"321362"</f>
        <v>321362</v>
      </c>
      <c r="C6554" s="2" t="str">
        <f>"321362"</f>
        <v>321362</v>
      </c>
      <c r="D6554" s="2" t="s">
        <v>8267</v>
      </c>
      <c r="E6554" s="4">
        <v>3400</v>
      </c>
    </row>
    <row r="6555" spans="1:5">
      <c r="A6555" s="2" t="s">
        <v>296</v>
      </c>
      <c r="B6555" s="2" t="str">
        <f>"280295"</f>
        <v>280295</v>
      </c>
      <c r="C6555" s="2" t="str">
        <f>"280295"</f>
        <v>280295</v>
      </c>
      <c r="D6555" s="2" t="s">
        <v>8267</v>
      </c>
      <c r="E6555" s="4">
        <v>14000</v>
      </c>
    </row>
    <row r="6556" spans="1:5">
      <c r="A6556" s="2" t="s">
        <v>296</v>
      </c>
      <c r="B6556" s="2" t="str">
        <f>"001023SZ"</f>
        <v>001023SZ</v>
      </c>
      <c r="C6556" s="2" t="str">
        <f>"001023SZ"</f>
        <v>001023SZ</v>
      </c>
      <c r="D6556" s="2" t="s">
        <v>8268</v>
      </c>
      <c r="E6556" s="4">
        <v>2800</v>
      </c>
    </row>
    <row r="6557" spans="1:5">
      <c r="A6557" s="2" t="s">
        <v>296</v>
      </c>
      <c r="B6557" s="2" t="str">
        <f>"192692"</f>
        <v>192692</v>
      </c>
      <c r="C6557" s="2" t="str">
        <f>"192692"</f>
        <v>192692</v>
      </c>
      <c r="D6557" s="2" t="s">
        <v>8269</v>
      </c>
      <c r="E6557" s="4">
        <v>16000</v>
      </c>
    </row>
    <row r="6558" spans="1:5">
      <c r="A6558" s="2" t="s">
        <v>296</v>
      </c>
      <c r="B6558" s="2" t="str">
        <f>"192667"</f>
        <v>192667</v>
      </c>
      <c r="C6558" s="2" t="str">
        <f>"192667"</f>
        <v>192667</v>
      </c>
      <c r="D6558" s="2" t="s">
        <v>8270</v>
      </c>
      <c r="E6558" s="4">
        <v>14000</v>
      </c>
    </row>
    <row r="6559" spans="1:5">
      <c r="A6559" s="2" t="s">
        <v>296</v>
      </c>
      <c r="B6559" s="2" t="s">
        <v>8271</v>
      </c>
      <c r="C6559" s="2" t="s">
        <v>8271</v>
      </c>
      <c r="D6559" s="2" t="s">
        <v>8272</v>
      </c>
      <c r="E6559" s="4">
        <v>8211</v>
      </c>
    </row>
    <row r="6560" spans="1:5">
      <c r="A6560" s="2" t="s">
        <v>296</v>
      </c>
      <c r="B6560" s="2" t="str">
        <f>"11196233"</f>
        <v>11196233</v>
      </c>
      <c r="C6560" s="2" t="str">
        <f>"11196233"</f>
        <v>11196233</v>
      </c>
      <c r="D6560" s="2" t="s">
        <v>8273</v>
      </c>
      <c r="E6560" s="4">
        <v>25000</v>
      </c>
    </row>
    <row r="6561" spans="1:5">
      <c r="A6561" s="2" t="s">
        <v>296</v>
      </c>
      <c r="B6561" s="2" t="str">
        <f>"1601560"</f>
        <v>1601560</v>
      </c>
      <c r="C6561" s="2" t="str">
        <f>"1601560"</f>
        <v>1601560</v>
      </c>
      <c r="D6561" s="2" t="s">
        <v>8274</v>
      </c>
      <c r="E6561" s="4">
        <v>5200</v>
      </c>
    </row>
    <row r="6562" spans="1:5">
      <c r="A6562" s="2" t="s">
        <v>296</v>
      </c>
      <c r="B6562" s="2" t="str">
        <f>"302296"</f>
        <v>302296</v>
      </c>
      <c r="C6562" s="2" t="str">
        <f>"302296"</f>
        <v>302296</v>
      </c>
      <c r="D6562" s="2" t="s">
        <v>8275</v>
      </c>
      <c r="E6562" s="4">
        <v>19200</v>
      </c>
    </row>
    <row r="6563" spans="1:5">
      <c r="A6563" s="2" t="s">
        <v>296</v>
      </c>
      <c r="B6563" s="2" t="str">
        <f>"016969"</f>
        <v>016969</v>
      </c>
      <c r="C6563" s="2" t="str">
        <f>"016969"</f>
        <v>016969</v>
      </c>
      <c r="D6563" s="2" t="s">
        <v>8276</v>
      </c>
      <c r="E6563" s="4">
        <v>18000</v>
      </c>
    </row>
    <row r="6564" spans="1:5">
      <c r="A6564" s="2" t="s">
        <v>296</v>
      </c>
      <c r="B6564" s="2" t="str">
        <f>"280381"</f>
        <v>280381</v>
      </c>
      <c r="C6564" s="2" t="str">
        <f>"280381"</f>
        <v>280381</v>
      </c>
      <c r="D6564" s="2" t="s">
        <v>8277</v>
      </c>
      <c r="E6564" s="4">
        <v>1800</v>
      </c>
    </row>
    <row r="6565" spans="1:5">
      <c r="A6565" s="2" t="s">
        <v>296</v>
      </c>
      <c r="B6565" s="2" t="str">
        <f>"260290"</f>
        <v>260290</v>
      </c>
      <c r="C6565" s="2" t="str">
        <f>"260290"</f>
        <v>260290</v>
      </c>
      <c r="D6565" s="2" t="s">
        <v>8278</v>
      </c>
      <c r="E6565" s="4">
        <v>1800</v>
      </c>
    </row>
    <row r="6566" spans="1:5">
      <c r="A6566" s="2" t="s">
        <v>296</v>
      </c>
      <c r="B6566" s="2" t="str">
        <f>"162527"</f>
        <v>162527</v>
      </c>
      <c r="C6566" s="2" t="str">
        <f>"162527"</f>
        <v>162527</v>
      </c>
      <c r="D6566" s="2" t="s">
        <v>8279</v>
      </c>
      <c r="E6566" s="4">
        <v>3800</v>
      </c>
    </row>
    <row r="6567" spans="1:5">
      <c r="A6567" s="2" t="s">
        <v>296</v>
      </c>
      <c r="B6567" s="2" t="str">
        <f>"321369"</f>
        <v>321369</v>
      </c>
      <c r="C6567" s="2" t="str">
        <f>"321369"</f>
        <v>321369</v>
      </c>
      <c r="D6567" s="2" t="s">
        <v>8280</v>
      </c>
      <c r="E6567" s="4">
        <v>14000</v>
      </c>
    </row>
    <row r="6568" spans="1:5">
      <c r="A6568" s="2" t="s">
        <v>296</v>
      </c>
      <c r="B6568" s="2" t="str">
        <f>"230300"</f>
        <v>230300</v>
      </c>
      <c r="C6568" s="2" t="str">
        <f>"230300"</f>
        <v>230300</v>
      </c>
      <c r="D6568" s="2" t="s">
        <v>8281</v>
      </c>
      <c r="E6568" s="4">
        <v>19200</v>
      </c>
    </row>
    <row r="6569" spans="1:5">
      <c r="A6569" s="2" t="s">
        <v>296</v>
      </c>
      <c r="B6569" s="2" t="str">
        <f>"055127"</f>
        <v>055127</v>
      </c>
      <c r="C6569" s="2" t="str">
        <f>"055127"</f>
        <v>055127</v>
      </c>
      <c r="D6569" s="2" t="s">
        <v>8282</v>
      </c>
      <c r="E6569" s="4">
        <v>18000</v>
      </c>
    </row>
    <row r="6570" spans="1:5">
      <c r="A6570" s="2" t="s">
        <v>296</v>
      </c>
      <c r="B6570" s="2" t="str">
        <f>"311075"</f>
        <v>311075</v>
      </c>
      <c r="C6570" s="2" t="str">
        <f>"311075"</f>
        <v>311075</v>
      </c>
      <c r="D6570" s="2" t="s">
        <v>8283</v>
      </c>
      <c r="E6570" s="4">
        <v>28600</v>
      </c>
    </row>
    <row r="6571" spans="1:5">
      <c r="A6571" s="2" t="s">
        <v>296</v>
      </c>
      <c r="B6571" s="2" t="str">
        <f>"230296"</f>
        <v>230296</v>
      </c>
      <c r="C6571" s="2" t="str">
        <f>"230296"</f>
        <v>230296</v>
      </c>
      <c r="D6571" s="2" t="s">
        <v>8284</v>
      </c>
      <c r="E6571" s="4">
        <v>3500</v>
      </c>
    </row>
    <row r="6572" spans="1:5">
      <c r="A6572" s="2" t="s">
        <v>296</v>
      </c>
      <c r="B6572" s="2" t="str">
        <f>"140881"</f>
        <v>140881</v>
      </c>
      <c r="C6572" s="2" t="str">
        <f>"140881"</f>
        <v>140881</v>
      </c>
      <c r="D6572" s="2" t="s">
        <v>8285</v>
      </c>
      <c r="E6572" s="4">
        <v>18000</v>
      </c>
    </row>
    <row r="6573" spans="1:5">
      <c r="A6573" s="2" t="s">
        <v>296</v>
      </c>
      <c r="B6573" s="2" t="str">
        <f>"140883"</f>
        <v>140883</v>
      </c>
      <c r="C6573" s="2" t="str">
        <f>"140883"</f>
        <v>140883</v>
      </c>
      <c r="D6573" s="2" t="s">
        <v>8286</v>
      </c>
      <c r="E6573" s="4">
        <v>5200</v>
      </c>
    </row>
    <row r="6574" spans="1:5">
      <c r="A6574" s="2" t="s">
        <v>296</v>
      </c>
      <c r="B6574" s="2" t="str">
        <f>"286618"</f>
        <v>286618</v>
      </c>
      <c r="C6574" s="2" t="str">
        <f>"286618"</f>
        <v>286618</v>
      </c>
      <c r="D6574" s="2" t="s">
        <v>8287</v>
      </c>
      <c r="E6574" s="4">
        <v>24000</v>
      </c>
    </row>
    <row r="6575" spans="1:5">
      <c r="A6575" s="2" t="s">
        <v>296</v>
      </c>
      <c r="B6575" s="2" t="str">
        <f>"286619"</f>
        <v>286619</v>
      </c>
      <c r="C6575" s="2" t="str">
        <f>"286619"</f>
        <v>286619</v>
      </c>
      <c r="D6575" s="2" t="s">
        <v>8288</v>
      </c>
      <c r="E6575" s="4">
        <v>24000</v>
      </c>
    </row>
    <row r="6576" spans="1:5">
      <c r="A6576" s="2" t="s">
        <v>296</v>
      </c>
      <c r="B6576" s="2" t="str">
        <f>"286134"</f>
        <v>286134</v>
      </c>
      <c r="C6576" s="2" t="str">
        <f>"286134"</f>
        <v>286134</v>
      </c>
      <c r="D6576" s="2" t="s">
        <v>8289</v>
      </c>
      <c r="E6576" s="4">
        <v>25000</v>
      </c>
    </row>
    <row r="6577" spans="1:5">
      <c r="A6577" s="2" t="s">
        <v>296</v>
      </c>
      <c r="B6577" s="2" t="str">
        <f>"246151"</f>
        <v>246151</v>
      </c>
      <c r="C6577" s="2" t="str">
        <f>"246151"</f>
        <v>246151</v>
      </c>
      <c r="D6577" s="2" t="s">
        <v>8290</v>
      </c>
      <c r="E6577" s="4">
        <v>26000</v>
      </c>
    </row>
    <row r="6578" spans="1:5">
      <c r="A6578" s="2" t="s">
        <v>296</v>
      </c>
      <c r="B6578" s="2" t="str">
        <f>"183201"</f>
        <v>183201</v>
      </c>
      <c r="C6578" s="2" t="str">
        <f>"183201"</f>
        <v>183201</v>
      </c>
      <c r="D6578" s="2" t="s">
        <v>8290</v>
      </c>
      <c r="E6578" s="4">
        <v>4000</v>
      </c>
    </row>
    <row r="6579" spans="1:5">
      <c r="A6579" s="2" t="s">
        <v>296</v>
      </c>
      <c r="B6579" s="2" t="str">
        <f>"311930"</f>
        <v>311930</v>
      </c>
      <c r="C6579" s="2" t="str">
        <f>"311930"</f>
        <v>311930</v>
      </c>
      <c r="D6579" s="2" t="s">
        <v>8290</v>
      </c>
      <c r="E6579" s="4">
        <v>15600</v>
      </c>
    </row>
    <row r="6580" spans="1:5">
      <c r="A6580" s="2" t="s">
        <v>296</v>
      </c>
      <c r="B6580" s="2" t="str">
        <f>"230305"</f>
        <v>230305</v>
      </c>
      <c r="C6580" s="2" t="str">
        <f>"230305"</f>
        <v>230305</v>
      </c>
      <c r="D6580" s="2" t="s">
        <v>8291</v>
      </c>
      <c r="E6580" s="4">
        <v>12400</v>
      </c>
    </row>
    <row r="6581" spans="1:5">
      <c r="A6581" s="2" t="s">
        <v>296</v>
      </c>
      <c r="B6581" s="2" t="str">
        <f>"235306"</f>
        <v>235306</v>
      </c>
      <c r="C6581" s="2" t="str">
        <f>"235306"</f>
        <v>235306</v>
      </c>
      <c r="D6581" s="2" t="s">
        <v>8291</v>
      </c>
      <c r="E6581" s="4">
        <v>19600</v>
      </c>
    </row>
    <row r="6582" spans="1:5">
      <c r="A6582" s="2" t="s">
        <v>296</v>
      </c>
      <c r="B6582" s="2" t="str">
        <f>"170642"</f>
        <v>170642</v>
      </c>
      <c r="C6582" s="2" t="str">
        <f>"170642"</f>
        <v>170642</v>
      </c>
      <c r="D6582" s="2" t="s">
        <v>8292</v>
      </c>
      <c r="E6582" s="4">
        <v>15200</v>
      </c>
    </row>
    <row r="6583" spans="1:5">
      <c r="A6583" s="2" t="s">
        <v>296</v>
      </c>
      <c r="B6583" s="2" t="str">
        <f>"055338"</f>
        <v>055338</v>
      </c>
      <c r="C6583" s="2" t="str">
        <f>"055338"</f>
        <v>055338</v>
      </c>
      <c r="D6583" s="2" t="s">
        <v>8293</v>
      </c>
      <c r="E6583" s="4">
        <v>28600</v>
      </c>
    </row>
    <row r="6584" spans="1:5">
      <c r="A6584" s="2" t="s">
        <v>296</v>
      </c>
      <c r="B6584" s="2" t="str">
        <f>"0301310"</f>
        <v>0301310</v>
      </c>
      <c r="C6584" s="2" t="str">
        <f>"0301310"</f>
        <v>0301310</v>
      </c>
      <c r="D6584" s="2" t="s">
        <v>8294</v>
      </c>
      <c r="E6584" s="4">
        <v>5200</v>
      </c>
    </row>
    <row r="6585" spans="1:5">
      <c r="A6585" s="2" t="s">
        <v>296</v>
      </c>
      <c r="B6585" s="2" t="str">
        <f>"321357"</f>
        <v>321357</v>
      </c>
      <c r="C6585" s="2" t="str">
        <f>"321357"</f>
        <v>321357</v>
      </c>
      <c r="D6585" s="2" t="s">
        <v>8295</v>
      </c>
      <c r="E6585" s="4">
        <v>16900</v>
      </c>
    </row>
    <row r="6586" spans="1:5">
      <c r="A6586" s="2" t="s">
        <v>296</v>
      </c>
      <c r="B6586" s="2" t="str">
        <f>"321430"</f>
        <v>321430</v>
      </c>
      <c r="C6586" s="2" t="str">
        <f>"321430"</f>
        <v>321430</v>
      </c>
      <c r="D6586" s="2" t="s">
        <v>8296</v>
      </c>
      <c r="E6586" s="4">
        <v>23200</v>
      </c>
    </row>
    <row r="6587" spans="1:5">
      <c r="A6587" s="2" t="s">
        <v>296</v>
      </c>
      <c r="B6587" s="2" t="str">
        <f>"280296"</f>
        <v>280296</v>
      </c>
      <c r="C6587" s="2" t="str">
        <f>"280296"</f>
        <v>280296</v>
      </c>
      <c r="D6587" s="2" t="s">
        <v>8297</v>
      </c>
      <c r="E6587" s="4">
        <v>18700</v>
      </c>
    </row>
    <row r="6588" spans="1:5">
      <c r="A6588" s="2" t="s">
        <v>296</v>
      </c>
      <c r="B6588" s="2" t="str">
        <f>"170681"</f>
        <v>170681</v>
      </c>
      <c r="C6588" s="2" t="str">
        <f>"170681"</f>
        <v>170681</v>
      </c>
      <c r="D6588" s="2" t="s">
        <v>8298</v>
      </c>
      <c r="E6588" s="4">
        <v>18900</v>
      </c>
    </row>
    <row r="6589" spans="1:5">
      <c r="A6589" s="2" t="s">
        <v>296</v>
      </c>
      <c r="B6589" s="2" t="str">
        <f>"286133"</f>
        <v>286133</v>
      </c>
      <c r="C6589" s="2" t="str">
        <f>"286133"</f>
        <v>286133</v>
      </c>
      <c r="D6589" s="2" t="s">
        <v>8299</v>
      </c>
      <c r="E6589" s="4">
        <v>28000</v>
      </c>
    </row>
    <row r="6590" spans="1:5">
      <c r="A6590" s="2" t="s">
        <v>296</v>
      </c>
      <c r="B6590" s="2" t="str">
        <f>"311852"</f>
        <v>311852</v>
      </c>
      <c r="C6590" s="2" t="str">
        <f>"311852"</f>
        <v>311852</v>
      </c>
      <c r="D6590" s="2" t="s">
        <v>8300</v>
      </c>
      <c r="E6590" s="4">
        <v>15200</v>
      </c>
    </row>
    <row r="6591" spans="1:5">
      <c r="A6591" s="2" t="s">
        <v>2544</v>
      </c>
      <c r="B6591" s="2" t="s">
        <v>8301</v>
      </c>
      <c r="C6591" s="2" t="s">
        <v>8301</v>
      </c>
      <c r="D6591" s="2" t="s">
        <v>8302</v>
      </c>
      <c r="E6591" s="4">
        <v>6100</v>
      </c>
    </row>
    <row r="6592" spans="1:5">
      <c r="A6592" s="2" t="s">
        <v>2544</v>
      </c>
      <c r="B6592" s="2" t="str">
        <f>"282661"</f>
        <v>282661</v>
      </c>
      <c r="C6592" s="2" t="str">
        <f>"282661"</f>
        <v>282661</v>
      </c>
      <c r="D6592" s="2" t="s">
        <v>8303</v>
      </c>
      <c r="E6592" s="4">
        <v>26500</v>
      </c>
    </row>
    <row r="6593" spans="1:5">
      <c r="A6593" s="2" t="s">
        <v>2544</v>
      </c>
      <c r="B6593" s="2" t="str">
        <f>"040180028"</f>
        <v>040180028</v>
      </c>
      <c r="C6593" s="2" t="str">
        <f>"040180028"</f>
        <v>040180028</v>
      </c>
      <c r="D6593" s="2" t="s">
        <v>8304</v>
      </c>
      <c r="E6593" s="4">
        <v>9900</v>
      </c>
    </row>
    <row r="6594" spans="1:5">
      <c r="A6594" s="2" t="s">
        <v>2544</v>
      </c>
      <c r="B6594" s="2" t="str">
        <f>"070466"</f>
        <v>070466</v>
      </c>
      <c r="C6594" s="2" t="str">
        <f>"070467"</f>
        <v>070467</v>
      </c>
      <c r="D6594" s="2" t="s">
        <v>8305</v>
      </c>
      <c r="E6594" s="4">
        <v>8800</v>
      </c>
    </row>
    <row r="6595" spans="1:5">
      <c r="A6595" s="2" t="s">
        <v>2544</v>
      </c>
      <c r="B6595" s="2" t="s">
        <v>8306</v>
      </c>
      <c r="C6595" s="2" t="s">
        <v>8306</v>
      </c>
      <c r="D6595" s="2" t="s">
        <v>8307</v>
      </c>
      <c r="E6595" s="4">
        <v>9900</v>
      </c>
    </row>
    <row r="6596" spans="1:5">
      <c r="A6596" s="2" t="s">
        <v>2544</v>
      </c>
      <c r="B6596" s="2" t="str">
        <f>"283046"</f>
        <v>283046</v>
      </c>
      <c r="C6596" s="2" t="str">
        <f>"283046"</f>
        <v>283046</v>
      </c>
      <c r="D6596" s="2" t="s">
        <v>8308</v>
      </c>
      <c r="E6596" s="4">
        <v>9700</v>
      </c>
    </row>
    <row r="6597" spans="1:5">
      <c r="A6597" s="2" t="s">
        <v>2544</v>
      </c>
      <c r="B6597" s="2" t="str">
        <f>"190022M"</f>
        <v>190022M</v>
      </c>
      <c r="C6597" s="2" t="str">
        <f>"190022M"</f>
        <v>190022M</v>
      </c>
      <c r="D6597" s="2" t="s">
        <v>8309</v>
      </c>
      <c r="E6597" s="4">
        <v>12400</v>
      </c>
    </row>
    <row r="6598" spans="1:5">
      <c r="A6598" s="2" t="s">
        <v>2544</v>
      </c>
      <c r="B6598" s="2" t="str">
        <f>"1772080"</f>
        <v>1772080</v>
      </c>
      <c r="C6598" s="2" t="str">
        <f>"1772080"</f>
        <v>1772080</v>
      </c>
      <c r="D6598" s="2" t="s">
        <v>8310</v>
      </c>
      <c r="E6598" s="4">
        <v>11900</v>
      </c>
    </row>
    <row r="6599" spans="1:5">
      <c r="A6599" s="2" t="s">
        <v>2544</v>
      </c>
      <c r="B6599" s="2" t="str">
        <f>"280474"</f>
        <v>280474</v>
      </c>
      <c r="C6599" s="2" t="str">
        <f>"280474"</f>
        <v>280474</v>
      </c>
      <c r="D6599" s="2" t="s">
        <v>8311</v>
      </c>
      <c r="E6599" s="4">
        <v>10900</v>
      </c>
    </row>
    <row r="6600" spans="1:5">
      <c r="A6600" s="2" t="s">
        <v>2544</v>
      </c>
      <c r="B6600" s="2" t="s">
        <v>8312</v>
      </c>
      <c r="C6600" s="2" t="s">
        <v>8313</v>
      </c>
      <c r="D6600" s="2" t="s">
        <v>7728</v>
      </c>
      <c r="E6600" s="4">
        <v>11500</v>
      </c>
    </row>
    <row r="6601" spans="1:5">
      <c r="A6601" s="2" t="s">
        <v>2544</v>
      </c>
      <c r="B6601" s="2" t="str">
        <f>"040180032"</f>
        <v>040180032</v>
      </c>
      <c r="C6601" s="2" t="str">
        <f>"040180032"</f>
        <v>040180032</v>
      </c>
      <c r="D6601" s="2" t="s">
        <v>8314</v>
      </c>
      <c r="E6601" s="4">
        <v>9700</v>
      </c>
    </row>
    <row r="6602" spans="1:5">
      <c r="A6602" s="2" t="s">
        <v>2544</v>
      </c>
      <c r="B6602" s="2" t="str">
        <f>"0011402"</f>
        <v>0011402</v>
      </c>
      <c r="C6602" s="2" t="str">
        <f>"0011402"</f>
        <v>0011402</v>
      </c>
      <c r="D6602" s="2" t="s">
        <v>8315</v>
      </c>
      <c r="E6602" s="4">
        <v>9700</v>
      </c>
    </row>
    <row r="6603" spans="1:5">
      <c r="A6603" s="2" t="s">
        <v>2544</v>
      </c>
      <c r="B6603" s="2" t="str">
        <f>"090440130"</f>
        <v>090440130</v>
      </c>
      <c r="C6603" s="2" t="str">
        <f>"090440130"</f>
        <v>090440130</v>
      </c>
      <c r="D6603" s="2" t="s">
        <v>8315</v>
      </c>
      <c r="E6603" s="4">
        <v>28600</v>
      </c>
    </row>
    <row r="6604" spans="1:5">
      <c r="A6604" s="2" t="s">
        <v>2544</v>
      </c>
      <c r="B6604" s="2" t="str">
        <f>"287689"</f>
        <v>287689</v>
      </c>
      <c r="C6604" s="2" t="str">
        <f>"287689"</f>
        <v>287689</v>
      </c>
      <c r="D6604" s="2" t="s">
        <v>8316</v>
      </c>
      <c r="E6604" s="4">
        <v>8800</v>
      </c>
    </row>
    <row r="6605" spans="1:5">
      <c r="A6605" s="2" t="s">
        <v>2544</v>
      </c>
      <c r="B6605" s="2" t="str">
        <f>"302883"</f>
        <v>302883</v>
      </c>
      <c r="C6605" s="2" t="str">
        <f>"302883"</f>
        <v>302883</v>
      </c>
      <c r="D6605" s="2" t="s">
        <v>8317</v>
      </c>
      <c r="E6605" s="4">
        <v>25000</v>
      </c>
    </row>
    <row r="6606" spans="1:5">
      <c r="A6606" s="2" t="s">
        <v>2544</v>
      </c>
      <c r="B6606" s="2" t="str">
        <f>"070180054"</f>
        <v>070180054</v>
      </c>
      <c r="C6606" s="2" t="str">
        <f>"070180054"</f>
        <v>070180054</v>
      </c>
      <c r="D6606" s="2" t="s">
        <v>8318</v>
      </c>
      <c r="E6606" s="4">
        <v>11500</v>
      </c>
    </row>
    <row r="6607" spans="1:5">
      <c r="A6607" s="2" t="s">
        <v>2544</v>
      </c>
      <c r="B6607" s="2" t="str">
        <f>"1772370"</f>
        <v>1772370</v>
      </c>
      <c r="C6607" s="2" t="str">
        <f>"1772370"</f>
        <v>1772370</v>
      </c>
      <c r="D6607" s="2" t="s">
        <v>7736</v>
      </c>
      <c r="E6607" s="4">
        <v>18700</v>
      </c>
    </row>
    <row r="6608" spans="1:5">
      <c r="A6608" s="2" t="s">
        <v>2544</v>
      </c>
      <c r="B6608" s="2" t="str">
        <f>"287661"</f>
        <v>287661</v>
      </c>
      <c r="C6608" s="2" t="str">
        <f>"287661"</f>
        <v>287661</v>
      </c>
      <c r="D6608" s="2" t="s">
        <v>8319</v>
      </c>
      <c r="E6608" s="4">
        <v>11900</v>
      </c>
    </row>
    <row r="6609" spans="1:5">
      <c r="A6609" s="2" t="s">
        <v>2544</v>
      </c>
      <c r="B6609" s="2" t="str">
        <f>"302894"</f>
        <v>302894</v>
      </c>
      <c r="C6609" s="2" t="str">
        <f>"302894"</f>
        <v>302894</v>
      </c>
      <c r="D6609" s="2" t="s">
        <v>8320</v>
      </c>
      <c r="E6609" s="4">
        <v>25000</v>
      </c>
    </row>
    <row r="6610" spans="1:5">
      <c r="A6610" s="2" t="s">
        <v>2544</v>
      </c>
      <c r="B6610" s="2" t="str">
        <f>"280581"</f>
        <v>280581</v>
      </c>
      <c r="C6610" s="2" t="str">
        <f>"280581"</f>
        <v>280581</v>
      </c>
      <c r="D6610" s="2" t="s">
        <v>8321</v>
      </c>
      <c r="E6610" s="4">
        <v>32200</v>
      </c>
    </row>
    <row r="6611" spans="1:5">
      <c r="A6611" s="2" t="s">
        <v>2544</v>
      </c>
      <c r="B6611" s="2" t="str">
        <f>"202876"</f>
        <v>202876</v>
      </c>
      <c r="C6611" s="2" t="str">
        <f>"202876"</f>
        <v>202876</v>
      </c>
      <c r="D6611" s="2" t="s">
        <v>8322</v>
      </c>
      <c r="E6611" s="4">
        <v>34000</v>
      </c>
    </row>
    <row r="6612" spans="1:5">
      <c r="A6612" s="2" t="s">
        <v>2544</v>
      </c>
      <c r="B6612" s="2" t="s">
        <v>8323</v>
      </c>
      <c r="C6612" s="2" t="s">
        <v>8323</v>
      </c>
      <c r="D6612" s="2" t="s">
        <v>8324</v>
      </c>
      <c r="E6612" s="4">
        <v>10900</v>
      </c>
    </row>
    <row r="6613" spans="1:5">
      <c r="A6613" s="2" t="s">
        <v>2544</v>
      </c>
      <c r="B6613" s="2" t="str">
        <f>"283131"</f>
        <v>283131</v>
      </c>
      <c r="C6613" s="2" t="str">
        <f>"283131"</f>
        <v>283131</v>
      </c>
      <c r="D6613" s="2" t="s">
        <v>8325</v>
      </c>
      <c r="E6613" s="4">
        <v>12500</v>
      </c>
    </row>
    <row r="6614" spans="1:5">
      <c r="A6614" s="2" t="s">
        <v>2544</v>
      </c>
      <c r="B6614" s="2" t="str">
        <f>"287672"</f>
        <v>287672</v>
      </c>
      <c r="C6614" s="2" t="str">
        <f>"287672"</f>
        <v>287672</v>
      </c>
      <c r="D6614" s="2" t="s">
        <v>8326</v>
      </c>
      <c r="E6614" s="4">
        <v>12400</v>
      </c>
    </row>
    <row r="6615" spans="1:5">
      <c r="A6615" s="2" t="s">
        <v>2544</v>
      </c>
      <c r="B6615" s="2" t="str">
        <f>"283128"</f>
        <v>283128</v>
      </c>
      <c r="C6615" s="2" t="str">
        <f>"283128"</f>
        <v>283128</v>
      </c>
      <c r="D6615" s="2" t="s">
        <v>8327</v>
      </c>
      <c r="E6615" s="4">
        <v>7000</v>
      </c>
    </row>
    <row r="6616" spans="1:5">
      <c r="A6616" s="2" t="s">
        <v>2544</v>
      </c>
      <c r="B6616" s="2" t="str">
        <f>"283117"</f>
        <v>283117</v>
      </c>
      <c r="C6616" s="2" t="s">
        <v>8328</v>
      </c>
      <c r="D6616" s="2" t="s">
        <v>8329</v>
      </c>
      <c r="E6616" s="4">
        <v>16000</v>
      </c>
    </row>
    <row r="6617" spans="1:5">
      <c r="A6617" s="2" t="s">
        <v>2544</v>
      </c>
      <c r="B6617" s="2" t="str">
        <f>"070458"</f>
        <v>070458</v>
      </c>
      <c r="C6617" s="2" t="str">
        <f>"070458"</f>
        <v>070458</v>
      </c>
      <c r="D6617" s="2" t="s">
        <v>8330</v>
      </c>
      <c r="E6617" s="4">
        <v>11500</v>
      </c>
    </row>
    <row r="6618" spans="1:5">
      <c r="A6618" s="2" t="s">
        <v>2544</v>
      </c>
      <c r="B6618" s="2" t="str">
        <f>"280477"</f>
        <v>280477</v>
      </c>
      <c r="C6618" s="2" t="str">
        <f>"280477"</f>
        <v>280477</v>
      </c>
      <c r="D6618" s="2" t="s">
        <v>8331</v>
      </c>
      <c r="E6618" s="4">
        <v>18000</v>
      </c>
    </row>
    <row r="6619" spans="1:5">
      <c r="A6619" s="2" t="s">
        <v>2544</v>
      </c>
      <c r="B6619" s="2" t="str">
        <f>"282606"</f>
        <v>282606</v>
      </c>
      <c r="C6619" s="2" t="str">
        <f>"282606"</f>
        <v>282606</v>
      </c>
      <c r="D6619" s="2" t="s">
        <v>8332</v>
      </c>
      <c r="E6619" s="4">
        <v>60500</v>
      </c>
    </row>
    <row r="6620" spans="1:5">
      <c r="A6620" s="2" t="s">
        <v>2544</v>
      </c>
      <c r="B6620" s="2" t="s">
        <v>8333</v>
      </c>
      <c r="C6620" s="2" t="s">
        <v>8333</v>
      </c>
      <c r="D6620" s="2" t="s">
        <v>8334</v>
      </c>
      <c r="E6620" s="4">
        <v>8900</v>
      </c>
    </row>
    <row r="6621" spans="1:5">
      <c r="A6621" s="2" t="s">
        <v>2544</v>
      </c>
      <c r="B6621" s="2" t="str">
        <f>"0020300"</f>
        <v>0020300</v>
      </c>
      <c r="C6621" s="2" t="str">
        <f>"040180041"</f>
        <v>040180041</v>
      </c>
      <c r="D6621" s="2" t="s">
        <v>8335</v>
      </c>
      <c r="E6621" s="4">
        <v>9700</v>
      </c>
    </row>
    <row r="6622" spans="1:5">
      <c r="A6622" s="2" t="s">
        <v>2544</v>
      </c>
      <c r="B6622" s="2" t="s">
        <v>8336</v>
      </c>
      <c r="C6622" s="2" t="s">
        <v>8336</v>
      </c>
      <c r="D6622" s="2" t="s">
        <v>8337</v>
      </c>
      <c r="E6622" s="4">
        <v>11800</v>
      </c>
    </row>
    <row r="6623" spans="1:5">
      <c r="A6623" s="2" t="s">
        <v>2544</v>
      </c>
      <c r="B6623" s="2" t="str">
        <f>"0153247"</f>
        <v>0153247</v>
      </c>
      <c r="C6623" s="2" t="str">
        <f>"0153247"</f>
        <v>0153247</v>
      </c>
      <c r="D6623" s="2" t="s">
        <v>8338</v>
      </c>
      <c r="E6623" s="4">
        <v>8800</v>
      </c>
    </row>
    <row r="6624" spans="1:5">
      <c r="A6624" s="2" t="s">
        <v>2544</v>
      </c>
      <c r="B6624" s="2" t="str">
        <f>"171050"</f>
        <v>171050</v>
      </c>
      <c r="C6624" s="2" t="str">
        <f>"171050"</f>
        <v>171050</v>
      </c>
      <c r="D6624" s="2" t="s">
        <v>8339</v>
      </c>
      <c r="E6624" s="4">
        <v>8900</v>
      </c>
    </row>
    <row r="6625" spans="1:5">
      <c r="A6625" s="2" t="s">
        <v>2544</v>
      </c>
      <c r="B6625" s="2" t="str">
        <f>"000403178-4"</f>
        <v>000403178-4</v>
      </c>
      <c r="C6625" s="2" t="str">
        <f>"000403178-4"</f>
        <v>000403178-4</v>
      </c>
      <c r="D6625" s="2" t="s">
        <v>8340</v>
      </c>
      <c r="E6625" s="4">
        <v>9700</v>
      </c>
    </row>
    <row r="6626" spans="1:5">
      <c r="A6626" s="2" t="s">
        <v>2544</v>
      </c>
      <c r="B6626" s="2" t="str">
        <f>"2033984"</f>
        <v>2033984</v>
      </c>
      <c r="C6626" s="2" t="str">
        <f>"8-83140"</f>
        <v>8-83140</v>
      </c>
      <c r="D6626" s="2" t="s">
        <v>8341</v>
      </c>
      <c r="E6626" s="4">
        <v>14500</v>
      </c>
    </row>
    <row r="6627" spans="1:5">
      <c r="A6627" s="2" t="s">
        <v>2544</v>
      </c>
      <c r="B6627" s="2" t="str">
        <f>"270399"</f>
        <v>270399</v>
      </c>
      <c r="C6627" s="2" t="str">
        <f>"270399"</f>
        <v>270399</v>
      </c>
      <c r="D6627" s="2" t="s">
        <v>8342</v>
      </c>
      <c r="E6627" s="4">
        <v>11900</v>
      </c>
    </row>
    <row r="6628" spans="1:5">
      <c r="A6628" s="2" t="s">
        <v>2544</v>
      </c>
      <c r="B6628" s="2" t="str">
        <f>"5000000221776"</f>
        <v>5000000221776</v>
      </c>
      <c r="C6628" s="2" t="str">
        <f>"287691"</f>
        <v>287691</v>
      </c>
      <c r="D6628" s="2" t="s">
        <v>8343</v>
      </c>
      <c r="E6628" s="4">
        <v>38000</v>
      </c>
    </row>
    <row r="6629" spans="1:5">
      <c r="A6629" s="2" t="s">
        <v>2544</v>
      </c>
      <c r="B6629" s="2" t="str">
        <f>"9951561"</f>
        <v>9951561</v>
      </c>
      <c r="C6629" s="2" t="str">
        <f>"9951561"</f>
        <v>9951561</v>
      </c>
      <c r="D6629" s="2" t="s">
        <v>8344</v>
      </c>
      <c r="E6629" s="4">
        <v>11500</v>
      </c>
    </row>
    <row r="6630" spans="1:5">
      <c r="A6630" s="2" t="s">
        <v>2544</v>
      </c>
      <c r="B6630" s="2" t="str">
        <f>"287650"</f>
        <v>287650</v>
      </c>
      <c r="C6630" s="2" t="str">
        <f>"287650"</f>
        <v>287650</v>
      </c>
      <c r="D6630" s="2" t="s">
        <v>8345</v>
      </c>
      <c r="E6630" s="4">
        <v>11500</v>
      </c>
    </row>
    <row r="6631" spans="1:5">
      <c r="A6631" s="2" t="s">
        <v>2544</v>
      </c>
      <c r="B6631" s="2" t="str">
        <f>"0020313"</f>
        <v>0020313</v>
      </c>
      <c r="C6631" s="2" t="str">
        <f>"0020313"</f>
        <v>0020313</v>
      </c>
      <c r="D6631" s="2" t="s">
        <v>8346</v>
      </c>
      <c r="E6631" s="4">
        <v>7900</v>
      </c>
    </row>
    <row r="6632" spans="1:5">
      <c r="A6632" s="2" t="s">
        <v>2544</v>
      </c>
      <c r="B6632" s="2" t="s">
        <v>8347</v>
      </c>
      <c r="C6632" s="2" t="s">
        <v>8347</v>
      </c>
      <c r="D6632" s="2" t="s">
        <v>8348</v>
      </c>
      <c r="E6632" s="4">
        <v>12400</v>
      </c>
    </row>
    <row r="6633" spans="1:5">
      <c r="A6633" s="2" t="s">
        <v>2544</v>
      </c>
      <c r="B6633" s="2" t="str">
        <f>"287429"</f>
        <v>287429</v>
      </c>
      <c r="C6633" s="2" t="str">
        <f>"287429"</f>
        <v>287429</v>
      </c>
      <c r="D6633" s="2" t="s">
        <v>8349</v>
      </c>
      <c r="E6633" s="4">
        <v>29000</v>
      </c>
    </row>
    <row r="6634" spans="1:5">
      <c r="A6634" s="2" t="s">
        <v>2544</v>
      </c>
      <c r="B6634" s="2" t="str">
        <f>"190769"</f>
        <v>190769</v>
      </c>
      <c r="C6634" s="2" t="str">
        <f>"190769"</f>
        <v>190769</v>
      </c>
      <c r="D6634" s="2" t="s">
        <v>8350</v>
      </c>
      <c r="E6634" s="4">
        <v>11500</v>
      </c>
    </row>
    <row r="6635" spans="1:5">
      <c r="A6635" s="2" t="s">
        <v>2544</v>
      </c>
      <c r="B6635" s="2" t="str">
        <f>"287611"</f>
        <v>287611</v>
      </c>
      <c r="C6635" s="2" t="str">
        <f>"287611"</f>
        <v>287611</v>
      </c>
      <c r="D6635" s="2" t="s">
        <v>8350</v>
      </c>
      <c r="E6635" s="4">
        <v>9700</v>
      </c>
    </row>
    <row r="6636" spans="1:5">
      <c r="A6636" s="2" t="s">
        <v>2544</v>
      </c>
      <c r="B6636" s="2" t="s">
        <v>8351</v>
      </c>
      <c r="C6636" s="2" t="s">
        <v>8351</v>
      </c>
      <c r="D6636" s="2" t="s">
        <v>8352</v>
      </c>
      <c r="E6636" s="4">
        <v>10900</v>
      </c>
    </row>
    <row r="6637" spans="1:5">
      <c r="A6637" s="2" t="s">
        <v>2544</v>
      </c>
      <c r="B6637" s="2" t="str">
        <f>"280480"</f>
        <v>280480</v>
      </c>
      <c r="C6637" s="2" t="str">
        <f>"0020315"</f>
        <v>0020315</v>
      </c>
      <c r="D6637" s="2" t="s">
        <v>8353</v>
      </c>
      <c r="E6637" s="4">
        <v>11500</v>
      </c>
    </row>
    <row r="6638" spans="1:5">
      <c r="A6638" s="2" t="s">
        <v>2544</v>
      </c>
      <c r="B6638" s="2" t="str">
        <f>"0020358"</f>
        <v>0020358</v>
      </c>
      <c r="C6638" s="2" t="str">
        <f>"0020358"</f>
        <v>0020358</v>
      </c>
      <c r="D6638" s="2" t="s">
        <v>8354</v>
      </c>
      <c r="E6638" s="4">
        <v>12400</v>
      </c>
    </row>
    <row r="6639" spans="1:5">
      <c r="A6639" s="2" t="s">
        <v>2544</v>
      </c>
      <c r="B6639" s="2" t="str">
        <f>"0020369"</f>
        <v>0020369</v>
      </c>
      <c r="C6639" s="2" t="str">
        <f>"0020369"</f>
        <v>0020369</v>
      </c>
      <c r="D6639" s="2" t="s">
        <v>8355</v>
      </c>
      <c r="E6639" s="4">
        <v>9700</v>
      </c>
    </row>
    <row r="6640" spans="1:5">
      <c r="A6640" s="2" t="s">
        <v>2544</v>
      </c>
      <c r="B6640" s="2" t="str">
        <f>"090180012"</f>
        <v>090180012</v>
      </c>
      <c r="C6640" s="2" t="str">
        <f>"090180012"</f>
        <v>090180012</v>
      </c>
      <c r="D6640" s="2" t="s">
        <v>8356</v>
      </c>
      <c r="E6640" s="4">
        <v>9000</v>
      </c>
    </row>
    <row r="6641" spans="1:5">
      <c r="A6641" s="2" t="s">
        <v>2544</v>
      </c>
      <c r="B6641" s="2" t="str">
        <f>"010180025"</f>
        <v>010180025</v>
      </c>
      <c r="C6641" s="2" t="str">
        <f>"010180025"</f>
        <v>010180025</v>
      </c>
      <c r="D6641" s="2" t="s">
        <v>8357</v>
      </c>
      <c r="E6641" s="4">
        <v>16000</v>
      </c>
    </row>
    <row r="6642" spans="1:5">
      <c r="A6642" s="2" t="s">
        <v>2544</v>
      </c>
      <c r="B6642" s="2" t="str">
        <f>"0033259"</f>
        <v>0033259</v>
      </c>
      <c r="C6642" s="2" t="str">
        <f>"0033259"</f>
        <v>0033259</v>
      </c>
      <c r="D6642" s="2" t="s">
        <v>8358</v>
      </c>
      <c r="E6642" s="4">
        <v>12400</v>
      </c>
    </row>
    <row r="6643" spans="1:5">
      <c r="A6643" s="2" t="s">
        <v>2544</v>
      </c>
      <c r="B6643" s="2" t="str">
        <f>"0020297"</f>
        <v>0020297</v>
      </c>
      <c r="C6643" s="2" t="str">
        <f>"0020297"</f>
        <v>0020297</v>
      </c>
      <c r="D6643" s="2" t="s">
        <v>8359</v>
      </c>
      <c r="E6643" s="4">
        <v>8800</v>
      </c>
    </row>
    <row r="6644" spans="1:5">
      <c r="A6644" s="2" t="s">
        <v>2544</v>
      </c>
      <c r="B6644" s="2" t="str">
        <f>"1S0103M"</f>
        <v>1S0103M</v>
      </c>
      <c r="C6644" s="2" t="str">
        <f>"1S0103M"</f>
        <v>1S0103M</v>
      </c>
      <c r="D6644" s="2" t="s">
        <v>8360</v>
      </c>
      <c r="E6644" s="4">
        <v>9700</v>
      </c>
    </row>
    <row r="6645" spans="1:5">
      <c r="A6645" s="2" t="s">
        <v>2544</v>
      </c>
      <c r="B6645" s="2" t="str">
        <f>"282604"</f>
        <v>282604</v>
      </c>
      <c r="C6645" s="2" t="str">
        <f>"282604"</f>
        <v>282604</v>
      </c>
      <c r="D6645" s="2" t="s">
        <v>8361</v>
      </c>
      <c r="E6645" s="4">
        <v>32200</v>
      </c>
    </row>
    <row r="6646" spans="1:5">
      <c r="A6646" s="2" t="s">
        <v>2544</v>
      </c>
      <c r="B6646" s="2" t="str">
        <f>"0183097"</f>
        <v>0183097</v>
      </c>
      <c r="C6646" s="2" t="str">
        <f>"0183097 090180022"</f>
        <v>0183097 090180022</v>
      </c>
      <c r="D6646" s="2" t="s">
        <v>8362</v>
      </c>
      <c r="E6646" s="4">
        <v>9900</v>
      </c>
    </row>
    <row r="6647" spans="1:5">
      <c r="A6647" s="2" t="s">
        <v>2544</v>
      </c>
      <c r="B6647" s="2" t="str">
        <f>"0020299"</f>
        <v>0020299</v>
      </c>
      <c r="C6647" s="2" t="str">
        <f>"0020299"</f>
        <v>0020299</v>
      </c>
      <c r="D6647" s="2" t="s">
        <v>8363</v>
      </c>
      <c r="E6647" s="4">
        <v>9700</v>
      </c>
    </row>
    <row r="6648" spans="1:5">
      <c r="A6648" s="2" t="s">
        <v>2544</v>
      </c>
      <c r="B6648" s="2" t="str">
        <f>"070366"</f>
        <v>070366</v>
      </c>
      <c r="C6648" s="2" t="str">
        <f>"070366"</f>
        <v>070366</v>
      </c>
      <c r="D6648" s="2" t="s">
        <v>8363</v>
      </c>
      <c r="E6648" s="4">
        <v>10900</v>
      </c>
    </row>
    <row r="6649" spans="1:5">
      <c r="A6649" s="2" t="s">
        <v>2544</v>
      </c>
      <c r="B6649" s="2" t="str">
        <f>"090180014"</f>
        <v>090180014</v>
      </c>
      <c r="C6649" s="2" t="str">
        <f>"090180014"</f>
        <v>090180014</v>
      </c>
      <c r="D6649" s="2" t="s">
        <v>8364</v>
      </c>
      <c r="E6649" s="4">
        <v>12400</v>
      </c>
    </row>
    <row r="6650" spans="1:5">
      <c r="A6650" s="2" t="s">
        <v>2544</v>
      </c>
      <c r="B6650" s="2" t="str">
        <f>"090180019"</f>
        <v>090180019</v>
      </c>
      <c r="C6650" s="2" t="str">
        <f>"090180019"</f>
        <v>090180019</v>
      </c>
      <c r="D6650" s="2" t="s">
        <v>8365</v>
      </c>
      <c r="E6650" s="4">
        <v>13300</v>
      </c>
    </row>
    <row r="6651" spans="1:5">
      <c r="A6651" s="2" t="s">
        <v>2544</v>
      </c>
      <c r="B6651" s="2" t="str">
        <f>"5414"</f>
        <v>5414</v>
      </c>
      <c r="C6651" s="2" t="str">
        <f>"5414"</f>
        <v>5414</v>
      </c>
      <c r="D6651" s="2" t="s">
        <v>8366</v>
      </c>
      <c r="E6651" s="4">
        <v>25000</v>
      </c>
    </row>
    <row r="6652" spans="1:5">
      <c r="A6652" s="2" t="s">
        <v>2544</v>
      </c>
      <c r="B6652" s="2" t="str">
        <f>"1599000"</f>
        <v>1599000</v>
      </c>
      <c r="C6652" s="2" t="str">
        <f>"1599000"</f>
        <v>1599000</v>
      </c>
      <c r="D6652" s="2" t="s">
        <v>8367</v>
      </c>
      <c r="E6652" s="4">
        <v>11500</v>
      </c>
    </row>
    <row r="6653" spans="1:5">
      <c r="A6653" s="2" t="s">
        <v>2544</v>
      </c>
      <c r="B6653" s="2" t="str">
        <f>"287666"</f>
        <v>287666</v>
      </c>
      <c r="C6653" s="2" t="str">
        <f>"287666"</f>
        <v>287666</v>
      </c>
      <c r="D6653" s="2" t="s">
        <v>8368</v>
      </c>
      <c r="E6653" s="4">
        <v>9700</v>
      </c>
    </row>
    <row r="6654" spans="1:5">
      <c r="A6654" s="2" t="s">
        <v>2544</v>
      </c>
      <c r="B6654" s="2" t="str">
        <f>"040180038"</f>
        <v>040180038</v>
      </c>
      <c r="C6654" s="2" t="str">
        <f>"040180038"</f>
        <v>040180038</v>
      </c>
      <c r="D6654" s="2" t="s">
        <v>8369</v>
      </c>
      <c r="E6654" s="4">
        <v>12400</v>
      </c>
    </row>
    <row r="6655" spans="1:5">
      <c r="A6655" s="2" t="s">
        <v>1478</v>
      </c>
      <c r="B6655" s="2" t="str">
        <f>"00101L225TP"</f>
        <v>00101L225TP</v>
      </c>
      <c r="C6655" s="2" t="str">
        <f>"00101L225TP"</f>
        <v>00101L225TP</v>
      </c>
      <c r="D6655" s="2" t="s">
        <v>8370</v>
      </c>
      <c r="E6655" s="4">
        <v>24000</v>
      </c>
    </row>
    <row r="6656" spans="1:5">
      <c r="A6656" s="2" t="s">
        <v>1478</v>
      </c>
      <c r="B6656" s="2" t="str">
        <f>"10060096"</f>
        <v>10060096</v>
      </c>
      <c r="C6656" s="2" t="str">
        <f>"10060096"</f>
        <v>10060096</v>
      </c>
      <c r="D6656" s="2" t="s">
        <v>8371</v>
      </c>
      <c r="E6656" s="4">
        <v>29500</v>
      </c>
    </row>
    <row r="6657" spans="1:5">
      <c r="A6657" s="2" t="s">
        <v>1478</v>
      </c>
      <c r="B6657" s="2" t="str">
        <f>"160112"</f>
        <v>160112</v>
      </c>
      <c r="C6657" s="2" t="str">
        <f>"160112"</f>
        <v>160112</v>
      </c>
      <c r="D6657" s="2" t="s">
        <v>8372</v>
      </c>
      <c r="E6657" s="4">
        <v>28000</v>
      </c>
    </row>
    <row r="6658" spans="1:5">
      <c r="A6658" s="2" t="s">
        <v>1478</v>
      </c>
      <c r="B6658" s="2" t="str">
        <f>"010060095"</f>
        <v>010060095</v>
      </c>
      <c r="C6658" s="2" t="str">
        <f>"010060095"</f>
        <v>010060095</v>
      </c>
      <c r="D6658" s="2" t="s">
        <v>8373</v>
      </c>
      <c r="E6658" s="4">
        <v>28600</v>
      </c>
    </row>
    <row r="6659" spans="1:5">
      <c r="A6659" s="2" t="s">
        <v>1478</v>
      </c>
      <c r="B6659" s="2" t="str">
        <f>"00101L231"</f>
        <v>00101L231</v>
      </c>
      <c r="C6659" s="2" t="str">
        <f>"00101L231"</f>
        <v>00101L231</v>
      </c>
      <c r="D6659" s="2" t="s">
        <v>8374</v>
      </c>
      <c r="E6659" s="4">
        <v>18000</v>
      </c>
    </row>
    <row r="6660" spans="1:5">
      <c r="A6660" s="2" t="s">
        <v>1478</v>
      </c>
      <c r="B6660" s="2" t="str">
        <f>"010060422"</f>
        <v>010060422</v>
      </c>
      <c r="C6660" s="2" t="str">
        <f>"010060422"</f>
        <v>010060422</v>
      </c>
      <c r="D6660" s="2" t="s">
        <v>8375</v>
      </c>
      <c r="E6660" s="4">
        <v>34000</v>
      </c>
    </row>
    <row r="6661" spans="1:5">
      <c r="A6661" s="2" t="s">
        <v>1478</v>
      </c>
      <c r="B6661" s="2" t="str">
        <f>"173510"</f>
        <v>173510</v>
      </c>
      <c r="C6661" s="2" t="str">
        <f>"173510"</f>
        <v>173510</v>
      </c>
      <c r="D6661" s="2" t="s">
        <v>8376</v>
      </c>
      <c r="E6661" s="4">
        <v>35000</v>
      </c>
    </row>
    <row r="6662" spans="1:5">
      <c r="A6662" s="2" t="s">
        <v>1478</v>
      </c>
      <c r="B6662" s="2" t="str">
        <f>"12033-01M01"</f>
        <v>12033-01M01</v>
      </c>
      <c r="C6662" s="2" t="str">
        <f>"12033-01M01"</f>
        <v>12033-01M01</v>
      </c>
      <c r="D6662" s="2" t="s">
        <v>8377</v>
      </c>
      <c r="E6662" s="4">
        <v>15000</v>
      </c>
    </row>
    <row r="6663" spans="1:5" ht="27.6">
      <c r="A6663" s="2" t="s">
        <v>1478</v>
      </c>
      <c r="B6663" s="2" t="str">
        <f>"00101N50H"</f>
        <v>00101N50H</v>
      </c>
      <c r="C6663" s="2" t="str">
        <f>"00101N50H"</f>
        <v>00101N50H</v>
      </c>
      <c r="D6663" s="2" t="s">
        <v>8378</v>
      </c>
      <c r="E6663" s="4">
        <v>12400</v>
      </c>
    </row>
    <row r="6664" spans="1:5">
      <c r="A6664" s="2" t="s">
        <v>1478</v>
      </c>
      <c r="B6664" s="2" t="str">
        <f>"00101NSG16"</f>
        <v>00101NSG16</v>
      </c>
      <c r="C6664" s="2" t="str">
        <f>"00101NSG16"</f>
        <v>00101NSG16</v>
      </c>
      <c r="D6664" s="2" t="s">
        <v>8379</v>
      </c>
      <c r="E6664" s="4">
        <v>15100</v>
      </c>
    </row>
    <row r="6665" spans="1:5">
      <c r="A6665" s="2" t="s">
        <v>1478</v>
      </c>
      <c r="B6665" s="2" t="str">
        <f>"280056"</f>
        <v>280056</v>
      </c>
      <c r="C6665" s="2" t="str">
        <f>"280056"</f>
        <v>280056</v>
      </c>
      <c r="D6665" s="2" t="s">
        <v>8380</v>
      </c>
      <c r="E6665" s="4">
        <v>25000</v>
      </c>
    </row>
    <row r="6666" spans="1:5">
      <c r="A6666" s="2" t="s">
        <v>1478</v>
      </c>
      <c r="B6666" s="2" t="str">
        <f>"280061"</f>
        <v>280061</v>
      </c>
      <c r="C6666" s="2" t="str">
        <f>"280061"</f>
        <v>280061</v>
      </c>
      <c r="D6666" s="2" t="s">
        <v>8381</v>
      </c>
      <c r="E6666" s="4">
        <v>19800</v>
      </c>
    </row>
    <row r="6667" spans="1:5">
      <c r="A6667" s="2" t="s">
        <v>1478</v>
      </c>
      <c r="B6667" s="2" t="str">
        <f>"191580"</f>
        <v>191580</v>
      </c>
      <c r="C6667" s="2" t="str">
        <f>"191580"</f>
        <v>191580</v>
      </c>
      <c r="D6667" s="2" t="s">
        <v>8382</v>
      </c>
      <c r="E6667" s="4">
        <v>22300</v>
      </c>
    </row>
    <row r="6668" spans="1:5">
      <c r="A6668" s="2" t="s">
        <v>1478</v>
      </c>
      <c r="B6668" s="2" t="str">
        <f>"0001318"</f>
        <v>0001318</v>
      </c>
      <c r="C6668" s="2" t="str">
        <f>"0001318"</f>
        <v>0001318</v>
      </c>
      <c r="D6668" s="2" t="s">
        <v>8383</v>
      </c>
      <c r="E6668" s="4">
        <v>28000</v>
      </c>
    </row>
    <row r="6669" spans="1:5">
      <c r="A6669" s="2" t="s">
        <v>1478</v>
      </c>
      <c r="B6669" s="2" t="str">
        <f>"00109C250"</f>
        <v>00109C250</v>
      </c>
      <c r="C6669" s="2" t="str">
        <f>"00109C250"</f>
        <v>00109C250</v>
      </c>
      <c r="D6669" s="2" t="s">
        <v>8384</v>
      </c>
      <c r="E6669" s="4">
        <v>22500</v>
      </c>
    </row>
    <row r="6670" spans="1:5">
      <c r="A6670" s="2" t="s">
        <v>1478</v>
      </c>
      <c r="B6670" s="2" t="str">
        <f>"0289-104-06"</f>
        <v>0289-104-06</v>
      </c>
      <c r="C6670" s="2" t="str">
        <f>"0289-104-06"</f>
        <v>0289-104-06</v>
      </c>
      <c r="D6670" s="2" t="s">
        <v>8385</v>
      </c>
      <c r="E6670" s="4">
        <v>36000</v>
      </c>
    </row>
    <row r="6671" spans="1:5">
      <c r="A6671" s="2" t="s">
        <v>1478</v>
      </c>
      <c r="B6671" s="2" t="str">
        <f>"003209"</f>
        <v>003209</v>
      </c>
      <c r="C6671" s="2" t="str">
        <f>"003209"</f>
        <v>003209</v>
      </c>
      <c r="D6671" s="2" t="s">
        <v>8386</v>
      </c>
      <c r="E6671" s="4">
        <v>34000</v>
      </c>
    </row>
    <row r="6672" spans="1:5">
      <c r="A6672" s="2" t="s">
        <v>1478</v>
      </c>
      <c r="B6672" s="2" t="str">
        <f>"00109CVT"</f>
        <v>00109CVT</v>
      </c>
      <c r="C6672" s="2" t="str">
        <f>"00109CVT"</f>
        <v>00109CVT</v>
      </c>
      <c r="D6672" s="2" t="s">
        <v>8387</v>
      </c>
      <c r="E6672" s="4">
        <v>16000</v>
      </c>
    </row>
    <row r="6673" spans="1:5">
      <c r="A6673" s="2" t="s">
        <v>1478</v>
      </c>
      <c r="B6673" s="2" t="str">
        <f>"00109CS16SA"</f>
        <v>00109CS16SA</v>
      </c>
      <c r="C6673" s="2" t="str">
        <f>"00109CS16SA"</f>
        <v>00109CS16SA</v>
      </c>
      <c r="D6673" s="2" t="s">
        <v>8388</v>
      </c>
      <c r="E6673" s="4">
        <v>32200</v>
      </c>
    </row>
    <row r="6674" spans="1:5">
      <c r="A6674" s="2" t="s">
        <v>1478</v>
      </c>
      <c r="B6674" s="2" t="str">
        <f>"00109CS16S"</f>
        <v>00109CS16S</v>
      </c>
      <c r="C6674" s="2" t="str">
        <f>"00109CS16S"</f>
        <v>00109CS16S</v>
      </c>
      <c r="D6674" s="2" t="s">
        <v>8389</v>
      </c>
      <c r="E6674" s="4">
        <v>28100</v>
      </c>
    </row>
    <row r="6675" spans="1:5">
      <c r="A6675" s="2" t="s">
        <v>1478</v>
      </c>
      <c r="B6675" s="2" t="str">
        <f>"0001316"</f>
        <v>0001316</v>
      </c>
      <c r="C6675" s="2" t="str">
        <f>"0001316"</f>
        <v>0001316</v>
      </c>
      <c r="D6675" s="2" t="s">
        <v>8390</v>
      </c>
      <c r="E6675" s="4">
        <v>25000</v>
      </c>
    </row>
    <row r="6676" spans="1:5">
      <c r="A6676" s="2" t="s">
        <v>1478</v>
      </c>
      <c r="B6676" s="2" t="str">
        <f>"1700150"</f>
        <v>1700150</v>
      </c>
      <c r="C6676" s="2" t="str">
        <f>"1700150"</f>
        <v>1700150</v>
      </c>
      <c r="D6676" s="2" t="s">
        <v>8391</v>
      </c>
      <c r="E6676" s="4">
        <v>38500</v>
      </c>
    </row>
    <row r="6677" spans="1:5">
      <c r="A6677" s="2" t="s">
        <v>1478</v>
      </c>
      <c r="B6677" s="2" t="str">
        <f>"00109CS168"</f>
        <v>00109CS168</v>
      </c>
      <c r="C6677" s="2" t="str">
        <f>"00109CS168"</f>
        <v>00109CS168</v>
      </c>
      <c r="D6677" s="2" t="s">
        <v>8392</v>
      </c>
      <c r="E6677" s="4">
        <v>15100</v>
      </c>
    </row>
    <row r="6678" spans="1:5">
      <c r="A6678" s="2" t="s">
        <v>1478</v>
      </c>
      <c r="B6678" s="2" t="str">
        <f>"00109CS16B"</f>
        <v>00109CS16B</v>
      </c>
      <c r="C6678" s="2" t="str">
        <f>"00109CS16B"</f>
        <v>00109CS16B</v>
      </c>
      <c r="D6678" s="2" t="s">
        <v>8393</v>
      </c>
      <c r="E6678" s="4">
        <v>29100</v>
      </c>
    </row>
    <row r="6679" spans="1:5">
      <c r="A6679" s="2" t="s">
        <v>1478</v>
      </c>
      <c r="B6679" s="2" t="str">
        <f>"00109CS17"</f>
        <v>00109CS17</v>
      </c>
      <c r="C6679" s="2" t="str">
        <f>"00109CS17"</f>
        <v>00109CS17</v>
      </c>
      <c r="D6679" s="2" t="s">
        <v>8394</v>
      </c>
      <c r="E6679" s="4">
        <v>28500</v>
      </c>
    </row>
    <row r="6680" spans="1:5">
      <c r="A6680" s="2" t="s">
        <v>1478</v>
      </c>
      <c r="B6680" s="2" t="str">
        <f>"00109CSDW"</f>
        <v>00109CSDW</v>
      </c>
      <c r="C6680" s="2" t="str">
        <f>"00109CSDW"</f>
        <v>00109CSDW</v>
      </c>
      <c r="D6680" s="2" t="s">
        <v>8395</v>
      </c>
      <c r="E6680" s="4">
        <v>14500</v>
      </c>
    </row>
    <row r="6681" spans="1:5">
      <c r="A6681" s="2" t="s">
        <v>1478</v>
      </c>
      <c r="B6681" s="2" t="str">
        <f>"00109DMAX3"</f>
        <v>00109DMAX3</v>
      </c>
      <c r="C6681" s="2" t="str">
        <f>"00109DMAX3"</f>
        <v>00109DMAX3</v>
      </c>
      <c r="D6681" s="2" t="s">
        <v>8396</v>
      </c>
      <c r="E6681" s="4">
        <v>58300</v>
      </c>
    </row>
    <row r="6682" spans="1:5">
      <c r="A6682" s="2" t="s">
        <v>1478</v>
      </c>
      <c r="B6682" s="2" t="str">
        <f>"00109I26B"</f>
        <v>00109I26B</v>
      </c>
      <c r="C6682" s="2" t="str">
        <f>"00109I26B"</f>
        <v>00109I26B</v>
      </c>
      <c r="D6682" s="2" t="s">
        <v>8397</v>
      </c>
      <c r="E6682" s="4">
        <v>31300</v>
      </c>
    </row>
    <row r="6683" spans="1:5">
      <c r="A6683" s="2" t="s">
        <v>1478</v>
      </c>
      <c r="B6683" s="2" t="str">
        <f>"00109I31"</f>
        <v>00109I31</v>
      </c>
      <c r="C6683" s="2" t="str">
        <f>"00109I31"</f>
        <v>00109I31</v>
      </c>
      <c r="D6683" s="2" t="s">
        <v>8398</v>
      </c>
      <c r="E6683" s="2">
        <v>0</v>
      </c>
    </row>
    <row r="6684" spans="1:5">
      <c r="A6684" s="2" t="s">
        <v>1478</v>
      </c>
      <c r="B6684" s="2" t="str">
        <f>"0013322"</f>
        <v>0013322</v>
      </c>
      <c r="C6684" s="2" t="str">
        <f>"0013322"</f>
        <v>0013322</v>
      </c>
      <c r="D6684" s="2" t="s">
        <v>8399</v>
      </c>
      <c r="E6684" s="4">
        <v>29500</v>
      </c>
    </row>
    <row r="6685" spans="1:5">
      <c r="A6685" s="2" t="s">
        <v>1478</v>
      </c>
      <c r="B6685" s="2" t="str">
        <f>"0001298"</f>
        <v>0001298</v>
      </c>
      <c r="C6685" s="2" t="str">
        <f>"0001298"</f>
        <v>0001298</v>
      </c>
      <c r="D6685" s="2" t="s">
        <v>8400</v>
      </c>
      <c r="E6685" s="4">
        <v>18700</v>
      </c>
    </row>
    <row r="6686" spans="1:5">
      <c r="A6686" s="2" t="s">
        <v>1478</v>
      </c>
      <c r="B6686" s="2" t="str">
        <f>"321578"</f>
        <v>321578</v>
      </c>
      <c r="C6686" s="2" t="str">
        <f>"321578"</f>
        <v>321578</v>
      </c>
      <c r="D6686" s="2" t="s">
        <v>7819</v>
      </c>
      <c r="E6686" s="4">
        <v>34000</v>
      </c>
    </row>
    <row r="6687" spans="1:5">
      <c r="A6687" s="2" t="s">
        <v>1478</v>
      </c>
      <c r="B6687" s="2" t="str">
        <f>"00109L22R"</f>
        <v>00109L22R</v>
      </c>
      <c r="C6687" s="2" t="str">
        <f>"00109L22R"</f>
        <v>00109L22R</v>
      </c>
      <c r="D6687" s="2" t="s">
        <v>8401</v>
      </c>
      <c r="E6687" s="4">
        <v>19800</v>
      </c>
    </row>
    <row r="6688" spans="1:5">
      <c r="A6688" s="2" t="s">
        <v>1478</v>
      </c>
      <c r="B6688" s="2" t="str">
        <f>"00109L23R"</f>
        <v>00109L23R</v>
      </c>
      <c r="C6688" s="2" t="str">
        <f>"00109L23R"</f>
        <v>00109L23R</v>
      </c>
      <c r="D6688" s="2" t="s">
        <v>8402</v>
      </c>
      <c r="E6688" s="4">
        <v>17800</v>
      </c>
    </row>
    <row r="6689" spans="1:5">
      <c r="A6689" s="2" t="s">
        <v>1478</v>
      </c>
      <c r="B6689" s="2" t="str">
        <f>"160789"</f>
        <v>160789</v>
      </c>
      <c r="C6689" s="2" t="str">
        <f>"160789"</f>
        <v>160789</v>
      </c>
      <c r="D6689" s="2" t="s">
        <v>8403</v>
      </c>
      <c r="E6689" s="4">
        <v>29500</v>
      </c>
    </row>
    <row r="6690" spans="1:5">
      <c r="A6690" s="2" t="s">
        <v>1478</v>
      </c>
      <c r="B6690" s="2" t="str">
        <f>"020340093"</f>
        <v>020340093</v>
      </c>
      <c r="C6690" s="2" t="str">
        <f>"020340093"</f>
        <v>020340093</v>
      </c>
      <c r="D6690" s="2" t="s">
        <v>8404</v>
      </c>
      <c r="E6690" s="4">
        <v>22300</v>
      </c>
    </row>
    <row r="6691" spans="1:5">
      <c r="A6691" s="2" t="s">
        <v>1478</v>
      </c>
      <c r="B6691" s="2" t="s">
        <v>8405</v>
      </c>
      <c r="C6691" s="2" t="s">
        <v>8405</v>
      </c>
      <c r="D6691" s="2" t="s">
        <v>8406</v>
      </c>
      <c r="E6691" s="4">
        <v>43000</v>
      </c>
    </row>
    <row r="6692" spans="1:5">
      <c r="A6692" s="2" t="s">
        <v>1478</v>
      </c>
      <c r="B6692" s="2" t="str">
        <f>"00109S1022S"</f>
        <v>00109S1022S</v>
      </c>
      <c r="C6692" s="2" t="str">
        <f>"00109S1022S"</f>
        <v>00109S1022S</v>
      </c>
      <c r="D6692" s="2" t="s">
        <v>8407</v>
      </c>
      <c r="E6692" s="4">
        <v>45505</v>
      </c>
    </row>
    <row r="6693" spans="1:5">
      <c r="A6693" s="2" t="s">
        <v>1478</v>
      </c>
      <c r="B6693" s="2" t="str">
        <f>"00109CHSP"</f>
        <v>00109CHSP</v>
      </c>
      <c r="C6693" s="2" t="str">
        <f>"00109CHSP"</f>
        <v>00109CHSP</v>
      </c>
      <c r="D6693" s="2" t="s">
        <v>8408</v>
      </c>
      <c r="E6693" s="4">
        <v>14800</v>
      </c>
    </row>
    <row r="6694" spans="1:5">
      <c r="A6694" s="2" t="s">
        <v>1478</v>
      </c>
      <c r="B6694" s="2" t="str">
        <f>"010340586"</f>
        <v>010340586</v>
      </c>
      <c r="C6694" s="2" t="str">
        <f>"010340586"</f>
        <v>010340586</v>
      </c>
      <c r="D6694" s="2" t="s">
        <v>8409</v>
      </c>
      <c r="E6694" s="4">
        <v>5500</v>
      </c>
    </row>
    <row r="6695" spans="1:5">
      <c r="A6695" s="2" t="s">
        <v>1478</v>
      </c>
      <c r="B6695" s="2" t="str">
        <f>"00109G20"</f>
        <v>00109G20</v>
      </c>
      <c r="C6695" s="2" t="str">
        <f>"00109G20"</f>
        <v>00109G20</v>
      </c>
      <c r="D6695" s="2" t="s">
        <v>8410</v>
      </c>
      <c r="E6695" s="4">
        <v>11000</v>
      </c>
    </row>
    <row r="6696" spans="1:5">
      <c r="A6696" s="2" t="s">
        <v>1478</v>
      </c>
      <c r="B6696" s="2" t="str">
        <f>"00109DRER"</f>
        <v>00109DRER</v>
      </c>
      <c r="C6696" s="2" t="str">
        <f>"00109DRER"</f>
        <v>00109DRER</v>
      </c>
      <c r="D6696" s="2" t="s">
        <v>8411</v>
      </c>
      <c r="E6696" s="4">
        <v>25500</v>
      </c>
    </row>
    <row r="6697" spans="1:5">
      <c r="A6697" s="2" t="s">
        <v>1478</v>
      </c>
      <c r="B6697" s="2" t="str">
        <f>"00109DWA15"</f>
        <v>00109DWA15</v>
      </c>
      <c r="C6697" s="2" t="str">
        <f>"00109DWA15"</f>
        <v>00109DWA15</v>
      </c>
      <c r="D6697" s="2" t="s">
        <v>8412</v>
      </c>
      <c r="E6697" s="4">
        <v>34500</v>
      </c>
    </row>
    <row r="6698" spans="1:5">
      <c r="A6698" s="2" t="s">
        <v>1478</v>
      </c>
      <c r="B6698" s="2" t="str">
        <f>"00109DW15"</f>
        <v>00109DW15</v>
      </c>
      <c r="C6698" s="2" t="str">
        <f>"00109DW15"</f>
        <v>00109DW15</v>
      </c>
      <c r="D6698" s="2" t="s">
        <v>8413</v>
      </c>
      <c r="E6698" s="4">
        <v>34000</v>
      </c>
    </row>
    <row r="6699" spans="1:5">
      <c r="A6699" s="2" t="s">
        <v>1478</v>
      </c>
      <c r="B6699" s="2" t="str">
        <f>"300436"</f>
        <v>300436</v>
      </c>
      <c r="C6699" s="2" t="str">
        <f>"300436"</f>
        <v>300436</v>
      </c>
      <c r="D6699" s="2" t="s">
        <v>8414</v>
      </c>
      <c r="E6699" s="4">
        <v>19800</v>
      </c>
    </row>
    <row r="6700" spans="1:5">
      <c r="A6700" s="2" t="s">
        <v>1478</v>
      </c>
      <c r="B6700" s="2" t="str">
        <f>"8100340"</f>
        <v>8100340</v>
      </c>
      <c r="C6700" s="2" t="str">
        <f>"8100340"</f>
        <v>8100340</v>
      </c>
      <c r="D6700" s="2" t="s">
        <v>8415</v>
      </c>
      <c r="E6700" s="4">
        <v>29800</v>
      </c>
    </row>
    <row r="6701" spans="1:5">
      <c r="A6701" s="2" t="s">
        <v>1478</v>
      </c>
      <c r="B6701" s="2" t="str">
        <f>"10101-66A25"</f>
        <v>10101-66A25</v>
      </c>
      <c r="C6701" s="2" t="str">
        <f>"10101-66A25"</f>
        <v>10101-66A25</v>
      </c>
      <c r="D6701" s="2" t="s">
        <v>8416</v>
      </c>
      <c r="E6701" s="4">
        <v>10600</v>
      </c>
    </row>
    <row r="6702" spans="1:5">
      <c r="A6702" s="2" t="s">
        <v>1478</v>
      </c>
      <c r="B6702" s="2" t="str">
        <f>"00109NSV16AT"</f>
        <v>00109NSV16AT</v>
      </c>
      <c r="C6702" s="2" t="str">
        <f>"00109NSV16AT"</f>
        <v>00109NSV16AT</v>
      </c>
      <c r="D6702" s="2" t="s">
        <v>8417</v>
      </c>
      <c r="E6702" s="4">
        <v>9800</v>
      </c>
    </row>
    <row r="6703" spans="1:5">
      <c r="A6703" s="2" t="s">
        <v>1478</v>
      </c>
      <c r="B6703" s="2" t="str">
        <f>"0300960"</f>
        <v>0300960</v>
      </c>
      <c r="C6703" s="2" t="str">
        <f>"0300960"</f>
        <v>0300960</v>
      </c>
      <c r="D6703" s="2" t="s">
        <v>8418</v>
      </c>
      <c r="E6703" s="4">
        <v>88000</v>
      </c>
    </row>
    <row r="6704" spans="1:5">
      <c r="A6704" s="2" t="s">
        <v>1478</v>
      </c>
      <c r="B6704" s="2" t="str">
        <f>"00109NVSU"</f>
        <v>00109NVSU</v>
      </c>
      <c r="C6704" s="2" t="str">
        <f>"00109NVSU"</f>
        <v>00109NVSU</v>
      </c>
      <c r="D6704" s="2" t="s">
        <v>8419</v>
      </c>
      <c r="E6704" s="4">
        <v>9700</v>
      </c>
    </row>
    <row r="6705" spans="1:5">
      <c r="A6705" s="2" t="s">
        <v>1478</v>
      </c>
      <c r="B6705" s="2" t="str">
        <f>"00109V16R"</f>
        <v>00109V16R</v>
      </c>
      <c r="C6705" s="2" t="str">
        <f>"00109V16R"</f>
        <v>00109V16R</v>
      </c>
      <c r="D6705" s="2" t="s">
        <v>8420</v>
      </c>
      <c r="E6705" s="4">
        <v>8800</v>
      </c>
    </row>
    <row r="6706" spans="1:5">
      <c r="A6706" s="2" t="s">
        <v>1478</v>
      </c>
      <c r="B6706" s="2" t="str">
        <f>"00109NSV16R"</f>
        <v>00109NSV16R</v>
      </c>
      <c r="C6706" s="2" t="str">
        <f>"00109NSV16R"</f>
        <v>00109NSV16R</v>
      </c>
      <c r="D6706" s="2" t="s">
        <v>8421</v>
      </c>
      <c r="E6706" s="4">
        <v>8800</v>
      </c>
    </row>
    <row r="6707" spans="1:5">
      <c r="A6707" s="2" t="s">
        <v>1478</v>
      </c>
      <c r="B6707" s="2" t="str">
        <f>"171641"</f>
        <v>171641</v>
      </c>
      <c r="C6707" s="2" t="str">
        <f>"171641"</f>
        <v>171641</v>
      </c>
      <c r="D6707" s="2" t="s">
        <v>8422</v>
      </c>
      <c r="E6707" s="4">
        <v>34000</v>
      </c>
    </row>
    <row r="6708" spans="1:5">
      <c r="A6708" s="2" t="s">
        <v>1478</v>
      </c>
      <c r="B6708" s="2" t="str">
        <f>"321876"</f>
        <v>321876</v>
      </c>
      <c r="C6708" s="2" t="str">
        <f>"321876"</f>
        <v>321876</v>
      </c>
      <c r="D6708" s="2" t="s">
        <v>8423</v>
      </c>
      <c r="E6708" s="4">
        <v>38000</v>
      </c>
    </row>
    <row r="6709" spans="1:5">
      <c r="A6709" s="2" t="s">
        <v>1478</v>
      </c>
      <c r="B6709" s="2" t="str">
        <f>"00109SB16A"</f>
        <v>00109SB16A</v>
      </c>
      <c r="C6709" s="2" t="str">
        <f>"00109SB16A"</f>
        <v>00109SB16A</v>
      </c>
      <c r="D6709" s="2" t="s">
        <v>8424</v>
      </c>
      <c r="E6709" s="4">
        <v>37000</v>
      </c>
    </row>
    <row r="6710" spans="1:5" ht="27.6">
      <c r="A6710" s="2" t="s">
        <v>1478</v>
      </c>
      <c r="B6710" s="2" t="str">
        <f>"289954"</f>
        <v>289954</v>
      </c>
      <c r="C6710" s="2" t="str">
        <f>"289954"</f>
        <v>289954</v>
      </c>
      <c r="D6710" s="2" t="s">
        <v>8425</v>
      </c>
      <c r="E6710" s="4">
        <v>68200</v>
      </c>
    </row>
    <row r="6711" spans="1:5">
      <c r="A6711" s="2" t="s">
        <v>1478</v>
      </c>
      <c r="B6711" s="2" t="str">
        <f>"280803"</f>
        <v>280803</v>
      </c>
      <c r="C6711" s="2" t="str">
        <f>"280803"</f>
        <v>280803</v>
      </c>
      <c r="D6711" s="2" t="s">
        <v>8426</v>
      </c>
      <c r="E6711" s="4">
        <v>18000</v>
      </c>
    </row>
    <row r="6712" spans="1:5">
      <c r="A6712" s="2" t="s">
        <v>1478</v>
      </c>
      <c r="B6712" s="2" t="str">
        <f>"00109S410"</f>
        <v>00109S410</v>
      </c>
      <c r="C6712" s="2" t="str">
        <f>"00109S410"</f>
        <v>00109S410</v>
      </c>
      <c r="D6712" s="2" t="s">
        <v>8427</v>
      </c>
      <c r="E6712" s="4">
        <v>9500</v>
      </c>
    </row>
    <row r="6713" spans="1:5">
      <c r="A6713" s="2" t="s">
        <v>1478</v>
      </c>
      <c r="B6713" s="2" t="str">
        <f>"00109S9410"</f>
        <v>00109S9410</v>
      </c>
      <c r="C6713" s="2" t="str">
        <f>"00109S9410"</f>
        <v>00109S9410</v>
      </c>
      <c r="D6713" s="2" t="s">
        <v>8428</v>
      </c>
      <c r="E6713" s="4">
        <v>10500</v>
      </c>
    </row>
    <row r="6714" spans="1:5">
      <c r="A6714" s="2" t="s">
        <v>1478</v>
      </c>
      <c r="B6714" s="2" t="str">
        <f>"00109ST90AT"</f>
        <v>00109ST90AT</v>
      </c>
      <c r="C6714" s="2" t="str">
        <f>"00109ST90AT"</f>
        <v>00109ST90AT</v>
      </c>
      <c r="D6714" s="2" t="s">
        <v>8429</v>
      </c>
      <c r="E6714" s="4">
        <v>11500</v>
      </c>
    </row>
    <row r="6715" spans="1:5">
      <c r="A6715" s="2" t="s">
        <v>1478</v>
      </c>
      <c r="B6715" s="2" t="str">
        <f>"00109SF8"</f>
        <v>00109SF8</v>
      </c>
      <c r="C6715" s="2" t="str">
        <f>"00109SF8"</f>
        <v>00109SF8</v>
      </c>
      <c r="D6715" s="2" t="s">
        <v>8430</v>
      </c>
      <c r="E6715" s="4">
        <v>9000</v>
      </c>
    </row>
    <row r="6716" spans="1:5">
      <c r="A6716" s="2" t="s">
        <v>1478</v>
      </c>
      <c r="B6716" s="2" t="str">
        <f>"001093512"</f>
        <v>001093512</v>
      </c>
      <c r="C6716" s="2" t="str">
        <f>"001093512"</f>
        <v>001093512</v>
      </c>
      <c r="D6716" s="2" t="s">
        <v>8431</v>
      </c>
      <c r="E6716" s="4">
        <v>32000</v>
      </c>
    </row>
    <row r="6717" spans="1:5">
      <c r="A6717" s="2" t="s">
        <v>1478</v>
      </c>
      <c r="B6717" s="2" t="str">
        <f>"00109TY2E"</f>
        <v>00109TY2E</v>
      </c>
      <c r="C6717" s="2" t="str">
        <f>"00109TY2E"</f>
        <v>00109TY2E</v>
      </c>
      <c r="D6717" s="2" t="s">
        <v>8432</v>
      </c>
      <c r="E6717" s="4">
        <v>19600</v>
      </c>
    </row>
    <row r="6718" spans="1:5">
      <c r="A6718" s="2" t="s">
        <v>1478</v>
      </c>
      <c r="B6718" s="2" t="s">
        <v>8433</v>
      </c>
      <c r="C6718" s="2" t="s">
        <v>8433</v>
      </c>
      <c r="D6718" s="2" t="s">
        <v>8434</v>
      </c>
      <c r="E6718" s="4">
        <v>34000</v>
      </c>
    </row>
    <row r="6719" spans="1:5">
      <c r="A6719" s="2" t="s">
        <v>1478</v>
      </c>
      <c r="B6719" s="2" t="str">
        <f>"00109H100D"</f>
        <v>00109H100D</v>
      </c>
      <c r="C6719" s="2" t="str">
        <f>"00109H100D"</f>
        <v>00109H100D</v>
      </c>
      <c r="D6719" s="2" t="s">
        <v>8435</v>
      </c>
      <c r="E6719" s="4">
        <v>34000</v>
      </c>
    </row>
    <row r="6720" spans="1:5">
      <c r="A6720" s="2" t="s">
        <v>1478</v>
      </c>
      <c r="B6720" s="2" t="str">
        <f>"247215"</f>
        <v>247215</v>
      </c>
      <c r="C6720" s="2" t="str">
        <f>"247215"</f>
        <v>247215</v>
      </c>
      <c r="D6720" s="2" t="s">
        <v>8436</v>
      </c>
      <c r="E6720" s="4">
        <v>32200</v>
      </c>
    </row>
    <row r="6721" spans="1:5">
      <c r="A6721" s="2" t="s">
        <v>1478</v>
      </c>
      <c r="B6721" s="2" t="str">
        <f>"0004179"</f>
        <v>0004179</v>
      </c>
      <c r="C6721" s="2" t="str">
        <f>"0004179"</f>
        <v>0004179</v>
      </c>
      <c r="D6721" s="2" t="s">
        <v>8436</v>
      </c>
      <c r="E6721" s="4">
        <v>23200</v>
      </c>
    </row>
    <row r="6722" spans="1:5">
      <c r="A6722" s="2" t="s">
        <v>1478</v>
      </c>
      <c r="B6722" s="2" t="str">
        <f>"070740096"</f>
        <v>070740096</v>
      </c>
      <c r="C6722" s="2" t="str">
        <f>"070740096"</f>
        <v>070740096</v>
      </c>
      <c r="D6722" s="2" t="s">
        <v>8437</v>
      </c>
      <c r="E6722" s="4">
        <v>34000</v>
      </c>
    </row>
    <row r="6723" spans="1:5">
      <c r="A6723" s="2" t="s">
        <v>1478</v>
      </c>
      <c r="B6723" s="2" t="str">
        <f>"00109HYM30"</f>
        <v>00109HYM30</v>
      </c>
      <c r="C6723" s="2" t="str">
        <f>"00109HYM30"</f>
        <v>00109HYM30</v>
      </c>
      <c r="D6723" s="2" t="s">
        <v>8438</v>
      </c>
      <c r="E6723" s="4">
        <v>68500</v>
      </c>
    </row>
    <row r="6724" spans="1:5">
      <c r="A6724" s="2" t="s">
        <v>1478</v>
      </c>
      <c r="B6724" s="2" t="str">
        <f>"0013281"</f>
        <v>0013281</v>
      </c>
      <c r="C6724" s="2" t="str">
        <f>"0013281"</f>
        <v>0013281</v>
      </c>
      <c r="D6724" s="2" t="s">
        <v>8439</v>
      </c>
      <c r="E6724" s="4">
        <v>31000</v>
      </c>
    </row>
    <row r="6725" spans="1:5">
      <c r="A6725" s="2" t="s">
        <v>1478</v>
      </c>
      <c r="B6725" s="2" t="str">
        <f>"288819"</f>
        <v>288819</v>
      </c>
      <c r="C6725" s="2" t="str">
        <f>"288819"</f>
        <v>288819</v>
      </c>
      <c r="D6725" s="2" t="s">
        <v>8440</v>
      </c>
      <c r="E6725" s="4">
        <v>28700</v>
      </c>
    </row>
    <row r="6726" spans="1:5">
      <c r="A6726" s="2" t="s">
        <v>1478</v>
      </c>
      <c r="B6726" s="2" t="str">
        <f>"003195"</f>
        <v>003195</v>
      </c>
      <c r="C6726" s="2" t="str">
        <f>"003195"</f>
        <v>003195</v>
      </c>
      <c r="D6726" s="2" t="s">
        <v>8441</v>
      </c>
      <c r="E6726" s="4">
        <v>31000</v>
      </c>
    </row>
    <row r="6727" spans="1:5">
      <c r="A6727" s="2" t="s">
        <v>1478</v>
      </c>
      <c r="B6727" s="2" t="str">
        <f>"003316"</f>
        <v>003316</v>
      </c>
      <c r="C6727" s="2" t="str">
        <f>"003316"</f>
        <v>003316</v>
      </c>
      <c r="D6727" s="2" t="s">
        <v>8442</v>
      </c>
      <c r="E6727" s="4">
        <v>28900</v>
      </c>
    </row>
    <row r="6728" spans="1:5">
      <c r="A6728" s="2" t="s">
        <v>1478</v>
      </c>
      <c r="B6728" s="2" t="str">
        <f>"003227"</f>
        <v>003227</v>
      </c>
      <c r="C6728" s="2" t="str">
        <f>"003227"</f>
        <v>003227</v>
      </c>
      <c r="D6728" s="2" t="s">
        <v>8443</v>
      </c>
      <c r="E6728" s="4">
        <v>34000</v>
      </c>
    </row>
    <row r="6729" spans="1:5">
      <c r="A6729" s="2" t="s">
        <v>1478</v>
      </c>
      <c r="B6729" s="2" t="str">
        <f>"289002"</f>
        <v>289002</v>
      </c>
      <c r="C6729" s="2" t="str">
        <f>"289002"</f>
        <v>289002</v>
      </c>
      <c r="D6729" s="2" t="s">
        <v>8443</v>
      </c>
      <c r="E6729" s="4">
        <v>35000</v>
      </c>
    </row>
    <row r="6730" spans="1:5">
      <c r="A6730" s="2" t="s">
        <v>1478</v>
      </c>
      <c r="B6730" s="2" t="str">
        <f>"301766"</f>
        <v>301766</v>
      </c>
      <c r="C6730" s="2" t="str">
        <f>"301766"</f>
        <v>301766</v>
      </c>
      <c r="D6730" s="2" t="s">
        <v>8444</v>
      </c>
      <c r="E6730" s="4">
        <v>38500</v>
      </c>
    </row>
    <row r="6731" spans="1:5">
      <c r="A6731" s="2" t="s">
        <v>1478</v>
      </c>
      <c r="B6731" s="2" t="str">
        <f>"321306"</f>
        <v>321306</v>
      </c>
      <c r="C6731" s="2" t="str">
        <f>"321306"</f>
        <v>321306</v>
      </c>
      <c r="D6731" s="2" t="s">
        <v>8445</v>
      </c>
      <c r="E6731" s="4">
        <v>55000</v>
      </c>
    </row>
    <row r="6732" spans="1:5">
      <c r="A6732" s="2" t="s">
        <v>1478</v>
      </c>
      <c r="B6732" s="2" t="str">
        <f>"00105CS50"</f>
        <v>00105CS50</v>
      </c>
      <c r="C6732" s="2" t="str">
        <f>"00105CS50"</f>
        <v>00105CS50</v>
      </c>
      <c r="D6732" s="2" t="s">
        <v>8446</v>
      </c>
      <c r="E6732" s="4">
        <v>12500</v>
      </c>
    </row>
    <row r="6733" spans="1:5">
      <c r="A6733" s="2" t="s">
        <v>1478</v>
      </c>
      <c r="B6733" s="2" t="str">
        <f>"164061"</f>
        <v>164061</v>
      </c>
      <c r="C6733" s="2" t="str">
        <f>"164061"</f>
        <v>164061</v>
      </c>
      <c r="D6733" s="2" t="s">
        <v>8447</v>
      </c>
      <c r="E6733" s="4">
        <v>24100</v>
      </c>
    </row>
    <row r="6734" spans="1:5">
      <c r="A6734" s="2" t="s">
        <v>1478</v>
      </c>
      <c r="B6734" s="2" t="str">
        <f>"286880"</f>
        <v>286880</v>
      </c>
      <c r="C6734" s="2" t="str">
        <f>"286880"</f>
        <v>286880</v>
      </c>
      <c r="D6734" s="2" t="s">
        <v>8448</v>
      </c>
      <c r="E6734" s="4">
        <v>18000</v>
      </c>
    </row>
    <row r="6735" spans="1:5">
      <c r="A6735" s="2" t="s">
        <v>1478</v>
      </c>
      <c r="B6735" s="2" t="str">
        <f>"164062"</f>
        <v>164062</v>
      </c>
      <c r="C6735" s="2" t="str">
        <f>"164062"</f>
        <v>164062</v>
      </c>
      <c r="D6735" s="2" t="s">
        <v>8449</v>
      </c>
      <c r="E6735" s="4">
        <v>15100</v>
      </c>
    </row>
    <row r="6736" spans="1:5">
      <c r="A6736" s="2" t="s">
        <v>1478</v>
      </c>
      <c r="B6736" s="2" t="str">
        <f>"00105LK"</f>
        <v>00105LK</v>
      </c>
      <c r="C6736" s="2" t="str">
        <f>"00105LK"</f>
        <v>00105LK</v>
      </c>
      <c r="D6736" s="2" t="s">
        <v>8450</v>
      </c>
      <c r="E6736" s="4">
        <v>11600</v>
      </c>
    </row>
    <row r="6737" spans="1:5">
      <c r="A6737" s="2" t="s">
        <v>1478</v>
      </c>
      <c r="B6737" s="2" t="str">
        <f>"00105L"</f>
        <v>00105L</v>
      </c>
      <c r="C6737" s="2" t="str">
        <f>"00105L"</f>
        <v>00105L</v>
      </c>
      <c r="D6737" s="2" t="s">
        <v>8451</v>
      </c>
      <c r="E6737" s="4">
        <v>14500</v>
      </c>
    </row>
    <row r="6738" spans="1:5">
      <c r="A6738" s="2" t="s">
        <v>1478</v>
      </c>
      <c r="B6738" s="2" t="s">
        <v>8452</v>
      </c>
      <c r="C6738" s="2" t="s">
        <v>8452</v>
      </c>
      <c r="D6738" s="2" t="s">
        <v>8453</v>
      </c>
      <c r="E6738" s="4">
        <v>14500</v>
      </c>
    </row>
    <row r="6739" spans="1:5">
      <c r="A6739" s="2" t="s">
        <v>1478</v>
      </c>
      <c r="B6739" s="2" t="str">
        <f>"0301463"</f>
        <v>0301463</v>
      </c>
      <c r="C6739" s="2" t="str">
        <f>"0301463"</f>
        <v>0301463</v>
      </c>
      <c r="D6739" s="2" t="s">
        <v>8454</v>
      </c>
      <c r="E6739" s="4">
        <v>19900</v>
      </c>
    </row>
    <row r="6740" spans="1:5">
      <c r="A6740" s="2" t="s">
        <v>1478</v>
      </c>
      <c r="B6740" s="2" t="str">
        <f>"00106CS25"</f>
        <v>00106CS25</v>
      </c>
      <c r="C6740" s="2" t="str">
        <f>"00106CS25"</f>
        <v>00106CS25</v>
      </c>
      <c r="D6740" s="2" t="s">
        <v>8455</v>
      </c>
      <c r="E6740" s="4">
        <v>6500</v>
      </c>
    </row>
    <row r="6741" spans="1:5">
      <c r="A6741" s="2" t="s">
        <v>1478</v>
      </c>
      <c r="B6741" s="2" t="str">
        <f>"00106CS50"</f>
        <v>00106CS50</v>
      </c>
      <c r="C6741" s="2" t="str">
        <f>"00106CS50"</f>
        <v>00106CS50</v>
      </c>
      <c r="D6741" s="2" t="s">
        <v>8456</v>
      </c>
      <c r="E6741" s="4">
        <v>6500</v>
      </c>
    </row>
    <row r="6742" spans="1:5">
      <c r="A6742" s="2" t="s">
        <v>1478</v>
      </c>
      <c r="B6742" s="2" t="str">
        <f>"00106L2225"</f>
        <v>00106L2225</v>
      </c>
      <c r="C6742" s="2" t="str">
        <f>"00106L2225"</f>
        <v>00106L2225</v>
      </c>
      <c r="D6742" s="2" t="s">
        <v>8457</v>
      </c>
      <c r="E6742" s="4">
        <v>11000</v>
      </c>
    </row>
    <row r="6743" spans="1:5">
      <c r="A6743" s="2" t="s">
        <v>1478</v>
      </c>
      <c r="B6743" s="2" t="s">
        <v>8458</v>
      </c>
      <c r="C6743" s="2" t="s">
        <v>8458</v>
      </c>
      <c r="D6743" s="2" t="s">
        <v>8459</v>
      </c>
      <c r="E6743" s="4">
        <v>8500</v>
      </c>
    </row>
    <row r="6744" spans="1:5">
      <c r="A6744" s="2" t="s">
        <v>1478</v>
      </c>
      <c r="B6744" s="2" t="str">
        <f>"230128"</f>
        <v>230128</v>
      </c>
      <c r="C6744" s="2" t="str">
        <f>"230128"</f>
        <v>230128</v>
      </c>
      <c r="D6744" s="2" t="s">
        <v>8460</v>
      </c>
      <c r="E6744" s="4">
        <v>11500</v>
      </c>
    </row>
    <row r="6745" spans="1:5">
      <c r="A6745" s="2" t="s">
        <v>1478</v>
      </c>
      <c r="B6745" s="2" t="s">
        <v>8461</v>
      </c>
      <c r="C6745" s="2" t="s">
        <v>8461</v>
      </c>
      <c r="D6745" s="2" t="s">
        <v>8462</v>
      </c>
      <c r="E6745" s="4">
        <v>10500</v>
      </c>
    </row>
    <row r="6746" spans="1:5">
      <c r="A6746" s="2" t="s">
        <v>1478</v>
      </c>
      <c r="B6746" s="2" t="str">
        <f>"071178"</f>
        <v>071178</v>
      </c>
      <c r="C6746" s="2" t="str">
        <f>"071178"</f>
        <v>071178</v>
      </c>
      <c r="D6746" s="2" t="s">
        <v>8463</v>
      </c>
      <c r="E6746" s="4">
        <v>11500</v>
      </c>
    </row>
    <row r="6747" spans="1:5">
      <c r="A6747" s="2" t="s">
        <v>1478</v>
      </c>
      <c r="B6747" s="2" t="str">
        <f>"288940"</f>
        <v>288940</v>
      </c>
      <c r="C6747" s="2" t="str">
        <f>"288940"</f>
        <v>288940</v>
      </c>
      <c r="D6747" s="2" t="s">
        <v>8464</v>
      </c>
      <c r="E6747" s="4">
        <v>48000</v>
      </c>
    </row>
    <row r="6748" spans="1:5">
      <c r="A6748" s="2" t="s">
        <v>1478</v>
      </c>
      <c r="B6748" s="2" t="str">
        <f>"0000626"</f>
        <v>0000626</v>
      </c>
      <c r="C6748" s="2" t="str">
        <f>"0000626"</f>
        <v>0000626</v>
      </c>
      <c r="D6748" s="2" t="s">
        <v>8465</v>
      </c>
      <c r="E6748" s="4">
        <v>48000</v>
      </c>
    </row>
    <row r="6749" spans="1:5">
      <c r="A6749" s="2" t="s">
        <v>1478</v>
      </c>
      <c r="B6749" s="2" t="str">
        <f>"321331"</f>
        <v>321331</v>
      </c>
      <c r="C6749" s="2" t="str">
        <f>"321331"</f>
        <v>321331</v>
      </c>
      <c r="D6749" s="2" t="s">
        <v>8466</v>
      </c>
      <c r="E6749" s="4">
        <v>49000</v>
      </c>
    </row>
    <row r="6750" spans="1:5">
      <c r="A6750" s="2" t="s">
        <v>1478</v>
      </c>
      <c r="B6750" s="2" t="str">
        <f>"289299"</f>
        <v>289299</v>
      </c>
      <c r="C6750" s="2" t="str">
        <f>"289299"</f>
        <v>289299</v>
      </c>
      <c r="D6750" s="2" t="s">
        <v>8467</v>
      </c>
      <c r="E6750" s="4">
        <v>89000</v>
      </c>
    </row>
    <row r="6751" spans="1:5">
      <c r="A6751" s="2" t="s">
        <v>1478</v>
      </c>
      <c r="B6751" s="2" t="str">
        <f>"288491"</f>
        <v>288491</v>
      </c>
      <c r="C6751" s="2" t="str">
        <f>"288491"</f>
        <v>288491</v>
      </c>
      <c r="D6751" s="2" t="s">
        <v>8468</v>
      </c>
      <c r="E6751" s="4">
        <v>29500</v>
      </c>
    </row>
    <row r="6752" spans="1:5">
      <c r="A6752" s="2" t="s">
        <v>1478</v>
      </c>
      <c r="B6752" s="2" t="str">
        <f>"288951"</f>
        <v>288951</v>
      </c>
      <c r="C6752" s="2" t="str">
        <f>"288951"</f>
        <v>288951</v>
      </c>
      <c r="D6752" s="2" t="s">
        <v>8469</v>
      </c>
      <c r="E6752" s="4">
        <v>68200</v>
      </c>
    </row>
    <row r="6753" spans="1:5">
      <c r="A6753" s="2" t="s">
        <v>1478</v>
      </c>
      <c r="B6753" s="2" t="str">
        <f>"002991"</f>
        <v>002991</v>
      </c>
      <c r="C6753" s="2" t="str">
        <f>"002991"</f>
        <v>002991</v>
      </c>
      <c r="D6753" s="2" t="s">
        <v>8470</v>
      </c>
      <c r="E6753" s="4">
        <v>49000</v>
      </c>
    </row>
    <row r="6754" spans="1:5">
      <c r="A6754" s="2" t="s">
        <v>1478</v>
      </c>
      <c r="B6754" s="2" t="str">
        <f>"281958"</f>
        <v>281958</v>
      </c>
      <c r="C6754" s="2" t="str">
        <f>"281958"</f>
        <v>281958</v>
      </c>
      <c r="D6754" s="2" t="s">
        <v>8471</v>
      </c>
      <c r="E6754" s="4">
        <v>34000</v>
      </c>
    </row>
    <row r="6755" spans="1:5">
      <c r="A6755" s="2" t="s">
        <v>1478</v>
      </c>
      <c r="B6755" s="2" t="str">
        <f>"003206"</f>
        <v>003206</v>
      </c>
      <c r="C6755" s="2" t="str">
        <f>"003206"</f>
        <v>003206</v>
      </c>
      <c r="D6755" s="2" t="s">
        <v>8472</v>
      </c>
      <c r="E6755" s="4">
        <v>34000</v>
      </c>
    </row>
    <row r="6756" spans="1:5">
      <c r="A6756" s="2" t="s">
        <v>1478</v>
      </c>
      <c r="B6756" s="2" t="str">
        <f>"00301378-2"</f>
        <v>00301378-2</v>
      </c>
      <c r="C6756" s="2" t="str">
        <f>"301378-2"</f>
        <v>301378-2</v>
      </c>
      <c r="D6756" s="2" t="s">
        <v>8473</v>
      </c>
      <c r="E6756" s="4">
        <v>21000</v>
      </c>
    </row>
    <row r="6757" spans="1:5">
      <c r="A6757" s="2" t="s">
        <v>1478</v>
      </c>
      <c r="B6757" s="2" t="str">
        <f>"289513"</f>
        <v>289513</v>
      </c>
      <c r="C6757" s="2" t="str">
        <f>"289513"</f>
        <v>289513</v>
      </c>
      <c r="D6757" s="2" t="s">
        <v>8474</v>
      </c>
      <c r="E6757" s="4">
        <v>159000</v>
      </c>
    </row>
    <row r="6758" spans="1:5">
      <c r="A6758" s="2" t="s">
        <v>1478</v>
      </c>
      <c r="B6758" s="2" t="str">
        <f>"290016"</f>
        <v>290016</v>
      </c>
      <c r="C6758" s="2" t="str">
        <f>"290016"</f>
        <v>290016</v>
      </c>
      <c r="D6758" s="2" t="s">
        <v>8475</v>
      </c>
      <c r="E6758" s="4">
        <v>59000</v>
      </c>
    </row>
    <row r="6759" spans="1:5">
      <c r="A6759" s="2" t="s">
        <v>1478</v>
      </c>
      <c r="B6759" s="2" t="str">
        <f>"00109MC4G63"</f>
        <v>00109MC4G63</v>
      </c>
      <c r="C6759" s="2" t="str">
        <f>"00109MC4G63"</f>
        <v>00109MC4G63</v>
      </c>
      <c r="D6759" s="2" t="s">
        <v>8476</v>
      </c>
      <c r="E6759" s="4">
        <v>48400</v>
      </c>
    </row>
    <row r="6760" spans="1:5">
      <c r="A6760" s="2" t="s">
        <v>1478</v>
      </c>
      <c r="B6760" s="2" t="str">
        <f>"301471"</f>
        <v>301471</v>
      </c>
      <c r="C6760" s="2" t="str">
        <f>"301471"</f>
        <v>301471</v>
      </c>
      <c r="D6760" s="2" t="s">
        <v>8477</v>
      </c>
      <c r="E6760" s="4">
        <v>49500</v>
      </c>
    </row>
    <row r="6761" spans="1:5">
      <c r="A6761" s="2" t="s">
        <v>1478</v>
      </c>
      <c r="B6761" s="2" t="str">
        <f>"183223"</f>
        <v>183223</v>
      </c>
      <c r="C6761" s="2" t="str">
        <f>"183223"</f>
        <v>183223</v>
      </c>
      <c r="D6761" s="2" t="s">
        <v>8478</v>
      </c>
      <c r="E6761" s="4">
        <v>34500</v>
      </c>
    </row>
    <row r="6762" spans="1:5">
      <c r="A6762" s="2" t="s">
        <v>1478</v>
      </c>
      <c r="B6762" s="2" t="str">
        <f>"289300"</f>
        <v>289300</v>
      </c>
      <c r="C6762" s="2" t="str">
        <f>"289300"</f>
        <v>289300</v>
      </c>
      <c r="D6762" s="2" t="s">
        <v>8479</v>
      </c>
      <c r="E6762" s="4">
        <v>58800</v>
      </c>
    </row>
    <row r="6763" spans="1:5">
      <c r="A6763" s="2" t="s">
        <v>1478</v>
      </c>
      <c r="B6763" s="2" t="str">
        <f>"290106"</f>
        <v>290106</v>
      </c>
      <c r="C6763" s="2" t="str">
        <f>"290106"</f>
        <v>290106</v>
      </c>
      <c r="D6763" s="2" t="s">
        <v>8480</v>
      </c>
      <c r="E6763" s="4">
        <v>34000</v>
      </c>
    </row>
    <row r="6764" spans="1:5">
      <c r="A6764" s="2" t="s">
        <v>1478</v>
      </c>
      <c r="B6764" s="2" t="str">
        <f>"180214"</f>
        <v>180214</v>
      </c>
      <c r="C6764" s="2" t="str">
        <f>"180214"</f>
        <v>180214</v>
      </c>
      <c r="D6764" s="2" t="s">
        <v>8481</v>
      </c>
      <c r="E6764" s="4">
        <v>35000</v>
      </c>
    </row>
    <row r="6765" spans="1:5">
      <c r="A6765" s="2" t="s">
        <v>1478</v>
      </c>
      <c r="B6765" s="2" t="str">
        <f>"020340022"</f>
        <v>020340022</v>
      </c>
      <c r="C6765" s="2" t="str">
        <f>"020340022"</f>
        <v>020340022</v>
      </c>
      <c r="D6765" s="2" t="s">
        <v>8482</v>
      </c>
      <c r="E6765" s="4">
        <v>15100</v>
      </c>
    </row>
    <row r="6766" spans="1:5">
      <c r="A6766" s="2" t="s">
        <v>1478</v>
      </c>
      <c r="B6766" s="2" t="str">
        <f>"00109NB2"</f>
        <v>00109NB2</v>
      </c>
      <c r="C6766" s="2" t="str">
        <f>"00109NB2"</f>
        <v>00109NB2</v>
      </c>
      <c r="D6766" s="2" t="s">
        <v>8483</v>
      </c>
      <c r="E6766" s="4">
        <v>28800</v>
      </c>
    </row>
    <row r="6767" spans="1:5">
      <c r="A6767" s="2" t="s">
        <v>1478</v>
      </c>
      <c r="B6767" s="2" t="str">
        <f>"282171"</f>
        <v>282171</v>
      </c>
      <c r="C6767" s="2" t="str">
        <f>"282171"</f>
        <v>282171</v>
      </c>
      <c r="D6767" s="2" t="s">
        <v>8484</v>
      </c>
      <c r="E6767" s="4">
        <v>39400</v>
      </c>
    </row>
    <row r="6768" spans="1:5">
      <c r="A6768" s="2" t="s">
        <v>1478</v>
      </c>
      <c r="B6768" s="2" t="str">
        <f>"171547"</f>
        <v>171547</v>
      </c>
      <c r="C6768" s="2" t="str">
        <f>"171547"</f>
        <v>171547</v>
      </c>
      <c r="D6768" s="2" t="s">
        <v>8485</v>
      </c>
      <c r="E6768" s="4">
        <v>27700</v>
      </c>
    </row>
    <row r="6769" spans="1:5">
      <c r="A6769" s="2" t="s">
        <v>1478</v>
      </c>
      <c r="B6769" s="2" t="str">
        <f>"020340032"</f>
        <v>020340032</v>
      </c>
      <c r="C6769" s="2" t="str">
        <f>"020340032"</f>
        <v>020340032</v>
      </c>
      <c r="D6769" s="2" t="s">
        <v>8485</v>
      </c>
      <c r="E6769" s="4">
        <v>14200</v>
      </c>
    </row>
    <row r="6770" spans="1:5">
      <c r="A6770" s="2" t="s">
        <v>1478</v>
      </c>
      <c r="B6770" s="2" t="str">
        <f>"021340005"</f>
        <v>021340005</v>
      </c>
      <c r="C6770" s="2" t="str">
        <f>"021340005"</f>
        <v>021340005</v>
      </c>
      <c r="D6770" s="2" t="s">
        <v>8485</v>
      </c>
      <c r="E6770" s="4">
        <v>16000</v>
      </c>
    </row>
    <row r="6771" spans="1:5">
      <c r="A6771" s="2" t="s">
        <v>1478</v>
      </c>
      <c r="B6771" s="2" t="str">
        <f>"171492"</f>
        <v>171492</v>
      </c>
      <c r="C6771" s="2" t="str">
        <f>"171492"</f>
        <v>171492</v>
      </c>
      <c r="D6771" s="2" t="s">
        <v>8486</v>
      </c>
      <c r="E6771" s="4">
        <v>25000</v>
      </c>
    </row>
    <row r="6772" spans="1:5">
      <c r="A6772" s="2" t="s">
        <v>1478</v>
      </c>
      <c r="B6772" s="2" t="str">
        <f>"00109NJ18"</f>
        <v>00109NJ18</v>
      </c>
      <c r="C6772" s="2" t="str">
        <f>"00109NJ18"</f>
        <v>00109NJ18</v>
      </c>
      <c r="D6772" s="2" t="s">
        <v>8487</v>
      </c>
      <c r="E6772" s="4">
        <v>8000</v>
      </c>
    </row>
    <row r="6773" spans="1:5">
      <c r="A6773" s="2" t="s">
        <v>1478</v>
      </c>
      <c r="B6773" s="2" t="str">
        <f>"0001309"</f>
        <v>0001309</v>
      </c>
      <c r="C6773" s="2" t="str">
        <f>"0001309"</f>
        <v>0001309</v>
      </c>
      <c r="D6773" s="2" t="s">
        <v>8488</v>
      </c>
      <c r="E6773" s="4">
        <v>12400</v>
      </c>
    </row>
    <row r="6774" spans="1:5">
      <c r="A6774" s="2" t="s">
        <v>1478</v>
      </c>
      <c r="B6774" s="2" t="str">
        <f>"171528"</f>
        <v>171528</v>
      </c>
      <c r="C6774" s="2" t="str">
        <f>"171528"</f>
        <v>171528</v>
      </c>
      <c r="D6774" s="2" t="s">
        <v>8488</v>
      </c>
      <c r="E6774" s="4">
        <v>28600</v>
      </c>
    </row>
    <row r="6775" spans="1:5">
      <c r="A6775" s="2" t="s">
        <v>1478</v>
      </c>
      <c r="B6775" s="2" t="str">
        <f>"00109NL16"</f>
        <v>00109NL16</v>
      </c>
      <c r="C6775" s="2" t="str">
        <f>"00109NL16"</f>
        <v>00109NL16</v>
      </c>
      <c r="D6775" s="2" t="s">
        <v>8489</v>
      </c>
      <c r="E6775" s="4">
        <v>29500</v>
      </c>
    </row>
    <row r="6776" spans="1:5">
      <c r="A6776" s="2" t="s">
        <v>1478</v>
      </c>
      <c r="B6776" s="2" t="str">
        <f>"00109NPR2"</f>
        <v>00109NPR2</v>
      </c>
      <c r="C6776" s="2" t="str">
        <f>"00109NPR2"</f>
        <v>00109NPR2</v>
      </c>
      <c r="D6776" s="2" t="s">
        <v>8490</v>
      </c>
      <c r="E6776" s="4">
        <v>52000</v>
      </c>
    </row>
    <row r="6777" spans="1:5">
      <c r="A6777" s="2" t="s">
        <v>1478</v>
      </c>
      <c r="B6777" s="2" t="str">
        <f>"00109NSV16"</f>
        <v>00109NSV16</v>
      </c>
      <c r="C6777" s="2" t="str">
        <f>"00109NSV16"</f>
        <v>00109NSV16</v>
      </c>
      <c r="D6777" s="2" t="s">
        <v>8491</v>
      </c>
      <c r="E6777" s="4">
        <v>9700</v>
      </c>
    </row>
    <row r="6778" spans="1:5">
      <c r="A6778" s="2" t="s">
        <v>1478</v>
      </c>
      <c r="B6778" s="2" t="s">
        <v>8492</v>
      </c>
      <c r="C6778" s="2" t="s">
        <v>8492</v>
      </c>
      <c r="D6778" s="2" t="s">
        <v>8493</v>
      </c>
      <c r="E6778" s="4">
        <v>12400</v>
      </c>
    </row>
    <row r="6779" spans="1:5">
      <c r="A6779" s="2" t="s">
        <v>1478</v>
      </c>
      <c r="B6779" s="2" t="str">
        <f>"281643"</f>
        <v>281643</v>
      </c>
      <c r="C6779" s="2" t="str">
        <f>"281643"</f>
        <v>281643</v>
      </c>
      <c r="D6779" s="2" t="s">
        <v>8494</v>
      </c>
      <c r="E6779" s="4">
        <v>35000</v>
      </c>
    </row>
    <row r="6780" spans="1:5">
      <c r="A6780" s="2" t="s">
        <v>1478</v>
      </c>
      <c r="B6780" s="2" t="str">
        <f>"0001531"</f>
        <v>0001531</v>
      </c>
      <c r="C6780" s="2" t="str">
        <f>"0001531"</f>
        <v>0001531</v>
      </c>
      <c r="D6780" s="2" t="s">
        <v>8495</v>
      </c>
      <c r="E6780" s="4">
        <v>29000</v>
      </c>
    </row>
    <row r="6781" spans="1:5">
      <c r="A6781" s="2" t="s">
        <v>1478</v>
      </c>
      <c r="B6781" s="2" t="str">
        <f>"0001532"</f>
        <v>0001532</v>
      </c>
      <c r="C6781" s="2" t="str">
        <f>"001532"</f>
        <v>001532</v>
      </c>
      <c r="D6781" s="2" t="s">
        <v>8496</v>
      </c>
      <c r="E6781" s="4">
        <v>59000</v>
      </c>
    </row>
    <row r="6782" spans="1:5">
      <c r="A6782" s="2" t="s">
        <v>1478</v>
      </c>
      <c r="B6782" s="2" t="str">
        <f>"0100908"</f>
        <v>0100908</v>
      </c>
      <c r="C6782" s="2" t="str">
        <f>"0100908"</f>
        <v>0100908</v>
      </c>
      <c r="D6782" s="2" t="s">
        <v>8497</v>
      </c>
      <c r="E6782" s="4">
        <v>25000</v>
      </c>
    </row>
    <row r="6783" spans="1:5">
      <c r="A6783" s="2" t="s">
        <v>1478</v>
      </c>
      <c r="B6783" s="2" t="str">
        <f>"282964"</f>
        <v>282964</v>
      </c>
      <c r="C6783" s="2" t="str">
        <f>"282964"</f>
        <v>282964</v>
      </c>
      <c r="D6783" s="2" t="s">
        <v>8498</v>
      </c>
      <c r="E6783" s="4">
        <v>95800</v>
      </c>
    </row>
    <row r="6784" spans="1:5">
      <c r="A6784" s="2" t="s">
        <v>1478</v>
      </c>
      <c r="B6784" s="2" t="str">
        <f>"60650493"</f>
        <v>60650493</v>
      </c>
      <c r="C6784" s="2" t="str">
        <f>"60650493"</f>
        <v>60650493</v>
      </c>
      <c r="D6784" s="2" t="s">
        <v>8499</v>
      </c>
      <c r="E6784" s="4">
        <v>48500</v>
      </c>
    </row>
    <row r="6785" spans="1:5">
      <c r="A6785" s="2" t="s">
        <v>1478</v>
      </c>
      <c r="B6785" s="2" t="str">
        <f>"0010282350"</f>
        <v>0010282350</v>
      </c>
      <c r="C6785" s="2" t="str">
        <f>"0010282350"</f>
        <v>0010282350</v>
      </c>
      <c r="D6785" s="2" t="s">
        <v>8500</v>
      </c>
      <c r="E6785" s="4">
        <v>45000</v>
      </c>
    </row>
    <row r="6786" spans="1:5">
      <c r="A6786" s="2" t="s">
        <v>1478</v>
      </c>
      <c r="B6786" s="2" t="str">
        <f>"020340166"</f>
        <v>020340166</v>
      </c>
      <c r="C6786" s="2" t="str">
        <f>"020340166"</f>
        <v>020340166</v>
      </c>
      <c r="D6786" s="2" t="s">
        <v>8501</v>
      </c>
      <c r="E6786" s="4">
        <v>10900</v>
      </c>
    </row>
    <row r="6787" spans="1:5">
      <c r="A6787" s="2" t="s">
        <v>1478</v>
      </c>
      <c r="B6787" s="2" t="str">
        <f>"020340155"</f>
        <v>020340155</v>
      </c>
      <c r="C6787" s="2" t="str">
        <f>"020340155"</f>
        <v>020340155</v>
      </c>
      <c r="D6787" s="2" t="s">
        <v>8502</v>
      </c>
      <c r="E6787" s="4">
        <v>10900</v>
      </c>
    </row>
    <row r="6788" spans="1:5">
      <c r="A6788" s="2" t="s">
        <v>1478</v>
      </c>
      <c r="B6788" s="2" t="str">
        <f>"020340163"</f>
        <v>020340163</v>
      </c>
      <c r="C6788" s="2" t="str">
        <f>"020340163"</f>
        <v>020340163</v>
      </c>
      <c r="D6788" s="2" t="s">
        <v>8503</v>
      </c>
      <c r="E6788" s="4">
        <v>18700</v>
      </c>
    </row>
    <row r="6789" spans="1:5">
      <c r="A6789" s="2" t="s">
        <v>1478</v>
      </c>
      <c r="B6789" s="2" t="str">
        <f>"020340785"</f>
        <v>020340785</v>
      </c>
      <c r="C6789" s="2" t="str">
        <f>"020340785"</f>
        <v>020340785</v>
      </c>
      <c r="D6789" s="2" t="s">
        <v>8504</v>
      </c>
      <c r="E6789" s="4">
        <v>28900</v>
      </c>
    </row>
    <row r="6790" spans="1:5">
      <c r="A6790" s="2" t="s">
        <v>1478</v>
      </c>
      <c r="B6790" s="2" t="s">
        <v>8505</v>
      </c>
      <c r="C6790" s="2" t="s">
        <v>8506</v>
      </c>
      <c r="D6790" s="2" t="s">
        <v>8507</v>
      </c>
      <c r="E6790" s="4">
        <v>33000</v>
      </c>
    </row>
    <row r="6791" spans="1:5">
      <c r="A6791" s="2" t="s">
        <v>1478</v>
      </c>
      <c r="B6791" s="2" t="str">
        <f>"020340196"</f>
        <v>020340196</v>
      </c>
      <c r="C6791" s="2" t="str">
        <f>"0411-72010"</f>
        <v>0411-72010</v>
      </c>
      <c r="D6791" s="2" t="s">
        <v>8508</v>
      </c>
      <c r="E6791" s="4">
        <v>21400</v>
      </c>
    </row>
    <row r="6792" spans="1:5">
      <c r="A6792" s="2" t="s">
        <v>1478</v>
      </c>
      <c r="B6792" s="2" t="str">
        <f>"020340206"</f>
        <v>020340206</v>
      </c>
      <c r="C6792" s="2" t="str">
        <f>"020340206"</f>
        <v>020340206</v>
      </c>
      <c r="D6792" s="2" t="s">
        <v>8509</v>
      </c>
      <c r="E6792" s="4">
        <v>18700</v>
      </c>
    </row>
    <row r="6793" spans="1:5">
      <c r="A6793" s="2" t="s">
        <v>1478</v>
      </c>
      <c r="B6793" s="2" t="s">
        <v>8510</v>
      </c>
      <c r="C6793" s="2" t="s">
        <v>8510</v>
      </c>
      <c r="D6793" s="2" t="s">
        <v>8511</v>
      </c>
      <c r="E6793" s="4">
        <v>25000</v>
      </c>
    </row>
    <row r="6794" spans="1:5">
      <c r="A6794" s="2" t="s">
        <v>1478</v>
      </c>
      <c r="B6794" s="2" t="str">
        <f>"0028441"</f>
        <v>0028441</v>
      </c>
      <c r="C6794" s="2" t="str">
        <f>"0028441"</f>
        <v>0028441</v>
      </c>
      <c r="D6794" s="2" t="s">
        <v>8512</v>
      </c>
      <c r="E6794" s="4">
        <v>68000</v>
      </c>
    </row>
    <row r="6795" spans="1:5">
      <c r="A6795" s="2" t="s">
        <v>1478</v>
      </c>
      <c r="B6795" s="2" t="str">
        <f>"010340507"</f>
        <v>010340507</v>
      </c>
      <c r="C6795" s="2" t="str">
        <f>"010340507"</f>
        <v>010340507</v>
      </c>
      <c r="D6795" s="2" t="s">
        <v>8513</v>
      </c>
      <c r="E6795" s="4">
        <v>58300</v>
      </c>
    </row>
    <row r="6796" spans="1:5">
      <c r="A6796" s="2" t="s">
        <v>1478</v>
      </c>
      <c r="B6796" s="2" t="str">
        <f>"4110135"</f>
        <v>4110135</v>
      </c>
      <c r="C6796" s="2" t="str">
        <f>"4110135"</f>
        <v>4110135</v>
      </c>
      <c r="D6796" s="2" t="s">
        <v>8514</v>
      </c>
      <c r="E6796" s="4">
        <v>4300</v>
      </c>
    </row>
    <row r="6797" spans="1:5">
      <c r="A6797" s="2" t="s">
        <v>1478</v>
      </c>
      <c r="B6797" s="2" t="str">
        <f>"0122910"</f>
        <v>0122910</v>
      </c>
      <c r="C6797" s="2" t="str">
        <f>"0122910"</f>
        <v>0122910</v>
      </c>
      <c r="D6797" s="2" t="s">
        <v>8515</v>
      </c>
      <c r="E6797" s="4">
        <v>2800</v>
      </c>
    </row>
    <row r="6798" spans="1:5">
      <c r="A6798" s="2" t="s">
        <v>1478</v>
      </c>
      <c r="B6798" s="2" t="str">
        <f>"8000765"</f>
        <v>8000765</v>
      </c>
      <c r="C6798" s="2" t="str">
        <f>"8000765"</f>
        <v>8000765</v>
      </c>
      <c r="D6798" s="2" t="s">
        <v>8516</v>
      </c>
      <c r="E6798" s="4">
        <v>2800</v>
      </c>
    </row>
    <row r="6799" spans="1:5">
      <c r="A6799" s="2" t="s">
        <v>1478</v>
      </c>
      <c r="B6799" s="2" t="str">
        <f>"170659"</f>
        <v>170659</v>
      </c>
      <c r="C6799" s="2" t="str">
        <f>"170659"</f>
        <v>170659</v>
      </c>
      <c r="D6799" s="2" t="s">
        <v>8517</v>
      </c>
      <c r="E6799" s="4">
        <v>4100</v>
      </c>
    </row>
    <row r="6800" spans="1:5">
      <c r="A6800" s="2" t="s">
        <v>1478</v>
      </c>
      <c r="B6800" s="2" t="str">
        <f>"311881"</f>
        <v>311881</v>
      </c>
      <c r="C6800" s="2" t="str">
        <f>"311881"</f>
        <v>311881</v>
      </c>
      <c r="D6800" s="2" t="s">
        <v>8518</v>
      </c>
      <c r="E6800" s="4">
        <v>3500</v>
      </c>
    </row>
    <row r="6801" spans="1:5">
      <c r="A6801" s="2" t="s">
        <v>1478</v>
      </c>
      <c r="B6801" s="2" t="str">
        <f>"04111-87713"</f>
        <v>04111-87713</v>
      </c>
      <c r="C6801" s="2" t="str">
        <f>"04111-87713"</f>
        <v>04111-87713</v>
      </c>
      <c r="D6801" s="2" t="s">
        <v>8519</v>
      </c>
      <c r="E6801" s="4">
        <v>9500</v>
      </c>
    </row>
    <row r="6802" spans="1:5">
      <c r="A6802" s="2" t="s">
        <v>1478</v>
      </c>
      <c r="B6802" s="2" t="str">
        <f>"1413818-8"</f>
        <v>1413818-8</v>
      </c>
      <c r="C6802" s="2" t="str">
        <f>"013346"</f>
        <v>013346</v>
      </c>
      <c r="D6802" s="2" t="s">
        <v>8520</v>
      </c>
      <c r="E6802" s="4">
        <v>29500</v>
      </c>
    </row>
    <row r="6803" spans="1:5">
      <c r="A6803" s="2" t="s">
        <v>1478</v>
      </c>
      <c r="B6803" s="2" t="str">
        <f>"0013290"</f>
        <v>0013290</v>
      </c>
      <c r="C6803" s="2" t="str">
        <f>"0013290"</f>
        <v>0013290</v>
      </c>
      <c r="D6803" s="2" t="s">
        <v>8520</v>
      </c>
      <c r="E6803" s="4">
        <v>59000</v>
      </c>
    </row>
    <row r="6804" spans="1:5">
      <c r="A6804" s="2" t="s">
        <v>1478</v>
      </c>
      <c r="B6804" s="2" t="str">
        <f>"0023573"</f>
        <v>0023573</v>
      </c>
      <c r="C6804" s="2" t="str">
        <f>"0023573"</f>
        <v>0023573</v>
      </c>
      <c r="D6804" s="2" t="s">
        <v>8521</v>
      </c>
      <c r="E6804" s="4">
        <v>34000</v>
      </c>
    </row>
    <row r="6805" spans="1:5">
      <c r="A6805" s="2" t="s">
        <v>1478</v>
      </c>
      <c r="B6805" s="2" t="str">
        <f>"1413824-2"</f>
        <v>1413824-2</v>
      </c>
      <c r="C6805" s="2" t="str">
        <f>"1413824-2"</f>
        <v>1413824-2</v>
      </c>
      <c r="D6805" s="2" t="s">
        <v>8522</v>
      </c>
      <c r="E6805" s="4">
        <v>39400</v>
      </c>
    </row>
    <row r="6806" spans="1:5">
      <c r="A6806" s="2" t="s">
        <v>1478</v>
      </c>
      <c r="B6806" s="2" t="str">
        <f>"9958719"</f>
        <v>9958719</v>
      </c>
      <c r="C6806" s="2" t="str">
        <f>"9958719"</f>
        <v>9958719</v>
      </c>
      <c r="D6806" s="2" t="s">
        <v>8523</v>
      </c>
      <c r="E6806" s="4">
        <v>52000</v>
      </c>
    </row>
    <row r="6807" spans="1:5">
      <c r="A6807" s="2" t="s">
        <v>1478</v>
      </c>
      <c r="B6807" s="2" t="s">
        <v>8524</v>
      </c>
      <c r="C6807" s="2" t="s">
        <v>8524</v>
      </c>
      <c r="D6807" s="2" t="s">
        <v>8525</v>
      </c>
      <c r="E6807" s="4">
        <v>73000</v>
      </c>
    </row>
    <row r="6808" spans="1:5">
      <c r="A6808" s="2" t="s">
        <v>1478</v>
      </c>
      <c r="B6808" s="2" t="str">
        <f>"0007371"</f>
        <v>0007371</v>
      </c>
      <c r="C6808" s="2" t="str">
        <f>"0007371"</f>
        <v>0007371</v>
      </c>
      <c r="D6808" s="2" t="s">
        <v>8526</v>
      </c>
      <c r="E6808" s="4">
        <v>48400</v>
      </c>
    </row>
    <row r="6809" spans="1:5">
      <c r="A6809" s="2" t="s">
        <v>1478</v>
      </c>
      <c r="B6809" s="2" t="str">
        <f>"1605028"</f>
        <v>1605028</v>
      </c>
      <c r="C6809" s="2" t="str">
        <f>"1605028"</f>
        <v>1605028</v>
      </c>
      <c r="D6809" s="2" t="s">
        <v>8527</v>
      </c>
      <c r="E6809" s="4">
        <v>52000</v>
      </c>
    </row>
    <row r="6810" spans="1:5">
      <c r="A6810" s="2" t="s">
        <v>1478</v>
      </c>
      <c r="B6810" s="2" t="str">
        <f>"0014783"</f>
        <v>0014783</v>
      </c>
      <c r="C6810" s="2" t="str">
        <f>"0014783"</f>
        <v>0014783</v>
      </c>
      <c r="D6810" s="2" t="s">
        <v>8528</v>
      </c>
      <c r="E6810" s="4">
        <v>28600</v>
      </c>
    </row>
    <row r="6811" spans="1:5">
      <c r="A6811" s="2" t="s">
        <v>1478</v>
      </c>
      <c r="B6811" s="2" t="str">
        <f>"9952457"</f>
        <v>9952457</v>
      </c>
      <c r="C6811" s="2" t="str">
        <f>"9952457"</f>
        <v>9952457</v>
      </c>
      <c r="D6811" s="2" t="s">
        <v>8529</v>
      </c>
      <c r="E6811" s="4">
        <v>34000</v>
      </c>
    </row>
    <row r="6812" spans="1:5">
      <c r="A6812" s="2" t="s">
        <v>1478</v>
      </c>
      <c r="B6812" s="2" t="str">
        <f>"1S00288"</f>
        <v>1S00288</v>
      </c>
      <c r="C6812" s="2" t="str">
        <f>"1S00288"</f>
        <v>1S00288</v>
      </c>
      <c r="D6812" s="2" t="s">
        <v>8530</v>
      </c>
      <c r="E6812" s="4">
        <v>19600</v>
      </c>
    </row>
    <row r="6813" spans="1:5">
      <c r="A6813" s="2" t="s">
        <v>1478</v>
      </c>
      <c r="B6813" s="2" t="str">
        <f>"0001296"</f>
        <v>0001296</v>
      </c>
      <c r="C6813" s="2" t="str">
        <f>"0001296"</f>
        <v>0001296</v>
      </c>
      <c r="D6813" s="2" t="s">
        <v>8531</v>
      </c>
      <c r="E6813" s="4">
        <v>19600</v>
      </c>
    </row>
    <row r="6814" spans="1:5">
      <c r="A6814" s="2" t="s">
        <v>1478</v>
      </c>
      <c r="B6814" s="2" t="str">
        <f>"289738"</f>
        <v>289738</v>
      </c>
      <c r="C6814" s="2" t="str">
        <f>"289738"</f>
        <v>289738</v>
      </c>
      <c r="D6814" s="2" t="s">
        <v>8532</v>
      </c>
      <c r="E6814" s="4">
        <v>15000</v>
      </c>
    </row>
    <row r="6815" spans="1:5">
      <c r="A6815" s="2" t="s">
        <v>1478</v>
      </c>
      <c r="B6815" s="2" t="str">
        <f>"07087087"</f>
        <v>07087087</v>
      </c>
      <c r="C6815" s="2" t="str">
        <f>"07087087"</f>
        <v>07087087</v>
      </c>
      <c r="D6815" s="2" t="s">
        <v>8533</v>
      </c>
      <c r="E6815" s="4">
        <v>19000</v>
      </c>
    </row>
    <row r="6816" spans="1:5">
      <c r="A6816" s="2" t="s">
        <v>1478</v>
      </c>
      <c r="B6816" s="2" t="str">
        <f>"290092"</f>
        <v>290092</v>
      </c>
      <c r="C6816" s="2" t="str">
        <f>"290092"</f>
        <v>290092</v>
      </c>
      <c r="D6816" s="2" t="s">
        <v>8534</v>
      </c>
      <c r="E6816" s="4">
        <v>43000</v>
      </c>
    </row>
    <row r="6817" spans="1:5">
      <c r="A6817" s="2" t="s">
        <v>1478</v>
      </c>
      <c r="B6817" s="2" t="str">
        <f>"801257-1"</f>
        <v>801257-1</v>
      </c>
      <c r="C6817" s="2" t="str">
        <f>"801257-1"</f>
        <v>801257-1</v>
      </c>
      <c r="D6817" s="2" t="s">
        <v>8535</v>
      </c>
      <c r="E6817" s="4">
        <v>45000</v>
      </c>
    </row>
    <row r="6818" spans="1:5">
      <c r="A6818" s="2" t="s">
        <v>1478</v>
      </c>
      <c r="B6818" s="2" t="str">
        <f>"0028402"</f>
        <v>0028402</v>
      </c>
      <c r="C6818" s="2" t="str">
        <f>"0028402"</f>
        <v>0028402</v>
      </c>
      <c r="D6818" s="2" t="s">
        <v>8536</v>
      </c>
      <c r="E6818" s="4">
        <v>59000</v>
      </c>
    </row>
    <row r="6819" spans="1:5">
      <c r="A6819" s="2" t="s">
        <v>1478</v>
      </c>
      <c r="B6819" s="2" t="str">
        <f>"021340004"</f>
        <v>021340004</v>
      </c>
      <c r="C6819" s="2" t="str">
        <f>"021340004"</f>
        <v>021340004</v>
      </c>
      <c r="D6819" s="2" t="s">
        <v>8537</v>
      </c>
      <c r="E6819" s="4">
        <v>9900</v>
      </c>
    </row>
    <row r="6820" spans="1:5">
      <c r="A6820" s="2" t="s">
        <v>1478</v>
      </c>
      <c r="B6820" s="2" t="str">
        <f>"389014"</f>
        <v>389014</v>
      </c>
      <c r="C6820" s="2" t="str">
        <f>"389014"</f>
        <v>389014</v>
      </c>
      <c r="D6820" s="2" t="s">
        <v>8538</v>
      </c>
      <c r="E6820" s="4">
        <v>12500</v>
      </c>
    </row>
    <row r="6821" spans="1:5">
      <c r="A6821" s="2" t="s">
        <v>1478</v>
      </c>
      <c r="B6821" s="2" t="s">
        <v>8539</v>
      </c>
      <c r="C6821" s="2" t="s">
        <v>8539</v>
      </c>
      <c r="D6821" s="2" t="s">
        <v>8540</v>
      </c>
      <c r="E6821" s="4">
        <v>97000</v>
      </c>
    </row>
    <row r="6822" spans="1:5">
      <c r="A6822" s="2" t="s">
        <v>1478</v>
      </c>
      <c r="B6822" s="2" t="str">
        <f>"302201"</f>
        <v>302201</v>
      </c>
      <c r="C6822" s="2" t="str">
        <f>"302201"</f>
        <v>302201</v>
      </c>
      <c r="D6822" s="2" t="s">
        <v>8541</v>
      </c>
      <c r="E6822" s="4">
        <v>68000</v>
      </c>
    </row>
    <row r="6823" spans="1:5">
      <c r="A6823" s="2" t="s">
        <v>1478</v>
      </c>
      <c r="B6823" s="2" t="str">
        <f>"288591"</f>
        <v>288591</v>
      </c>
      <c r="C6823" s="2" t="str">
        <f>"288591"</f>
        <v>288591</v>
      </c>
      <c r="D6823" s="2" t="s">
        <v>8542</v>
      </c>
      <c r="E6823" s="4">
        <v>48500</v>
      </c>
    </row>
    <row r="6824" spans="1:5">
      <c r="A6824" s="2" t="s">
        <v>1478</v>
      </c>
      <c r="B6824" s="2" t="str">
        <f>"230284"</f>
        <v>230284</v>
      </c>
      <c r="C6824" s="2" t="str">
        <f>"230284"</f>
        <v>230284</v>
      </c>
      <c r="D6824" s="2" t="s">
        <v>8543</v>
      </c>
      <c r="E6824" s="4">
        <v>68000</v>
      </c>
    </row>
    <row r="6825" spans="1:5">
      <c r="A6825" s="2" t="s">
        <v>1478</v>
      </c>
      <c r="B6825" s="2" t="str">
        <f>"0000600"</f>
        <v>0000600</v>
      </c>
      <c r="C6825" s="2" t="str">
        <f>"0000600"</f>
        <v>0000600</v>
      </c>
      <c r="D6825" s="2" t="s">
        <v>8544</v>
      </c>
      <c r="E6825" s="4">
        <v>29500</v>
      </c>
    </row>
    <row r="6826" spans="1:5">
      <c r="A6826" s="2" t="s">
        <v>1478</v>
      </c>
      <c r="B6826" s="2" t="s">
        <v>8545</v>
      </c>
      <c r="C6826" s="2" t="s">
        <v>8545</v>
      </c>
      <c r="D6826" s="2" t="s">
        <v>8546</v>
      </c>
      <c r="E6826" s="4">
        <v>25000</v>
      </c>
    </row>
    <row r="6827" spans="1:5">
      <c r="A6827" s="2" t="s">
        <v>1478</v>
      </c>
      <c r="B6827" s="2" t="str">
        <f>"247225"</f>
        <v>247225</v>
      </c>
      <c r="C6827" s="2" t="str">
        <f>"247225"</f>
        <v>247225</v>
      </c>
      <c r="D6827" s="2" t="s">
        <v>8547</v>
      </c>
      <c r="E6827" s="4">
        <v>25000</v>
      </c>
    </row>
    <row r="6828" spans="1:5">
      <c r="A6828" s="2" t="s">
        <v>1478</v>
      </c>
      <c r="B6828" s="2" t="str">
        <f>"0013266"</f>
        <v>0013266</v>
      </c>
      <c r="C6828" s="2" t="str">
        <f>"0013266"</f>
        <v>0013266</v>
      </c>
      <c r="D6828" s="2" t="s">
        <v>8548</v>
      </c>
      <c r="E6828" s="4">
        <v>48000</v>
      </c>
    </row>
    <row r="6829" spans="1:5">
      <c r="A6829" s="2" t="s">
        <v>1478</v>
      </c>
      <c r="B6829" s="2" t="str">
        <f>"071230579"</f>
        <v>071230579</v>
      </c>
      <c r="C6829" s="2" t="str">
        <f>"071230579"</f>
        <v>071230579</v>
      </c>
      <c r="D6829" s="2" t="s">
        <v>8549</v>
      </c>
      <c r="E6829" s="4">
        <v>61000</v>
      </c>
    </row>
    <row r="6830" spans="1:5">
      <c r="A6830" s="2" t="s">
        <v>1478</v>
      </c>
      <c r="B6830" s="2" t="str">
        <f>"0001516"</f>
        <v>0001516</v>
      </c>
      <c r="C6830" s="2" t="str">
        <f>"0001516"</f>
        <v>0001516</v>
      </c>
      <c r="D6830" s="2" t="s">
        <v>8550</v>
      </c>
      <c r="E6830" s="4">
        <v>34000</v>
      </c>
    </row>
    <row r="6831" spans="1:5">
      <c r="A6831" s="2" t="s">
        <v>1478</v>
      </c>
      <c r="B6831" s="2" t="str">
        <f>"288820"</f>
        <v>288820</v>
      </c>
      <c r="C6831" s="2" t="str">
        <f>"288820"</f>
        <v>288820</v>
      </c>
      <c r="D6831" s="2" t="s">
        <v>8551</v>
      </c>
      <c r="E6831" s="4">
        <v>29000</v>
      </c>
    </row>
    <row r="6832" spans="1:5">
      <c r="A6832" s="2" t="s">
        <v>1478</v>
      </c>
      <c r="B6832" s="2" t="str">
        <f>"003223"</f>
        <v>003223</v>
      </c>
      <c r="C6832" s="2" t="str">
        <f>"003223"</f>
        <v>003223</v>
      </c>
      <c r="D6832" s="2" t="s">
        <v>8552</v>
      </c>
      <c r="E6832" s="4">
        <v>28500</v>
      </c>
    </row>
    <row r="6833" spans="1:5">
      <c r="A6833" s="2" t="s">
        <v>1478</v>
      </c>
      <c r="B6833" s="2" t="s">
        <v>8553</v>
      </c>
      <c r="C6833" s="2" t="s">
        <v>8553</v>
      </c>
      <c r="D6833" s="2" t="s">
        <v>8554</v>
      </c>
      <c r="E6833" s="4">
        <v>23200</v>
      </c>
    </row>
    <row r="6834" spans="1:5">
      <c r="A6834" s="2" t="s">
        <v>1478</v>
      </c>
      <c r="B6834" s="2" t="str">
        <f>"8330065"</f>
        <v>8330065</v>
      </c>
      <c r="C6834" s="2" t="str">
        <f>"8330065"</f>
        <v>8330065</v>
      </c>
      <c r="D6834" s="2" t="s">
        <v>8555</v>
      </c>
      <c r="E6834" s="4">
        <v>32000</v>
      </c>
    </row>
    <row r="6835" spans="1:5">
      <c r="A6835" s="2" t="s">
        <v>1478</v>
      </c>
      <c r="B6835" s="2" t="str">
        <f>"288250"</f>
        <v>288250</v>
      </c>
      <c r="C6835" s="2" t="str">
        <f>"288250"</f>
        <v>288250</v>
      </c>
      <c r="D6835" s="2" t="s">
        <v>8556</v>
      </c>
      <c r="E6835" s="4">
        <v>62800</v>
      </c>
    </row>
    <row r="6836" spans="1:5">
      <c r="A6836" s="2" t="s">
        <v>1478</v>
      </c>
      <c r="B6836" s="2" t="str">
        <f>"161787"</f>
        <v>161787</v>
      </c>
      <c r="C6836" s="2" t="str">
        <f>"161787"</f>
        <v>161787</v>
      </c>
      <c r="D6836" s="2" t="s">
        <v>8557</v>
      </c>
      <c r="E6836" s="4">
        <v>88000</v>
      </c>
    </row>
    <row r="6837" spans="1:5">
      <c r="A6837" s="2" t="s">
        <v>1478</v>
      </c>
      <c r="B6837" s="2" t="str">
        <f>"160793"</f>
        <v>160793</v>
      </c>
      <c r="C6837" s="2" t="str">
        <f>"160793"</f>
        <v>160793</v>
      </c>
      <c r="D6837" s="2" t="s">
        <v>8558</v>
      </c>
      <c r="E6837" s="4">
        <v>38500</v>
      </c>
    </row>
    <row r="6838" spans="1:5">
      <c r="A6838" s="2" t="s">
        <v>1478</v>
      </c>
      <c r="B6838" s="2" t="str">
        <f>"288955"</f>
        <v>288955</v>
      </c>
      <c r="C6838" s="2" t="str">
        <f>"288955"</f>
        <v>288955</v>
      </c>
      <c r="D6838" s="2" t="s">
        <v>8559</v>
      </c>
      <c r="E6838" s="4">
        <v>126700</v>
      </c>
    </row>
    <row r="6839" spans="1:5">
      <c r="A6839" s="2" t="s">
        <v>1478</v>
      </c>
      <c r="B6839" s="2" t="str">
        <f>"281942"</f>
        <v>281942</v>
      </c>
      <c r="C6839" s="2" t="str">
        <f>"281942"</f>
        <v>281942</v>
      </c>
      <c r="D6839" s="2" t="s">
        <v>8560</v>
      </c>
      <c r="E6839" s="4">
        <v>59000</v>
      </c>
    </row>
    <row r="6840" spans="1:5">
      <c r="A6840" s="2" t="s">
        <v>1478</v>
      </c>
      <c r="B6840" s="2" t="str">
        <f>"013540"</f>
        <v>013540</v>
      </c>
      <c r="C6840" s="2" t="str">
        <f>"013540"</f>
        <v>013540</v>
      </c>
      <c r="D6840" s="2" t="s">
        <v>8561</v>
      </c>
      <c r="E6840" s="4">
        <v>59000</v>
      </c>
    </row>
    <row r="6841" spans="1:5">
      <c r="A6841" s="2" t="s">
        <v>1478</v>
      </c>
      <c r="B6841" s="2" t="str">
        <f>"003377"</f>
        <v>003377</v>
      </c>
      <c r="C6841" s="2" t="str">
        <f>"003377"</f>
        <v>003377</v>
      </c>
      <c r="D6841" s="2" t="s">
        <v>8562</v>
      </c>
      <c r="E6841" s="4">
        <v>28600</v>
      </c>
    </row>
    <row r="6842" spans="1:5">
      <c r="A6842" s="2" t="s">
        <v>1478</v>
      </c>
      <c r="B6842" s="2" t="str">
        <f>"002739"</f>
        <v>002739</v>
      </c>
      <c r="C6842" s="2" t="str">
        <f>"002739"</f>
        <v>002739</v>
      </c>
      <c r="D6842" s="2" t="s">
        <v>8563</v>
      </c>
      <c r="E6842" s="4">
        <v>34000</v>
      </c>
    </row>
    <row r="6843" spans="1:5">
      <c r="A6843" s="2" t="s">
        <v>1478</v>
      </c>
      <c r="B6843" s="2" t="str">
        <f>"0007370"</f>
        <v>0007370</v>
      </c>
      <c r="C6843" s="2" t="str">
        <f>"0007370"</f>
        <v>0007370</v>
      </c>
      <c r="D6843" s="2" t="s">
        <v>8564</v>
      </c>
      <c r="E6843" s="4">
        <v>39500</v>
      </c>
    </row>
    <row r="6844" spans="1:5">
      <c r="A6844" s="2" t="s">
        <v>1478</v>
      </c>
      <c r="B6844" s="2" t="str">
        <f>"183218"</f>
        <v>183218</v>
      </c>
      <c r="C6844" s="2" t="str">
        <f>"183218"</f>
        <v>183218</v>
      </c>
      <c r="D6844" s="2" t="s">
        <v>8565</v>
      </c>
      <c r="E6844" s="4">
        <v>34000</v>
      </c>
    </row>
    <row r="6845" spans="1:5">
      <c r="A6845" s="2" t="s">
        <v>1478</v>
      </c>
      <c r="B6845" s="2" t="str">
        <f>"230650"</f>
        <v>230650</v>
      </c>
      <c r="C6845" s="2" t="str">
        <f>"230650"</f>
        <v>230650</v>
      </c>
      <c r="D6845" s="2" t="s">
        <v>8566</v>
      </c>
      <c r="E6845" s="4">
        <v>58800</v>
      </c>
    </row>
    <row r="6846" spans="1:5">
      <c r="A6846" s="2" t="s">
        <v>1478</v>
      </c>
      <c r="B6846" s="2" t="str">
        <f>"002644"</f>
        <v>002644</v>
      </c>
      <c r="C6846" s="2" t="str">
        <f>"002644"</f>
        <v>002644</v>
      </c>
      <c r="D6846" s="2" t="s">
        <v>8567</v>
      </c>
      <c r="E6846" s="4">
        <v>115000</v>
      </c>
    </row>
    <row r="6847" spans="1:5">
      <c r="A6847" s="2" t="s">
        <v>1478</v>
      </c>
      <c r="B6847" s="2" t="str">
        <f>"0013441"</f>
        <v>0013441</v>
      </c>
      <c r="C6847" s="2" t="str">
        <f>"0013441"</f>
        <v>0013441</v>
      </c>
      <c r="D6847" s="2" t="s">
        <v>8568</v>
      </c>
      <c r="E6847" s="4">
        <v>88000</v>
      </c>
    </row>
    <row r="6848" spans="1:5">
      <c r="A6848" s="2" t="s">
        <v>1478</v>
      </c>
      <c r="B6848" s="2" t="str">
        <f>"288586"</f>
        <v>288586</v>
      </c>
      <c r="C6848" s="2" t="str">
        <f>"288586"</f>
        <v>288586</v>
      </c>
      <c r="D6848" s="2" t="s">
        <v>8569</v>
      </c>
      <c r="E6848" s="4">
        <v>81000</v>
      </c>
    </row>
    <row r="6849" spans="1:5">
      <c r="A6849" s="2" t="s">
        <v>1478</v>
      </c>
      <c r="B6849" s="2" t="str">
        <f>"0013443"</f>
        <v>0013443</v>
      </c>
      <c r="C6849" s="2" t="str">
        <f>"0013443"</f>
        <v>0013443</v>
      </c>
      <c r="D6849" s="2" t="s">
        <v>8570</v>
      </c>
      <c r="E6849" s="4">
        <v>68200</v>
      </c>
    </row>
    <row r="6850" spans="1:5">
      <c r="A6850" s="2" t="s">
        <v>1478</v>
      </c>
      <c r="B6850" s="2" t="s">
        <v>8571</v>
      </c>
      <c r="C6850" s="2" t="s">
        <v>8571</v>
      </c>
      <c r="D6850" s="2" t="s">
        <v>8572</v>
      </c>
      <c r="E6850" s="4">
        <v>34000</v>
      </c>
    </row>
    <row r="6851" spans="1:5">
      <c r="A6851" s="2" t="s">
        <v>1478</v>
      </c>
      <c r="B6851" s="2" t="str">
        <f>"020340693"</f>
        <v>020340693</v>
      </c>
      <c r="C6851" s="2" t="str">
        <f>"020340693"</f>
        <v>020340693</v>
      </c>
      <c r="D6851" s="2" t="s">
        <v>8573</v>
      </c>
      <c r="E6851" s="4">
        <v>49000</v>
      </c>
    </row>
    <row r="6852" spans="1:5">
      <c r="A6852" s="2" t="s">
        <v>1478</v>
      </c>
      <c r="B6852" s="2" t="s">
        <v>8574</v>
      </c>
      <c r="C6852" s="2" t="s">
        <v>8574</v>
      </c>
      <c r="D6852" s="2" t="s">
        <v>8575</v>
      </c>
      <c r="E6852" s="4">
        <v>32000</v>
      </c>
    </row>
    <row r="6853" spans="1:5">
      <c r="A6853" s="2" t="s">
        <v>1478</v>
      </c>
      <c r="B6853" s="2" t="str">
        <f>"230180"</f>
        <v>230180</v>
      </c>
      <c r="C6853" s="2" t="str">
        <f>"230180"</f>
        <v>230180</v>
      </c>
      <c r="D6853" s="2" t="s">
        <v>8576</v>
      </c>
      <c r="E6853" s="4">
        <v>43000</v>
      </c>
    </row>
    <row r="6854" spans="1:5">
      <c r="A6854" s="2" t="s">
        <v>1478</v>
      </c>
      <c r="B6854" s="2" t="str">
        <f>"010340470"</f>
        <v>010340470</v>
      </c>
      <c r="C6854" s="2" t="str">
        <f>"010340470"</f>
        <v>010340470</v>
      </c>
      <c r="D6854" s="2" t="s">
        <v>8577</v>
      </c>
      <c r="E6854" s="4">
        <v>43000</v>
      </c>
    </row>
    <row r="6855" spans="1:5">
      <c r="A6855" s="2" t="s">
        <v>1478</v>
      </c>
      <c r="B6855" s="2" t="str">
        <f>"0001528"</f>
        <v>0001528</v>
      </c>
      <c r="C6855" s="2" t="str">
        <f>"0001528"</f>
        <v>0001528</v>
      </c>
      <c r="D6855" s="2" t="s">
        <v>8578</v>
      </c>
      <c r="E6855" s="4">
        <v>47500</v>
      </c>
    </row>
    <row r="6856" spans="1:5">
      <c r="A6856" s="2" t="s">
        <v>1478</v>
      </c>
      <c r="B6856" s="2" t="str">
        <f>"282165"</f>
        <v>282165</v>
      </c>
      <c r="C6856" s="2" t="str">
        <f>"282165"</f>
        <v>282165</v>
      </c>
      <c r="D6856" s="2" t="s">
        <v>8579</v>
      </c>
      <c r="E6856" s="4">
        <v>28600</v>
      </c>
    </row>
    <row r="6857" spans="1:5">
      <c r="A6857" s="2" t="s">
        <v>1478</v>
      </c>
      <c r="B6857" s="2" t="str">
        <f>"10101-08S25"</f>
        <v>10101-08S25</v>
      </c>
      <c r="C6857" s="2" t="str">
        <f>"10101--08S25"</f>
        <v>10101--08S25</v>
      </c>
      <c r="D6857" s="2" t="s">
        <v>8580</v>
      </c>
      <c r="E6857" s="4">
        <v>24000</v>
      </c>
    </row>
    <row r="6858" spans="1:5">
      <c r="A6858" s="2" t="s">
        <v>1478</v>
      </c>
      <c r="B6858" s="2" t="str">
        <f>"020340042"</f>
        <v>020340042</v>
      </c>
      <c r="C6858" s="2" t="str">
        <f>"10101-U6028"</f>
        <v>10101-U6028</v>
      </c>
      <c r="D6858" s="2" t="s">
        <v>8580</v>
      </c>
      <c r="E6858" s="4">
        <v>11500</v>
      </c>
    </row>
    <row r="6859" spans="1:5">
      <c r="A6859" s="2" t="s">
        <v>1478</v>
      </c>
      <c r="B6859" s="2" t="str">
        <f>"301616"</f>
        <v>301616</v>
      </c>
      <c r="C6859" s="2" t="str">
        <f>"301616"</f>
        <v>301616</v>
      </c>
      <c r="D6859" s="2" t="s">
        <v>8581</v>
      </c>
      <c r="E6859" s="4">
        <v>52800</v>
      </c>
    </row>
    <row r="6860" spans="1:5">
      <c r="A6860" s="2" t="s">
        <v>1478</v>
      </c>
      <c r="B6860" s="2" t="str">
        <f>"10101-61A25"</f>
        <v>10101-61A25</v>
      </c>
      <c r="C6860" s="2" t="s">
        <v>8582</v>
      </c>
      <c r="D6860" s="2" t="s">
        <v>8583</v>
      </c>
      <c r="E6860" s="4">
        <v>15100</v>
      </c>
    </row>
    <row r="6861" spans="1:5">
      <c r="A6861" s="2" t="s">
        <v>1478</v>
      </c>
      <c r="B6861" s="2" t="str">
        <f>"288961"</f>
        <v>288961</v>
      </c>
      <c r="C6861" s="2" t="str">
        <f>"288961"</f>
        <v>288961</v>
      </c>
      <c r="D6861" s="2" t="s">
        <v>8584</v>
      </c>
      <c r="E6861" s="4">
        <v>28800</v>
      </c>
    </row>
    <row r="6862" spans="1:5">
      <c r="A6862" s="2" t="s">
        <v>1478</v>
      </c>
      <c r="B6862" s="2" t="str">
        <f>"0400720"</f>
        <v>0400720</v>
      </c>
      <c r="C6862" s="2" t="str">
        <f>"0400720"</f>
        <v>0400720</v>
      </c>
      <c r="D6862" s="2" t="s">
        <v>8585</v>
      </c>
      <c r="E6862" s="4">
        <v>27700</v>
      </c>
    </row>
    <row r="6863" spans="1:5">
      <c r="A6863" s="2" t="s">
        <v>1478</v>
      </c>
      <c r="B6863" s="2" t="str">
        <f>"0194298"</f>
        <v>0194298</v>
      </c>
      <c r="C6863" s="2" t="str">
        <f>"0194298"</f>
        <v>0194298</v>
      </c>
      <c r="D6863" s="2" t="s">
        <v>8586</v>
      </c>
      <c r="E6863" s="4">
        <v>29500</v>
      </c>
    </row>
    <row r="6864" spans="1:5">
      <c r="A6864" s="2" t="s">
        <v>1478</v>
      </c>
      <c r="B6864" s="2" t="str">
        <f>"0007368"</f>
        <v>0007368</v>
      </c>
      <c r="C6864" s="2" t="str">
        <f>"0007368"</f>
        <v>0007368</v>
      </c>
      <c r="D6864" s="2" t="s">
        <v>8587</v>
      </c>
      <c r="E6864" s="4">
        <v>59000</v>
      </c>
    </row>
    <row r="6865" spans="1:5">
      <c r="A6865" s="2" t="s">
        <v>1478</v>
      </c>
      <c r="B6865" s="2" t="s">
        <v>8588</v>
      </c>
      <c r="C6865" s="2" t="s">
        <v>8588</v>
      </c>
      <c r="D6865" s="2" t="s">
        <v>8589</v>
      </c>
      <c r="E6865" s="4">
        <v>85000</v>
      </c>
    </row>
    <row r="6866" spans="1:5">
      <c r="A6866" s="2" t="s">
        <v>1478</v>
      </c>
      <c r="B6866" s="2" t="str">
        <f>"021340014"</f>
        <v>021340014</v>
      </c>
      <c r="C6866" s="2" t="str">
        <f>"021340014"</f>
        <v>021340014</v>
      </c>
      <c r="D6866" s="2" t="s">
        <v>8590</v>
      </c>
      <c r="E6866" s="4">
        <v>75000</v>
      </c>
    </row>
    <row r="6867" spans="1:5">
      <c r="A6867" s="2" t="s">
        <v>1478</v>
      </c>
      <c r="B6867" s="2" t="str">
        <f>"021340012"</f>
        <v>021340012</v>
      </c>
      <c r="C6867" s="2" t="str">
        <f>"021340012"</f>
        <v>021340012</v>
      </c>
      <c r="D6867" s="2" t="s">
        <v>8591</v>
      </c>
      <c r="E6867" s="4">
        <v>14200</v>
      </c>
    </row>
    <row r="6868" spans="1:5">
      <c r="A6868" s="2" t="s">
        <v>1478</v>
      </c>
      <c r="B6868" s="2" t="str">
        <f>"020340674"</f>
        <v>020340674</v>
      </c>
      <c r="C6868" s="2" t="str">
        <f>"020340674"</f>
        <v>020340674</v>
      </c>
      <c r="D6868" s="2" t="s">
        <v>8592</v>
      </c>
      <c r="E6868" s="4">
        <v>28000</v>
      </c>
    </row>
    <row r="6869" spans="1:5">
      <c r="A6869" s="2" t="s">
        <v>1478</v>
      </c>
      <c r="B6869" s="2" t="str">
        <f>"0100188"</f>
        <v>0100188</v>
      </c>
      <c r="C6869" s="2" t="str">
        <f>"0100188"</f>
        <v>0100188</v>
      </c>
      <c r="D6869" s="2" t="s">
        <v>8593</v>
      </c>
      <c r="E6869" s="4">
        <v>25000</v>
      </c>
    </row>
    <row r="6870" spans="1:5">
      <c r="A6870" s="2" t="s">
        <v>1478</v>
      </c>
      <c r="B6870" s="2" t="str">
        <f>"281648"</f>
        <v>281648</v>
      </c>
      <c r="C6870" s="2" t="str">
        <f>"281648"</f>
        <v>281648</v>
      </c>
      <c r="D6870" s="2" t="s">
        <v>8594</v>
      </c>
      <c r="E6870" s="4">
        <v>34000</v>
      </c>
    </row>
    <row r="6871" spans="1:5">
      <c r="A6871" s="2" t="s">
        <v>1478</v>
      </c>
      <c r="B6871" s="2" t="str">
        <f>"302068"</f>
        <v>302068</v>
      </c>
      <c r="C6871" s="2" t="str">
        <f>"302068"</f>
        <v>302068</v>
      </c>
      <c r="D6871" s="2" t="s">
        <v>8595</v>
      </c>
      <c r="E6871" s="4">
        <v>38000</v>
      </c>
    </row>
    <row r="6872" spans="1:5">
      <c r="A6872" s="2" t="s">
        <v>1478</v>
      </c>
      <c r="B6872" s="2" t="str">
        <f>"0000621"</f>
        <v>0000621</v>
      </c>
      <c r="C6872" s="2" t="str">
        <f>"0000621"</f>
        <v>0000621</v>
      </c>
      <c r="D6872" s="2" t="s">
        <v>8596</v>
      </c>
      <c r="E6872" s="4">
        <v>34000</v>
      </c>
    </row>
    <row r="6873" spans="1:5">
      <c r="A6873" s="2" t="s">
        <v>1478</v>
      </c>
      <c r="B6873" s="2" t="str">
        <f>"003701352-8"</f>
        <v>003701352-8</v>
      </c>
      <c r="C6873" s="2" t="str">
        <f>"003701352-8"</f>
        <v>003701352-8</v>
      </c>
      <c r="D6873" s="2" t="s">
        <v>8597</v>
      </c>
      <c r="E6873" s="4">
        <v>89000</v>
      </c>
    </row>
    <row r="6874" spans="1:5">
      <c r="A6874" s="2" t="s">
        <v>1478</v>
      </c>
      <c r="B6874" s="2" t="str">
        <f>"270190"</f>
        <v>270190</v>
      </c>
      <c r="C6874" s="2" t="str">
        <f>"270190"</f>
        <v>270190</v>
      </c>
      <c r="D6874" s="2" t="s">
        <v>8598</v>
      </c>
      <c r="E6874" s="4">
        <v>43000</v>
      </c>
    </row>
    <row r="6875" spans="1:5">
      <c r="A6875" s="2" t="s">
        <v>1478</v>
      </c>
      <c r="B6875" s="2" t="str">
        <f>"272193"</f>
        <v>272193</v>
      </c>
      <c r="C6875" s="2" t="str">
        <f>"272193"</f>
        <v>272193</v>
      </c>
      <c r="D6875" s="2" t="s">
        <v>8599</v>
      </c>
      <c r="E6875" s="4">
        <v>38000</v>
      </c>
    </row>
    <row r="6876" spans="1:5">
      <c r="A6876" s="2" t="s">
        <v>1478</v>
      </c>
      <c r="B6876" s="2" t="str">
        <f>"288217"</f>
        <v>288217</v>
      </c>
      <c r="C6876" s="2" t="str">
        <f>"288217"</f>
        <v>288217</v>
      </c>
      <c r="D6876" s="2" t="s">
        <v>8600</v>
      </c>
      <c r="E6876" s="4">
        <v>97000</v>
      </c>
    </row>
    <row r="6877" spans="1:5">
      <c r="A6877" s="2" t="s">
        <v>1478</v>
      </c>
      <c r="B6877" s="2" t="str">
        <f>"020340776"</f>
        <v>020340776</v>
      </c>
      <c r="C6877" s="2" t="str">
        <f>"11401-79871"</f>
        <v>11401-79871</v>
      </c>
      <c r="D6877" s="2" t="s">
        <v>8601</v>
      </c>
      <c r="E6877" s="4">
        <v>24000</v>
      </c>
    </row>
    <row r="6878" spans="1:5">
      <c r="A6878" s="2" t="s">
        <v>1478</v>
      </c>
      <c r="B6878" s="2" t="str">
        <f>"010340540"</f>
        <v>010340540</v>
      </c>
      <c r="C6878" s="2" t="str">
        <f>"11402-61861J"</f>
        <v>11402-61861J</v>
      </c>
      <c r="D6878" s="2" t="s">
        <v>8602</v>
      </c>
      <c r="E6878" s="4">
        <v>43000</v>
      </c>
    </row>
    <row r="6879" spans="1:5">
      <c r="A6879" s="2" t="s">
        <v>1478</v>
      </c>
      <c r="B6879" s="2" t="str">
        <f>"281600"</f>
        <v>281600</v>
      </c>
      <c r="C6879" s="2" t="str">
        <f>"281600"</f>
        <v>281600</v>
      </c>
      <c r="D6879" s="2" t="s">
        <v>8603</v>
      </c>
      <c r="E6879" s="4">
        <v>34000</v>
      </c>
    </row>
    <row r="6880" spans="1:5">
      <c r="A6880" s="2" t="s">
        <v>1478</v>
      </c>
      <c r="B6880" s="2" t="str">
        <f>"11189-65850"</f>
        <v>11189-65850</v>
      </c>
      <c r="C6880" s="2" t="str">
        <f>"11189-65850"</f>
        <v>11189-65850</v>
      </c>
      <c r="D6880" s="2" t="s">
        <v>8604</v>
      </c>
      <c r="E6880" s="4">
        <v>23200</v>
      </c>
    </row>
    <row r="6881" spans="1:5">
      <c r="A6881" s="2" t="s">
        <v>1478</v>
      </c>
      <c r="B6881" s="2" t="str">
        <f>"0001313"</f>
        <v>0001313</v>
      </c>
      <c r="C6881" s="2" t="str">
        <f>"0001313"</f>
        <v>0001313</v>
      </c>
      <c r="D6881" s="2" t="s">
        <v>8605</v>
      </c>
      <c r="E6881" s="4">
        <v>25000</v>
      </c>
    </row>
    <row r="6882" spans="1:5">
      <c r="A6882" s="2" t="s">
        <v>1478</v>
      </c>
      <c r="B6882" s="2" t="str">
        <f>"021340019"</f>
        <v>021340019</v>
      </c>
      <c r="C6882" s="2" t="str">
        <f>"021340019"</f>
        <v>021340019</v>
      </c>
      <c r="D6882" s="2" t="s">
        <v>8606</v>
      </c>
      <c r="E6882" s="4">
        <v>11500</v>
      </c>
    </row>
    <row r="6883" spans="1:5">
      <c r="A6883" s="2" t="s">
        <v>1478</v>
      </c>
      <c r="B6883" s="2" t="s">
        <v>8607</v>
      </c>
      <c r="C6883" s="2" t="str">
        <f>"0007369"</f>
        <v>0007369</v>
      </c>
      <c r="D6883" s="2" t="s">
        <v>8608</v>
      </c>
      <c r="E6883" s="4">
        <v>19000</v>
      </c>
    </row>
    <row r="6884" spans="1:5">
      <c r="A6884" s="2" t="s">
        <v>1478</v>
      </c>
      <c r="B6884" s="2" t="str">
        <f>"020340479"</f>
        <v>020340479</v>
      </c>
      <c r="C6884" s="2" t="str">
        <f>"020340479"</f>
        <v>020340479</v>
      </c>
      <c r="D6884" s="2" t="s">
        <v>8609</v>
      </c>
      <c r="E6884" s="4">
        <v>22300</v>
      </c>
    </row>
    <row r="6885" spans="1:5">
      <c r="A6885" s="2" t="s">
        <v>1478</v>
      </c>
      <c r="B6885" s="2" t="str">
        <f>"0001555"</f>
        <v>0001555</v>
      </c>
      <c r="C6885" s="2" t="str">
        <f>"0001555"</f>
        <v>0001555</v>
      </c>
      <c r="D6885" s="2" t="s">
        <v>8610</v>
      </c>
      <c r="E6885" s="4">
        <v>34000</v>
      </c>
    </row>
    <row r="6886" spans="1:5">
      <c r="A6886" s="2" t="s">
        <v>1478</v>
      </c>
      <c r="B6886" s="2" t="s">
        <v>8611</v>
      </c>
      <c r="C6886" s="2" t="s">
        <v>8611</v>
      </c>
      <c r="D6886" s="2" t="s">
        <v>8612</v>
      </c>
      <c r="E6886" s="4">
        <v>115000</v>
      </c>
    </row>
    <row r="6887" spans="1:5">
      <c r="A6887" s="2" t="s">
        <v>1478</v>
      </c>
      <c r="B6887" s="2" t="s">
        <v>8613</v>
      </c>
      <c r="C6887" s="2" t="s">
        <v>8613</v>
      </c>
      <c r="D6887" s="2" t="s">
        <v>8614</v>
      </c>
      <c r="E6887" s="4">
        <v>43000</v>
      </c>
    </row>
    <row r="6888" spans="1:5">
      <c r="A6888" s="2" t="s">
        <v>1478</v>
      </c>
      <c r="B6888" s="2" t="str">
        <f>"020340318"</f>
        <v>020340318</v>
      </c>
      <c r="C6888" s="2" t="str">
        <f>"020340318"</f>
        <v>020340318</v>
      </c>
      <c r="D6888" s="2" t="s">
        <v>8615</v>
      </c>
      <c r="E6888" s="4">
        <v>38500</v>
      </c>
    </row>
    <row r="6889" spans="1:5">
      <c r="A6889" s="2" t="s">
        <v>1478</v>
      </c>
      <c r="B6889" s="2" t="str">
        <f>"020340685"</f>
        <v>020340685</v>
      </c>
      <c r="C6889" s="2" t="str">
        <f>"020340685"</f>
        <v>020340685</v>
      </c>
      <c r="D6889" s="2" t="s">
        <v>8616</v>
      </c>
      <c r="E6889" s="4">
        <v>43000</v>
      </c>
    </row>
    <row r="6890" spans="1:5">
      <c r="A6890" s="2" t="s">
        <v>1478</v>
      </c>
      <c r="B6890" s="2" t="str">
        <f>"0007365"</f>
        <v>0007365</v>
      </c>
      <c r="C6890" s="2" t="str">
        <f>"0007365"</f>
        <v>0007365</v>
      </c>
      <c r="D6890" s="2" t="s">
        <v>8617</v>
      </c>
      <c r="E6890" s="4">
        <v>48000</v>
      </c>
    </row>
    <row r="6891" spans="1:5">
      <c r="A6891" s="2" t="s">
        <v>1478</v>
      </c>
      <c r="B6891" s="2" t="s">
        <v>8618</v>
      </c>
      <c r="C6891" s="2" t="s">
        <v>8618</v>
      </c>
      <c r="D6891" s="2" t="s">
        <v>8619</v>
      </c>
      <c r="E6891" s="4">
        <v>34000</v>
      </c>
    </row>
    <row r="6892" spans="1:5">
      <c r="A6892" s="2" t="s">
        <v>1478</v>
      </c>
      <c r="B6892" s="2" t="str">
        <f>"9958865"</f>
        <v>9958865</v>
      </c>
      <c r="C6892" s="2" t="str">
        <f>"9958865"</f>
        <v>9958865</v>
      </c>
      <c r="D6892" s="2" t="s">
        <v>8620</v>
      </c>
      <c r="E6892" s="4">
        <v>43000</v>
      </c>
    </row>
    <row r="6893" spans="1:5">
      <c r="A6893" s="2" t="s">
        <v>1478</v>
      </c>
      <c r="B6893" s="2" t="str">
        <f>"281392"</f>
        <v>281392</v>
      </c>
      <c r="C6893" s="2" t="str">
        <f>"281392"</f>
        <v>281392</v>
      </c>
      <c r="D6893" s="2" t="s">
        <v>8621</v>
      </c>
      <c r="E6893" s="4">
        <v>8800</v>
      </c>
    </row>
    <row r="6894" spans="1:5">
      <c r="A6894" s="2" t="s">
        <v>1478</v>
      </c>
      <c r="B6894" s="2" t="str">
        <f>"160008"</f>
        <v>160008</v>
      </c>
      <c r="C6894" s="2" t="str">
        <f>"160008"</f>
        <v>160008</v>
      </c>
      <c r="D6894" s="2" t="s">
        <v>8622</v>
      </c>
      <c r="E6894" s="4">
        <v>4800</v>
      </c>
    </row>
    <row r="6895" spans="1:5">
      <c r="A6895" s="2" t="s">
        <v>1478</v>
      </c>
      <c r="B6895" s="2" t="str">
        <f>"010591423"</f>
        <v>010591423</v>
      </c>
      <c r="C6895" s="2" t="str">
        <f>"010591423"</f>
        <v>010591423</v>
      </c>
      <c r="D6895" s="2" t="s">
        <v>8623</v>
      </c>
      <c r="E6895" s="4">
        <v>3400</v>
      </c>
    </row>
    <row r="6896" spans="1:5">
      <c r="A6896" s="2" t="s">
        <v>1478</v>
      </c>
      <c r="B6896" s="2" t="str">
        <f>"286092"</f>
        <v>286092</v>
      </c>
      <c r="C6896" s="2" t="str">
        <f>"286092"</f>
        <v>286092</v>
      </c>
      <c r="D6896" s="2" t="s">
        <v>8624</v>
      </c>
      <c r="E6896" s="4">
        <v>9800</v>
      </c>
    </row>
    <row r="6897" spans="1:5">
      <c r="A6897" s="2" t="s">
        <v>1478</v>
      </c>
      <c r="B6897" s="2" t="str">
        <f>"164087"</f>
        <v>164087</v>
      </c>
      <c r="C6897" s="2" t="str">
        <f>"164087"</f>
        <v>164087</v>
      </c>
      <c r="D6897" s="2" t="s">
        <v>8625</v>
      </c>
      <c r="E6897" s="4">
        <v>8800</v>
      </c>
    </row>
    <row r="6898" spans="1:5">
      <c r="A6898" s="2" t="s">
        <v>1478</v>
      </c>
      <c r="B6898" s="2" t="str">
        <f>"285475"</f>
        <v>285475</v>
      </c>
      <c r="C6898" s="2" t="str">
        <f>"285475"</f>
        <v>285475</v>
      </c>
      <c r="D6898" s="2" t="s">
        <v>8626</v>
      </c>
      <c r="E6898" s="4">
        <v>9700</v>
      </c>
    </row>
    <row r="6899" spans="1:5">
      <c r="A6899" s="2" t="s">
        <v>1478</v>
      </c>
      <c r="B6899" s="2" t="s">
        <v>8627</v>
      </c>
      <c r="C6899" s="2" t="s">
        <v>8627</v>
      </c>
      <c r="D6899" s="2" t="s">
        <v>8628</v>
      </c>
      <c r="E6899" s="4">
        <v>6000</v>
      </c>
    </row>
    <row r="6900" spans="1:5">
      <c r="A6900" s="2" t="s">
        <v>1478</v>
      </c>
      <c r="B6900" s="2" t="str">
        <f>"280095"</f>
        <v>280095</v>
      </c>
      <c r="C6900" s="2" t="str">
        <f>"280095"</f>
        <v>280095</v>
      </c>
      <c r="D6900" s="2" t="s">
        <v>8629</v>
      </c>
      <c r="E6900" s="4">
        <v>9700</v>
      </c>
    </row>
    <row r="6901" spans="1:5">
      <c r="A6901" s="2" t="s">
        <v>1478</v>
      </c>
      <c r="B6901" s="2" t="str">
        <f>"071216"</f>
        <v>071216</v>
      </c>
      <c r="C6901" s="2" t="str">
        <f>"071216"</f>
        <v>071216</v>
      </c>
      <c r="D6901" s="2" t="s">
        <v>8630</v>
      </c>
      <c r="E6901" s="4">
        <v>7000</v>
      </c>
    </row>
    <row r="6902" spans="1:5">
      <c r="A6902" s="2" t="s">
        <v>1478</v>
      </c>
      <c r="B6902" s="2" t="str">
        <f>"198019"</f>
        <v>198019</v>
      </c>
      <c r="C6902" s="2" t="str">
        <f>"198019"</f>
        <v>198019</v>
      </c>
      <c r="D6902" s="2" t="s">
        <v>8631</v>
      </c>
      <c r="E6902" s="4">
        <v>7500</v>
      </c>
    </row>
    <row r="6903" spans="1:5">
      <c r="A6903" s="2" t="s">
        <v>1478</v>
      </c>
      <c r="B6903" s="2" t="str">
        <f>"198145"</f>
        <v>198145</v>
      </c>
      <c r="C6903" s="2" t="str">
        <f>"198114"</f>
        <v>198114</v>
      </c>
      <c r="D6903" s="2" t="s">
        <v>8632</v>
      </c>
      <c r="E6903" s="4">
        <v>9700</v>
      </c>
    </row>
    <row r="6904" spans="1:5">
      <c r="A6904" s="2" t="s">
        <v>1478</v>
      </c>
      <c r="B6904" s="2" t="str">
        <f>"191326"</f>
        <v>191326</v>
      </c>
      <c r="C6904" s="2" t="str">
        <f>"191326"</f>
        <v>191326</v>
      </c>
      <c r="D6904" s="2" t="s">
        <v>8633</v>
      </c>
      <c r="E6904" s="4">
        <v>5500</v>
      </c>
    </row>
    <row r="6905" spans="1:5">
      <c r="A6905" s="2" t="s">
        <v>1478</v>
      </c>
      <c r="B6905" s="2" t="str">
        <f>"110590008"</f>
        <v>110590008</v>
      </c>
      <c r="C6905" s="2" t="str">
        <f>"110590008"</f>
        <v>110590008</v>
      </c>
      <c r="D6905" s="2" t="s">
        <v>8634</v>
      </c>
      <c r="E6905" s="4">
        <v>16000</v>
      </c>
    </row>
    <row r="6906" spans="1:5">
      <c r="A6906" s="2" t="s">
        <v>1478</v>
      </c>
      <c r="B6906" s="2" t="str">
        <f>"071423"</f>
        <v>071423</v>
      </c>
      <c r="C6906" s="2" t="str">
        <f>"071423"</f>
        <v>071423</v>
      </c>
      <c r="D6906" s="2" t="s">
        <v>8635</v>
      </c>
      <c r="E6906" s="4">
        <v>25000</v>
      </c>
    </row>
    <row r="6907" spans="1:5">
      <c r="A6907" s="2" t="s">
        <v>1478</v>
      </c>
      <c r="B6907" s="2" t="str">
        <f>"00105CS"</f>
        <v>00105CS</v>
      </c>
      <c r="C6907" s="2" t="str">
        <f>"00105CS"</f>
        <v>00105CS</v>
      </c>
      <c r="D6907" s="2" t="s">
        <v>8636</v>
      </c>
      <c r="E6907" s="4">
        <v>14200</v>
      </c>
    </row>
    <row r="6908" spans="1:5">
      <c r="A6908" s="2" t="s">
        <v>1478</v>
      </c>
      <c r="B6908" s="2" t="s">
        <v>8637</v>
      </c>
      <c r="C6908" s="2" t="s">
        <v>8637</v>
      </c>
      <c r="D6908" s="2" t="s">
        <v>8638</v>
      </c>
      <c r="E6908" s="4">
        <v>36000</v>
      </c>
    </row>
    <row r="6909" spans="1:5">
      <c r="A6909" s="2" t="s">
        <v>1478</v>
      </c>
      <c r="B6909" s="2" t="str">
        <f>"1143733"</f>
        <v>1143733</v>
      </c>
      <c r="C6909" s="2" t="str">
        <f>"1143733"</f>
        <v>1143733</v>
      </c>
      <c r="D6909" s="2" t="s">
        <v>8639</v>
      </c>
      <c r="E6909" s="4">
        <v>34000</v>
      </c>
    </row>
    <row r="6910" spans="1:5">
      <c r="A6910" s="2" t="s">
        <v>1478</v>
      </c>
      <c r="B6910" s="2" t="str">
        <f>"001115227-9"</f>
        <v>001115227-9</v>
      </c>
      <c r="C6910" s="2" t="str">
        <f>"001115227-9"</f>
        <v>001115227-9</v>
      </c>
      <c r="D6910" s="2" t="s">
        <v>8640</v>
      </c>
      <c r="E6910" s="4">
        <v>38500</v>
      </c>
    </row>
    <row r="6911" spans="1:5">
      <c r="A6911" s="2" t="s">
        <v>1478</v>
      </c>
      <c r="B6911" s="2" t="s">
        <v>8641</v>
      </c>
      <c r="C6911" s="2" t="s">
        <v>8642</v>
      </c>
      <c r="D6911" s="2" t="s">
        <v>8643</v>
      </c>
      <c r="E6911" s="4">
        <v>19000</v>
      </c>
    </row>
    <row r="6912" spans="1:5">
      <c r="A6912" s="2" t="s">
        <v>1478</v>
      </c>
      <c r="B6912" s="2" t="str">
        <f>"164077"</f>
        <v>164077</v>
      </c>
      <c r="C6912" s="2" t="str">
        <f>"164077"</f>
        <v>164077</v>
      </c>
      <c r="D6912" s="2" t="s">
        <v>8644</v>
      </c>
      <c r="E6912" s="4">
        <v>32000</v>
      </c>
    </row>
    <row r="6913" spans="1:5">
      <c r="A6913" s="2" t="s">
        <v>1478</v>
      </c>
      <c r="B6913" s="2" t="str">
        <f>"110590077"</f>
        <v>110590077</v>
      </c>
      <c r="C6913" s="2" t="str">
        <f>"110590077"</f>
        <v>110590077</v>
      </c>
      <c r="D6913" s="2" t="s">
        <v>8645</v>
      </c>
      <c r="E6913" s="4">
        <v>15100</v>
      </c>
    </row>
    <row r="6914" spans="1:5">
      <c r="A6914" s="2" t="s">
        <v>1478</v>
      </c>
      <c r="B6914" s="2" t="str">
        <f>"010590349"</f>
        <v>010590349</v>
      </c>
      <c r="C6914" s="2" t="str">
        <f>"010590349"</f>
        <v>010590349</v>
      </c>
      <c r="D6914" s="2" t="s">
        <v>8646</v>
      </c>
      <c r="E6914" s="4">
        <v>19000</v>
      </c>
    </row>
    <row r="6915" spans="1:5">
      <c r="A6915" s="2" t="s">
        <v>1478</v>
      </c>
      <c r="B6915" s="2" t="str">
        <f>"286976"</f>
        <v>286976</v>
      </c>
      <c r="C6915" s="2" t="str">
        <f>"286976"</f>
        <v>286976</v>
      </c>
      <c r="D6915" s="2" t="s">
        <v>8647</v>
      </c>
      <c r="E6915" s="4">
        <v>24000</v>
      </c>
    </row>
    <row r="6916" spans="1:5">
      <c r="A6916" s="2" t="s">
        <v>1478</v>
      </c>
      <c r="B6916" s="2" t="str">
        <f>"010590063"</f>
        <v>010590063</v>
      </c>
      <c r="C6916" s="2" t="str">
        <f>"010590063"</f>
        <v>010590063</v>
      </c>
      <c r="D6916" s="2" t="s">
        <v>8648</v>
      </c>
      <c r="E6916" s="4">
        <v>18000</v>
      </c>
    </row>
    <row r="6917" spans="1:5">
      <c r="A6917" s="2" t="s">
        <v>1478</v>
      </c>
      <c r="B6917" s="2" t="s">
        <v>8649</v>
      </c>
      <c r="C6917" s="2" t="s">
        <v>8649</v>
      </c>
      <c r="D6917" s="2" t="s">
        <v>8650</v>
      </c>
      <c r="E6917" s="4">
        <v>18000</v>
      </c>
    </row>
    <row r="6918" spans="1:5">
      <c r="A6918" s="2" t="s">
        <v>1478</v>
      </c>
      <c r="B6918" s="2" t="str">
        <f>"160004"</f>
        <v>160004</v>
      </c>
      <c r="C6918" s="2" t="str">
        <f>"160004"</f>
        <v>160004</v>
      </c>
      <c r="D6918" s="2" t="s">
        <v>8651</v>
      </c>
      <c r="E6918" s="4">
        <v>16000</v>
      </c>
    </row>
    <row r="6919" spans="1:5">
      <c r="A6919" s="2" t="s">
        <v>1478</v>
      </c>
      <c r="B6919" s="2" t="str">
        <f>"181950"</f>
        <v>181950</v>
      </c>
      <c r="C6919" s="2" t="str">
        <f>"181950"</f>
        <v>181950</v>
      </c>
      <c r="D6919" s="2" t="s">
        <v>8652</v>
      </c>
      <c r="E6919" s="4">
        <v>11500</v>
      </c>
    </row>
    <row r="6920" spans="1:5">
      <c r="A6920" s="2" t="s">
        <v>1478</v>
      </c>
      <c r="B6920" s="2" t="str">
        <f>"9960824"</f>
        <v>9960824</v>
      </c>
      <c r="C6920" s="2" t="str">
        <f>"9960824"</f>
        <v>9960824</v>
      </c>
      <c r="D6920" s="2" t="s">
        <v>8653</v>
      </c>
      <c r="E6920" s="4">
        <v>14200</v>
      </c>
    </row>
    <row r="6921" spans="1:5">
      <c r="A6921" s="2" t="s">
        <v>1478</v>
      </c>
      <c r="B6921" s="2" t="str">
        <f>"071173"</f>
        <v>071173</v>
      </c>
      <c r="C6921" s="2" t="str">
        <f>"071173"</f>
        <v>071173</v>
      </c>
      <c r="D6921" s="2" t="s">
        <v>8654</v>
      </c>
      <c r="E6921" s="4">
        <v>25000</v>
      </c>
    </row>
    <row r="6922" spans="1:5">
      <c r="A6922" s="2" t="s">
        <v>1478</v>
      </c>
      <c r="B6922" s="2" t="str">
        <f>"0011587"</f>
        <v>0011587</v>
      </c>
      <c r="C6922" s="2" t="str">
        <f>"0011587"</f>
        <v>0011587</v>
      </c>
      <c r="D6922" s="2" t="s">
        <v>8655</v>
      </c>
      <c r="E6922" s="4">
        <v>11500</v>
      </c>
    </row>
    <row r="6923" spans="1:5">
      <c r="A6923" s="2" t="s">
        <v>1478</v>
      </c>
      <c r="B6923" s="2" t="str">
        <f>"171126"</f>
        <v>171126</v>
      </c>
      <c r="C6923" s="2" t="str">
        <f>"171126"</f>
        <v>171126</v>
      </c>
      <c r="D6923" s="2" t="s">
        <v>8656</v>
      </c>
      <c r="E6923" s="4">
        <v>17800</v>
      </c>
    </row>
    <row r="6924" spans="1:5">
      <c r="A6924" s="2" t="s">
        <v>1478</v>
      </c>
      <c r="B6924" s="2" t="str">
        <f>"171127"</f>
        <v>171127</v>
      </c>
      <c r="C6924" s="2" t="str">
        <f>"171127"</f>
        <v>171127</v>
      </c>
      <c r="D6924" s="2" t="s">
        <v>8657</v>
      </c>
      <c r="E6924" s="4">
        <v>19600</v>
      </c>
    </row>
    <row r="6925" spans="1:5">
      <c r="A6925" s="2" t="s">
        <v>1478</v>
      </c>
      <c r="B6925" s="2" t="str">
        <f>"171362"</f>
        <v>171362</v>
      </c>
      <c r="C6925" s="2" t="str">
        <f>"171362"</f>
        <v>171362</v>
      </c>
      <c r="D6925" s="2" t="s">
        <v>8658</v>
      </c>
      <c r="E6925" s="4">
        <v>11900</v>
      </c>
    </row>
    <row r="6926" spans="1:5">
      <c r="A6926" s="2" t="s">
        <v>1478</v>
      </c>
      <c r="B6926" s="2" t="str">
        <f>"280920"</f>
        <v>280920</v>
      </c>
      <c r="C6926" s="2" t="str">
        <f>"280920"</f>
        <v>280920</v>
      </c>
      <c r="D6926" s="2" t="s">
        <v>8659</v>
      </c>
      <c r="E6926" s="4">
        <v>16000</v>
      </c>
    </row>
    <row r="6927" spans="1:5">
      <c r="A6927" s="2" t="s">
        <v>1478</v>
      </c>
      <c r="B6927" s="2" t="str">
        <f>"010590114"</f>
        <v>010590114</v>
      </c>
      <c r="C6927" s="2" t="str">
        <f>"010590114"</f>
        <v>010590114</v>
      </c>
      <c r="D6927" s="2" t="s">
        <v>8660</v>
      </c>
      <c r="E6927" s="4">
        <v>19600</v>
      </c>
    </row>
    <row r="6928" spans="1:5">
      <c r="A6928" s="2" t="s">
        <v>1478</v>
      </c>
      <c r="B6928" s="2" t="str">
        <f>"198160"</f>
        <v>198160</v>
      </c>
      <c r="C6928" s="2" t="str">
        <f>"198160"</f>
        <v>198160</v>
      </c>
      <c r="D6928" s="2" t="s">
        <v>8661</v>
      </c>
      <c r="E6928" s="4">
        <v>14900</v>
      </c>
    </row>
    <row r="6929" spans="1:5">
      <c r="A6929" s="2" t="s">
        <v>1478</v>
      </c>
      <c r="B6929" s="2" t="str">
        <f>"010591092"</f>
        <v>010591092</v>
      </c>
      <c r="C6929" s="2" t="str">
        <f>"010591092"</f>
        <v>010591092</v>
      </c>
      <c r="D6929" s="2" t="s">
        <v>8662</v>
      </c>
      <c r="E6929" s="4">
        <v>19600</v>
      </c>
    </row>
    <row r="6930" spans="1:5">
      <c r="A6930" s="2" t="s">
        <v>1478</v>
      </c>
      <c r="B6930" s="2" t="str">
        <f>"1601233"</f>
        <v>1601233</v>
      </c>
      <c r="C6930" s="2" t="str">
        <f>"1601233"</f>
        <v>1601233</v>
      </c>
      <c r="D6930" s="2" t="s">
        <v>8663</v>
      </c>
      <c r="E6930" s="4">
        <v>16000</v>
      </c>
    </row>
    <row r="6931" spans="1:5">
      <c r="A6931" s="2" t="s">
        <v>1478</v>
      </c>
      <c r="B6931" s="2" t="str">
        <f>"230140"</f>
        <v>230140</v>
      </c>
      <c r="C6931" s="2" t="str">
        <f>"230140"</f>
        <v>230140</v>
      </c>
      <c r="D6931" s="2" t="s">
        <v>8664</v>
      </c>
      <c r="E6931" s="4">
        <v>28600</v>
      </c>
    </row>
    <row r="6932" spans="1:5">
      <c r="A6932" s="2" t="s">
        <v>1478</v>
      </c>
      <c r="B6932" s="2" t="str">
        <f>"010590678"</f>
        <v>010590678</v>
      </c>
      <c r="C6932" s="2" t="str">
        <f>"010590678"</f>
        <v>010590678</v>
      </c>
      <c r="D6932" s="2" t="s">
        <v>8665</v>
      </c>
      <c r="E6932" s="4">
        <v>12400</v>
      </c>
    </row>
    <row r="6933" spans="1:5">
      <c r="A6933" s="2" t="s">
        <v>1478</v>
      </c>
      <c r="B6933" s="2" t="str">
        <f>"280932"</f>
        <v>280932</v>
      </c>
      <c r="C6933" s="2" t="str">
        <f>"280932"</f>
        <v>280932</v>
      </c>
      <c r="D6933" s="2" t="s">
        <v>8666</v>
      </c>
      <c r="E6933" s="4">
        <v>15500</v>
      </c>
    </row>
    <row r="6934" spans="1:5">
      <c r="A6934" s="2" t="s">
        <v>1478</v>
      </c>
      <c r="B6934" s="2" t="str">
        <f>"0097015"</f>
        <v>0097015</v>
      </c>
      <c r="C6934" s="2" t="str">
        <f>"0097015"</f>
        <v>0097015</v>
      </c>
      <c r="D6934" s="2" t="s">
        <v>8667</v>
      </c>
      <c r="E6934" s="4">
        <v>29500</v>
      </c>
    </row>
    <row r="6935" spans="1:5">
      <c r="A6935" s="2" t="s">
        <v>1478</v>
      </c>
      <c r="B6935" s="2" t="str">
        <f>"071421"</f>
        <v>071421</v>
      </c>
      <c r="C6935" s="2" t="str">
        <f>"071421"</f>
        <v>071421</v>
      </c>
      <c r="D6935" s="2" t="s">
        <v>8668</v>
      </c>
      <c r="E6935" s="4">
        <v>18700</v>
      </c>
    </row>
    <row r="6936" spans="1:5">
      <c r="A6936" s="2" t="s">
        <v>1478</v>
      </c>
      <c r="B6936" s="2" t="str">
        <f>"9960832"</f>
        <v>9960832</v>
      </c>
      <c r="C6936" s="2" t="str">
        <f>"9960832"</f>
        <v>9960832</v>
      </c>
      <c r="D6936" s="2" t="s">
        <v>8669</v>
      </c>
      <c r="E6936" s="4">
        <v>21400</v>
      </c>
    </row>
    <row r="6937" spans="1:5">
      <c r="A6937" s="2" t="s">
        <v>1478</v>
      </c>
      <c r="B6937" s="2" t="str">
        <f>"010590331"</f>
        <v>010590331</v>
      </c>
      <c r="C6937" s="2" t="str">
        <f>"010590331"</f>
        <v>010590331</v>
      </c>
      <c r="D6937" s="2" t="s">
        <v>8670</v>
      </c>
      <c r="E6937" s="4">
        <v>18700</v>
      </c>
    </row>
    <row r="6938" spans="1:5">
      <c r="A6938" s="2" t="s">
        <v>1478</v>
      </c>
      <c r="B6938" s="2" t="str">
        <f>"010590350"</f>
        <v>010590350</v>
      </c>
      <c r="C6938" s="2" t="str">
        <f>"010590350"</f>
        <v>010590350</v>
      </c>
      <c r="D6938" s="2" t="s">
        <v>8671</v>
      </c>
      <c r="E6938" s="4">
        <v>18700</v>
      </c>
    </row>
    <row r="6939" spans="1:5">
      <c r="A6939" s="2" t="s">
        <v>1478</v>
      </c>
      <c r="B6939" s="2" t="str">
        <f>"20-068/5"</f>
        <v>20-068/5</v>
      </c>
      <c r="C6939" s="2" t="str">
        <f>"200685"</f>
        <v>200685</v>
      </c>
      <c r="D6939" s="2" t="s">
        <v>8672</v>
      </c>
      <c r="E6939" s="4">
        <v>16500</v>
      </c>
    </row>
    <row r="6940" spans="1:5">
      <c r="A6940" s="2" t="s">
        <v>1478</v>
      </c>
      <c r="B6940" s="2" t="str">
        <f>"1701703"</f>
        <v>1701703</v>
      </c>
      <c r="C6940" s="2" t="str">
        <f>"1701703"</f>
        <v>1701703</v>
      </c>
      <c r="D6940" s="2" t="s">
        <v>8673</v>
      </c>
      <c r="E6940" s="4">
        <v>28600</v>
      </c>
    </row>
    <row r="6941" spans="1:5">
      <c r="A6941" s="2" t="s">
        <v>1478</v>
      </c>
      <c r="B6941" s="2" t="s">
        <v>8674</v>
      </c>
      <c r="C6941" s="2" t="s">
        <v>8674</v>
      </c>
      <c r="D6941" s="2" t="s">
        <v>8675</v>
      </c>
      <c r="E6941" s="4">
        <v>17000</v>
      </c>
    </row>
    <row r="6942" spans="1:5">
      <c r="A6942" s="2" t="s">
        <v>1478</v>
      </c>
      <c r="B6942" s="2" t="str">
        <f>"010590348"</f>
        <v>010590348</v>
      </c>
      <c r="C6942" s="2" t="str">
        <f>"010590348"</f>
        <v>010590348</v>
      </c>
      <c r="D6942" s="2" t="s">
        <v>8676</v>
      </c>
      <c r="E6942" s="4">
        <v>16000</v>
      </c>
    </row>
    <row r="6943" spans="1:5">
      <c r="A6943" s="2" t="s">
        <v>1478</v>
      </c>
      <c r="B6943" s="2" t="str">
        <f>"110590006"</f>
        <v>110590006</v>
      </c>
      <c r="C6943" s="2" t="str">
        <f>"8116478"</f>
        <v>8116478</v>
      </c>
      <c r="D6943" s="2" t="s">
        <v>8677</v>
      </c>
      <c r="E6943" s="4">
        <v>34000</v>
      </c>
    </row>
    <row r="6944" spans="1:5">
      <c r="A6944" s="2" t="s">
        <v>1478</v>
      </c>
      <c r="B6944" s="2" t="str">
        <f>"110590076"</f>
        <v>110590076</v>
      </c>
      <c r="C6944" s="2" t="str">
        <f>"110590076"</f>
        <v>110590076</v>
      </c>
      <c r="D6944" s="2" t="s">
        <v>8678</v>
      </c>
      <c r="E6944" s="4">
        <v>14900</v>
      </c>
    </row>
    <row r="6945" spans="1:5">
      <c r="A6945" s="2" t="s">
        <v>1478</v>
      </c>
      <c r="B6945" s="2" t="str">
        <f>"006283"</f>
        <v>006283</v>
      </c>
      <c r="C6945" s="2" t="str">
        <f>"006283"</f>
        <v>006283</v>
      </c>
      <c r="D6945" s="2" t="s">
        <v>8679</v>
      </c>
      <c r="E6945" s="4">
        <v>19600</v>
      </c>
    </row>
    <row r="6946" spans="1:5">
      <c r="A6946" s="2" t="s">
        <v>1478</v>
      </c>
      <c r="B6946" s="2" t="s">
        <v>8680</v>
      </c>
      <c r="C6946" s="2" t="s">
        <v>8680</v>
      </c>
      <c r="D6946" s="2" t="s">
        <v>8681</v>
      </c>
      <c r="E6946" s="4">
        <v>55000</v>
      </c>
    </row>
    <row r="6947" spans="1:5">
      <c r="A6947" s="2" t="s">
        <v>1478</v>
      </c>
      <c r="B6947" s="2" t="str">
        <f>"8624070"</f>
        <v>8624070</v>
      </c>
      <c r="C6947" s="2" t="str">
        <f>"8624070"</f>
        <v>8624070</v>
      </c>
      <c r="D6947" s="2" t="s">
        <v>8682</v>
      </c>
      <c r="E6947" s="4">
        <v>11500</v>
      </c>
    </row>
    <row r="6948" spans="1:5">
      <c r="A6948" s="2" t="s">
        <v>1478</v>
      </c>
      <c r="B6948" s="2" t="str">
        <f>"35371203"</f>
        <v>35371203</v>
      </c>
      <c r="C6948" s="2" t="str">
        <f>"35371203"</f>
        <v>35371203</v>
      </c>
      <c r="D6948" s="2" t="s">
        <v>8683</v>
      </c>
      <c r="E6948" s="4">
        <v>15800</v>
      </c>
    </row>
    <row r="6949" spans="1:5">
      <c r="A6949" s="2" t="s">
        <v>1478</v>
      </c>
      <c r="B6949" s="2" t="str">
        <f>"4D56"</f>
        <v>4D56</v>
      </c>
      <c r="C6949" s="2" t="str">
        <f>"4D56"</f>
        <v>4D56</v>
      </c>
      <c r="D6949" s="2" t="s">
        <v>8684</v>
      </c>
      <c r="E6949" s="4">
        <v>34800</v>
      </c>
    </row>
    <row r="6950" spans="1:5">
      <c r="A6950" s="2" t="s">
        <v>1478</v>
      </c>
      <c r="B6950" s="2" t="s">
        <v>8685</v>
      </c>
      <c r="C6950" s="2" t="s">
        <v>8685</v>
      </c>
      <c r="D6950" s="2" t="s">
        <v>8686</v>
      </c>
      <c r="E6950" s="4">
        <v>19600</v>
      </c>
    </row>
    <row r="6951" spans="1:5">
      <c r="A6951" s="2" t="s">
        <v>1478</v>
      </c>
      <c r="B6951" s="2" t="str">
        <f>"010591216"</f>
        <v>010591216</v>
      </c>
      <c r="C6951" s="2" t="str">
        <f>"010591216"</f>
        <v>010591216</v>
      </c>
      <c r="D6951" s="2" t="s">
        <v>8687</v>
      </c>
      <c r="E6951" s="4">
        <v>25000</v>
      </c>
    </row>
    <row r="6952" spans="1:5">
      <c r="A6952" s="2" t="s">
        <v>1478</v>
      </c>
      <c r="B6952" s="2" t="str">
        <f>"010591373"</f>
        <v>010591373</v>
      </c>
      <c r="C6952" s="2" t="str">
        <f>"010591373"</f>
        <v>010591373</v>
      </c>
      <c r="D6952" s="2" t="s">
        <v>8688</v>
      </c>
      <c r="E6952" s="4">
        <v>19600</v>
      </c>
    </row>
    <row r="6953" spans="1:5">
      <c r="A6953" s="2" t="s">
        <v>1478</v>
      </c>
      <c r="B6953" s="2" t="str">
        <f>"010590192"</f>
        <v>010590192</v>
      </c>
      <c r="C6953" s="2" t="str">
        <f>"010590192"</f>
        <v>010590192</v>
      </c>
      <c r="D6953" s="2" t="s">
        <v>8665</v>
      </c>
      <c r="E6953" s="4">
        <v>12400</v>
      </c>
    </row>
    <row r="6954" spans="1:5">
      <c r="A6954" s="2" t="s">
        <v>1478</v>
      </c>
      <c r="B6954" s="2" t="str">
        <f>"171320"</f>
        <v>171320</v>
      </c>
      <c r="C6954" s="2" t="str">
        <f>"171320"</f>
        <v>171320</v>
      </c>
      <c r="D6954" s="2" t="s">
        <v>8689</v>
      </c>
      <c r="E6954" s="4">
        <v>9900</v>
      </c>
    </row>
    <row r="6955" spans="1:5">
      <c r="A6955" s="2" t="s">
        <v>1478</v>
      </c>
      <c r="B6955" s="2" t="str">
        <f>"171125"</f>
        <v>171125</v>
      </c>
      <c r="C6955" s="2" t="str">
        <f>"171125"</f>
        <v>171125</v>
      </c>
      <c r="D6955" s="2" t="s">
        <v>8690</v>
      </c>
      <c r="E6955" s="4">
        <v>18700</v>
      </c>
    </row>
    <row r="6956" spans="1:5">
      <c r="A6956" s="2" t="s">
        <v>1478</v>
      </c>
      <c r="B6956" s="2" t="str">
        <f>"0013150052"</f>
        <v>0013150052</v>
      </c>
      <c r="C6956" s="2" t="str">
        <f>"13150052"</f>
        <v>13150052</v>
      </c>
      <c r="D6956" s="2" t="s">
        <v>8691</v>
      </c>
      <c r="E6956" s="4">
        <v>11000</v>
      </c>
    </row>
    <row r="6957" spans="1:5">
      <c r="A6957" s="2" t="s">
        <v>1478</v>
      </c>
      <c r="B6957" s="2" t="str">
        <f>"001215206-K"</f>
        <v>001215206-K</v>
      </c>
      <c r="C6957" s="2" t="str">
        <f>"1215206-K"</f>
        <v>1215206-K</v>
      </c>
      <c r="D6957" s="2" t="s">
        <v>8692</v>
      </c>
      <c r="E6957" s="4">
        <v>24000</v>
      </c>
    </row>
    <row r="6958" spans="1:5">
      <c r="A6958" s="2" t="s">
        <v>1478</v>
      </c>
      <c r="B6958" s="2" t="str">
        <f>"010590817"</f>
        <v>010590817</v>
      </c>
      <c r="C6958" s="2" t="str">
        <f>"010590817"</f>
        <v>010590817</v>
      </c>
      <c r="D6958" s="2" t="s">
        <v>8693</v>
      </c>
      <c r="E6958" s="4">
        <v>25000</v>
      </c>
    </row>
    <row r="6959" spans="1:5">
      <c r="A6959" s="2" t="s">
        <v>1478</v>
      </c>
      <c r="B6959" s="2" t="str">
        <f>"285943"</f>
        <v>285943</v>
      </c>
      <c r="C6959" s="2" t="str">
        <f>"285943"</f>
        <v>285943</v>
      </c>
      <c r="D6959" s="2" t="s">
        <v>8694</v>
      </c>
      <c r="E6959" s="4">
        <v>19600</v>
      </c>
    </row>
    <row r="6960" spans="1:5">
      <c r="A6960" s="2" t="s">
        <v>1478</v>
      </c>
      <c r="B6960" s="2" t="str">
        <f>"286056"</f>
        <v>286056</v>
      </c>
      <c r="C6960" s="2" t="str">
        <f>"286056"</f>
        <v>286056</v>
      </c>
      <c r="D6960" s="2" t="s">
        <v>8695</v>
      </c>
      <c r="E6960" s="4">
        <v>24100</v>
      </c>
    </row>
    <row r="6961" spans="1:5">
      <c r="A6961" s="2" t="s">
        <v>1478</v>
      </c>
      <c r="B6961" s="2" t="s">
        <v>8696</v>
      </c>
      <c r="C6961" s="2" t="s">
        <v>8696</v>
      </c>
      <c r="D6961" s="2" t="s">
        <v>8697</v>
      </c>
      <c r="E6961" s="4">
        <v>22800</v>
      </c>
    </row>
    <row r="6962" spans="1:5">
      <c r="A6962" s="2" t="s">
        <v>1478</v>
      </c>
      <c r="B6962" s="2" t="str">
        <f>"071206"</f>
        <v>071206</v>
      </c>
      <c r="C6962" s="2" t="str">
        <f>"071206"</f>
        <v>071206</v>
      </c>
      <c r="D6962" s="2" t="s">
        <v>8698</v>
      </c>
      <c r="E6962" s="4">
        <v>22900</v>
      </c>
    </row>
    <row r="6963" spans="1:5">
      <c r="A6963" s="2" t="s">
        <v>1478</v>
      </c>
      <c r="B6963" s="2" t="str">
        <f>"198173"</f>
        <v>198173</v>
      </c>
      <c r="C6963" s="2" t="str">
        <f>"198173"</f>
        <v>198173</v>
      </c>
      <c r="D6963" s="2" t="s">
        <v>8699</v>
      </c>
      <c r="E6963" s="4">
        <v>14000</v>
      </c>
    </row>
    <row r="6964" spans="1:5">
      <c r="A6964" s="2" t="s">
        <v>1478</v>
      </c>
      <c r="B6964" s="2" t="str">
        <f>"280937"</f>
        <v>280937</v>
      </c>
      <c r="C6964" s="2" t="str">
        <f>"280937"</f>
        <v>280937</v>
      </c>
      <c r="D6964" s="2" t="s">
        <v>8700</v>
      </c>
      <c r="E6964" s="4">
        <v>10500</v>
      </c>
    </row>
    <row r="6965" spans="1:5">
      <c r="A6965" s="2" t="s">
        <v>1478</v>
      </c>
      <c r="B6965" s="2" t="str">
        <f>"171300"</f>
        <v>171300</v>
      </c>
      <c r="C6965" s="2" t="str">
        <f>"171300"</f>
        <v>171300</v>
      </c>
      <c r="D6965" s="2" t="s">
        <v>8701</v>
      </c>
      <c r="E6965" s="4">
        <v>9500</v>
      </c>
    </row>
    <row r="6966" spans="1:5">
      <c r="A6966" s="2" t="s">
        <v>1478</v>
      </c>
      <c r="B6966" s="2" t="str">
        <f>"198073"</f>
        <v>198073</v>
      </c>
      <c r="C6966" s="2" t="str">
        <f>"198073"</f>
        <v>198073</v>
      </c>
      <c r="D6966" s="2" t="s">
        <v>8702</v>
      </c>
      <c r="E6966" s="4">
        <v>11500</v>
      </c>
    </row>
    <row r="6967" spans="1:5">
      <c r="A6967" s="2" t="s">
        <v>1478</v>
      </c>
      <c r="B6967" s="2" t="str">
        <f>"1601333"</f>
        <v>1601333</v>
      </c>
      <c r="C6967" s="2" t="str">
        <f>"1601333"</f>
        <v>1601333</v>
      </c>
      <c r="D6967" s="2" t="s">
        <v>8703</v>
      </c>
      <c r="E6967" s="4">
        <v>9700</v>
      </c>
    </row>
    <row r="6968" spans="1:5">
      <c r="A6968" s="2" t="s">
        <v>1478</v>
      </c>
      <c r="B6968" s="2" t="str">
        <f>"160019"</f>
        <v>160019</v>
      </c>
      <c r="C6968" s="2" t="str">
        <f>"160019"</f>
        <v>160019</v>
      </c>
      <c r="D6968" s="2" t="s">
        <v>8704</v>
      </c>
      <c r="E6968" s="4">
        <v>14200</v>
      </c>
    </row>
    <row r="6969" spans="1:5">
      <c r="A6969" s="2" t="s">
        <v>1478</v>
      </c>
      <c r="B6969" s="2" t="str">
        <f>"010590068"</f>
        <v>010590068</v>
      </c>
      <c r="C6969" s="2" t="str">
        <f>"010590068"</f>
        <v>010590068</v>
      </c>
      <c r="D6969" s="2" t="s">
        <v>8705</v>
      </c>
      <c r="E6969" s="4">
        <v>10600</v>
      </c>
    </row>
    <row r="6970" spans="1:5">
      <c r="A6970" s="2" t="s">
        <v>1478</v>
      </c>
      <c r="B6970" s="2" t="str">
        <f>"070710"</f>
        <v>070710</v>
      </c>
      <c r="C6970" s="2" t="str">
        <f>"070710"</f>
        <v>070710</v>
      </c>
      <c r="D6970" s="2" t="s">
        <v>8706</v>
      </c>
      <c r="E6970" s="4">
        <v>9700</v>
      </c>
    </row>
    <row r="6971" spans="1:5">
      <c r="A6971" s="2" t="s">
        <v>1478</v>
      </c>
      <c r="B6971" s="2" t="str">
        <f>"010591404"</f>
        <v>010591404</v>
      </c>
      <c r="C6971" s="2" t="str">
        <f>"010591404"</f>
        <v>010591404</v>
      </c>
      <c r="D6971" s="2" t="s">
        <v>8707</v>
      </c>
      <c r="E6971" s="4">
        <v>48400</v>
      </c>
    </row>
    <row r="6972" spans="1:5">
      <c r="A6972" s="2" t="s">
        <v>1478</v>
      </c>
      <c r="B6972" s="2" t="str">
        <f>"0011650"</f>
        <v>0011650</v>
      </c>
      <c r="C6972" s="2" t="str">
        <f>"0011650"</f>
        <v>0011650</v>
      </c>
      <c r="D6972" s="2" t="s">
        <v>8708</v>
      </c>
      <c r="E6972" s="4">
        <v>9700</v>
      </c>
    </row>
    <row r="6973" spans="1:5">
      <c r="A6973" s="2" t="s">
        <v>1478</v>
      </c>
      <c r="B6973" s="2" t="str">
        <f>"110590074"</f>
        <v>110590074</v>
      </c>
      <c r="C6973" s="2" t="str">
        <f>"110590074"</f>
        <v>110590074</v>
      </c>
      <c r="D6973" s="2" t="s">
        <v>8709</v>
      </c>
      <c r="E6973" s="4">
        <v>9700</v>
      </c>
    </row>
    <row r="6974" spans="1:5">
      <c r="A6974" s="2" t="s">
        <v>1478</v>
      </c>
      <c r="B6974" s="2" t="str">
        <f>"110590036"</f>
        <v>110590036</v>
      </c>
      <c r="C6974" s="2" t="str">
        <f>"110590036"</f>
        <v>110590036</v>
      </c>
      <c r="D6974" s="2" t="s">
        <v>8710</v>
      </c>
      <c r="E6974" s="4">
        <v>9700</v>
      </c>
    </row>
    <row r="6975" spans="1:5">
      <c r="A6975" s="2" t="s">
        <v>1478</v>
      </c>
      <c r="B6975" s="2" t="str">
        <f>"071239"</f>
        <v>071239</v>
      </c>
      <c r="C6975" s="2" t="str">
        <f>"071239"</f>
        <v>071239</v>
      </c>
      <c r="D6975" s="2" t="s">
        <v>8711</v>
      </c>
      <c r="E6975" s="4">
        <v>17000</v>
      </c>
    </row>
    <row r="6976" spans="1:5">
      <c r="A6976" s="2" t="s">
        <v>1478</v>
      </c>
      <c r="B6976" s="2" t="str">
        <f>"071428"</f>
        <v>071428</v>
      </c>
      <c r="C6976" s="2" t="str">
        <f>"071428"</f>
        <v>071428</v>
      </c>
      <c r="D6976" s="2" t="s">
        <v>8712</v>
      </c>
      <c r="E6976" s="4">
        <v>14200</v>
      </c>
    </row>
    <row r="6977" spans="1:5">
      <c r="A6977" s="2" t="s">
        <v>1478</v>
      </c>
      <c r="B6977" s="2" t="str">
        <f>"1701683"</f>
        <v>1701683</v>
      </c>
      <c r="C6977" s="2" t="str">
        <f>"1701683"</f>
        <v>1701683</v>
      </c>
      <c r="D6977" s="2" t="s">
        <v>8713</v>
      </c>
      <c r="E6977" s="4">
        <v>10600</v>
      </c>
    </row>
    <row r="6978" spans="1:5">
      <c r="A6978" s="2" t="s">
        <v>1478</v>
      </c>
      <c r="B6978" s="2" t="str">
        <f>"110590072"</f>
        <v>110590072</v>
      </c>
      <c r="C6978" s="2" t="str">
        <f>"110590072"</f>
        <v>110590072</v>
      </c>
      <c r="D6978" s="2" t="s">
        <v>8714</v>
      </c>
      <c r="E6978" s="4">
        <v>10900</v>
      </c>
    </row>
    <row r="6979" spans="1:5">
      <c r="A6979" s="2" t="s">
        <v>1478</v>
      </c>
      <c r="B6979" s="2" t="str">
        <f>"5000000311163"</f>
        <v>5000000311163</v>
      </c>
      <c r="C6979" s="2" t="str">
        <f>"071240"</f>
        <v>071240</v>
      </c>
      <c r="D6979" s="2" t="s">
        <v>8715</v>
      </c>
      <c r="E6979" s="4">
        <v>17800</v>
      </c>
    </row>
    <row r="6980" spans="1:5">
      <c r="A6980" s="2" t="s">
        <v>1478</v>
      </c>
      <c r="B6980" s="2" t="str">
        <f>"001115247-3"</f>
        <v>001115247-3</v>
      </c>
      <c r="C6980" s="2" t="str">
        <f>"001115247-3"</f>
        <v>001115247-3</v>
      </c>
      <c r="D6980" s="2" t="s">
        <v>8053</v>
      </c>
      <c r="E6980" s="4">
        <v>19600</v>
      </c>
    </row>
    <row r="6981" spans="1:5">
      <c r="A6981" s="2" t="s">
        <v>1478</v>
      </c>
      <c r="B6981" s="2" t="str">
        <f>"001115036-5"</f>
        <v>001115036-5</v>
      </c>
      <c r="C6981" s="2" t="str">
        <f>"1671130572660"</f>
        <v>1671130572660</v>
      </c>
      <c r="D6981" s="2" t="s">
        <v>8716</v>
      </c>
      <c r="E6981" s="4">
        <v>11500</v>
      </c>
    </row>
    <row r="6982" spans="1:5">
      <c r="A6982" s="2" t="s">
        <v>1478</v>
      </c>
      <c r="B6982" s="2" t="str">
        <f>"010590685"</f>
        <v>010590685</v>
      </c>
      <c r="C6982" s="2" t="str">
        <f>"010590685"</f>
        <v>010590685</v>
      </c>
      <c r="D6982" s="2" t="s">
        <v>8059</v>
      </c>
      <c r="E6982" s="4">
        <v>9900</v>
      </c>
    </row>
    <row r="6983" spans="1:5">
      <c r="A6983" s="2" t="s">
        <v>1478</v>
      </c>
      <c r="B6983" s="2" t="str">
        <f>"160018"</f>
        <v>160018</v>
      </c>
      <c r="C6983" s="2" t="str">
        <f>"160018"</f>
        <v>160018</v>
      </c>
      <c r="D6983" s="2" t="s">
        <v>8717</v>
      </c>
      <c r="E6983" s="4">
        <v>11500</v>
      </c>
    </row>
    <row r="6984" spans="1:5">
      <c r="A6984" s="2" t="s">
        <v>1478</v>
      </c>
      <c r="B6984" s="2" t="str">
        <f>"001115035-7"</f>
        <v>001115035-7</v>
      </c>
      <c r="C6984" s="2" t="str">
        <f>"00115035-7"</f>
        <v>00115035-7</v>
      </c>
      <c r="D6984" s="2" t="s">
        <v>8717</v>
      </c>
      <c r="E6984" s="4">
        <v>10600</v>
      </c>
    </row>
    <row r="6985" spans="1:5">
      <c r="A6985" s="2" t="s">
        <v>1478</v>
      </c>
      <c r="B6985" s="2" t="str">
        <f>"110590073"</f>
        <v>110590073</v>
      </c>
      <c r="C6985" s="2" t="str">
        <f>"110590073"</f>
        <v>110590073</v>
      </c>
      <c r="D6985" s="2" t="s">
        <v>8718</v>
      </c>
      <c r="E6985" s="4">
        <v>9700</v>
      </c>
    </row>
    <row r="6986" spans="1:5">
      <c r="A6986" s="2" t="s">
        <v>1478</v>
      </c>
      <c r="B6986" s="2" t="str">
        <f>"090440819"</f>
        <v>090440819</v>
      </c>
      <c r="C6986" s="2" t="str">
        <f>"090440819"</f>
        <v>090440819</v>
      </c>
      <c r="D6986" s="2" t="s">
        <v>8719</v>
      </c>
      <c r="E6986" s="4">
        <v>10600</v>
      </c>
    </row>
    <row r="6987" spans="1:5">
      <c r="A6987" s="2" t="s">
        <v>1478</v>
      </c>
      <c r="B6987" s="2" t="str">
        <f>"286877"</f>
        <v>286877</v>
      </c>
      <c r="C6987" s="2" t="str">
        <f>"286877"</f>
        <v>286877</v>
      </c>
      <c r="D6987" s="2" t="s">
        <v>8720</v>
      </c>
      <c r="E6987" s="4">
        <v>9800</v>
      </c>
    </row>
    <row r="6988" spans="1:5">
      <c r="A6988" s="2" t="s">
        <v>1478</v>
      </c>
      <c r="B6988" s="2" t="str">
        <f>"5000000350414"</f>
        <v>5000000350414</v>
      </c>
      <c r="C6988" s="2" t="str">
        <f>"071426"</f>
        <v>071426</v>
      </c>
      <c r="D6988" s="2" t="s">
        <v>8721</v>
      </c>
      <c r="E6988" s="4">
        <v>9700</v>
      </c>
    </row>
    <row r="6989" spans="1:5">
      <c r="A6989" s="2" t="s">
        <v>1478</v>
      </c>
      <c r="B6989" s="2" t="str">
        <f>"287176"</f>
        <v>287176</v>
      </c>
      <c r="C6989" s="2" t="str">
        <f>"287176"</f>
        <v>287176</v>
      </c>
      <c r="D6989" s="2" t="s">
        <v>8722</v>
      </c>
      <c r="E6989" s="4">
        <v>12400</v>
      </c>
    </row>
    <row r="6990" spans="1:5">
      <c r="A6990" s="2" t="s">
        <v>1478</v>
      </c>
      <c r="B6990" s="2" t="str">
        <f>"0028897"</f>
        <v>0028897</v>
      </c>
      <c r="C6990" s="2" t="str">
        <f>"0028897"</f>
        <v>0028897</v>
      </c>
      <c r="D6990" s="2" t="s">
        <v>8723</v>
      </c>
      <c r="E6990" s="4">
        <v>9700</v>
      </c>
    </row>
    <row r="6991" spans="1:5">
      <c r="A6991" s="2" t="s">
        <v>1478</v>
      </c>
      <c r="B6991" s="2" t="str">
        <f>"287554"</f>
        <v>287554</v>
      </c>
      <c r="C6991" s="2" t="str">
        <f>"287554"</f>
        <v>287554</v>
      </c>
      <c r="D6991" s="2" t="s">
        <v>8724</v>
      </c>
      <c r="E6991" s="4">
        <v>24500</v>
      </c>
    </row>
    <row r="6992" spans="1:5">
      <c r="A6992" s="2" t="s">
        <v>1478</v>
      </c>
      <c r="B6992" s="2" t="s">
        <v>8725</v>
      </c>
      <c r="C6992" s="2" t="s">
        <v>8726</v>
      </c>
      <c r="D6992" s="2" t="s">
        <v>8727</v>
      </c>
      <c r="E6992" s="4">
        <v>19000</v>
      </c>
    </row>
    <row r="6993" spans="1:5">
      <c r="A6993" s="2" t="s">
        <v>1478</v>
      </c>
      <c r="B6993" s="2" t="s">
        <v>8728</v>
      </c>
      <c r="C6993" s="2" t="s">
        <v>8728</v>
      </c>
      <c r="D6993" s="2" t="s">
        <v>8729</v>
      </c>
      <c r="E6993" s="4">
        <v>42000</v>
      </c>
    </row>
    <row r="6994" spans="1:5">
      <c r="A6994" s="2" t="s">
        <v>1478</v>
      </c>
      <c r="B6994" s="2" t="str">
        <f>"230106"</f>
        <v>230106</v>
      </c>
      <c r="C6994" s="2" t="str">
        <f>"230106"</f>
        <v>230106</v>
      </c>
      <c r="D6994" s="2" t="s">
        <v>8730</v>
      </c>
      <c r="E6994" s="4">
        <v>9800</v>
      </c>
    </row>
    <row r="6995" spans="1:5">
      <c r="A6995" s="2" t="s">
        <v>1478</v>
      </c>
      <c r="B6995" s="2" t="str">
        <f>"281212"</f>
        <v>281212</v>
      </c>
      <c r="C6995" s="2" t="str">
        <f>"281212"</f>
        <v>281212</v>
      </c>
      <c r="D6995" s="2" t="s">
        <v>8731</v>
      </c>
      <c r="E6995" s="4">
        <v>14000</v>
      </c>
    </row>
    <row r="6996" spans="1:5">
      <c r="A6996" s="2" t="s">
        <v>1478</v>
      </c>
      <c r="B6996" s="2" t="str">
        <f>"001215220-5"</f>
        <v>001215220-5</v>
      </c>
      <c r="C6996" s="2" t="str">
        <f>"001215220-5"</f>
        <v>001215220-5</v>
      </c>
      <c r="D6996" s="2" t="s">
        <v>8732</v>
      </c>
      <c r="E6996" s="4">
        <v>14200</v>
      </c>
    </row>
    <row r="6997" spans="1:5">
      <c r="A6997" s="2" t="s">
        <v>1478</v>
      </c>
      <c r="B6997" s="2" t="str">
        <f>"010590078"</f>
        <v>010590078</v>
      </c>
      <c r="C6997" s="2" t="str">
        <f>"010590078"</f>
        <v>010590078</v>
      </c>
      <c r="D6997" s="2" t="s">
        <v>8733</v>
      </c>
      <c r="E6997" s="4">
        <v>9900</v>
      </c>
    </row>
    <row r="6998" spans="1:5">
      <c r="A6998" s="2" t="s">
        <v>1478</v>
      </c>
      <c r="B6998" s="2" t="str">
        <f>"230126"</f>
        <v>230126</v>
      </c>
      <c r="C6998" s="2" t="str">
        <f>"230126"</f>
        <v>230126</v>
      </c>
      <c r="D6998" s="2" t="s">
        <v>8734</v>
      </c>
      <c r="E6998" s="4">
        <v>11500</v>
      </c>
    </row>
    <row r="6999" spans="1:5">
      <c r="A6999" s="2" t="s">
        <v>1478</v>
      </c>
      <c r="B6999" s="2" t="str">
        <f>"230607"</f>
        <v>230607</v>
      </c>
      <c r="C6999" s="2" t="str">
        <f>"230607"</f>
        <v>230607</v>
      </c>
      <c r="D6999" s="2" t="s">
        <v>8735</v>
      </c>
      <c r="E6999" s="4">
        <v>16000</v>
      </c>
    </row>
    <row r="7000" spans="1:5">
      <c r="A7000" s="2" t="s">
        <v>1478</v>
      </c>
      <c r="B7000" s="2" t="str">
        <f>"286087"</f>
        <v>286087</v>
      </c>
      <c r="C7000" s="2" t="str">
        <f>"286087"</f>
        <v>286087</v>
      </c>
      <c r="D7000" s="2" t="s">
        <v>8736</v>
      </c>
      <c r="E7000" s="4">
        <v>9700</v>
      </c>
    </row>
    <row r="7001" spans="1:5">
      <c r="A7001" s="2" t="s">
        <v>1478</v>
      </c>
      <c r="B7001" s="2" t="str">
        <f>"010591414"</f>
        <v>010591414</v>
      </c>
      <c r="C7001" s="2" t="str">
        <f>"010591414"</f>
        <v>010591414</v>
      </c>
      <c r="D7001" s="2" t="s">
        <v>8737</v>
      </c>
      <c r="E7001" s="4">
        <v>12000</v>
      </c>
    </row>
    <row r="7002" spans="1:5">
      <c r="A7002" s="2" t="s">
        <v>1478</v>
      </c>
      <c r="B7002" s="2" t="str">
        <f>"010590862"</f>
        <v>010590862</v>
      </c>
      <c r="C7002" s="2" t="str">
        <f>"010590862"</f>
        <v>010590862</v>
      </c>
      <c r="D7002" s="2" t="s">
        <v>8738</v>
      </c>
      <c r="E7002" s="4">
        <v>14800</v>
      </c>
    </row>
    <row r="7003" spans="1:5">
      <c r="A7003" s="2" t="s">
        <v>1478</v>
      </c>
      <c r="B7003" s="2" t="str">
        <f>"230135"</f>
        <v>230135</v>
      </c>
      <c r="C7003" s="2" t="str">
        <f>"230135"</f>
        <v>230135</v>
      </c>
      <c r="D7003" s="2" t="s">
        <v>8739</v>
      </c>
      <c r="E7003" s="4">
        <v>14500</v>
      </c>
    </row>
    <row r="7004" spans="1:5">
      <c r="A7004" s="2" t="s">
        <v>1478</v>
      </c>
      <c r="B7004" s="2" t="s">
        <v>8740</v>
      </c>
      <c r="C7004" s="2" t="s">
        <v>8740</v>
      </c>
      <c r="D7004" s="2" t="s">
        <v>8741</v>
      </c>
      <c r="E7004" s="4">
        <v>11500</v>
      </c>
    </row>
    <row r="7005" spans="1:5">
      <c r="A7005" s="2" t="s">
        <v>1478</v>
      </c>
      <c r="B7005" s="2" t="str">
        <f>"10-070/4-A"</f>
        <v>10-070/4-A</v>
      </c>
      <c r="C7005" s="2" t="str">
        <f>"10-070/4 A"</f>
        <v>10-070/4 A</v>
      </c>
      <c r="D7005" s="2" t="s">
        <v>8742</v>
      </c>
      <c r="E7005" s="4">
        <v>8800</v>
      </c>
    </row>
    <row r="7006" spans="1:5">
      <c r="A7006" s="2" t="s">
        <v>1478</v>
      </c>
      <c r="B7006" s="2" t="str">
        <f>"10-069/4"</f>
        <v>10-069/4</v>
      </c>
      <c r="C7006" s="2" t="str">
        <f>"10-069/4"</f>
        <v>10-069/4</v>
      </c>
      <c r="D7006" s="2" t="s">
        <v>8743</v>
      </c>
      <c r="E7006" s="4">
        <v>9800</v>
      </c>
    </row>
    <row r="7007" spans="1:5">
      <c r="A7007" s="2" t="s">
        <v>1478</v>
      </c>
      <c r="B7007" s="2" t="str">
        <f>"181957"</f>
        <v>181957</v>
      </c>
      <c r="C7007" s="2" t="str">
        <f>"181957"</f>
        <v>181957</v>
      </c>
      <c r="D7007" s="2" t="s">
        <v>8744</v>
      </c>
      <c r="E7007" s="4">
        <v>9700</v>
      </c>
    </row>
    <row r="7008" spans="1:5">
      <c r="A7008" s="2" t="s">
        <v>1478</v>
      </c>
      <c r="B7008" s="2" t="str">
        <f>"20100483"</f>
        <v>20100483</v>
      </c>
      <c r="C7008" s="2" t="str">
        <f>"20100483"</f>
        <v>20100483</v>
      </c>
      <c r="D7008" s="2" t="s">
        <v>8745</v>
      </c>
      <c r="E7008" s="4">
        <v>8800</v>
      </c>
    </row>
    <row r="7009" spans="1:5">
      <c r="A7009" s="2" t="s">
        <v>1478</v>
      </c>
      <c r="B7009" s="2" t="str">
        <f>"10-597"</f>
        <v>10-597</v>
      </c>
      <c r="C7009" s="2" t="str">
        <f>"10-597"</f>
        <v>10-597</v>
      </c>
      <c r="D7009" s="2" t="s">
        <v>8746</v>
      </c>
      <c r="E7009" s="4">
        <v>10000</v>
      </c>
    </row>
    <row r="7010" spans="1:5">
      <c r="A7010" s="2" t="s">
        <v>1478</v>
      </c>
      <c r="B7010" s="2" t="str">
        <f>"5 000000 068067"</f>
        <v>5 000000 068067</v>
      </c>
      <c r="C7010" s="2" t="str">
        <f>"171306"</f>
        <v>171306</v>
      </c>
      <c r="D7010" s="2" t="s">
        <v>8747</v>
      </c>
      <c r="E7010" s="4">
        <v>8800</v>
      </c>
    </row>
    <row r="7011" spans="1:5">
      <c r="A7011" s="2" t="s">
        <v>1478</v>
      </c>
      <c r="B7011" s="2" t="str">
        <f>"010590242"</f>
        <v>010590242</v>
      </c>
      <c r="C7011" s="2" t="str">
        <f>"010590242"</f>
        <v>010590242</v>
      </c>
      <c r="D7011" s="2" t="s">
        <v>8748</v>
      </c>
      <c r="E7011" s="4">
        <v>10600</v>
      </c>
    </row>
    <row r="7012" spans="1:5">
      <c r="A7012" s="2" t="s">
        <v>1478</v>
      </c>
      <c r="B7012" s="2" t="str">
        <f>"090970106"</f>
        <v>090970106</v>
      </c>
      <c r="C7012" s="2" t="str">
        <f>"090970106"</f>
        <v>090970106</v>
      </c>
      <c r="D7012" s="2" t="s">
        <v>8749</v>
      </c>
      <c r="E7012" s="4">
        <v>10900</v>
      </c>
    </row>
    <row r="7013" spans="1:5">
      <c r="A7013" s="2" t="s">
        <v>1478</v>
      </c>
      <c r="B7013" s="2" t="str">
        <f>"238001"</f>
        <v>238001</v>
      </c>
      <c r="C7013" s="2" t="str">
        <f>"238001"</f>
        <v>238001</v>
      </c>
      <c r="D7013" s="2" t="s">
        <v>8750</v>
      </c>
      <c r="E7013" s="4">
        <v>10500</v>
      </c>
    </row>
    <row r="7014" spans="1:5">
      <c r="A7014" s="2" t="s">
        <v>1478</v>
      </c>
      <c r="B7014" s="2" t="str">
        <f>"146102"</f>
        <v>146102</v>
      </c>
      <c r="C7014" s="2" t="str">
        <f>"146102"</f>
        <v>146102</v>
      </c>
      <c r="D7014" s="2" t="s">
        <v>8751</v>
      </c>
      <c r="E7014" s="4">
        <v>9000</v>
      </c>
    </row>
    <row r="7015" spans="1:5">
      <c r="A7015" s="2" t="s">
        <v>1478</v>
      </c>
      <c r="B7015" s="2" t="str">
        <f>"171356"</f>
        <v>171356</v>
      </c>
      <c r="C7015" s="2" t="str">
        <f>"171356"</f>
        <v>171356</v>
      </c>
      <c r="D7015" s="2" t="s">
        <v>8752</v>
      </c>
      <c r="E7015" s="4">
        <v>10600</v>
      </c>
    </row>
    <row r="7016" spans="1:5">
      <c r="A7016" s="2" t="s">
        <v>1478</v>
      </c>
      <c r="B7016" s="2" t="str">
        <f>"10-596/4"</f>
        <v>10-596/4</v>
      </c>
      <c r="C7016" s="2" t="str">
        <f>"10-596/4"</f>
        <v>10-596/4</v>
      </c>
      <c r="D7016" s="2" t="s">
        <v>8753</v>
      </c>
      <c r="E7016" s="4">
        <v>10000</v>
      </c>
    </row>
    <row r="7017" spans="1:5">
      <c r="A7017" s="2" t="s">
        <v>1478</v>
      </c>
      <c r="B7017" s="2" t="str">
        <f>"010590254"</f>
        <v>010590254</v>
      </c>
      <c r="C7017" s="2" t="str">
        <f>"010590254"</f>
        <v>010590254</v>
      </c>
      <c r="D7017" s="2" t="s">
        <v>8754</v>
      </c>
      <c r="E7017" s="4">
        <v>10900</v>
      </c>
    </row>
    <row r="7018" spans="1:5">
      <c r="A7018" s="2" t="s">
        <v>1478</v>
      </c>
      <c r="B7018" s="2" t="str">
        <f>"000401241-0"</f>
        <v>000401241-0</v>
      </c>
      <c r="C7018" s="2" t="str">
        <f>"000401241-0"</f>
        <v>000401241-0</v>
      </c>
      <c r="D7018" s="2" t="s">
        <v>8755</v>
      </c>
      <c r="E7018" s="4">
        <v>14200</v>
      </c>
    </row>
    <row r="7019" spans="1:5">
      <c r="A7019" s="2" t="s">
        <v>1478</v>
      </c>
      <c r="B7019" s="2" t="str">
        <f>"0011599"</f>
        <v>0011599</v>
      </c>
      <c r="C7019" s="2" t="str">
        <f>"0011599"</f>
        <v>0011599</v>
      </c>
      <c r="D7019" s="2" t="s">
        <v>8756</v>
      </c>
      <c r="E7019" s="4">
        <v>11500</v>
      </c>
    </row>
    <row r="7020" spans="1:5">
      <c r="A7020" s="2" t="s">
        <v>1478</v>
      </c>
      <c r="B7020" s="2" t="str">
        <f>"285949"</f>
        <v>285949</v>
      </c>
      <c r="C7020" s="2" t="str">
        <f>"285949"</f>
        <v>285949</v>
      </c>
      <c r="D7020" s="2" t="s">
        <v>8757</v>
      </c>
      <c r="E7020" s="4">
        <v>18700</v>
      </c>
    </row>
    <row r="7021" spans="1:5">
      <c r="A7021" s="2" t="s">
        <v>1478</v>
      </c>
      <c r="B7021" s="2" t="str">
        <f>"5000000072262"</f>
        <v>5000000072262</v>
      </c>
      <c r="C7021" s="2" t="str">
        <f>"285948"</f>
        <v>285948</v>
      </c>
      <c r="D7021" s="2" t="s">
        <v>8758</v>
      </c>
      <c r="E7021" s="4">
        <v>16000</v>
      </c>
    </row>
    <row r="7022" spans="1:5">
      <c r="A7022" s="2" t="s">
        <v>1478</v>
      </c>
      <c r="B7022" s="2" t="str">
        <f>"010590187"</f>
        <v>010590187</v>
      </c>
      <c r="C7022" s="2" t="str">
        <f>"010590187"</f>
        <v>010590187</v>
      </c>
      <c r="D7022" s="2" t="s">
        <v>8759</v>
      </c>
      <c r="E7022" s="4">
        <v>9800</v>
      </c>
    </row>
    <row r="7023" spans="1:5">
      <c r="A7023" s="2" t="s">
        <v>1478</v>
      </c>
      <c r="B7023" s="2" t="str">
        <f>"071179"</f>
        <v>071179</v>
      </c>
      <c r="C7023" s="2" t="str">
        <f>"071179"</f>
        <v>071179</v>
      </c>
      <c r="D7023" s="2" t="s">
        <v>8760</v>
      </c>
      <c r="E7023" s="4">
        <v>12400</v>
      </c>
    </row>
    <row r="7024" spans="1:5">
      <c r="A7024" s="2" t="s">
        <v>1478</v>
      </c>
      <c r="B7024" s="2" t="str">
        <f>"071181"</f>
        <v>071181</v>
      </c>
      <c r="C7024" s="2" t="str">
        <f>"071181"</f>
        <v>071181</v>
      </c>
      <c r="D7024" s="2" t="s">
        <v>8761</v>
      </c>
      <c r="E7024" s="4">
        <v>16000</v>
      </c>
    </row>
    <row r="7025" spans="1:5">
      <c r="A7025" s="2" t="s">
        <v>1478</v>
      </c>
      <c r="B7025" s="2" t="str">
        <f>"010590253"</f>
        <v>010590253</v>
      </c>
      <c r="C7025" s="2" t="str">
        <f>"010590253"</f>
        <v>010590253</v>
      </c>
      <c r="D7025" s="2" t="s">
        <v>8762</v>
      </c>
      <c r="E7025" s="4">
        <v>11500</v>
      </c>
    </row>
    <row r="7026" spans="1:5">
      <c r="A7026" s="2" t="s">
        <v>1478</v>
      </c>
      <c r="B7026" s="2" t="str">
        <f>"0100493"</f>
        <v>0100493</v>
      </c>
      <c r="C7026" s="2" t="str">
        <f>"0100493"</f>
        <v>0100493</v>
      </c>
      <c r="D7026" s="2" t="s">
        <v>8763</v>
      </c>
      <c r="E7026" s="4">
        <v>8800</v>
      </c>
    </row>
    <row r="7027" spans="1:5">
      <c r="A7027" s="2" t="s">
        <v>1478</v>
      </c>
      <c r="B7027" s="2" t="str">
        <f>"0011592"</f>
        <v>0011592</v>
      </c>
      <c r="C7027" s="2" t="str">
        <f>"0011592"</f>
        <v>0011592</v>
      </c>
      <c r="D7027" s="2" t="s">
        <v>8764</v>
      </c>
      <c r="E7027" s="4">
        <v>9700</v>
      </c>
    </row>
    <row r="7028" spans="1:5">
      <c r="A7028" s="2" t="s">
        <v>1478</v>
      </c>
      <c r="B7028" s="2" t="str">
        <f>"171132"</f>
        <v>171132</v>
      </c>
      <c r="C7028" s="2" t="str">
        <f>"171132"</f>
        <v>171132</v>
      </c>
      <c r="D7028" s="2" t="s">
        <v>8765</v>
      </c>
      <c r="E7028" s="4">
        <v>18700</v>
      </c>
    </row>
    <row r="7029" spans="1:5">
      <c r="A7029" s="2" t="s">
        <v>1478</v>
      </c>
      <c r="B7029" s="2" t="s">
        <v>8766</v>
      </c>
      <c r="C7029" s="2" t="s">
        <v>8766</v>
      </c>
      <c r="D7029" s="2" t="s">
        <v>8131</v>
      </c>
      <c r="E7029" s="4">
        <v>10600</v>
      </c>
    </row>
    <row r="7030" spans="1:5">
      <c r="A7030" s="2" t="s">
        <v>1478</v>
      </c>
      <c r="B7030" s="2" t="str">
        <f>"9960815"</f>
        <v>9960815</v>
      </c>
      <c r="C7030" s="2" t="str">
        <f>"9960815"</f>
        <v>9960815</v>
      </c>
      <c r="D7030" s="2" t="s">
        <v>8767</v>
      </c>
      <c r="E7030" s="4">
        <v>10600</v>
      </c>
    </row>
    <row r="7031" spans="1:5">
      <c r="A7031" s="2" t="s">
        <v>1478</v>
      </c>
      <c r="B7031" s="2" t="str">
        <f>"001315015-K"</f>
        <v>001315015-K</v>
      </c>
      <c r="C7031" s="2" t="str">
        <f>"1315015-K"</f>
        <v>1315015-K</v>
      </c>
      <c r="D7031" s="2" t="s">
        <v>8768</v>
      </c>
      <c r="E7031" s="4">
        <v>9500</v>
      </c>
    </row>
    <row r="7032" spans="1:5">
      <c r="A7032" s="2" t="s">
        <v>1478</v>
      </c>
      <c r="B7032" s="2" t="str">
        <f>"010590805"</f>
        <v>010590805</v>
      </c>
      <c r="C7032" s="2" t="str">
        <f>"010590805"</f>
        <v>010590805</v>
      </c>
      <c r="D7032" s="2" t="s">
        <v>8769</v>
      </c>
      <c r="E7032" s="4">
        <v>14000</v>
      </c>
    </row>
    <row r="7033" spans="1:5">
      <c r="A7033" s="2" t="s">
        <v>1478</v>
      </c>
      <c r="B7033" s="2" t="str">
        <f>"286061"</f>
        <v>286061</v>
      </c>
      <c r="C7033" s="2" t="str">
        <f>"286061"</f>
        <v>286061</v>
      </c>
      <c r="D7033" s="2" t="s">
        <v>8770</v>
      </c>
      <c r="E7033" s="4">
        <v>14200</v>
      </c>
    </row>
    <row r="7034" spans="1:5">
      <c r="A7034" s="2" t="s">
        <v>1478</v>
      </c>
      <c r="B7034" s="2" t="s">
        <v>8771</v>
      </c>
      <c r="C7034" s="2" t="s">
        <v>8771</v>
      </c>
      <c r="D7034" s="2" t="s">
        <v>8772</v>
      </c>
      <c r="E7034" s="4">
        <v>18800</v>
      </c>
    </row>
    <row r="7035" spans="1:5">
      <c r="A7035" s="2" t="s">
        <v>1478</v>
      </c>
      <c r="B7035" s="2" t="str">
        <f>"280935"</f>
        <v>280935</v>
      </c>
      <c r="C7035" s="2" t="str">
        <f>"280935"</f>
        <v>280935</v>
      </c>
      <c r="D7035" s="2" t="s">
        <v>8773</v>
      </c>
      <c r="E7035" s="4">
        <v>9900</v>
      </c>
    </row>
    <row r="7036" spans="1:5">
      <c r="A7036" s="2" t="s">
        <v>1478</v>
      </c>
      <c r="B7036" s="2" t="str">
        <f>"280103"</f>
        <v>280103</v>
      </c>
      <c r="C7036" s="2" t="str">
        <f>"280103"</f>
        <v>280103</v>
      </c>
      <c r="D7036" s="2" t="s">
        <v>8774</v>
      </c>
      <c r="E7036" s="4">
        <v>10500</v>
      </c>
    </row>
    <row r="7037" spans="1:5">
      <c r="A7037" s="2" t="s">
        <v>1478</v>
      </c>
      <c r="B7037" s="2" t="str">
        <f>"280925"</f>
        <v>280925</v>
      </c>
      <c r="C7037" s="2" t="str">
        <f>"280925"</f>
        <v>280925</v>
      </c>
      <c r="D7037" s="2" t="s">
        <v>8775</v>
      </c>
      <c r="E7037" s="4">
        <v>9500</v>
      </c>
    </row>
    <row r="7038" spans="1:5">
      <c r="A7038" s="2" t="s">
        <v>1478</v>
      </c>
      <c r="B7038" s="2" t="str">
        <f>"198076"</f>
        <v>198076</v>
      </c>
      <c r="C7038" s="2" t="str">
        <f>"198076"</f>
        <v>198076</v>
      </c>
      <c r="D7038" s="2" t="s">
        <v>8776</v>
      </c>
      <c r="E7038" s="4">
        <v>11800</v>
      </c>
    </row>
    <row r="7039" spans="1:5">
      <c r="A7039" s="2" t="s">
        <v>1478</v>
      </c>
      <c r="B7039" s="2" t="str">
        <f>"287073"</f>
        <v>287073</v>
      </c>
      <c r="C7039" s="2" t="str">
        <f>"287073"</f>
        <v>287073</v>
      </c>
      <c r="D7039" s="2" t="s">
        <v>8777</v>
      </c>
      <c r="E7039" s="4">
        <v>14000</v>
      </c>
    </row>
    <row r="7040" spans="1:5">
      <c r="A7040" s="2" t="s">
        <v>1478</v>
      </c>
      <c r="B7040" s="2" t="str">
        <f>"198141"</f>
        <v>198141</v>
      </c>
      <c r="C7040" s="2" t="str">
        <f>"198141"</f>
        <v>198141</v>
      </c>
      <c r="D7040" s="2" t="s">
        <v>8778</v>
      </c>
      <c r="E7040" s="4">
        <v>12900</v>
      </c>
    </row>
    <row r="7041" spans="1:5">
      <c r="A7041" s="2" t="s">
        <v>1478</v>
      </c>
      <c r="B7041" s="2" t="str">
        <f>"191331"</f>
        <v>191331</v>
      </c>
      <c r="C7041" s="2" t="str">
        <f>"191331"</f>
        <v>191331</v>
      </c>
      <c r="D7041" s="2" t="s">
        <v>8779</v>
      </c>
      <c r="E7041" s="4">
        <v>10000</v>
      </c>
    </row>
    <row r="7042" spans="1:5">
      <c r="A7042" s="2" t="s">
        <v>1478</v>
      </c>
      <c r="B7042" s="2" t="str">
        <f>"191332"</f>
        <v>191332</v>
      </c>
      <c r="C7042" s="2" t="str">
        <f>"191332"</f>
        <v>191332</v>
      </c>
      <c r="D7042" s="2" t="s">
        <v>8780</v>
      </c>
      <c r="E7042" s="4">
        <v>9800</v>
      </c>
    </row>
    <row r="7043" spans="1:5">
      <c r="A7043" s="2" t="s">
        <v>1478</v>
      </c>
      <c r="B7043" s="2" t="str">
        <f>"198025"</f>
        <v>198025</v>
      </c>
      <c r="C7043" s="2" t="str">
        <f>"198025"</f>
        <v>198025</v>
      </c>
      <c r="D7043" s="2" t="s">
        <v>8781</v>
      </c>
      <c r="E7043" s="4">
        <v>9700</v>
      </c>
    </row>
    <row r="7044" spans="1:5">
      <c r="A7044" s="2" t="s">
        <v>1478</v>
      </c>
      <c r="B7044" s="2" t="str">
        <f>"198131"</f>
        <v>198131</v>
      </c>
      <c r="C7044" s="2" t="str">
        <f>"198131"</f>
        <v>198131</v>
      </c>
      <c r="D7044" s="2" t="s">
        <v>8782</v>
      </c>
      <c r="E7044" s="4">
        <v>9900</v>
      </c>
    </row>
    <row r="7045" spans="1:5">
      <c r="A7045" s="2" t="s">
        <v>1478</v>
      </c>
      <c r="B7045" s="2" t="str">
        <f>"198177"</f>
        <v>198177</v>
      </c>
      <c r="C7045" s="2" t="str">
        <f>"198177"</f>
        <v>198177</v>
      </c>
      <c r="D7045" s="2" t="s">
        <v>8783</v>
      </c>
      <c r="E7045" s="4">
        <v>15100</v>
      </c>
    </row>
    <row r="7046" spans="1:5">
      <c r="A7046" s="2" t="s">
        <v>1478</v>
      </c>
      <c r="B7046" s="2" t="str">
        <f>"191432"</f>
        <v>191432</v>
      </c>
      <c r="C7046" s="2" t="str">
        <f>"191432"</f>
        <v>191432</v>
      </c>
      <c r="D7046" s="2" t="s">
        <v>8784</v>
      </c>
      <c r="E7046" s="4">
        <v>15900</v>
      </c>
    </row>
    <row r="7047" spans="1:5">
      <c r="A7047" s="2" t="s">
        <v>1478</v>
      </c>
      <c r="B7047" s="2" t="str">
        <f>"198165"</f>
        <v>198165</v>
      </c>
      <c r="C7047" s="2" t="str">
        <f>"198165"</f>
        <v>198165</v>
      </c>
      <c r="D7047" s="2" t="s">
        <v>8785</v>
      </c>
      <c r="E7047" s="4">
        <v>10900</v>
      </c>
    </row>
    <row r="7048" spans="1:5">
      <c r="A7048" s="2" t="s">
        <v>1478</v>
      </c>
      <c r="B7048" s="2" t="str">
        <f>"286275"</f>
        <v>286275</v>
      </c>
      <c r="C7048" s="2" t="str">
        <f>"286275"</f>
        <v>286275</v>
      </c>
      <c r="D7048" s="2" t="s">
        <v>8786</v>
      </c>
      <c r="E7048" s="4">
        <v>19900</v>
      </c>
    </row>
    <row r="7049" spans="1:5">
      <c r="A7049" s="2" t="s">
        <v>1478</v>
      </c>
      <c r="B7049" s="2" t="str">
        <f>"287559"</f>
        <v>287559</v>
      </c>
      <c r="C7049" s="2" t="str">
        <f>"287559"</f>
        <v>287559</v>
      </c>
      <c r="D7049" s="2" t="s">
        <v>8787</v>
      </c>
      <c r="E7049" s="4">
        <v>34000</v>
      </c>
    </row>
    <row r="7050" spans="1:5">
      <c r="A7050" s="2" t="s">
        <v>1478</v>
      </c>
      <c r="B7050" s="2" t="s">
        <v>8788</v>
      </c>
      <c r="C7050" s="2" t="s">
        <v>8788</v>
      </c>
      <c r="D7050" s="2" t="s">
        <v>8789</v>
      </c>
      <c r="E7050" s="4">
        <v>72000</v>
      </c>
    </row>
    <row r="7051" spans="1:5">
      <c r="A7051" s="2" t="s">
        <v>1478</v>
      </c>
      <c r="B7051" s="2" t="str">
        <f>"0011598"</f>
        <v>0011598</v>
      </c>
      <c r="C7051" s="2" t="str">
        <f>"011598"</f>
        <v>011598</v>
      </c>
      <c r="D7051" s="2" t="s">
        <v>8790</v>
      </c>
      <c r="E7051" s="4">
        <v>13400</v>
      </c>
    </row>
    <row r="7052" spans="1:5">
      <c r="A7052" s="2" t="s">
        <v>1478</v>
      </c>
      <c r="B7052" s="2" t="str">
        <f>"280107"</f>
        <v>280107</v>
      </c>
      <c r="C7052" s="2" t="str">
        <f>"280107"</f>
        <v>280107</v>
      </c>
      <c r="D7052" s="2" t="s">
        <v>8791</v>
      </c>
      <c r="E7052" s="4">
        <v>12400</v>
      </c>
    </row>
    <row r="7053" spans="1:5">
      <c r="A7053" s="2" t="s">
        <v>1478</v>
      </c>
      <c r="B7053" s="2" t="str">
        <f>"280101"</f>
        <v>280101</v>
      </c>
      <c r="C7053" s="2" t="str">
        <f>"280101"</f>
        <v>280101</v>
      </c>
      <c r="D7053" s="2" t="s">
        <v>8791</v>
      </c>
      <c r="E7053" s="4">
        <v>10800</v>
      </c>
    </row>
    <row r="7054" spans="1:5">
      <c r="A7054" s="2" t="s">
        <v>1478</v>
      </c>
      <c r="B7054" s="2" t="str">
        <f>"281175"</f>
        <v>281175</v>
      </c>
      <c r="C7054" s="2" t="str">
        <f>"281175"</f>
        <v>281175</v>
      </c>
      <c r="D7054" s="2" t="s">
        <v>8792</v>
      </c>
      <c r="E7054" s="4">
        <v>25000</v>
      </c>
    </row>
    <row r="7055" spans="1:5">
      <c r="A7055" s="2" t="s">
        <v>4493</v>
      </c>
      <c r="B7055" s="2" t="str">
        <f>"0001676"</f>
        <v>0001676</v>
      </c>
      <c r="C7055" s="2" t="str">
        <f>"0001676"</f>
        <v>0001676</v>
      </c>
      <c r="D7055" s="2" t="s">
        <v>8793</v>
      </c>
      <c r="E7055" s="4">
        <v>25000</v>
      </c>
    </row>
    <row r="7056" spans="1:5">
      <c r="A7056" s="2" t="s">
        <v>4493</v>
      </c>
      <c r="B7056" s="2" t="s">
        <v>8794</v>
      </c>
      <c r="C7056" s="2" t="s">
        <v>8794</v>
      </c>
      <c r="D7056" s="2" t="s">
        <v>8795</v>
      </c>
      <c r="E7056" s="4">
        <v>32200</v>
      </c>
    </row>
    <row r="7057" spans="1:5">
      <c r="A7057" s="2" t="s">
        <v>4493</v>
      </c>
      <c r="B7057" s="2" t="s">
        <v>8796</v>
      </c>
      <c r="C7057" s="2" t="s">
        <v>8796</v>
      </c>
      <c r="D7057" s="2" t="s">
        <v>8797</v>
      </c>
      <c r="E7057" s="4">
        <v>19600</v>
      </c>
    </row>
    <row r="7058" spans="1:5">
      <c r="A7058" s="2" t="s">
        <v>4493</v>
      </c>
      <c r="B7058" s="2" t="str">
        <f>"190108M"</f>
        <v>190108M</v>
      </c>
      <c r="C7058" s="2" t="str">
        <f>"1900108M"</f>
        <v>1900108M</v>
      </c>
      <c r="D7058" s="2" t="s">
        <v>8798</v>
      </c>
      <c r="E7058" s="4">
        <v>28600</v>
      </c>
    </row>
    <row r="7059" spans="1:5">
      <c r="A7059" s="2" t="s">
        <v>4493</v>
      </c>
      <c r="B7059" s="2" t="str">
        <f>"9954185"</f>
        <v>9954185</v>
      </c>
      <c r="C7059" s="2" t="str">
        <f>"9954185"</f>
        <v>9954185</v>
      </c>
      <c r="D7059" s="2" t="s">
        <v>8799</v>
      </c>
      <c r="E7059" s="4">
        <v>25000</v>
      </c>
    </row>
    <row r="7060" spans="1:5">
      <c r="A7060" s="2" t="s">
        <v>4493</v>
      </c>
      <c r="B7060" s="2" t="str">
        <f>"9950130"</f>
        <v>9950130</v>
      </c>
      <c r="C7060" s="2" t="str">
        <f>"9950130"</f>
        <v>9950130</v>
      </c>
      <c r="D7060" s="2" t="s">
        <v>8800</v>
      </c>
      <c r="E7060" s="4">
        <v>18700</v>
      </c>
    </row>
    <row r="7061" spans="1:5">
      <c r="A7061" s="2" t="s">
        <v>4493</v>
      </c>
      <c r="B7061" s="2" t="str">
        <f>"9954207"</f>
        <v>9954207</v>
      </c>
      <c r="C7061" s="2" t="str">
        <f>"9954207"</f>
        <v>9954207</v>
      </c>
      <c r="D7061" s="2" t="s">
        <v>8801</v>
      </c>
      <c r="E7061" s="4">
        <v>19600</v>
      </c>
    </row>
    <row r="7062" spans="1:5">
      <c r="A7062" s="2" t="s">
        <v>4493</v>
      </c>
      <c r="B7062" s="2" t="str">
        <f>"9950129"</f>
        <v>9950129</v>
      </c>
      <c r="C7062" s="2" t="str">
        <f>"9950129"</f>
        <v>9950129</v>
      </c>
      <c r="D7062" s="2" t="s">
        <v>8802</v>
      </c>
      <c r="E7062" s="4">
        <v>14200</v>
      </c>
    </row>
    <row r="7063" spans="1:5">
      <c r="A7063" s="2" t="s">
        <v>4493</v>
      </c>
      <c r="B7063" s="2" t="str">
        <f>"9954196"</f>
        <v>9954196</v>
      </c>
      <c r="C7063" s="2" t="str">
        <f>"9954196"</f>
        <v>9954196</v>
      </c>
      <c r="D7063" s="2" t="s">
        <v>8802</v>
      </c>
      <c r="E7063" s="4">
        <v>19600</v>
      </c>
    </row>
    <row r="7064" spans="1:5">
      <c r="A7064" s="2" t="s">
        <v>4493</v>
      </c>
      <c r="B7064" s="2" t="str">
        <f>"237003"</f>
        <v>237003</v>
      </c>
      <c r="C7064" s="2" t="str">
        <f>"237003"</f>
        <v>237003</v>
      </c>
      <c r="D7064" s="2" t="s">
        <v>8803</v>
      </c>
      <c r="E7064" s="4">
        <v>8800</v>
      </c>
    </row>
    <row r="7065" spans="1:5">
      <c r="A7065" s="2" t="s">
        <v>4493</v>
      </c>
      <c r="B7065" s="2" t="s">
        <v>8804</v>
      </c>
      <c r="C7065" s="2" t="s">
        <v>8804</v>
      </c>
      <c r="D7065" s="2" t="s">
        <v>8805</v>
      </c>
      <c r="E7065" s="4">
        <v>24900</v>
      </c>
    </row>
    <row r="7066" spans="1:5">
      <c r="A7066" s="2" t="s">
        <v>4493</v>
      </c>
      <c r="B7066" s="2" t="s">
        <v>8806</v>
      </c>
      <c r="C7066" s="2" t="s">
        <v>8807</v>
      </c>
      <c r="D7066" s="2" t="s">
        <v>8808</v>
      </c>
      <c r="E7066" s="4">
        <v>18000</v>
      </c>
    </row>
    <row r="7067" spans="1:5">
      <c r="A7067" s="2" t="s">
        <v>4493</v>
      </c>
      <c r="B7067" s="2" t="str">
        <f>"0145878"</f>
        <v>0145878</v>
      </c>
      <c r="C7067" s="2" t="str">
        <f>"0145878"</f>
        <v>0145878</v>
      </c>
      <c r="D7067" s="2" t="s">
        <v>8809</v>
      </c>
      <c r="E7067" s="4">
        <v>36500</v>
      </c>
    </row>
    <row r="7068" spans="1:5">
      <c r="A7068" s="2" t="s">
        <v>4493</v>
      </c>
      <c r="B7068" s="2" t="s">
        <v>8810</v>
      </c>
      <c r="C7068" s="2" t="s">
        <v>8811</v>
      </c>
      <c r="D7068" s="2" t="s">
        <v>8812</v>
      </c>
      <c r="E7068" s="4">
        <v>12400</v>
      </c>
    </row>
    <row r="7069" spans="1:5">
      <c r="A7069" s="2" t="s">
        <v>4493</v>
      </c>
      <c r="B7069" s="2" t="str">
        <f>"0000596"</f>
        <v>0000596</v>
      </c>
      <c r="C7069" s="2" t="str">
        <f>"0000596"</f>
        <v>0000596</v>
      </c>
      <c r="D7069" s="2" t="s">
        <v>8813</v>
      </c>
      <c r="E7069" s="4">
        <v>13300</v>
      </c>
    </row>
    <row r="7070" spans="1:5">
      <c r="A7070" s="2" t="s">
        <v>4493</v>
      </c>
      <c r="B7070" s="2" t="str">
        <f>"0154347"</f>
        <v>0154347</v>
      </c>
      <c r="C7070" s="2" t="str">
        <f>"0154347"</f>
        <v>0154347</v>
      </c>
      <c r="D7070" s="2" t="s">
        <v>8814</v>
      </c>
      <c r="E7070" s="4">
        <v>12400</v>
      </c>
    </row>
    <row r="7071" spans="1:5">
      <c r="A7071" s="2" t="s">
        <v>4493</v>
      </c>
      <c r="B7071" s="2" t="str">
        <f>"9951560"</f>
        <v>9951560</v>
      </c>
      <c r="C7071" s="2" t="str">
        <f>"9951560"</f>
        <v>9951560</v>
      </c>
      <c r="D7071" s="2" t="s">
        <v>8815</v>
      </c>
      <c r="E7071" s="4">
        <v>18700</v>
      </c>
    </row>
    <row r="7072" spans="1:5">
      <c r="A7072" s="2" t="s">
        <v>4493</v>
      </c>
      <c r="B7072" s="2" t="str">
        <f>"9950131"</f>
        <v>9950131</v>
      </c>
      <c r="C7072" s="2" t="str">
        <f>"9950131"</f>
        <v>9950131</v>
      </c>
      <c r="D7072" s="2" t="s">
        <v>8816</v>
      </c>
      <c r="E7072" s="4">
        <v>16000</v>
      </c>
    </row>
    <row r="7073" spans="1:5">
      <c r="A7073" s="2" t="s">
        <v>4493</v>
      </c>
      <c r="B7073" s="2" t="str">
        <f>"0007603"</f>
        <v>0007603</v>
      </c>
      <c r="C7073" s="2" t="str">
        <f>"9954222"</f>
        <v>9954222</v>
      </c>
      <c r="D7073" s="2" t="s">
        <v>8817</v>
      </c>
      <c r="E7073" s="4">
        <v>19600</v>
      </c>
    </row>
    <row r="7074" spans="1:5">
      <c r="A7074" s="2" t="s">
        <v>4493</v>
      </c>
      <c r="B7074" s="2" t="s">
        <v>8818</v>
      </c>
      <c r="C7074" s="2" t="str">
        <f>"9954227"</f>
        <v>9954227</v>
      </c>
      <c r="D7074" s="2" t="s">
        <v>8819</v>
      </c>
      <c r="E7074" s="4">
        <v>38500</v>
      </c>
    </row>
    <row r="7075" spans="1:5">
      <c r="A7075" s="2" t="s">
        <v>4493</v>
      </c>
      <c r="B7075" s="2" t="str">
        <f>"906322-6"</f>
        <v>906322-6</v>
      </c>
      <c r="C7075" s="2" t="str">
        <f>"906322-6"</f>
        <v>906322-6</v>
      </c>
      <c r="D7075" s="2" t="s">
        <v>8820</v>
      </c>
      <c r="E7075" s="4">
        <v>18700</v>
      </c>
    </row>
    <row r="7076" spans="1:5">
      <c r="A7076" s="2" t="s">
        <v>4493</v>
      </c>
      <c r="B7076" s="2" t="str">
        <f>"071630099"</f>
        <v>071630099</v>
      </c>
      <c r="C7076" s="2" t="str">
        <f>"071630099"</f>
        <v>071630099</v>
      </c>
      <c r="D7076" s="2" t="s">
        <v>8821</v>
      </c>
      <c r="E7076" s="4">
        <v>19900</v>
      </c>
    </row>
    <row r="7077" spans="1:5">
      <c r="A7077" s="2" t="s">
        <v>4493</v>
      </c>
      <c r="B7077" s="2" t="str">
        <f>"9954230"</f>
        <v>9954230</v>
      </c>
      <c r="C7077" s="2" t="str">
        <f>"9954230"</f>
        <v>9954230</v>
      </c>
      <c r="D7077" s="2" t="s">
        <v>8822</v>
      </c>
      <c r="E7077" s="4">
        <v>19600</v>
      </c>
    </row>
    <row r="7078" spans="1:5">
      <c r="A7078" s="2" t="s">
        <v>4493</v>
      </c>
      <c r="B7078" s="2" t="s">
        <v>8823</v>
      </c>
      <c r="C7078" s="2" t="s">
        <v>8823</v>
      </c>
      <c r="D7078" s="2" t="s">
        <v>8824</v>
      </c>
      <c r="E7078" s="4">
        <v>38500</v>
      </c>
    </row>
    <row r="7079" spans="1:5">
      <c r="A7079" s="2" t="s">
        <v>4493</v>
      </c>
      <c r="B7079" s="2" t="str">
        <f>"283982"</f>
        <v>283982</v>
      </c>
      <c r="C7079" s="2" t="str">
        <f>"283982"</f>
        <v>283982</v>
      </c>
      <c r="D7079" s="2" t="s">
        <v>8825</v>
      </c>
      <c r="E7079" s="4">
        <v>34000</v>
      </c>
    </row>
    <row r="7080" spans="1:5">
      <c r="A7080" s="2" t="s">
        <v>4493</v>
      </c>
      <c r="B7080" s="2" t="str">
        <f>"0031608"</f>
        <v>0031608</v>
      </c>
      <c r="C7080" s="2" t="str">
        <f>"0031608"</f>
        <v>0031608</v>
      </c>
      <c r="D7080" s="2" t="s">
        <v>8826</v>
      </c>
      <c r="E7080" s="4">
        <v>28000</v>
      </c>
    </row>
    <row r="7081" spans="1:5">
      <c r="A7081" s="2" t="s">
        <v>4493</v>
      </c>
      <c r="B7081" s="2" t="s">
        <v>8827</v>
      </c>
      <c r="C7081" s="2" t="s">
        <v>8827</v>
      </c>
      <c r="D7081" s="2" t="s">
        <v>8828</v>
      </c>
      <c r="E7081" s="4">
        <v>12000</v>
      </c>
    </row>
    <row r="7082" spans="1:5">
      <c r="A7082" s="2" t="s">
        <v>4493</v>
      </c>
      <c r="B7082" s="2" t="str">
        <f>"013528"</f>
        <v>013528</v>
      </c>
      <c r="C7082" s="2" t="str">
        <f>"013528"</f>
        <v>013528</v>
      </c>
      <c r="D7082" s="2" t="s">
        <v>8829</v>
      </c>
      <c r="E7082" s="4">
        <v>29000</v>
      </c>
    </row>
    <row r="7083" spans="1:5">
      <c r="A7083" s="2" t="s">
        <v>4493</v>
      </c>
      <c r="B7083" s="2" t="s">
        <v>8830</v>
      </c>
      <c r="C7083" s="2" t="s">
        <v>8830</v>
      </c>
      <c r="D7083" s="2" t="s">
        <v>8831</v>
      </c>
      <c r="E7083" s="4">
        <v>23000</v>
      </c>
    </row>
    <row r="7084" spans="1:5">
      <c r="A7084" s="2" t="s">
        <v>4493</v>
      </c>
      <c r="B7084" s="2" t="str">
        <f>"0000597"</f>
        <v>0000597</v>
      </c>
      <c r="C7084" s="2" t="str">
        <f>"0000597"</f>
        <v>0000597</v>
      </c>
      <c r="D7084" s="2" t="s">
        <v>8832</v>
      </c>
      <c r="E7084" s="4">
        <v>18700</v>
      </c>
    </row>
    <row r="7085" spans="1:5">
      <c r="A7085" s="2" t="s">
        <v>4493</v>
      </c>
      <c r="B7085" s="2" t="s">
        <v>8833</v>
      </c>
      <c r="C7085" s="2" t="s">
        <v>8833</v>
      </c>
      <c r="D7085" s="2" t="s">
        <v>8834</v>
      </c>
      <c r="E7085" s="4">
        <v>16000</v>
      </c>
    </row>
    <row r="7086" spans="1:5">
      <c r="A7086" s="2" t="s">
        <v>4493</v>
      </c>
      <c r="B7086" s="2" t="str">
        <f>"457013"</f>
        <v>457013</v>
      </c>
      <c r="C7086" s="2" t="s">
        <v>8835</v>
      </c>
      <c r="D7086" s="2" t="s">
        <v>8836</v>
      </c>
      <c r="E7086" s="4">
        <v>9000</v>
      </c>
    </row>
    <row r="7087" spans="1:5">
      <c r="A7087" s="2" t="s">
        <v>4493</v>
      </c>
      <c r="B7087" s="2" t="str">
        <f>"9954215"</f>
        <v>9954215</v>
      </c>
      <c r="C7087" s="2" t="str">
        <f>"9954215"</f>
        <v>9954215</v>
      </c>
      <c r="D7087" s="2" t="s">
        <v>8837</v>
      </c>
      <c r="E7087" s="4">
        <v>18700</v>
      </c>
    </row>
    <row r="7088" spans="1:5">
      <c r="A7088" s="2" t="s">
        <v>4493</v>
      </c>
      <c r="B7088" s="2" t="s">
        <v>8838</v>
      </c>
      <c r="C7088" s="2" t="s">
        <v>8839</v>
      </c>
      <c r="D7088" s="2" t="s">
        <v>8840</v>
      </c>
      <c r="E7088" s="4">
        <v>9700</v>
      </c>
    </row>
    <row r="7089" spans="1:5">
      <c r="A7089" s="2" t="s">
        <v>4493</v>
      </c>
      <c r="B7089" s="2" t="s">
        <v>8841</v>
      </c>
      <c r="C7089" s="2" t="s">
        <v>8841</v>
      </c>
      <c r="D7089" s="2" t="s">
        <v>8842</v>
      </c>
      <c r="E7089" s="4">
        <v>18500</v>
      </c>
    </row>
    <row r="7090" spans="1:5">
      <c r="A7090" s="2" t="s">
        <v>4493</v>
      </c>
      <c r="B7090" s="2" t="str">
        <f>"638000"</f>
        <v>638000</v>
      </c>
      <c r="C7090" s="2" t="str">
        <f>"638000"</f>
        <v>638000</v>
      </c>
      <c r="D7090" s="2" t="s">
        <v>8843</v>
      </c>
      <c r="E7090" s="4">
        <v>7000</v>
      </c>
    </row>
    <row r="7091" spans="1:5">
      <c r="A7091" s="2" t="s">
        <v>4493</v>
      </c>
      <c r="B7091" s="2" t="s">
        <v>8844</v>
      </c>
      <c r="C7091" s="2" t="s">
        <v>8844</v>
      </c>
      <c r="D7091" s="2" t="s">
        <v>8845</v>
      </c>
      <c r="E7091" s="4">
        <v>38000</v>
      </c>
    </row>
    <row r="7092" spans="1:5">
      <c r="A7092" s="2" t="s">
        <v>4493</v>
      </c>
      <c r="B7092" s="2" t="s">
        <v>8846</v>
      </c>
      <c r="C7092" s="2" t="s">
        <v>8846</v>
      </c>
      <c r="D7092" s="2" t="s">
        <v>8847</v>
      </c>
      <c r="E7092" s="4">
        <v>11500</v>
      </c>
    </row>
    <row r="7093" spans="1:5">
      <c r="A7093" s="2" t="s">
        <v>4493</v>
      </c>
      <c r="B7093" s="2" t="str">
        <f>"906916-K"</f>
        <v>906916-K</v>
      </c>
      <c r="C7093" s="2" t="str">
        <f>"906916-K"</f>
        <v>906916-K</v>
      </c>
      <c r="D7093" s="2" t="s">
        <v>8848</v>
      </c>
      <c r="E7093" s="4">
        <v>25000</v>
      </c>
    </row>
    <row r="7094" spans="1:5">
      <c r="A7094" s="2" t="s">
        <v>1478</v>
      </c>
      <c r="B7094" s="2" t="str">
        <f>"020650481"</f>
        <v>020650481</v>
      </c>
      <c r="C7094" s="2" t="str">
        <f>"4GE1"</f>
        <v>4GE1</v>
      </c>
      <c r="D7094" s="2" t="s">
        <v>8849</v>
      </c>
      <c r="E7094" s="4">
        <v>48400</v>
      </c>
    </row>
    <row r="7095" spans="1:5">
      <c r="A7095" s="2" t="s">
        <v>1478</v>
      </c>
      <c r="B7095" s="2" t="str">
        <f>"10798-0"</f>
        <v>10798-0</v>
      </c>
      <c r="C7095" s="2" t="str">
        <f>"10798-0"</f>
        <v>10798-0</v>
      </c>
      <c r="D7095" s="2" t="s">
        <v>8850</v>
      </c>
      <c r="E7095" s="4">
        <v>48300</v>
      </c>
    </row>
    <row r="7096" spans="1:5">
      <c r="A7096" s="2" t="s">
        <v>1478</v>
      </c>
      <c r="B7096" s="2" t="str">
        <f>"7871385"</f>
        <v>7871385</v>
      </c>
      <c r="C7096" s="2" t="str">
        <f>"7871385"</f>
        <v>7871385</v>
      </c>
      <c r="D7096" s="2" t="s">
        <v>8851</v>
      </c>
      <c r="E7096" s="4">
        <v>130000</v>
      </c>
    </row>
    <row r="7097" spans="1:5">
      <c r="A7097" s="2" t="s">
        <v>1478</v>
      </c>
      <c r="B7097" s="2" t="str">
        <f>"001118346-8"</f>
        <v>001118346-8</v>
      </c>
      <c r="C7097" s="2" t="str">
        <f>"001118346-8"</f>
        <v>001118346-8</v>
      </c>
      <c r="D7097" s="2" t="s">
        <v>8852</v>
      </c>
      <c r="E7097" s="4">
        <v>430000</v>
      </c>
    </row>
    <row r="7098" spans="1:5">
      <c r="A7098" s="2" t="s">
        <v>1478</v>
      </c>
      <c r="B7098" s="2" t="str">
        <f>"11076-0"</f>
        <v>11076-0</v>
      </c>
      <c r="C7098" s="2" t="str">
        <f>"11076-0"</f>
        <v>11076-0</v>
      </c>
      <c r="D7098" s="2" t="s">
        <v>8853</v>
      </c>
      <c r="E7098" s="4">
        <v>49000</v>
      </c>
    </row>
    <row r="7099" spans="1:5">
      <c r="A7099" s="2" t="s">
        <v>1478</v>
      </c>
      <c r="B7099" s="2" t="str">
        <f>"10809-K"</f>
        <v>10809-K</v>
      </c>
      <c r="C7099" s="2" t="str">
        <f>"10809-K"</f>
        <v>10809-K</v>
      </c>
      <c r="D7099" s="2" t="s">
        <v>8854</v>
      </c>
      <c r="E7099" s="4">
        <v>59000</v>
      </c>
    </row>
    <row r="7100" spans="1:5">
      <c r="A7100" s="2" t="s">
        <v>1478</v>
      </c>
      <c r="B7100" s="2" t="str">
        <f>"284571"</f>
        <v>284571</v>
      </c>
      <c r="C7100" s="2" t="str">
        <f>"284571"</f>
        <v>284571</v>
      </c>
      <c r="D7100" s="2" t="s">
        <v>8855</v>
      </c>
      <c r="E7100" s="4">
        <v>52000</v>
      </c>
    </row>
    <row r="7101" spans="1:5">
      <c r="A7101" s="2" t="s">
        <v>1478</v>
      </c>
      <c r="B7101" s="2" t="str">
        <f>"1602138"</f>
        <v>1602138</v>
      </c>
      <c r="C7101" s="2" t="str">
        <f>"1602138"</f>
        <v>1602138</v>
      </c>
      <c r="D7101" s="2" t="s">
        <v>8856</v>
      </c>
      <c r="E7101" s="4">
        <v>52000</v>
      </c>
    </row>
    <row r="7102" spans="1:5">
      <c r="A7102" s="2" t="s">
        <v>1478</v>
      </c>
      <c r="B7102" s="2" t="str">
        <f>"060650493"</f>
        <v>060650493</v>
      </c>
      <c r="C7102" s="2" t="str">
        <f>"060650493"</f>
        <v>060650493</v>
      </c>
      <c r="D7102" s="2" t="s">
        <v>8856</v>
      </c>
      <c r="E7102" s="4">
        <v>52000</v>
      </c>
    </row>
    <row r="7103" spans="1:5">
      <c r="A7103" s="2" t="s">
        <v>1478</v>
      </c>
      <c r="B7103" s="2" t="str">
        <f>"080830244"</f>
        <v>080830244</v>
      </c>
      <c r="C7103" s="2" t="str">
        <f>"080830244"</f>
        <v>080830244</v>
      </c>
      <c r="D7103" s="2" t="s">
        <v>8857</v>
      </c>
      <c r="E7103" s="4">
        <v>70000</v>
      </c>
    </row>
    <row r="7104" spans="1:5">
      <c r="A7104" s="2" t="s">
        <v>1478</v>
      </c>
      <c r="B7104" s="2" t="str">
        <f>"160307"</f>
        <v>160307</v>
      </c>
      <c r="C7104" s="2" t="str">
        <f>"160307"</f>
        <v>160307</v>
      </c>
      <c r="D7104" s="2" t="s">
        <v>8858</v>
      </c>
      <c r="E7104" s="4">
        <v>88000</v>
      </c>
    </row>
    <row r="7105" spans="1:5">
      <c r="A7105" s="2" t="s">
        <v>1478</v>
      </c>
      <c r="B7105" s="2" t="str">
        <f>"1616148"</f>
        <v>1616148</v>
      </c>
      <c r="C7105" s="2" t="str">
        <f>"161648"</f>
        <v>161648</v>
      </c>
      <c r="D7105" s="2" t="s">
        <v>8859</v>
      </c>
      <c r="E7105" s="4">
        <v>50500</v>
      </c>
    </row>
    <row r="7106" spans="1:5">
      <c r="A7106" s="2" t="s">
        <v>1478</v>
      </c>
      <c r="B7106" s="2" t="s">
        <v>8860</v>
      </c>
      <c r="C7106" s="2" t="s">
        <v>8860</v>
      </c>
      <c r="D7106" s="2" t="s">
        <v>8859</v>
      </c>
      <c r="E7106" s="4">
        <v>49000</v>
      </c>
    </row>
    <row r="7107" spans="1:5">
      <c r="A7107" s="2" t="s">
        <v>1478</v>
      </c>
      <c r="B7107" s="2" t="str">
        <f>"11074-4"</f>
        <v>11074-4</v>
      </c>
      <c r="C7107" s="2" t="str">
        <f>"11074-4"</f>
        <v>11074-4</v>
      </c>
      <c r="D7107" s="2" t="s">
        <v>8859</v>
      </c>
      <c r="E7107" s="4">
        <v>43000</v>
      </c>
    </row>
    <row r="7108" spans="1:5">
      <c r="A7108" s="2" t="s">
        <v>1478</v>
      </c>
      <c r="B7108" s="2" t="str">
        <f>"060650112"</f>
        <v>060650112</v>
      </c>
      <c r="C7108" s="2" t="str">
        <f>"060650115"</f>
        <v>060650115</v>
      </c>
      <c r="D7108" s="2" t="s">
        <v>8861</v>
      </c>
      <c r="E7108" s="4">
        <v>45900</v>
      </c>
    </row>
    <row r="7109" spans="1:5">
      <c r="A7109" s="2" t="s">
        <v>1478</v>
      </c>
      <c r="B7109" s="2" t="str">
        <f>"080830245"</f>
        <v>080830245</v>
      </c>
      <c r="C7109" s="2" t="str">
        <f>"12685-3"</f>
        <v>12685-3</v>
      </c>
      <c r="D7109" s="2" t="s">
        <v>8862</v>
      </c>
      <c r="E7109" s="4">
        <v>52000</v>
      </c>
    </row>
    <row r="7110" spans="1:5">
      <c r="A7110" s="2" t="s">
        <v>1478</v>
      </c>
      <c r="B7110" s="2" t="str">
        <f>"001118027-2"</f>
        <v>001118027-2</v>
      </c>
      <c r="C7110" s="2" t="str">
        <f>"080830246"</f>
        <v>080830246</v>
      </c>
      <c r="D7110" s="2" t="s">
        <v>8863</v>
      </c>
      <c r="E7110" s="4">
        <v>58000</v>
      </c>
    </row>
    <row r="7111" spans="1:5">
      <c r="A7111" s="2" t="s">
        <v>1478</v>
      </c>
      <c r="B7111" s="2" t="str">
        <f>"1616138"</f>
        <v>1616138</v>
      </c>
      <c r="C7111" s="2" t="str">
        <f>"1616138 001118031-0"</f>
        <v>1616138 001118031-0</v>
      </c>
      <c r="D7111" s="2" t="s">
        <v>8864</v>
      </c>
      <c r="E7111" s="4">
        <v>97000</v>
      </c>
    </row>
    <row r="7112" spans="1:5">
      <c r="A7112" s="2" t="s">
        <v>1478</v>
      </c>
      <c r="B7112" s="2" t="str">
        <f>"0012058"</f>
        <v>0012058</v>
      </c>
      <c r="C7112" s="2" t="str">
        <f>"0012058"</f>
        <v>0012058</v>
      </c>
      <c r="D7112" s="2" t="s">
        <v>8865</v>
      </c>
      <c r="E7112" s="4">
        <v>48400</v>
      </c>
    </row>
    <row r="7113" spans="1:5">
      <c r="A7113" s="2" t="s">
        <v>1478</v>
      </c>
      <c r="B7113" s="2" t="str">
        <f>"284223"</f>
        <v>284223</v>
      </c>
      <c r="C7113" s="2" t="str">
        <f>"284223"</f>
        <v>284223</v>
      </c>
      <c r="D7113" s="2" t="s">
        <v>8866</v>
      </c>
      <c r="E7113" s="4">
        <v>49000</v>
      </c>
    </row>
    <row r="7114" spans="1:5">
      <c r="A7114" s="2" t="s">
        <v>1478</v>
      </c>
      <c r="B7114" s="2" t="str">
        <f>"13101-87105"</f>
        <v>13101-87105</v>
      </c>
      <c r="C7114" s="2" t="str">
        <f>"13101-87105"</f>
        <v>13101-87105</v>
      </c>
      <c r="D7114" s="2" t="s">
        <v>8867</v>
      </c>
      <c r="E7114" s="4">
        <v>35800</v>
      </c>
    </row>
    <row r="7115" spans="1:5">
      <c r="A7115" s="2" t="s">
        <v>1478</v>
      </c>
      <c r="B7115" s="2" t="s">
        <v>8868</v>
      </c>
      <c r="C7115" s="2" t="s">
        <v>8868</v>
      </c>
      <c r="D7115" s="2" t="s">
        <v>8869</v>
      </c>
      <c r="E7115" s="4">
        <v>290000</v>
      </c>
    </row>
    <row r="7116" spans="1:5">
      <c r="A7116" s="2" t="s">
        <v>1478</v>
      </c>
      <c r="B7116" s="2" t="s">
        <v>8870</v>
      </c>
      <c r="C7116" s="2" t="s">
        <v>8870</v>
      </c>
      <c r="D7116" s="2" t="s">
        <v>8871</v>
      </c>
      <c r="E7116" s="4">
        <v>59000</v>
      </c>
    </row>
    <row r="7117" spans="1:5">
      <c r="A7117" s="2" t="s">
        <v>1478</v>
      </c>
      <c r="B7117" s="2" t="str">
        <f>"142021"</f>
        <v>142021</v>
      </c>
      <c r="C7117" s="2" t="str">
        <f>"142021"</f>
        <v>142021</v>
      </c>
      <c r="D7117" s="2" t="s">
        <v>8872</v>
      </c>
      <c r="E7117" s="4">
        <v>225000</v>
      </c>
    </row>
    <row r="7118" spans="1:5">
      <c r="A7118" s="2" t="s">
        <v>1478</v>
      </c>
      <c r="B7118" s="2" t="s">
        <v>8873</v>
      </c>
      <c r="C7118" s="2" t="s">
        <v>8873</v>
      </c>
      <c r="D7118" s="2" t="s">
        <v>8874</v>
      </c>
      <c r="E7118" s="4">
        <v>79000</v>
      </c>
    </row>
    <row r="7119" spans="1:5">
      <c r="A7119" s="2" t="s">
        <v>1478</v>
      </c>
      <c r="B7119" s="2" t="s">
        <v>8875</v>
      </c>
      <c r="C7119" s="2" t="s">
        <v>8875</v>
      </c>
      <c r="D7119" s="2" t="s">
        <v>8876</v>
      </c>
      <c r="E7119" s="4">
        <v>52000</v>
      </c>
    </row>
    <row r="7120" spans="1:5">
      <c r="A7120" s="2" t="s">
        <v>1478</v>
      </c>
      <c r="B7120" s="2" t="s">
        <v>8877</v>
      </c>
      <c r="C7120" s="2" t="s">
        <v>8877</v>
      </c>
      <c r="D7120" s="2" t="s">
        <v>8878</v>
      </c>
      <c r="E7120" s="4">
        <v>61000</v>
      </c>
    </row>
    <row r="7121" spans="1:5">
      <c r="A7121" s="2" t="s">
        <v>1478</v>
      </c>
      <c r="B7121" s="2" t="s">
        <v>8879</v>
      </c>
      <c r="C7121" s="2" t="s">
        <v>8879</v>
      </c>
      <c r="D7121" s="2" t="s">
        <v>8880</v>
      </c>
      <c r="E7121" s="4">
        <v>178000</v>
      </c>
    </row>
    <row r="7122" spans="1:5">
      <c r="A7122" s="2" t="s">
        <v>1478</v>
      </c>
      <c r="B7122" s="2" t="str">
        <f>"060650379"</f>
        <v>060650379</v>
      </c>
      <c r="C7122" s="2" t="str">
        <f>"060650379"</f>
        <v>060650379</v>
      </c>
      <c r="D7122" s="2" t="s">
        <v>8881</v>
      </c>
      <c r="E7122" s="4">
        <v>97000</v>
      </c>
    </row>
    <row r="7123" spans="1:5">
      <c r="A7123" s="2" t="s">
        <v>1478</v>
      </c>
      <c r="B7123" s="2" t="str">
        <f>"0920650316"</f>
        <v>0920650316</v>
      </c>
      <c r="C7123" s="2" t="str">
        <f>"0920650316"</f>
        <v>0920650316</v>
      </c>
      <c r="D7123" s="2" t="s">
        <v>8882</v>
      </c>
      <c r="E7123" s="4">
        <v>69000</v>
      </c>
    </row>
    <row r="7124" spans="1:5">
      <c r="A7124" s="2" t="s">
        <v>1478</v>
      </c>
      <c r="B7124" s="2" t="str">
        <f>"282965"</f>
        <v>282965</v>
      </c>
      <c r="C7124" s="2" t="str">
        <f>"282965"</f>
        <v>282965</v>
      </c>
      <c r="D7124" s="2" t="s">
        <v>8883</v>
      </c>
      <c r="E7124" s="4">
        <v>54900</v>
      </c>
    </row>
    <row r="7125" spans="1:5">
      <c r="A7125" s="2" t="s">
        <v>1478</v>
      </c>
      <c r="B7125" s="2" t="str">
        <f>"282988"</f>
        <v>282988</v>
      </c>
      <c r="C7125" s="2" t="str">
        <f>"282988"</f>
        <v>282988</v>
      </c>
      <c r="D7125" s="2" t="s">
        <v>8884</v>
      </c>
      <c r="E7125" s="4">
        <v>58000</v>
      </c>
    </row>
    <row r="7126" spans="1:5">
      <c r="A7126" s="2" t="s">
        <v>1478</v>
      </c>
      <c r="B7126" s="2" t="str">
        <f>"282355"</f>
        <v>282355</v>
      </c>
      <c r="C7126" s="2" t="str">
        <f>"282355"</f>
        <v>282355</v>
      </c>
      <c r="D7126" s="2" t="s">
        <v>8885</v>
      </c>
      <c r="E7126" s="4">
        <v>58300</v>
      </c>
    </row>
    <row r="7127" spans="1:5">
      <c r="A7127" s="2" t="s">
        <v>1478</v>
      </c>
      <c r="B7127" s="2" t="str">
        <f>"283053"</f>
        <v>283053</v>
      </c>
      <c r="C7127" s="2" t="str">
        <f>"283053"</f>
        <v>283053</v>
      </c>
      <c r="D7127" s="2" t="s">
        <v>8886</v>
      </c>
      <c r="E7127" s="4">
        <v>89000</v>
      </c>
    </row>
    <row r="7128" spans="1:5">
      <c r="A7128" s="2" t="s">
        <v>1478</v>
      </c>
      <c r="B7128" s="2" t="str">
        <f>"283637"</f>
        <v>283637</v>
      </c>
      <c r="C7128" s="2" t="str">
        <f>"283637"</f>
        <v>283637</v>
      </c>
      <c r="D7128" s="2" t="s">
        <v>8887</v>
      </c>
      <c r="E7128" s="4">
        <v>45500</v>
      </c>
    </row>
    <row r="7129" spans="1:5">
      <c r="A7129" s="2" t="s">
        <v>1478</v>
      </c>
      <c r="B7129" s="2" t="str">
        <f>"236330"</f>
        <v>236330</v>
      </c>
      <c r="C7129" s="2" t="str">
        <f>"236330"</f>
        <v>236330</v>
      </c>
      <c r="D7129" s="2" t="s">
        <v>8888</v>
      </c>
      <c r="E7129" s="4">
        <v>49000</v>
      </c>
    </row>
    <row r="7130" spans="1:5">
      <c r="A7130" s="2" t="s">
        <v>1478</v>
      </c>
      <c r="B7130" s="2" t="s">
        <v>8889</v>
      </c>
      <c r="C7130" s="2" t="s">
        <v>8889</v>
      </c>
      <c r="D7130" s="2" t="s">
        <v>8890</v>
      </c>
      <c r="E7130" s="4">
        <v>70000</v>
      </c>
    </row>
    <row r="7131" spans="1:5">
      <c r="A7131" s="2" t="s">
        <v>1478</v>
      </c>
      <c r="B7131" s="2" t="str">
        <f>"003990"</f>
        <v>003990</v>
      </c>
      <c r="C7131" s="2" t="str">
        <f>"003990"</f>
        <v>003990</v>
      </c>
      <c r="D7131" s="2" t="s">
        <v>8891</v>
      </c>
      <c r="E7131" s="4">
        <v>70000</v>
      </c>
    </row>
    <row r="7132" spans="1:5">
      <c r="A7132" s="2" t="s">
        <v>1478</v>
      </c>
      <c r="B7132" s="2" t="str">
        <f>"060650428"</f>
        <v>060650428</v>
      </c>
      <c r="C7132" s="2" t="str">
        <f>"060650428"</f>
        <v>060650428</v>
      </c>
      <c r="D7132" s="2" t="s">
        <v>8892</v>
      </c>
      <c r="E7132" s="4">
        <v>45900</v>
      </c>
    </row>
    <row r="7133" spans="1:5">
      <c r="A7133" s="2" t="s">
        <v>1478</v>
      </c>
      <c r="B7133" s="2" t="str">
        <f>"060650049"</f>
        <v>060650049</v>
      </c>
      <c r="C7133" s="2" t="str">
        <f>"060650049"</f>
        <v>060650049</v>
      </c>
      <c r="D7133" s="2" t="s">
        <v>8893</v>
      </c>
      <c r="E7133" s="4">
        <v>38500</v>
      </c>
    </row>
    <row r="7134" spans="1:5">
      <c r="A7134" s="2" t="s">
        <v>1478</v>
      </c>
      <c r="B7134" s="2" t="str">
        <f>"282341"</f>
        <v>282341</v>
      </c>
      <c r="C7134" s="2" t="str">
        <f>"282341"</f>
        <v>282341</v>
      </c>
      <c r="D7134" s="2" t="s">
        <v>8894</v>
      </c>
      <c r="E7134" s="4">
        <v>115000</v>
      </c>
    </row>
    <row r="7135" spans="1:5">
      <c r="A7135" s="2" t="s">
        <v>1478</v>
      </c>
      <c r="B7135" s="2" t="str">
        <f>"00220047"</f>
        <v>00220047</v>
      </c>
      <c r="C7135" s="2" t="str">
        <f>"00220047"</f>
        <v>00220047</v>
      </c>
      <c r="D7135" s="2" t="s">
        <v>8895</v>
      </c>
      <c r="E7135" s="4">
        <v>49000</v>
      </c>
    </row>
    <row r="7136" spans="1:5">
      <c r="A7136" s="2" t="s">
        <v>1478</v>
      </c>
      <c r="B7136" s="2" t="str">
        <f>"0211084"</f>
        <v>0211084</v>
      </c>
      <c r="C7136" s="2" t="str">
        <f>"0211084"</f>
        <v>0211084</v>
      </c>
      <c r="D7136" s="2" t="s">
        <v>8896</v>
      </c>
      <c r="E7136" s="4">
        <v>39500</v>
      </c>
    </row>
    <row r="7137" spans="1:5">
      <c r="A7137" s="2" t="s">
        <v>1478</v>
      </c>
      <c r="B7137" s="2" t="str">
        <f>"0198287"</f>
        <v>0198287</v>
      </c>
      <c r="C7137" s="2" t="str">
        <f>"0198287"</f>
        <v>0198287</v>
      </c>
      <c r="D7137" s="2" t="s">
        <v>8897</v>
      </c>
      <c r="E7137" s="4">
        <v>49000</v>
      </c>
    </row>
    <row r="7138" spans="1:5">
      <c r="A7138" s="2" t="s">
        <v>1478</v>
      </c>
      <c r="B7138" s="2" t="str">
        <f>"0200540"</f>
        <v>0200540</v>
      </c>
      <c r="C7138" s="2" t="str">
        <f>"0200540"</f>
        <v>0200540</v>
      </c>
      <c r="D7138" s="2" t="s">
        <v>8898</v>
      </c>
      <c r="E7138" s="4">
        <v>59000</v>
      </c>
    </row>
    <row r="7139" spans="1:5">
      <c r="A7139" s="2" t="s">
        <v>1478</v>
      </c>
      <c r="B7139" s="2" t="str">
        <f>"282435"</f>
        <v>282435</v>
      </c>
      <c r="C7139" s="2" t="str">
        <f>"282435"</f>
        <v>282435</v>
      </c>
      <c r="D7139" s="2" t="s">
        <v>8899</v>
      </c>
      <c r="E7139" s="4">
        <v>55000</v>
      </c>
    </row>
    <row r="7140" spans="1:5">
      <c r="A7140" s="2" t="s">
        <v>1478</v>
      </c>
      <c r="B7140" s="2" t="str">
        <f>"0198288"</f>
        <v>0198288</v>
      </c>
      <c r="C7140" s="2" t="str">
        <f>"0198288"</f>
        <v>0198288</v>
      </c>
      <c r="D7140" s="2" t="s">
        <v>8900</v>
      </c>
      <c r="E7140" s="4">
        <v>89000</v>
      </c>
    </row>
    <row r="7141" spans="1:5">
      <c r="A7141" s="2" t="s">
        <v>1478</v>
      </c>
      <c r="B7141" s="2" t="str">
        <f>"0219948"</f>
        <v>0219948</v>
      </c>
      <c r="C7141" s="2" t="str">
        <f>"0219948"</f>
        <v>0219948</v>
      </c>
      <c r="D7141" s="2" t="s">
        <v>8901</v>
      </c>
      <c r="E7141" s="4">
        <v>38000</v>
      </c>
    </row>
    <row r="7142" spans="1:5">
      <c r="A7142" s="2" t="s">
        <v>1478</v>
      </c>
      <c r="B7142" s="2" t="str">
        <f>"11087-6"</f>
        <v>11087-6</v>
      </c>
      <c r="C7142" s="2" t="str">
        <f>"11087-6"</f>
        <v>11087-6</v>
      </c>
      <c r="D7142" s="2" t="s">
        <v>8902</v>
      </c>
      <c r="E7142" s="4">
        <v>38000</v>
      </c>
    </row>
    <row r="7143" spans="1:5">
      <c r="A7143" s="2" t="s">
        <v>1478</v>
      </c>
      <c r="B7143" s="2" t="str">
        <f>"282524"</f>
        <v>282524</v>
      </c>
      <c r="C7143" s="2" t="str">
        <f>"282524"</f>
        <v>282524</v>
      </c>
      <c r="D7143" s="2" t="s">
        <v>8903</v>
      </c>
      <c r="E7143" s="4">
        <v>42000</v>
      </c>
    </row>
    <row r="7144" spans="1:5">
      <c r="A7144" s="2" t="s">
        <v>1478</v>
      </c>
      <c r="B7144" s="2" t="str">
        <f>"080830075"</f>
        <v>080830075</v>
      </c>
      <c r="C7144" s="2" t="str">
        <f>"080830075"</f>
        <v>080830075</v>
      </c>
      <c r="D7144" s="2" t="s">
        <v>8904</v>
      </c>
      <c r="E7144" s="4">
        <v>38000</v>
      </c>
    </row>
    <row r="7145" spans="1:5">
      <c r="A7145" s="2" t="s">
        <v>1478</v>
      </c>
      <c r="B7145" s="2" t="str">
        <f>"1722"</f>
        <v>1722</v>
      </c>
      <c r="C7145" s="2" t="str">
        <f>"1722"</f>
        <v>1722</v>
      </c>
      <c r="D7145" s="2" t="s">
        <v>8905</v>
      </c>
      <c r="E7145" s="4">
        <v>47000</v>
      </c>
    </row>
    <row r="7146" spans="1:5">
      <c r="A7146" s="2" t="s">
        <v>1478</v>
      </c>
      <c r="B7146" s="2" t="s">
        <v>8906</v>
      </c>
      <c r="C7146" s="2" t="s">
        <v>8906</v>
      </c>
      <c r="D7146" s="2" t="s">
        <v>8907</v>
      </c>
      <c r="E7146" s="4">
        <v>35000</v>
      </c>
    </row>
    <row r="7147" spans="1:5">
      <c r="A7147" s="2" t="s">
        <v>1478</v>
      </c>
      <c r="B7147" s="2" t="str">
        <f>"12111-78110"</f>
        <v>12111-78110</v>
      </c>
      <c r="C7147" s="2" t="str">
        <f>"12111-78110"</f>
        <v>12111-78110</v>
      </c>
      <c r="D7147" s="2" t="s">
        <v>8908</v>
      </c>
      <c r="E7147" s="4">
        <v>29500</v>
      </c>
    </row>
    <row r="7148" spans="1:5">
      <c r="A7148" s="2" t="s">
        <v>1478</v>
      </c>
      <c r="B7148" s="2" t="str">
        <f>"281191"</f>
        <v>281191</v>
      </c>
      <c r="C7148" s="2" t="str">
        <f>"281191"</f>
        <v>281191</v>
      </c>
      <c r="D7148" s="2" t="s">
        <v>8909</v>
      </c>
      <c r="E7148" s="4">
        <v>53000</v>
      </c>
    </row>
    <row r="7149" spans="1:5">
      <c r="A7149" s="2" t="s">
        <v>1478</v>
      </c>
      <c r="B7149" s="2" t="str">
        <f>"280041"</f>
        <v>280041</v>
      </c>
      <c r="C7149" s="2" t="str">
        <f>"280041"</f>
        <v>280041</v>
      </c>
      <c r="D7149" s="2" t="s">
        <v>8910</v>
      </c>
      <c r="E7149" s="4">
        <v>38500</v>
      </c>
    </row>
    <row r="7150" spans="1:5">
      <c r="A7150" s="2" t="s">
        <v>1478</v>
      </c>
      <c r="B7150" s="2" t="str">
        <f>"193350"</f>
        <v>193350</v>
      </c>
      <c r="C7150" s="2" t="str">
        <f>"193350"</f>
        <v>193350</v>
      </c>
      <c r="D7150" s="2" t="s">
        <v>8911</v>
      </c>
      <c r="E7150" s="4">
        <v>52800</v>
      </c>
    </row>
    <row r="7151" spans="1:5">
      <c r="A7151" s="2" t="s">
        <v>1478</v>
      </c>
      <c r="B7151" s="2" t="str">
        <f>"193355"</f>
        <v>193355</v>
      </c>
      <c r="C7151" s="2" t="str">
        <f>"193355"</f>
        <v>193355</v>
      </c>
      <c r="D7151" s="2" t="s">
        <v>8912</v>
      </c>
      <c r="E7151" s="4">
        <v>120000</v>
      </c>
    </row>
    <row r="7152" spans="1:5">
      <c r="A7152" s="2" t="s">
        <v>1478</v>
      </c>
      <c r="B7152" s="2" t="str">
        <f>"281161"</f>
        <v>281161</v>
      </c>
      <c r="C7152" s="2" t="str">
        <f>"281161"</f>
        <v>281161</v>
      </c>
      <c r="D7152" s="2" t="s">
        <v>8913</v>
      </c>
      <c r="E7152" s="4">
        <v>52000</v>
      </c>
    </row>
    <row r="7153" spans="1:5">
      <c r="A7153" s="2" t="s">
        <v>1478</v>
      </c>
      <c r="B7153" s="2" t="s">
        <v>8914</v>
      </c>
      <c r="C7153" s="2" t="s">
        <v>8914</v>
      </c>
      <c r="D7153" s="2" t="s">
        <v>8915</v>
      </c>
      <c r="E7153" s="4">
        <v>61000</v>
      </c>
    </row>
    <row r="7154" spans="1:5">
      <c r="A7154" s="2" t="s">
        <v>1478</v>
      </c>
      <c r="B7154" s="2" t="str">
        <f>"0300470"</f>
        <v>0300470</v>
      </c>
      <c r="C7154" s="2" t="str">
        <f>"0300470"</f>
        <v>0300470</v>
      </c>
      <c r="D7154" s="2" t="s">
        <v>8916</v>
      </c>
      <c r="E7154" s="4">
        <v>196000</v>
      </c>
    </row>
    <row r="7155" spans="1:5">
      <c r="A7155" s="2" t="s">
        <v>1478</v>
      </c>
      <c r="B7155" s="2" t="str">
        <f>"080830610"</f>
        <v>080830610</v>
      </c>
      <c r="C7155" s="2" t="str">
        <f>"080830610"</f>
        <v>080830610</v>
      </c>
      <c r="D7155" s="2" t="s">
        <v>8917</v>
      </c>
      <c r="E7155" s="4">
        <v>380000</v>
      </c>
    </row>
    <row r="7156" spans="1:5">
      <c r="A7156" s="2" t="s">
        <v>1478</v>
      </c>
      <c r="B7156" s="2" t="str">
        <f>"50352825"</f>
        <v>50352825</v>
      </c>
      <c r="C7156" s="2" t="str">
        <f>"50352825"</f>
        <v>50352825</v>
      </c>
      <c r="D7156" s="2" t="s">
        <v>8918</v>
      </c>
      <c r="E7156" s="4">
        <v>3500</v>
      </c>
    </row>
    <row r="7157" spans="1:5">
      <c r="A7157" s="2" t="s">
        <v>1478</v>
      </c>
      <c r="B7157" s="2" t="str">
        <f>"1564177"</f>
        <v>1564177</v>
      </c>
      <c r="C7157" s="2" t="str">
        <f>"1564177"</f>
        <v>1564177</v>
      </c>
      <c r="D7157" s="2" t="s">
        <v>8919</v>
      </c>
      <c r="E7157" s="4">
        <v>4300</v>
      </c>
    </row>
    <row r="7158" spans="1:5">
      <c r="A7158" s="2" t="s">
        <v>1478</v>
      </c>
      <c r="B7158" s="2" t="str">
        <f>"1700770"</f>
        <v>1700770</v>
      </c>
      <c r="C7158" s="2" t="str">
        <f>"1700770"</f>
        <v>1700770</v>
      </c>
      <c r="D7158" s="2" t="s">
        <v>8919</v>
      </c>
      <c r="E7158" s="4">
        <v>2500</v>
      </c>
    </row>
    <row r="7159" spans="1:5">
      <c r="A7159" s="2" t="s">
        <v>1478</v>
      </c>
      <c r="B7159" s="2" t="str">
        <f>"1564270"</f>
        <v>1564270</v>
      </c>
      <c r="C7159" s="2" t="str">
        <f>"1564270"</f>
        <v>1564270</v>
      </c>
      <c r="D7159" s="2" t="s">
        <v>8920</v>
      </c>
      <c r="E7159" s="4">
        <v>4300</v>
      </c>
    </row>
    <row r="7160" spans="1:5">
      <c r="A7160" s="2" t="s">
        <v>1478</v>
      </c>
      <c r="B7160" s="2" t="str">
        <f>"1601505"</f>
        <v>1601505</v>
      </c>
      <c r="C7160" s="2" t="str">
        <f>"1601505"</f>
        <v>1601505</v>
      </c>
      <c r="D7160" s="2" t="s">
        <v>8921</v>
      </c>
      <c r="E7160" s="4">
        <v>3400</v>
      </c>
    </row>
    <row r="7161" spans="1:5">
      <c r="A7161" s="2" t="s">
        <v>1478</v>
      </c>
      <c r="B7161" s="2" t="str">
        <f>"1604115"</f>
        <v>1604115</v>
      </c>
      <c r="C7161" s="2" t="str">
        <f>"1604115"</f>
        <v>1604115</v>
      </c>
      <c r="D7161" s="2" t="s">
        <v>8922</v>
      </c>
      <c r="E7161" s="4">
        <v>3400</v>
      </c>
    </row>
    <row r="7162" spans="1:5">
      <c r="A7162" s="2" t="s">
        <v>1478</v>
      </c>
      <c r="B7162" s="2" t="s">
        <v>8923</v>
      </c>
      <c r="C7162" s="2" t="s">
        <v>8923</v>
      </c>
      <c r="D7162" s="2" t="s">
        <v>8924</v>
      </c>
      <c r="E7162" s="4">
        <v>4800</v>
      </c>
    </row>
    <row r="7163" spans="1:5">
      <c r="A7163" s="2" t="s">
        <v>1478</v>
      </c>
      <c r="B7163" s="2" t="str">
        <f>"4PCS/BOX"</f>
        <v>4PCS/BOX</v>
      </c>
      <c r="C7163" s="2" t="str">
        <f>"4PCS/BOX"</f>
        <v>4PCS/BOX</v>
      </c>
      <c r="D7163" s="2" t="s">
        <v>8925</v>
      </c>
      <c r="E7163" s="4">
        <v>2800</v>
      </c>
    </row>
    <row r="7164" spans="1:5">
      <c r="A7164" s="2" t="s">
        <v>1478</v>
      </c>
      <c r="B7164" s="2" t="str">
        <f>"30354303"</f>
        <v>30354303</v>
      </c>
      <c r="C7164" s="2" t="str">
        <f>"30354303"</f>
        <v>30354303</v>
      </c>
      <c r="D7164" s="2" t="s">
        <v>8925</v>
      </c>
      <c r="E7164" s="4">
        <v>3500</v>
      </c>
    </row>
    <row r="7165" spans="1:5">
      <c r="A7165" s="2" t="s">
        <v>1478</v>
      </c>
      <c r="B7165" s="2" t="str">
        <f>"3035-4301"</f>
        <v>3035-4301</v>
      </c>
      <c r="C7165" s="2" t="str">
        <f>"30354301"</f>
        <v>30354301</v>
      </c>
      <c r="D7165" s="2" t="s">
        <v>8926</v>
      </c>
      <c r="E7165" s="4">
        <v>3400</v>
      </c>
    </row>
    <row r="7166" spans="1:5">
      <c r="A7166" s="2" t="s">
        <v>1478</v>
      </c>
      <c r="B7166" s="2" t="str">
        <f>"04-3106-A"</f>
        <v>04-3106-A</v>
      </c>
      <c r="C7166" s="2" t="str">
        <f>"043106-A"</f>
        <v>043106-A</v>
      </c>
      <c r="D7166" s="2" t="s">
        <v>8927</v>
      </c>
      <c r="E7166" s="4">
        <v>3800</v>
      </c>
    </row>
    <row r="7167" spans="1:5">
      <c r="A7167" s="2" t="s">
        <v>1478</v>
      </c>
      <c r="B7167" s="2" t="str">
        <f>"11010"</f>
        <v>11010</v>
      </c>
      <c r="C7167" s="2" t="str">
        <f>"11010"</f>
        <v>11010</v>
      </c>
      <c r="D7167" s="2" t="s">
        <v>8928</v>
      </c>
      <c r="E7167" s="4">
        <v>3500</v>
      </c>
    </row>
    <row r="7168" spans="1:5">
      <c r="A7168" s="2" t="s">
        <v>1478</v>
      </c>
      <c r="B7168" s="2" t="str">
        <f>"02077423"</f>
        <v>02077423</v>
      </c>
      <c r="C7168" s="2" t="str">
        <f>"0207-7423"</f>
        <v>0207-7423</v>
      </c>
      <c r="D7168" s="2" t="s">
        <v>8929</v>
      </c>
      <c r="E7168" s="4">
        <v>3600</v>
      </c>
    </row>
    <row r="7169" spans="1:5">
      <c r="A7169" s="2" t="s">
        <v>1478</v>
      </c>
      <c r="B7169" s="2" t="str">
        <f>"8100440"</f>
        <v>8100440</v>
      </c>
      <c r="C7169" s="2" t="str">
        <f>"8100440"</f>
        <v>8100440</v>
      </c>
      <c r="D7169" s="2" t="s">
        <v>8930</v>
      </c>
      <c r="E7169" s="4">
        <v>3800</v>
      </c>
    </row>
    <row r="7170" spans="1:5">
      <c r="A7170" s="2" t="s">
        <v>1478</v>
      </c>
      <c r="B7170" s="2" t="str">
        <f>"455A"</f>
        <v>455A</v>
      </c>
      <c r="C7170" s="2" t="str">
        <f>"455A"</f>
        <v>455A</v>
      </c>
      <c r="D7170" s="2" t="s">
        <v>8931</v>
      </c>
      <c r="E7170" s="4">
        <v>2500</v>
      </c>
    </row>
    <row r="7171" spans="1:5">
      <c r="A7171" s="2" t="s">
        <v>1478</v>
      </c>
      <c r="B7171" s="2" t="str">
        <f>"285345"</f>
        <v>285345</v>
      </c>
      <c r="C7171" s="2" t="str">
        <f>"285345"</f>
        <v>285345</v>
      </c>
      <c r="D7171" s="2" t="s">
        <v>8932</v>
      </c>
      <c r="E7171" s="4">
        <v>4300</v>
      </c>
    </row>
    <row r="7172" spans="1:5">
      <c r="A7172" s="2" t="s">
        <v>1478</v>
      </c>
      <c r="B7172" s="2" t="str">
        <f>"11020"</f>
        <v>11020</v>
      </c>
      <c r="C7172" s="2" t="str">
        <f>"11020"</f>
        <v>11020</v>
      </c>
      <c r="D7172" s="2" t="s">
        <v>8933</v>
      </c>
      <c r="E7172" s="4">
        <v>3000</v>
      </c>
    </row>
    <row r="7173" spans="1:5">
      <c r="A7173" s="2" t="s">
        <v>1478</v>
      </c>
      <c r="B7173" s="2" t="str">
        <f>"321368"</f>
        <v>321368</v>
      </c>
      <c r="C7173" s="2" t="str">
        <f>"321368"</f>
        <v>321368</v>
      </c>
      <c r="D7173" s="2" t="s">
        <v>8934</v>
      </c>
      <c r="E7173" s="4">
        <v>2500</v>
      </c>
    </row>
    <row r="7174" spans="1:5">
      <c r="A7174" s="2" t="s">
        <v>1478</v>
      </c>
      <c r="B7174" s="2" t="str">
        <f>"349"</f>
        <v>349</v>
      </c>
      <c r="C7174" s="2" t="str">
        <f>"349"</f>
        <v>349</v>
      </c>
      <c r="D7174" s="2" t="s">
        <v>8935</v>
      </c>
      <c r="E7174" s="4">
        <v>3400</v>
      </c>
    </row>
    <row r="7175" spans="1:5">
      <c r="A7175" s="2" t="s">
        <v>1478</v>
      </c>
      <c r="B7175" s="2" t="str">
        <f>"230299"</f>
        <v>230299</v>
      </c>
      <c r="C7175" s="2" t="str">
        <f>"230299"</f>
        <v>230299</v>
      </c>
      <c r="D7175" s="2" t="s">
        <v>8936</v>
      </c>
      <c r="E7175" s="4">
        <v>45000</v>
      </c>
    </row>
    <row r="7176" spans="1:5">
      <c r="A7176" s="2" t="s">
        <v>1478</v>
      </c>
      <c r="B7176" s="2" t="str">
        <f>"22212-422001"</f>
        <v>22212-422001</v>
      </c>
      <c r="C7176" s="2" t="str">
        <f>"22212-422001"</f>
        <v>22212-422001</v>
      </c>
      <c r="D7176" s="2" t="s">
        <v>8937</v>
      </c>
      <c r="E7176" s="4">
        <v>2800</v>
      </c>
    </row>
    <row r="7177" spans="1:5">
      <c r="A7177" s="2" t="s">
        <v>1478</v>
      </c>
      <c r="B7177" s="2" t="str">
        <f>"321340"</f>
        <v>321340</v>
      </c>
      <c r="C7177" s="2" t="str">
        <f>"321340"</f>
        <v>321340</v>
      </c>
      <c r="D7177" s="2" t="s">
        <v>8938</v>
      </c>
      <c r="E7177" s="4">
        <v>3000</v>
      </c>
    </row>
    <row r="7178" spans="1:5">
      <c r="A7178" s="2" t="s">
        <v>1478</v>
      </c>
      <c r="B7178" s="2" t="str">
        <f>"055269"</f>
        <v>055269</v>
      </c>
      <c r="C7178" s="2" t="str">
        <f>"055269"</f>
        <v>055269</v>
      </c>
      <c r="D7178" s="2" t="s">
        <v>8939</v>
      </c>
      <c r="E7178" s="4">
        <v>25000</v>
      </c>
    </row>
    <row r="7179" spans="1:5">
      <c r="A7179" s="2" t="s">
        <v>1478</v>
      </c>
      <c r="B7179" s="2" t="s">
        <v>8940</v>
      </c>
      <c r="C7179" s="2" t="s">
        <v>8940</v>
      </c>
      <c r="D7179" s="2" t="s">
        <v>8941</v>
      </c>
      <c r="E7179" s="4">
        <v>4500</v>
      </c>
    </row>
    <row r="7180" spans="1:5">
      <c r="A7180" s="2" t="s">
        <v>1478</v>
      </c>
      <c r="B7180" s="2" t="str">
        <f>"06 3724-AC"</f>
        <v>06 3724-AC</v>
      </c>
      <c r="C7180" s="2" t="s">
        <v>8942</v>
      </c>
      <c r="D7180" s="2" t="s">
        <v>8943</v>
      </c>
      <c r="E7180" s="4">
        <v>3000</v>
      </c>
    </row>
    <row r="7181" spans="1:5">
      <c r="A7181" s="2" t="s">
        <v>1478</v>
      </c>
      <c r="B7181" s="2" t="str">
        <f>"0112760"</f>
        <v>0112760</v>
      </c>
      <c r="C7181" s="2" t="str">
        <f>"0112760"</f>
        <v>0112760</v>
      </c>
      <c r="D7181" s="2" t="s">
        <v>8944</v>
      </c>
      <c r="E7181" s="4">
        <v>2900</v>
      </c>
    </row>
    <row r="7182" spans="1:5">
      <c r="A7182" s="2" t="s">
        <v>1478</v>
      </c>
      <c r="B7182" s="2" t="str">
        <f>"170651"</f>
        <v>170651</v>
      </c>
      <c r="C7182" s="2" t="str">
        <f>"170651"</f>
        <v>170651</v>
      </c>
      <c r="D7182" s="2" t="s">
        <v>8945</v>
      </c>
      <c r="E7182" s="4">
        <v>3900</v>
      </c>
    </row>
    <row r="7183" spans="1:5">
      <c r="A7183" s="2" t="s">
        <v>1478</v>
      </c>
      <c r="B7183" s="2" t="str">
        <f>"170665"</f>
        <v>170665</v>
      </c>
      <c r="C7183" s="2" t="str">
        <f>"170665"</f>
        <v>170665</v>
      </c>
      <c r="D7183" s="2" t="s">
        <v>8946</v>
      </c>
      <c r="E7183" s="4">
        <v>3400</v>
      </c>
    </row>
    <row r="7184" spans="1:5">
      <c r="A7184" s="2" t="s">
        <v>1478</v>
      </c>
      <c r="B7184" s="2" t="str">
        <f>"311884"</f>
        <v>311884</v>
      </c>
      <c r="C7184" s="2" t="str">
        <f>"311884"</f>
        <v>311884</v>
      </c>
      <c r="D7184" s="2" t="s">
        <v>8947</v>
      </c>
      <c r="E7184" s="4">
        <v>14500</v>
      </c>
    </row>
    <row r="7185" spans="1:5">
      <c r="A7185" s="2" t="s">
        <v>1478</v>
      </c>
      <c r="B7185" s="2" t="str">
        <f>"311876"</f>
        <v>311876</v>
      </c>
      <c r="C7185" s="2" t="str">
        <f>"311876"</f>
        <v>311876</v>
      </c>
      <c r="D7185" s="2" t="s">
        <v>8948</v>
      </c>
      <c r="E7185" s="4">
        <v>3400</v>
      </c>
    </row>
    <row r="7186" spans="1:5">
      <c r="A7186" s="2" t="s">
        <v>1478</v>
      </c>
      <c r="B7186" s="2" t="str">
        <f>"0104861"</f>
        <v>0104861</v>
      </c>
      <c r="C7186" s="2" t="str">
        <f>"0104861"</f>
        <v>0104861</v>
      </c>
      <c r="D7186" s="2" t="s">
        <v>8949</v>
      </c>
      <c r="E7186" s="4">
        <v>4300</v>
      </c>
    </row>
    <row r="7187" spans="1:5">
      <c r="A7187" s="2" t="s">
        <v>1478</v>
      </c>
      <c r="B7187" s="2" t="str">
        <f>"10354223"</f>
        <v>10354223</v>
      </c>
      <c r="C7187" s="2" t="str">
        <f>"10354223"</f>
        <v>10354223</v>
      </c>
      <c r="D7187" s="2" t="s">
        <v>8950</v>
      </c>
      <c r="E7187" s="4">
        <v>3500</v>
      </c>
    </row>
    <row r="7188" spans="1:5">
      <c r="A7188" s="2" t="s">
        <v>1478</v>
      </c>
      <c r="B7188" s="2" t="str">
        <f>"286429"</f>
        <v>286429</v>
      </c>
      <c r="C7188" s="2" t="str">
        <f>"286429"</f>
        <v>286429</v>
      </c>
      <c r="D7188" s="2" t="s">
        <v>8951</v>
      </c>
      <c r="E7188" s="4">
        <v>25000</v>
      </c>
    </row>
    <row r="7189" spans="1:5">
      <c r="A7189" s="2" t="s">
        <v>1478</v>
      </c>
      <c r="B7189" s="2" t="str">
        <f>"0101330"</f>
        <v>0101330</v>
      </c>
      <c r="C7189" s="2" t="str">
        <f>"0101330"</f>
        <v>0101330</v>
      </c>
      <c r="D7189" s="2" t="s">
        <v>8952</v>
      </c>
      <c r="E7189" s="4">
        <v>15200</v>
      </c>
    </row>
    <row r="7190" spans="1:5">
      <c r="A7190" s="2" t="s">
        <v>1478</v>
      </c>
      <c r="B7190" s="2" t="str">
        <f>"3884-A"</f>
        <v>3884-A</v>
      </c>
      <c r="C7190" s="2" t="str">
        <f>"3884-A"</f>
        <v>3884-A</v>
      </c>
      <c r="D7190" s="2" t="s">
        <v>8953</v>
      </c>
      <c r="E7190" s="4">
        <v>3500</v>
      </c>
    </row>
    <row r="7191" spans="1:5">
      <c r="A7191" s="2" t="s">
        <v>1478</v>
      </c>
      <c r="B7191" s="2" t="s">
        <v>8954</v>
      </c>
      <c r="C7191" s="2" t="s">
        <v>8954</v>
      </c>
      <c r="D7191" s="2" t="s">
        <v>8955</v>
      </c>
      <c r="E7191" s="4">
        <v>3500</v>
      </c>
    </row>
    <row r="7192" spans="1:5">
      <c r="A7192" s="2" t="s">
        <v>1478</v>
      </c>
      <c r="B7192" s="2" t="str">
        <f>"1535-3308"</f>
        <v>1535-3308</v>
      </c>
      <c r="C7192" s="2" t="str">
        <f>"1535-3308"</f>
        <v>1535-3308</v>
      </c>
      <c r="D7192" s="2" t="s">
        <v>8956</v>
      </c>
      <c r="E7192" s="4">
        <v>2800</v>
      </c>
    </row>
    <row r="7193" spans="1:5">
      <c r="A7193" s="2" t="s">
        <v>1478</v>
      </c>
      <c r="B7193" s="2" t="str">
        <f>"3035-4349"</f>
        <v>3035-4349</v>
      </c>
      <c r="C7193" s="2" t="str">
        <f>"3035-4349"</f>
        <v>3035-4349</v>
      </c>
      <c r="D7193" s="2" t="s">
        <v>8957</v>
      </c>
      <c r="E7193" s="4">
        <v>3000</v>
      </c>
    </row>
    <row r="7194" spans="1:5">
      <c r="A7194" s="2" t="s">
        <v>1478</v>
      </c>
      <c r="B7194" s="2" t="str">
        <f>"13711-35051"</f>
        <v>13711-35051</v>
      </c>
      <c r="C7194" s="2" t="str">
        <f>"19711-35051"</f>
        <v>19711-35051</v>
      </c>
      <c r="D7194" s="2" t="s">
        <v>8958</v>
      </c>
      <c r="E7194" s="4">
        <v>3600</v>
      </c>
    </row>
    <row r="7195" spans="1:5">
      <c r="A7195" s="2" t="s">
        <v>1478</v>
      </c>
      <c r="B7195" s="2" t="s">
        <v>8959</v>
      </c>
      <c r="C7195" s="2" t="s">
        <v>8959</v>
      </c>
      <c r="D7195" s="2" t="s">
        <v>8960</v>
      </c>
      <c r="E7195" s="4">
        <v>3400</v>
      </c>
    </row>
    <row r="7196" spans="1:5">
      <c r="A7196" s="2" t="s">
        <v>1478</v>
      </c>
      <c r="B7196" s="2" t="str">
        <f>"2035-6715"</f>
        <v>2035-6715</v>
      </c>
      <c r="C7196" s="2" t="str">
        <f>"2035-6715"</f>
        <v>2035-6715</v>
      </c>
      <c r="D7196" s="2" t="s">
        <v>8961</v>
      </c>
      <c r="E7196" s="4">
        <v>3900</v>
      </c>
    </row>
    <row r="7197" spans="1:5">
      <c r="A7197" s="2" t="s">
        <v>1478</v>
      </c>
      <c r="B7197" s="2" t="s">
        <v>8962</v>
      </c>
      <c r="C7197" s="2" t="s">
        <v>8962</v>
      </c>
      <c r="D7197" s="2" t="s">
        <v>8963</v>
      </c>
      <c r="E7197" s="4">
        <v>19800</v>
      </c>
    </row>
    <row r="7198" spans="1:5">
      <c r="A7198" s="2" t="s">
        <v>1478</v>
      </c>
      <c r="B7198" s="2" t="str">
        <f>"260297"</f>
        <v>260297</v>
      </c>
      <c r="C7198" s="2" t="str">
        <f>"260297"</f>
        <v>260297</v>
      </c>
      <c r="D7198" s="2" t="s">
        <v>8964</v>
      </c>
      <c r="E7198" s="4">
        <v>20500</v>
      </c>
    </row>
    <row r="7199" spans="1:5">
      <c r="A7199" s="2" t="s">
        <v>1478</v>
      </c>
      <c r="B7199" s="2" t="str">
        <f>"286417"</f>
        <v>286417</v>
      </c>
      <c r="C7199" s="2" t="str">
        <f>"286417"</f>
        <v>286417</v>
      </c>
      <c r="D7199" s="2" t="s">
        <v>8965</v>
      </c>
      <c r="E7199" s="4">
        <v>29000</v>
      </c>
    </row>
    <row r="7200" spans="1:5">
      <c r="A7200" s="2" t="s">
        <v>1478</v>
      </c>
      <c r="B7200" s="2" t="str">
        <f>"321354"</f>
        <v>321354</v>
      </c>
      <c r="C7200" s="2" t="str">
        <f>"321354"</f>
        <v>321354</v>
      </c>
      <c r="D7200" s="2" t="s">
        <v>8966</v>
      </c>
      <c r="E7200" s="4">
        <v>14500</v>
      </c>
    </row>
    <row r="7201" spans="1:5">
      <c r="A7201" s="2" t="s">
        <v>1478</v>
      </c>
      <c r="B7201" s="2" t="str">
        <f>"1601520"</f>
        <v>1601520</v>
      </c>
      <c r="C7201" s="2" t="str">
        <f>"1601520"</f>
        <v>1601520</v>
      </c>
      <c r="D7201" s="2" t="s">
        <v>8967</v>
      </c>
      <c r="E7201" s="4">
        <v>19500</v>
      </c>
    </row>
    <row r="7202" spans="1:5">
      <c r="A7202" s="2" t="s">
        <v>1478</v>
      </c>
      <c r="B7202" s="2" t="str">
        <f>"9955467"</f>
        <v>9955467</v>
      </c>
      <c r="C7202" s="2" t="str">
        <f>"9955467"</f>
        <v>9955467</v>
      </c>
      <c r="D7202" s="2" t="s">
        <v>8968</v>
      </c>
      <c r="E7202" s="4">
        <v>19600</v>
      </c>
    </row>
    <row r="7203" spans="1:5">
      <c r="A7203" s="2" t="s">
        <v>1478</v>
      </c>
      <c r="B7203" s="2" t="str">
        <f>"001419500-9"</f>
        <v>001419500-9</v>
      </c>
      <c r="C7203" s="2" t="str">
        <f>"001419500-9"</f>
        <v>001419500-9</v>
      </c>
      <c r="D7203" s="2" t="s">
        <v>8969</v>
      </c>
      <c r="E7203" s="4">
        <v>28000</v>
      </c>
    </row>
    <row r="7204" spans="1:5">
      <c r="A7204" s="2" t="s">
        <v>1478</v>
      </c>
      <c r="B7204" s="2" t="str">
        <f>"001419599-8"</f>
        <v>001419599-8</v>
      </c>
      <c r="C7204" s="2" t="str">
        <f>"00149599-8"</f>
        <v>00149599-8</v>
      </c>
      <c r="D7204" s="2" t="s">
        <v>8970</v>
      </c>
      <c r="E7204" s="4">
        <v>34000</v>
      </c>
    </row>
    <row r="7205" spans="1:5">
      <c r="A7205" s="2" t="s">
        <v>1478</v>
      </c>
      <c r="B7205" s="2" t="str">
        <f>"5000000099450"</f>
        <v>5000000099450</v>
      </c>
      <c r="C7205" s="2" t="str">
        <f>"070723"</f>
        <v>070723</v>
      </c>
      <c r="D7205" s="2" t="s">
        <v>8971</v>
      </c>
      <c r="E7205" s="4">
        <v>28000</v>
      </c>
    </row>
    <row r="7206" spans="1:5">
      <c r="A7206" s="2" t="s">
        <v>1478</v>
      </c>
      <c r="B7206" s="2" t="str">
        <f>"5000000102181"</f>
        <v>5000000102181</v>
      </c>
      <c r="C7206" s="2" t="str">
        <f>"070722"</f>
        <v>070722</v>
      </c>
      <c r="D7206" s="2" t="s">
        <v>8972</v>
      </c>
      <c r="E7206" s="4">
        <v>19600</v>
      </c>
    </row>
    <row r="7207" spans="1:5">
      <c r="A7207" s="2" t="s">
        <v>1478</v>
      </c>
      <c r="B7207" s="2" t="str">
        <f>"9955466"</f>
        <v>9955466</v>
      </c>
      <c r="C7207" s="2" t="str">
        <f>"9955466"</f>
        <v>9955466</v>
      </c>
      <c r="D7207" s="2" t="s">
        <v>8973</v>
      </c>
      <c r="E7207" s="4">
        <v>28600</v>
      </c>
    </row>
    <row r="7208" spans="1:5">
      <c r="A7208" s="2" t="s">
        <v>1478</v>
      </c>
      <c r="B7208" s="2" t="str">
        <f>"1569857"</f>
        <v>1569857</v>
      </c>
      <c r="C7208" s="2" t="str">
        <f>"1569857"</f>
        <v>1569857</v>
      </c>
      <c r="D7208" s="2" t="s">
        <v>8974</v>
      </c>
      <c r="E7208" s="4">
        <v>4900</v>
      </c>
    </row>
    <row r="7209" spans="1:5">
      <c r="A7209" s="2" t="s">
        <v>1478</v>
      </c>
      <c r="B7209" s="2" t="str">
        <f>"010770060"</f>
        <v>010770060</v>
      </c>
      <c r="C7209" s="2" t="str">
        <f>"010770060"</f>
        <v>010770060</v>
      </c>
      <c r="D7209" s="2" t="s">
        <v>8975</v>
      </c>
      <c r="E7209" s="4">
        <v>4300</v>
      </c>
    </row>
    <row r="7210" spans="1:5">
      <c r="A7210" s="2" t="s">
        <v>1478</v>
      </c>
      <c r="B7210" s="2" t="str">
        <f>"160302"</f>
        <v>160302</v>
      </c>
      <c r="C7210" s="2" t="str">
        <f>"1442869745"</f>
        <v>1442869745</v>
      </c>
      <c r="D7210" s="2" t="s">
        <v>8976</v>
      </c>
      <c r="E7210" s="4">
        <v>19600</v>
      </c>
    </row>
    <row r="7211" spans="1:5">
      <c r="A7211" s="2" t="s">
        <v>1478</v>
      </c>
      <c r="B7211" s="2" t="str">
        <f>"010770061"</f>
        <v>010770061</v>
      </c>
      <c r="C7211" s="2" t="str">
        <f>"010770061"</f>
        <v>010770061</v>
      </c>
      <c r="D7211" s="2" t="s">
        <v>8977</v>
      </c>
      <c r="E7211" s="4">
        <v>4300</v>
      </c>
    </row>
    <row r="7212" spans="1:5">
      <c r="A7212" s="2" t="s">
        <v>1478</v>
      </c>
      <c r="B7212" s="2" t="str">
        <f>"9955489"</f>
        <v>9955489</v>
      </c>
      <c r="C7212" s="2" t="str">
        <f>"9955489"</f>
        <v>9955489</v>
      </c>
      <c r="D7212" s="2" t="s">
        <v>8978</v>
      </c>
      <c r="E7212" s="4">
        <v>25000</v>
      </c>
    </row>
    <row r="7213" spans="1:5">
      <c r="A7213" s="2" t="s">
        <v>1478</v>
      </c>
      <c r="B7213" s="2" t="str">
        <f>"3676"</f>
        <v>3676</v>
      </c>
      <c r="C7213" s="2" t="str">
        <f>"3676"</f>
        <v>3676</v>
      </c>
      <c r="D7213" s="2" t="s">
        <v>8979</v>
      </c>
      <c r="E7213" s="4">
        <v>2800</v>
      </c>
    </row>
    <row r="7214" spans="1:5">
      <c r="A7214" s="2" t="s">
        <v>1478</v>
      </c>
      <c r="B7214" s="2" t="str">
        <f>"20356720"</f>
        <v>20356720</v>
      </c>
      <c r="C7214" s="2" t="str">
        <f>"2035-6720"</f>
        <v>2035-6720</v>
      </c>
      <c r="D7214" s="2" t="s">
        <v>8980</v>
      </c>
      <c r="E7214" s="4">
        <v>2800</v>
      </c>
    </row>
    <row r="7215" spans="1:5">
      <c r="A7215" s="2" t="s">
        <v>1478</v>
      </c>
      <c r="B7215" s="2" t="str">
        <f>"055336"</f>
        <v>055336</v>
      </c>
      <c r="C7215" s="2" t="str">
        <f>"055336"</f>
        <v>055336</v>
      </c>
      <c r="D7215" s="2" t="s">
        <v>8981</v>
      </c>
      <c r="E7215" s="4">
        <v>19000</v>
      </c>
    </row>
    <row r="7216" spans="1:5">
      <c r="A7216" s="2" t="s">
        <v>1478</v>
      </c>
      <c r="B7216" s="2" t="str">
        <f>"1300190"</f>
        <v>1300190</v>
      </c>
      <c r="C7216" s="2" t="str">
        <f>"1300190"</f>
        <v>1300190</v>
      </c>
      <c r="D7216" s="2" t="s">
        <v>8982</v>
      </c>
      <c r="E7216" s="4">
        <v>3900</v>
      </c>
    </row>
    <row r="7217" spans="1:5">
      <c r="A7217" s="2" t="s">
        <v>1478</v>
      </c>
      <c r="B7217" s="2" t="str">
        <f>"020770421"</f>
        <v>020770421</v>
      </c>
      <c r="C7217" s="2" t="str">
        <f>"020770421"</f>
        <v>020770421</v>
      </c>
      <c r="D7217" s="2" t="s">
        <v>8983</v>
      </c>
      <c r="E7217" s="4">
        <v>3400</v>
      </c>
    </row>
    <row r="7218" spans="1:5">
      <c r="A7218" s="2" t="s">
        <v>1478</v>
      </c>
      <c r="B7218" s="2" t="str">
        <f>"1700280"</f>
        <v>1700280</v>
      </c>
      <c r="C7218" s="2" t="str">
        <f>"1700280"</f>
        <v>1700280</v>
      </c>
      <c r="D7218" s="2" t="s">
        <v>8984</v>
      </c>
      <c r="E7218" s="4">
        <v>4300</v>
      </c>
    </row>
    <row r="7219" spans="1:5">
      <c r="A7219" s="2" t="s">
        <v>1478</v>
      </c>
      <c r="B7219" s="2" t="str">
        <f>"1562477"</f>
        <v>1562477</v>
      </c>
      <c r="C7219" s="2" t="str">
        <f>"1562477"</f>
        <v>1562477</v>
      </c>
      <c r="D7219" s="2" t="s">
        <v>8984</v>
      </c>
      <c r="E7219" s="4">
        <v>4800</v>
      </c>
    </row>
    <row r="7220" spans="1:5">
      <c r="A7220" s="2" t="s">
        <v>1478</v>
      </c>
      <c r="B7220" s="2" t="str">
        <f>"1604160"</f>
        <v>1604160</v>
      </c>
      <c r="C7220" s="2" t="str">
        <f>"1604160"</f>
        <v>1604160</v>
      </c>
      <c r="D7220" s="2" t="s">
        <v>8985</v>
      </c>
      <c r="E7220" s="4">
        <v>3800</v>
      </c>
    </row>
    <row r="7221" spans="1:5">
      <c r="A7221" s="2" t="s">
        <v>1478</v>
      </c>
      <c r="B7221" s="2" t="str">
        <f>"3177205"</f>
        <v>3177205</v>
      </c>
      <c r="C7221" s="2" t="str">
        <f>"3177205"</f>
        <v>3177205</v>
      </c>
      <c r="D7221" s="2" t="s">
        <v>8986</v>
      </c>
      <c r="E7221" s="4">
        <v>3500</v>
      </c>
    </row>
    <row r="7222" spans="1:5">
      <c r="A7222" s="2" t="s">
        <v>1478</v>
      </c>
      <c r="B7222" s="2" t="str">
        <f>"210312"</f>
        <v>210312</v>
      </c>
      <c r="C7222" s="2" t="str">
        <f>"210312"</f>
        <v>210312</v>
      </c>
      <c r="D7222" s="2" t="s">
        <v>8987</v>
      </c>
      <c r="E7222" s="4">
        <v>3800</v>
      </c>
    </row>
    <row r="7223" spans="1:5">
      <c r="A7223" s="2" t="s">
        <v>1478</v>
      </c>
      <c r="B7223" s="2" t="str">
        <f>"247356"</f>
        <v>247356</v>
      </c>
      <c r="C7223" s="2" t="str">
        <f>"247356"</f>
        <v>247356</v>
      </c>
      <c r="D7223" s="2" t="s">
        <v>8988</v>
      </c>
      <c r="E7223" s="4">
        <v>19000</v>
      </c>
    </row>
    <row r="7224" spans="1:5">
      <c r="A7224" s="2" t="s">
        <v>1478</v>
      </c>
      <c r="B7224" s="2" t="str">
        <f>"235297"</f>
        <v>235297</v>
      </c>
      <c r="C7224" s="2" t="str">
        <f>"235297"</f>
        <v>235297</v>
      </c>
      <c r="D7224" s="2" t="s">
        <v>8989</v>
      </c>
      <c r="E7224" s="4">
        <v>5200</v>
      </c>
    </row>
    <row r="7225" spans="1:5">
      <c r="A7225" s="2" t="s">
        <v>1478</v>
      </c>
      <c r="B7225" s="2" t="str">
        <f>"235300"</f>
        <v>235300</v>
      </c>
      <c r="C7225" s="2" t="str">
        <f>"235300"</f>
        <v>235300</v>
      </c>
      <c r="D7225" s="2" t="s">
        <v>8990</v>
      </c>
      <c r="E7225" s="4">
        <v>53000</v>
      </c>
    </row>
    <row r="7226" spans="1:5">
      <c r="A7226" s="2" t="s">
        <v>1478</v>
      </c>
      <c r="B7226" s="2" t="str">
        <f>"3721"</f>
        <v>3721</v>
      </c>
      <c r="C7226" s="2" t="str">
        <f>"3721"</f>
        <v>3721</v>
      </c>
      <c r="D7226" s="2" t="s">
        <v>8991</v>
      </c>
      <c r="E7226" s="4">
        <v>4800</v>
      </c>
    </row>
    <row r="7227" spans="1:5">
      <c r="A7227" s="2" t="s">
        <v>1478</v>
      </c>
      <c r="B7227" s="2" t="str">
        <f>"160277"</f>
        <v>160277</v>
      </c>
      <c r="C7227" s="2" t="str">
        <f>"160277"</f>
        <v>160277</v>
      </c>
      <c r="D7227" s="2" t="s">
        <v>8992</v>
      </c>
      <c r="E7227" s="4">
        <v>4500</v>
      </c>
    </row>
    <row r="7228" spans="1:5">
      <c r="A7228" s="2" t="s">
        <v>1478</v>
      </c>
      <c r="B7228" s="2" t="str">
        <f>"055342"</f>
        <v>055342</v>
      </c>
      <c r="C7228" s="2" t="str">
        <f>"055342"</f>
        <v>055342</v>
      </c>
      <c r="D7228" s="2" t="s">
        <v>8993</v>
      </c>
      <c r="E7228" s="4">
        <v>21900</v>
      </c>
    </row>
    <row r="7229" spans="1:5">
      <c r="A7229" s="2" t="s">
        <v>1478</v>
      </c>
      <c r="B7229" s="2" t="str">
        <f>"285356"</f>
        <v>285356</v>
      </c>
      <c r="C7229" s="2" t="str">
        <f>"285356"</f>
        <v>285356</v>
      </c>
      <c r="D7229" s="2" t="s">
        <v>8994</v>
      </c>
      <c r="E7229" s="4">
        <v>6500</v>
      </c>
    </row>
    <row r="7230" spans="1:5">
      <c r="A7230" s="2" t="s">
        <v>1478</v>
      </c>
      <c r="B7230" s="2" t="s">
        <v>8995</v>
      </c>
      <c r="C7230" s="2" t="s">
        <v>8995</v>
      </c>
      <c r="D7230" s="2" t="s">
        <v>8996</v>
      </c>
      <c r="E7230" s="4">
        <v>3500</v>
      </c>
    </row>
    <row r="7231" spans="1:5">
      <c r="A7231" s="2" t="s">
        <v>1478</v>
      </c>
      <c r="B7231" s="2" t="s">
        <v>8997</v>
      </c>
      <c r="C7231" s="2" t="s">
        <v>8997</v>
      </c>
      <c r="D7231" s="2" t="s">
        <v>8998</v>
      </c>
      <c r="E7231" s="4">
        <v>12500</v>
      </c>
    </row>
    <row r="7232" spans="1:5">
      <c r="A7232" s="2" t="s">
        <v>1478</v>
      </c>
      <c r="B7232" s="2" t="s">
        <v>8999</v>
      </c>
      <c r="C7232" s="2" t="s">
        <v>8999</v>
      </c>
      <c r="D7232" s="2" t="s">
        <v>9000</v>
      </c>
      <c r="E7232" s="4">
        <v>3800</v>
      </c>
    </row>
    <row r="7233" spans="1:5">
      <c r="A7233" s="2" t="s">
        <v>1478</v>
      </c>
      <c r="B7233" s="2" t="str">
        <f>"170666"</f>
        <v>170666</v>
      </c>
      <c r="C7233" s="2" t="str">
        <f>"170666"</f>
        <v>170666</v>
      </c>
      <c r="D7233" s="2" t="s">
        <v>9001</v>
      </c>
      <c r="E7233" s="4">
        <v>4300</v>
      </c>
    </row>
    <row r="7234" spans="1:5">
      <c r="A7234" s="2" t="s">
        <v>1478</v>
      </c>
      <c r="B7234" s="2" t="str">
        <f>"0004739"</f>
        <v>0004739</v>
      </c>
      <c r="C7234" s="2" t="str">
        <f>"0004739"</f>
        <v>0004739</v>
      </c>
      <c r="D7234" s="2" t="s">
        <v>9001</v>
      </c>
      <c r="E7234" s="4">
        <v>3500</v>
      </c>
    </row>
    <row r="7235" spans="1:5">
      <c r="A7235" s="2" t="s">
        <v>1478</v>
      </c>
      <c r="B7235" s="2" t="str">
        <f>"0112860"</f>
        <v>0112860</v>
      </c>
      <c r="C7235" s="2" t="str">
        <f>"0112860"</f>
        <v>0112860</v>
      </c>
      <c r="D7235" s="2" t="s">
        <v>9001</v>
      </c>
      <c r="E7235" s="4">
        <v>3400</v>
      </c>
    </row>
    <row r="7236" spans="1:5">
      <c r="A7236" s="2" t="s">
        <v>1478</v>
      </c>
      <c r="B7236" s="2" t="str">
        <f>"0112850"</f>
        <v>0112850</v>
      </c>
      <c r="C7236" s="2" t="str">
        <f>"0112850"</f>
        <v>0112850</v>
      </c>
      <c r="D7236" s="2" t="s">
        <v>9001</v>
      </c>
      <c r="E7236" s="4">
        <v>3200</v>
      </c>
    </row>
    <row r="7237" spans="1:5">
      <c r="A7237" s="2" t="s">
        <v>1478</v>
      </c>
      <c r="B7237" s="2" t="str">
        <f>"13201-31M00"</f>
        <v>13201-31M00</v>
      </c>
      <c r="C7237" s="2" t="str">
        <f>"13201-31M00"</f>
        <v>13201-31M00</v>
      </c>
      <c r="D7237" s="2" t="s">
        <v>9002</v>
      </c>
      <c r="E7237" s="4">
        <v>11800</v>
      </c>
    </row>
    <row r="7238" spans="1:5">
      <c r="A7238" s="2" t="s">
        <v>1478</v>
      </c>
      <c r="B7238" s="2" t="str">
        <f>"286430"</f>
        <v>286430</v>
      </c>
      <c r="C7238" s="2" t="str">
        <f>"286430"</f>
        <v>286430</v>
      </c>
      <c r="D7238" s="2" t="s">
        <v>9003</v>
      </c>
      <c r="E7238" s="4">
        <v>34000</v>
      </c>
    </row>
    <row r="7239" spans="1:5">
      <c r="A7239" s="2" t="s">
        <v>1478</v>
      </c>
      <c r="B7239" s="2" t="str">
        <f>"170668"</f>
        <v>170668</v>
      </c>
      <c r="C7239" s="2" t="str">
        <f>"170668"</f>
        <v>170668</v>
      </c>
      <c r="D7239" s="2" t="s">
        <v>9004</v>
      </c>
      <c r="E7239" s="4">
        <v>3800</v>
      </c>
    </row>
    <row r="7240" spans="1:5">
      <c r="A7240" s="2" t="s">
        <v>1478</v>
      </c>
      <c r="B7240" s="2" t="str">
        <f>"090060"</f>
        <v>090060</v>
      </c>
      <c r="C7240" s="2" t="str">
        <f>"090060"</f>
        <v>090060</v>
      </c>
      <c r="D7240" s="2" t="s">
        <v>9005</v>
      </c>
      <c r="E7240" s="4">
        <v>5500</v>
      </c>
    </row>
    <row r="7241" spans="1:5">
      <c r="A7241" s="2" t="s">
        <v>1478</v>
      </c>
      <c r="B7241" s="2" t="str">
        <f>"3885-E"</f>
        <v>3885-E</v>
      </c>
      <c r="C7241" s="2" t="str">
        <f>"3885-E"</f>
        <v>3885-E</v>
      </c>
      <c r="D7241" s="2" t="s">
        <v>9006</v>
      </c>
      <c r="E7241" s="4">
        <v>3900</v>
      </c>
    </row>
    <row r="7242" spans="1:5">
      <c r="A7242" s="2" t="s">
        <v>1478</v>
      </c>
      <c r="B7242" s="2" t="s">
        <v>9007</v>
      </c>
      <c r="C7242" s="2" t="s">
        <v>9007</v>
      </c>
      <c r="D7242" s="2" t="s">
        <v>9006</v>
      </c>
      <c r="E7242" s="4">
        <v>3500</v>
      </c>
    </row>
    <row r="7243" spans="1:5">
      <c r="A7243" s="2" t="s">
        <v>1478</v>
      </c>
      <c r="B7243" s="2" t="str">
        <f>"285354"</f>
        <v>285354</v>
      </c>
      <c r="C7243" s="2" t="str">
        <f>"285354"</f>
        <v>285354</v>
      </c>
      <c r="D7243" s="2" t="s">
        <v>9008</v>
      </c>
      <c r="E7243" s="4">
        <v>21800</v>
      </c>
    </row>
    <row r="7244" spans="1:5">
      <c r="A7244" s="2" t="s">
        <v>1478</v>
      </c>
      <c r="B7244" s="2" t="s">
        <v>9009</v>
      </c>
      <c r="C7244" s="2" t="s">
        <v>9009</v>
      </c>
      <c r="D7244" s="2" t="s">
        <v>9010</v>
      </c>
      <c r="E7244" s="4">
        <v>20500</v>
      </c>
    </row>
    <row r="7245" spans="1:5" ht="27.6">
      <c r="A7245" s="2" t="s">
        <v>1478</v>
      </c>
      <c r="B7245" s="2" t="str">
        <f>"001719537-9"</f>
        <v>001719537-9</v>
      </c>
      <c r="C7245" s="2" t="str">
        <f>"1719537-9"</f>
        <v>1719537-9</v>
      </c>
      <c r="D7245" s="2" t="s">
        <v>9011</v>
      </c>
      <c r="E7245" s="4">
        <v>59000</v>
      </c>
    </row>
    <row r="7246" spans="1:5">
      <c r="A7246" s="2" t="s">
        <v>1478</v>
      </c>
      <c r="B7246" s="2" t="str">
        <f>"10770237"</f>
        <v>10770237</v>
      </c>
      <c r="C7246" s="2" t="str">
        <f>"10770237"</f>
        <v>10770237</v>
      </c>
      <c r="D7246" s="2" t="s">
        <v>9012</v>
      </c>
      <c r="E7246" s="4">
        <v>3800</v>
      </c>
    </row>
    <row r="7247" spans="1:5">
      <c r="A7247" s="2" t="s">
        <v>1478</v>
      </c>
      <c r="B7247" s="2" t="str">
        <f>"11030"</f>
        <v>11030</v>
      </c>
      <c r="C7247" s="2" t="str">
        <f>"11030"</f>
        <v>11030</v>
      </c>
      <c r="D7247" s="2" t="s">
        <v>9012</v>
      </c>
      <c r="E7247" s="4">
        <v>3500</v>
      </c>
    </row>
    <row r="7248" spans="1:5">
      <c r="A7248" s="2" t="s">
        <v>1478</v>
      </c>
      <c r="B7248" s="2" t="str">
        <f>"30354350"</f>
        <v>30354350</v>
      </c>
      <c r="C7248" s="2" t="str">
        <f>"30354350"</f>
        <v>30354350</v>
      </c>
      <c r="D7248" s="2" t="s">
        <v>9013</v>
      </c>
      <c r="E7248" s="4">
        <v>2800</v>
      </c>
    </row>
    <row r="7249" spans="1:5">
      <c r="A7249" s="2" t="s">
        <v>1478</v>
      </c>
      <c r="B7249" s="2" t="str">
        <f>"0297049"</f>
        <v>0297049</v>
      </c>
      <c r="C7249" s="2" t="str">
        <f>"0297049"</f>
        <v>0297049</v>
      </c>
      <c r="D7249" s="2" t="s">
        <v>9013</v>
      </c>
      <c r="E7249" s="4">
        <v>2800</v>
      </c>
    </row>
    <row r="7250" spans="1:5">
      <c r="A7250" s="2" t="s">
        <v>1478</v>
      </c>
      <c r="B7250" s="2" t="str">
        <f>"3795"</f>
        <v>3795</v>
      </c>
      <c r="C7250" s="2" t="str">
        <f>"3795"</f>
        <v>3795</v>
      </c>
      <c r="D7250" s="2" t="s">
        <v>9013</v>
      </c>
      <c r="E7250" s="4">
        <v>3800</v>
      </c>
    </row>
    <row r="7251" spans="1:5">
      <c r="A7251" s="2" t="s">
        <v>1478</v>
      </c>
      <c r="B7251" s="2" t="s">
        <v>9014</v>
      </c>
      <c r="C7251" s="2" t="s">
        <v>9014</v>
      </c>
      <c r="D7251" s="2" t="s">
        <v>9015</v>
      </c>
      <c r="E7251" s="4">
        <v>3400</v>
      </c>
    </row>
    <row r="7252" spans="1:5">
      <c r="A7252" s="2" t="s">
        <v>1478</v>
      </c>
      <c r="B7252" s="2" t="str">
        <f>"2035-6714"</f>
        <v>2035-6714</v>
      </c>
      <c r="C7252" s="2" t="str">
        <f>"2035-6714"</f>
        <v>2035-6714</v>
      </c>
      <c r="D7252" s="2" t="s">
        <v>9016</v>
      </c>
      <c r="E7252" s="4">
        <v>5200</v>
      </c>
    </row>
    <row r="7253" spans="1:5">
      <c r="A7253" s="2" t="s">
        <v>1478</v>
      </c>
      <c r="B7253" s="2" t="str">
        <f>"192693"</f>
        <v>192693</v>
      </c>
      <c r="C7253" s="2" t="str">
        <f>"192693"</f>
        <v>192693</v>
      </c>
      <c r="D7253" s="2" t="s">
        <v>9017</v>
      </c>
      <c r="E7253" s="4">
        <v>16800</v>
      </c>
    </row>
    <row r="7254" spans="1:5">
      <c r="A7254" s="2" t="s">
        <v>1478</v>
      </c>
      <c r="B7254" s="2" t="s">
        <v>9018</v>
      </c>
      <c r="C7254" s="2" t="s">
        <v>9018</v>
      </c>
      <c r="D7254" s="2" t="s">
        <v>9019</v>
      </c>
      <c r="E7254" s="4">
        <v>5200</v>
      </c>
    </row>
    <row r="7255" spans="1:5">
      <c r="A7255" s="2" t="s">
        <v>1478</v>
      </c>
      <c r="B7255" s="2" t="s">
        <v>9020</v>
      </c>
      <c r="C7255" s="2" t="s">
        <v>9020</v>
      </c>
      <c r="D7255" s="2" t="s">
        <v>9019</v>
      </c>
      <c r="E7255" s="4">
        <v>5500</v>
      </c>
    </row>
    <row r="7256" spans="1:5">
      <c r="A7256" s="2" t="s">
        <v>1478</v>
      </c>
      <c r="B7256" s="2" t="str">
        <f>"10770445"</f>
        <v>10770445</v>
      </c>
      <c r="C7256" s="2" t="str">
        <f>"10770445"</f>
        <v>10770445</v>
      </c>
      <c r="D7256" s="2" t="s">
        <v>9021</v>
      </c>
      <c r="E7256" s="4">
        <v>4800</v>
      </c>
    </row>
    <row r="7257" spans="1:5">
      <c r="A7257" s="2" t="s">
        <v>1478</v>
      </c>
      <c r="B7257" s="2" t="str">
        <f>"260298"</f>
        <v>260298</v>
      </c>
      <c r="C7257" s="2" t="str">
        <f>"260298"</f>
        <v>260298</v>
      </c>
      <c r="D7257" s="2" t="s">
        <v>9022</v>
      </c>
      <c r="E7257" s="4">
        <v>21000</v>
      </c>
    </row>
    <row r="7258" spans="1:5">
      <c r="A7258" s="2" t="s">
        <v>1478</v>
      </c>
      <c r="B7258" s="2" t="str">
        <f>"016958"</f>
        <v>016958</v>
      </c>
      <c r="C7258" s="2" t="str">
        <f>"016958"</f>
        <v>016958</v>
      </c>
      <c r="D7258" s="2" t="s">
        <v>9023</v>
      </c>
      <c r="E7258" s="4">
        <v>18700</v>
      </c>
    </row>
    <row r="7259" spans="1:5">
      <c r="A7259" s="2" t="s">
        <v>1478</v>
      </c>
      <c r="B7259" s="2" t="str">
        <f>"286418"</f>
        <v>286418</v>
      </c>
      <c r="C7259" s="2" t="str">
        <f>"286418"</f>
        <v>286418</v>
      </c>
      <c r="D7259" s="2" t="s">
        <v>9024</v>
      </c>
      <c r="E7259" s="4">
        <v>34000</v>
      </c>
    </row>
    <row r="7260" spans="1:5">
      <c r="A7260" s="2" t="s">
        <v>1478</v>
      </c>
      <c r="B7260" s="2" t="str">
        <f>"001819511-9"</f>
        <v>001819511-9</v>
      </c>
      <c r="C7260" s="2" t="str">
        <f>"1819511-9"</f>
        <v>1819511-9</v>
      </c>
      <c r="D7260" s="2" t="s">
        <v>9025</v>
      </c>
      <c r="E7260" s="4">
        <v>18000</v>
      </c>
    </row>
    <row r="7261" spans="1:5">
      <c r="A7261" s="2" t="s">
        <v>1478</v>
      </c>
      <c r="B7261" s="2" t="str">
        <f>"055186"</f>
        <v>055186</v>
      </c>
      <c r="C7261" s="2" t="str">
        <f>"055186"</f>
        <v>055186</v>
      </c>
      <c r="D7261" s="2" t="s">
        <v>9026</v>
      </c>
      <c r="E7261" s="4">
        <v>114000</v>
      </c>
    </row>
    <row r="7262" spans="1:5">
      <c r="A7262" s="2" t="s">
        <v>1478</v>
      </c>
      <c r="B7262" s="2" t="str">
        <f>"0164853"</f>
        <v>0164853</v>
      </c>
      <c r="C7262" s="2" t="str">
        <f>"0164853"</f>
        <v>0164853</v>
      </c>
      <c r="D7262" s="2" t="s">
        <v>9027</v>
      </c>
      <c r="E7262" s="4">
        <v>18500</v>
      </c>
    </row>
    <row r="7263" spans="1:5">
      <c r="A7263" s="2" t="s">
        <v>1478</v>
      </c>
      <c r="B7263" s="2" t="str">
        <f>"0301300"</f>
        <v>0301300</v>
      </c>
      <c r="C7263" s="2" t="str">
        <f>"0301300"</f>
        <v>0301300</v>
      </c>
      <c r="D7263" s="2" t="s">
        <v>9028</v>
      </c>
      <c r="E7263" s="4">
        <v>25000</v>
      </c>
    </row>
    <row r="7264" spans="1:5">
      <c r="A7264" s="2" t="s">
        <v>1478</v>
      </c>
      <c r="B7264" s="2" t="str">
        <f>"311877"</f>
        <v>311877</v>
      </c>
      <c r="C7264" s="2" t="str">
        <f>"311877"</f>
        <v>311877</v>
      </c>
      <c r="D7264" s="2" t="s">
        <v>9029</v>
      </c>
      <c r="E7264" s="4">
        <v>25000</v>
      </c>
    </row>
    <row r="7265" spans="1:5">
      <c r="A7265" s="2" t="s">
        <v>1478</v>
      </c>
      <c r="B7265" s="2" t="str">
        <f>"0015803"</f>
        <v>0015803</v>
      </c>
      <c r="C7265" s="2" t="str">
        <f>"0015803"</f>
        <v>0015803</v>
      </c>
      <c r="D7265" s="2" t="s">
        <v>9030</v>
      </c>
      <c r="E7265" s="4">
        <v>4300</v>
      </c>
    </row>
    <row r="7266" spans="1:5">
      <c r="A7266" s="2" t="s">
        <v>1478</v>
      </c>
      <c r="B7266" s="2" t="str">
        <f>"1035-4219"</f>
        <v>1035-4219</v>
      </c>
      <c r="C7266" s="2" t="str">
        <f>"1035-4219"</f>
        <v>1035-4219</v>
      </c>
      <c r="D7266" s="2" t="s">
        <v>9031</v>
      </c>
      <c r="E7266" s="4">
        <v>3800</v>
      </c>
    </row>
    <row r="7267" spans="1:5">
      <c r="A7267" s="2" t="s">
        <v>1478</v>
      </c>
      <c r="B7267" s="2" t="str">
        <f>"311888"</f>
        <v>311888</v>
      </c>
      <c r="C7267" s="2" t="str">
        <f>"311888"</f>
        <v>311888</v>
      </c>
      <c r="D7267" s="2" t="s">
        <v>9032</v>
      </c>
      <c r="E7267" s="4">
        <v>14200</v>
      </c>
    </row>
    <row r="7268" spans="1:5">
      <c r="A7268" s="2" t="s">
        <v>1478</v>
      </c>
      <c r="B7268" s="2" t="str">
        <f>"0015802"</f>
        <v>0015802</v>
      </c>
      <c r="C7268" s="2" t="str">
        <f>"0015802"</f>
        <v>0015802</v>
      </c>
      <c r="D7268" s="2" t="s">
        <v>9033</v>
      </c>
      <c r="E7268" s="4">
        <v>3500</v>
      </c>
    </row>
    <row r="7269" spans="1:5">
      <c r="A7269" s="2" t="s">
        <v>1478</v>
      </c>
      <c r="B7269" s="2" t="str">
        <f>"010770247"</f>
        <v>010770247</v>
      </c>
      <c r="C7269" s="2" t="str">
        <f>"010770247"</f>
        <v>010770247</v>
      </c>
      <c r="D7269" s="2" t="s">
        <v>9034</v>
      </c>
      <c r="E7269" s="4">
        <v>3800</v>
      </c>
    </row>
    <row r="7270" spans="1:5">
      <c r="A7270" s="2" t="s">
        <v>1478</v>
      </c>
      <c r="B7270" s="2" t="str">
        <f>"311889"</f>
        <v>311889</v>
      </c>
      <c r="C7270" s="2" t="str">
        <f>"311889"</f>
        <v>311889</v>
      </c>
      <c r="D7270" s="2" t="s">
        <v>9035</v>
      </c>
      <c r="E7270" s="4">
        <v>18700</v>
      </c>
    </row>
    <row r="7271" spans="1:5">
      <c r="A7271" s="2" t="s">
        <v>1478</v>
      </c>
      <c r="B7271" s="2" t="str">
        <f>"1035-4220"</f>
        <v>1035-4220</v>
      </c>
      <c r="C7271" s="2" t="str">
        <f>"1035-4220"</f>
        <v>1035-4220</v>
      </c>
      <c r="D7271" s="2" t="s">
        <v>9036</v>
      </c>
      <c r="E7271" s="4">
        <v>4300</v>
      </c>
    </row>
    <row r="7272" spans="1:5">
      <c r="A7272" s="2" t="s">
        <v>1478</v>
      </c>
      <c r="B7272" s="2" t="str">
        <f>"302240"</f>
        <v>302240</v>
      </c>
      <c r="C7272" s="2" t="str">
        <f>"302240"</f>
        <v>302240</v>
      </c>
      <c r="D7272" s="2" t="s">
        <v>9037</v>
      </c>
      <c r="E7272" s="4">
        <v>9950</v>
      </c>
    </row>
    <row r="7273" spans="1:5">
      <c r="A7273" s="2" t="s">
        <v>1478</v>
      </c>
      <c r="B7273" s="2" t="str">
        <f>"010770462"</f>
        <v>010770462</v>
      </c>
      <c r="C7273" s="2" t="str">
        <f>"010770462"</f>
        <v>010770462</v>
      </c>
      <c r="D7273" s="2" t="s">
        <v>9038</v>
      </c>
      <c r="E7273" s="4">
        <v>5200</v>
      </c>
    </row>
    <row r="7274" spans="1:5">
      <c r="A7274" s="2" t="s">
        <v>1478</v>
      </c>
      <c r="B7274" s="2" t="s">
        <v>9039</v>
      </c>
      <c r="C7274" s="2" t="str">
        <f>"1689887941251"</f>
        <v>1689887941251</v>
      </c>
      <c r="D7274" s="2" t="s">
        <v>9040</v>
      </c>
      <c r="E7274" s="4">
        <v>280000</v>
      </c>
    </row>
    <row r="7275" spans="1:5">
      <c r="A7275" s="2" t="s">
        <v>296</v>
      </c>
      <c r="B7275" s="2" t="str">
        <f>"017300"</f>
        <v>017300</v>
      </c>
      <c r="C7275" s="2" t="str">
        <f>"017300"</f>
        <v>017300</v>
      </c>
      <c r="D7275" s="2" t="s">
        <v>9041</v>
      </c>
      <c r="E7275" s="4">
        <v>28000</v>
      </c>
    </row>
    <row r="7276" spans="1:5">
      <c r="A7276" s="2" t="s">
        <v>296</v>
      </c>
      <c r="B7276" s="2" t="str">
        <f>"010060483"</f>
        <v>010060483</v>
      </c>
      <c r="C7276" s="2" t="str">
        <f>"010060483"</f>
        <v>010060483</v>
      </c>
      <c r="D7276" s="2" t="s">
        <v>9042</v>
      </c>
      <c r="E7276" s="4">
        <v>45000</v>
      </c>
    </row>
    <row r="7277" spans="1:5">
      <c r="A7277" s="2" t="s">
        <v>296</v>
      </c>
      <c r="B7277" s="2" t="str">
        <f>"287655"</f>
        <v>287655</v>
      </c>
      <c r="C7277" s="2" t="str">
        <f>"287655"</f>
        <v>287655</v>
      </c>
      <c r="D7277" s="2" t="s">
        <v>9043</v>
      </c>
      <c r="E7277" s="4">
        <v>11000</v>
      </c>
    </row>
    <row r="7278" spans="1:5">
      <c r="A7278" s="2" t="s">
        <v>296</v>
      </c>
      <c r="B7278" s="2" t="str">
        <f>"0001508"</f>
        <v>0001508</v>
      </c>
      <c r="C7278" s="2" t="str">
        <f>"0001508"</f>
        <v>0001508</v>
      </c>
      <c r="D7278" s="2" t="s">
        <v>9044</v>
      </c>
      <c r="E7278" s="4">
        <v>38500</v>
      </c>
    </row>
    <row r="7279" spans="1:5">
      <c r="A7279" s="2" t="s">
        <v>296</v>
      </c>
      <c r="B7279" s="2" t="str">
        <f>"0015040"</f>
        <v>0015040</v>
      </c>
      <c r="C7279" s="2" t="str">
        <f>"0015040"</f>
        <v>0015040</v>
      </c>
      <c r="D7279" s="2" t="s">
        <v>9045</v>
      </c>
      <c r="E7279" s="4">
        <v>39000</v>
      </c>
    </row>
    <row r="7280" spans="1:5">
      <c r="A7280" s="2" t="s">
        <v>296</v>
      </c>
      <c r="B7280" s="2" t="str">
        <f>"0032009"</f>
        <v>0032009</v>
      </c>
      <c r="C7280" s="2" t="str">
        <f>"003009"</f>
        <v>003009</v>
      </c>
      <c r="D7280" s="2" t="s">
        <v>9046</v>
      </c>
      <c r="E7280" s="4">
        <v>34000</v>
      </c>
    </row>
    <row r="7281" spans="1:5">
      <c r="A7281" s="2" t="s">
        <v>296</v>
      </c>
      <c r="B7281" s="2" t="str">
        <f>"0000609"</f>
        <v>0000609</v>
      </c>
      <c r="C7281" s="2" t="str">
        <f>"0000609"</f>
        <v>0000609</v>
      </c>
      <c r="D7281" s="2" t="s">
        <v>9047</v>
      </c>
      <c r="E7281" s="4">
        <v>27000</v>
      </c>
    </row>
    <row r="7282" spans="1:5">
      <c r="A7282" s="2" t="s">
        <v>296</v>
      </c>
      <c r="B7282" s="2" t="str">
        <f>"0300590"</f>
        <v>0300590</v>
      </c>
      <c r="C7282" s="2" t="str">
        <f>"0300590"</f>
        <v>0300590</v>
      </c>
      <c r="D7282" s="2" t="s">
        <v>9048</v>
      </c>
      <c r="E7282" s="4">
        <v>34000</v>
      </c>
    </row>
    <row r="7283" spans="1:5">
      <c r="A7283" s="2" t="s">
        <v>296</v>
      </c>
      <c r="B7283" s="2" t="str">
        <f>"0007373"</f>
        <v>0007373</v>
      </c>
      <c r="C7283" s="2" t="str">
        <f>"0007373"</f>
        <v>0007373</v>
      </c>
      <c r="D7283" s="2" t="s">
        <v>9049</v>
      </c>
      <c r="E7283" s="4">
        <v>78000</v>
      </c>
    </row>
    <row r="7284" spans="1:5">
      <c r="A7284" s="2" t="s">
        <v>296</v>
      </c>
      <c r="B7284" s="2" t="str">
        <f>"191261"</f>
        <v>191261</v>
      </c>
      <c r="C7284" s="2" t="str">
        <f>"191261"</f>
        <v>191261</v>
      </c>
      <c r="D7284" s="2" t="s">
        <v>9050</v>
      </c>
      <c r="E7284" s="4">
        <v>5600</v>
      </c>
    </row>
    <row r="7285" spans="1:5">
      <c r="A7285" s="2" t="s">
        <v>296</v>
      </c>
      <c r="B7285" s="2" t="s">
        <v>9051</v>
      </c>
      <c r="C7285" s="2" t="s">
        <v>9051</v>
      </c>
      <c r="D7285" s="2" t="s">
        <v>9052</v>
      </c>
      <c r="E7285" s="4">
        <v>47000</v>
      </c>
    </row>
    <row r="7286" spans="1:5">
      <c r="A7286" s="2" t="s">
        <v>296</v>
      </c>
      <c r="B7286" s="2" t="s">
        <v>9053</v>
      </c>
      <c r="C7286" s="2" t="s">
        <v>9053</v>
      </c>
      <c r="D7286" s="2" t="s">
        <v>9054</v>
      </c>
      <c r="E7286" s="4">
        <v>28000</v>
      </c>
    </row>
    <row r="7287" spans="1:5">
      <c r="A7287" s="2" t="s">
        <v>296</v>
      </c>
      <c r="B7287" s="2" t="str">
        <f>"003388"</f>
        <v>003388</v>
      </c>
      <c r="C7287" s="2" t="str">
        <f>"003388"</f>
        <v>003388</v>
      </c>
      <c r="D7287" s="2" t="s">
        <v>9055</v>
      </c>
      <c r="E7287" s="4">
        <v>6100</v>
      </c>
    </row>
    <row r="7288" spans="1:5">
      <c r="A7288" s="2" t="s">
        <v>296</v>
      </c>
      <c r="B7288" s="2" t="str">
        <f>"0600290"</f>
        <v>0600290</v>
      </c>
      <c r="C7288" s="2" t="str">
        <f>"0600290"</f>
        <v>0600290</v>
      </c>
      <c r="D7288" s="2" t="s">
        <v>9056</v>
      </c>
      <c r="E7288" s="4">
        <v>5200</v>
      </c>
    </row>
    <row r="7289" spans="1:5">
      <c r="A7289" s="2" t="s">
        <v>421</v>
      </c>
      <c r="B7289" s="2" t="s">
        <v>9057</v>
      </c>
      <c r="C7289" s="2" t="s">
        <v>9057</v>
      </c>
      <c r="D7289" s="2" t="s">
        <v>9058</v>
      </c>
      <c r="E7289" s="4">
        <v>15100</v>
      </c>
    </row>
    <row r="7290" spans="1:5">
      <c r="A7290" s="2" t="s">
        <v>296</v>
      </c>
      <c r="B7290" s="2" t="s">
        <v>9059</v>
      </c>
      <c r="C7290" s="2" t="s">
        <v>9059</v>
      </c>
      <c r="D7290" s="2" t="s">
        <v>9060</v>
      </c>
      <c r="E7290" s="4">
        <v>15500</v>
      </c>
    </row>
    <row r="7291" spans="1:5">
      <c r="A7291" s="2" t="s">
        <v>296</v>
      </c>
      <c r="B7291" s="2" t="s">
        <v>9061</v>
      </c>
      <c r="C7291" s="2" t="s">
        <v>9061</v>
      </c>
      <c r="D7291" s="2" t="s">
        <v>9062</v>
      </c>
      <c r="E7291" s="4">
        <v>16000</v>
      </c>
    </row>
    <row r="7292" spans="1:5">
      <c r="A7292" s="2" t="s">
        <v>296</v>
      </c>
      <c r="B7292" s="2" t="str">
        <f>"8026020"</f>
        <v>8026020</v>
      </c>
      <c r="C7292" s="2" t="str">
        <f>"8026020"</f>
        <v>8026020</v>
      </c>
      <c r="D7292" s="2" t="s">
        <v>9063</v>
      </c>
      <c r="E7292" s="4">
        <v>14500</v>
      </c>
    </row>
    <row r="7293" spans="1:5">
      <c r="A7293" s="2" t="s">
        <v>296</v>
      </c>
      <c r="B7293" s="2" t="s">
        <v>9064</v>
      </c>
      <c r="C7293" s="2" t="s">
        <v>9064</v>
      </c>
      <c r="D7293" s="2" t="s">
        <v>9065</v>
      </c>
      <c r="E7293" s="4">
        <v>18500</v>
      </c>
    </row>
    <row r="7294" spans="1:5">
      <c r="A7294" s="2" t="s">
        <v>296</v>
      </c>
      <c r="B7294" s="2" t="s">
        <v>9066</v>
      </c>
      <c r="C7294" s="2" t="s">
        <v>9066</v>
      </c>
      <c r="D7294" s="2" t="s">
        <v>9067</v>
      </c>
      <c r="E7294" s="4">
        <v>17800</v>
      </c>
    </row>
    <row r="7295" spans="1:5">
      <c r="A7295" s="2" t="s">
        <v>296</v>
      </c>
      <c r="B7295" s="2" t="str">
        <f>"001455021-6"</f>
        <v>001455021-6</v>
      </c>
      <c r="C7295" s="2" t="str">
        <f>"001455021-6"</f>
        <v>001455021-6</v>
      </c>
      <c r="D7295" s="2" t="s">
        <v>9068</v>
      </c>
      <c r="E7295" s="4">
        <v>18700</v>
      </c>
    </row>
    <row r="7296" spans="1:5">
      <c r="A7296" s="2" t="s">
        <v>296</v>
      </c>
      <c r="B7296" s="2" t="str">
        <f>"090860111"</f>
        <v>090860111</v>
      </c>
      <c r="C7296" s="2" t="str">
        <f>"1443559463"</f>
        <v>1443559463</v>
      </c>
      <c r="D7296" s="2" t="s">
        <v>9069</v>
      </c>
      <c r="E7296" s="4">
        <v>19000</v>
      </c>
    </row>
    <row r="7297" spans="1:5">
      <c r="A7297" s="2" t="s">
        <v>296</v>
      </c>
      <c r="B7297" s="2" t="str">
        <f>"312958"</f>
        <v>312958</v>
      </c>
      <c r="C7297" s="2" t="str">
        <f>"312958"</f>
        <v>312958</v>
      </c>
      <c r="D7297" s="2" t="s">
        <v>9070</v>
      </c>
      <c r="E7297" s="4">
        <v>25000</v>
      </c>
    </row>
    <row r="7298" spans="1:5">
      <c r="A7298" s="2" t="s">
        <v>296</v>
      </c>
      <c r="B7298" s="2" t="str">
        <f>"9941165"</f>
        <v>9941165</v>
      </c>
      <c r="C7298" s="2" t="str">
        <f>"9941165"</f>
        <v>9941165</v>
      </c>
      <c r="D7298" s="2" t="s">
        <v>9071</v>
      </c>
      <c r="E7298" s="4">
        <v>18700</v>
      </c>
    </row>
    <row r="7299" spans="1:5">
      <c r="A7299" s="2" t="s">
        <v>296</v>
      </c>
      <c r="B7299" s="2" t="str">
        <f>"0014577"</f>
        <v>0014577</v>
      </c>
      <c r="C7299" s="2" t="str">
        <f>"0014577"</f>
        <v>0014577</v>
      </c>
      <c r="D7299" s="2" t="s">
        <v>9072</v>
      </c>
      <c r="E7299" s="4">
        <v>16000</v>
      </c>
    </row>
    <row r="7300" spans="1:5">
      <c r="A7300" s="2" t="s">
        <v>296</v>
      </c>
      <c r="B7300" s="2" t="str">
        <f>"0014516"</f>
        <v>0014516</v>
      </c>
      <c r="C7300" s="2" t="str">
        <f>"1368870"</f>
        <v>1368870</v>
      </c>
      <c r="D7300" s="2" t="s">
        <v>9073</v>
      </c>
      <c r="E7300" s="4">
        <v>18700</v>
      </c>
    </row>
    <row r="7301" spans="1:5">
      <c r="A7301" s="2" t="s">
        <v>296</v>
      </c>
      <c r="B7301" s="2" t="str">
        <f>"090860280"</f>
        <v>090860280</v>
      </c>
      <c r="C7301" s="2" t="str">
        <f>"090860280"</f>
        <v>090860280</v>
      </c>
      <c r="D7301" s="2" t="s">
        <v>9074</v>
      </c>
      <c r="E7301" s="4">
        <v>25000</v>
      </c>
    </row>
    <row r="7302" spans="1:5">
      <c r="A7302" s="2" t="s">
        <v>296</v>
      </c>
      <c r="B7302" s="2" t="str">
        <f>"003797"</f>
        <v>003797</v>
      </c>
      <c r="C7302" s="2" t="str">
        <f>"003797"</f>
        <v>003797</v>
      </c>
      <c r="D7302" s="2" t="s">
        <v>9075</v>
      </c>
      <c r="E7302" s="4">
        <v>25000</v>
      </c>
    </row>
    <row r="7303" spans="1:5">
      <c r="A7303" s="2" t="s">
        <v>296</v>
      </c>
      <c r="B7303" s="2" t="str">
        <f>"0023719"</f>
        <v>0023719</v>
      </c>
      <c r="C7303" s="2" t="str">
        <f>"0023719"</f>
        <v>0023719</v>
      </c>
      <c r="D7303" s="2" t="s">
        <v>9076</v>
      </c>
      <c r="E7303" s="4">
        <v>19600</v>
      </c>
    </row>
    <row r="7304" spans="1:5">
      <c r="A7304" s="2" t="s">
        <v>296</v>
      </c>
      <c r="B7304" s="2" t="str">
        <f>"9941171"</f>
        <v>9941171</v>
      </c>
      <c r="C7304" s="2" t="str">
        <f>"9941171"</f>
        <v>9941171</v>
      </c>
      <c r="D7304" s="2" t="s">
        <v>9077</v>
      </c>
      <c r="E7304" s="4">
        <v>28600</v>
      </c>
    </row>
    <row r="7305" spans="1:5">
      <c r="A7305" s="2" t="s">
        <v>296</v>
      </c>
      <c r="B7305" s="2" t="str">
        <f>"0023718"</f>
        <v>0023718</v>
      </c>
      <c r="C7305" s="2" t="str">
        <f>"0023718"</f>
        <v>0023718</v>
      </c>
      <c r="D7305" s="2" t="s">
        <v>9078</v>
      </c>
      <c r="E7305" s="4">
        <v>14200</v>
      </c>
    </row>
    <row r="7306" spans="1:5">
      <c r="A7306" s="2" t="s">
        <v>296</v>
      </c>
      <c r="B7306" s="2" t="str">
        <f>"0013349"</f>
        <v>0013349</v>
      </c>
      <c r="C7306" s="2" t="str">
        <f>"0013349"</f>
        <v>0013349</v>
      </c>
      <c r="D7306" s="2" t="s">
        <v>9079</v>
      </c>
      <c r="E7306" s="4">
        <v>18000</v>
      </c>
    </row>
    <row r="7307" spans="1:5">
      <c r="A7307" s="2" t="s">
        <v>296</v>
      </c>
      <c r="B7307" s="2" t="str">
        <f>"090860159"</f>
        <v>090860159</v>
      </c>
      <c r="C7307" s="2" t="str">
        <f>"090860159"</f>
        <v>090860159</v>
      </c>
      <c r="D7307" s="2" t="s">
        <v>9080</v>
      </c>
      <c r="E7307" s="4">
        <v>18000</v>
      </c>
    </row>
    <row r="7308" spans="1:5">
      <c r="A7308" s="2" t="s">
        <v>296</v>
      </c>
      <c r="B7308" s="2" t="str">
        <f>"0001054"</f>
        <v>0001054</v>
      </c>
      <c r="C7308" s="2" t="str">
        <f>"0001054"</f>
        <v>0001054</v>
      </c>
      <c r="D7308" s="2" t="s">
        <v>9081</v>
      </c>
      <c r="E7308" s="4">
        <v>19800</v>
      </c>
    </row>
    <row r="7309" spans="1:5">
      <c r="A7309" s="2" t="s">
        <v>296</v>
      </c>
      <c r="B7309" s="2" t="str">
        <f>"8019930"</f>
        <v>8019930</v>
      </c>
      <c r="C7309" s="2" t="str">
        <f>"8019930"</f>
        <v>8019930</v>
      </c>
      <c r="D7309" s="2" t="s">
        <v>9082</v>
      </c>
      <c r="E7309" s="4">
        <v>12500</v>
      </c>
    </row>
    <row r="7310" spans="1:5">
      <c r="A7310" s="2" t="s">
        <v>296</v>
      </c>
      <c r="B7310" s="2" t="s">
        <v>9083</v>
      </c>
      <c r="C7310" s="2" t="s">
        <v>9083</v>
      </c>
      <c r="D7310" s="2" t="s">
        <v>9084</v>
      </c>
      <c r="E7310" s="4">
        <v>16000</v>
      </c>
    </row>
    <row r="7311" spans="1:5">
      <c r="A7311" s="2" t="s">
        <v>296</v>
      </c>
      <c r="B7311" s="2" t="str">
        <f>"1360630"</f>
        <v>1360630</v>
      </c>
      <c r="C7311" s="2" t="str">
        <f>"1360630"</f>
        <v>1360630</v>
      </c>
      <c r="D7311" s="2" t="s">
        <v>9085</v>
      </c>
      <c r="E7311" s="4">
        <v>18800</v>
      </c>
    </row>
    <row r="7312" spans="1:5">
      <c r="A7312" s="2" t="s">
        <v>296</v>
      </c>
      <c r="B7312" s="2" t="s">
        <v>9086</v>
      </c>
      <c r="C7312" s="2" t="s">
        <v>9086</v>
      </c>
      <c r="D7312" s="2" t="s">
        <v>9087</v>
      </c>
      <c r="E7312" s="4">
        <v>28000</v>
      </c>
    </row>
    <row r="7313" spans="1:5">
      <c r="A7313" s="2" t="s">
        <v>296</v>
      </c>
      <c r="B7313" s="2" t="str">
        <f>"313039"</f>
        <v>313039</v>
      </c>
      <c r="C7313" s="2" t="str">
        <f>"313039"</f>
        <v>313039</v>
      </c>
      <c r="D7313" s="2" t="s">
        <v>9088</v>
      </c>
      <c r="E7313" s="4">
        <v>28000</v>
      </c>
    </row>
    <row r="7314" spans="1:5">
      <c r="A7314" s="2" t="s">
        <v>1394</v>
      </c>
      <c r="B7314" s="2" t="str">
        <f>"0001848"</f>
        <v>0001848</v>
      </c>
      <c r="C7314" s="2" t="str">
        <f>"0001848"</f>
        <v>0001848</v>
      </c>
      <c r="D7314" s="2" t="s">
        <v>9089</v>
      </c>
      <c r="E7314" s="4">
        <v>14500</v>
      </c>
    </row>
    <row r="7315" spans="1:5">
      <c r="A7315" s="2" t="s">
        <v>296</v>
      </c>
      <c r="B7315" s="2" t="s">
        <v>9090</v>
      </c>
      <c r="C7315" s="2" t="s">
        <v>9090</v>
      </c>
      <c r="D7315" s="2" t="s">
        <v>9091</v>
      </c>
      <c r="E7315" s="4">
        <v>32800</v>
      </c>
    </row>
    <row r="7316" spans="1:5">
      <c r="A7316" s="2" t="s">
        <v>296</v>
      </c>
      <c r="B7316" s="2" t="str">
        <f>"1600100"</f>
        <v>1600100</v>
      </c>
      <c r="C7316" s="2" t="str">
        <f>"090860153"</f>
        <v>090860153</v>
      </c>
      <c r="D7316" s="2" t="s">
        <v>9092</v>
      </c>
      <c r="E7316" s="4">
        <v>32800</v>
      </c>
    </row>
    <row r="7317" spans="1:5">
      <c r="A7317" s="2" t="s">
        <v>296</v>
      </c>
      <c r="B7317" s="2" t="str">
        <f>"1609800"</f>
        <v>1609800</v>
      </c>
      <c r="C7317" s="2" t="str">
        <f>"1609800"</f>
        <v>1609800</v>
      </c>
      <c r="D7317" s="2" t="s">
        <v>9093</v>
      </c>
      <c r="E7317" s="4">
        <v>19500</v>
      </c>
    </row>
    <row r="7318" spans="1:5">
      <c r="A7318" s="2" t="s">
        <v>296</v>
      </c>
      <c r="B7318" s="2" t="s">
        <v>9094</v>
      </c>
      <c r="C7318" s="2" t="s">
        <v>9094</v>
      </c>
      <c r="D7318" s="2" t="s">
        <v>9095</v>
      </c>
      <c r="E7318" s="4">
        <v>25500</v>
      </c>
    </row>
    <row r="7319" spans="1:5">
      <c r="A7319" s="2" t="s">
        <v>296</v>
      </c>
      <c r="B7319" s="2" t="str">
        <f>"8021718"</f>
        <v>8021718</v>
      </c>
      <c r="C7319" s="2" t="str">
        <f>"8021718"</f>
        <v>8021718</v>
      </c>
      <c r="D7319" s="2" t="s">
        <v>9096</v>
      </c>
      <c r="E7319" s="4">
        <v>15800</v>
      </c>
    </row>
    <row r="7320" spans="1:5">
      <c r="A7320" s="2" t="s">
        <v>296</v>
      </c>
      <c r="B7320" s="2" t="s">
        <v>9097</v>
      </c>
      <c r="C7320" s="2" t="s">
        <v>9097</v>
      </c>
      <c r="D7320" s="2" t="s">
        <v>9098</v>
      </c>
      <c r="E7320" s="4">
        <v>17800</v>
      </c>
    </row>
    <row r="7321" spans="1:5">
      <c r="A7321" s="2" t="s">
        <v>296</v>
      </c>
      <c r="B7321" s="2" t="s">
        <v>9099</v>
      </c>
      <c r="C7321" s="2" t="s">
        <v>9099</v>
      </c>
      <c r="D7321" s="2" t="s">
        <v>9100</v>
      </c>
      <c r="E7321" s="4">
        <v>1550</v>
      </c>
    </row>
    <row r="7322" spans="1:5">
      <c r="A7322" s="2" t="s">
        <v>296</v>
      </c>
      <c r="B7322" s="2" t="s">
        <v>9101</v>
      </c>
      <c r="C7322" s="2" t="s">
        <v>9101</v>
      </c>
      <c r="D7322" s="2" t="s">
        <v>9102</v>
      </c>
      <c r="E7322" s="4">
        <v>18800</v>
      </c>
    </row>
    <row r="7323" spans="1:5">
      <c r="A7323" s="2" t="s">
        <v>296</v>
      </c>
      <c r="B7323" s="2" t="s">
        <v>9103</v>
      </c>
      <c r="C7323" s="2" t="s">
        <v>9103</v>
      </c>
      <c r="D7323" s="2" t="s">
        <v>9104</v>
      </c>
      <c r="E7323" s="4">
        <v>14800</v>
      </c>
    </row>
    <row r="7324" spans="1:5">
      <c r="A7324" s="2" t="s">
        <v>296</v>
      </c>
      <c r="B7324" s="2" t="str">
        <f>"7DA-014"</f>
        <v>7DA-014</v>
      </c>
      <c r="C7324" s="2" t="str">
        <f>"7DA-014"</f>
        <v>7DA-014</v>
      </c>
      <c r="D7324" s="2" t="s">
        <v>9105</v>
      </c>
      <c r="E7324" s="4">
        <v>18200</v>
      </c>
    </row>
    <row r="7325" spans="1:5">
      <c r="A7325" s="2" t="s">
        <v>1394</v>
      </c>
      <c r="B7325" s="2" t="str">
        <f>"01201G20"</f>
        <v>01201G20</v>
      </c>
      <c r="C7325" s="2" t="str">
        <f>"01201G20"</f>
        <v>01201G20</v>
      </c>
      <c r="D7325" s="2" t="s">
        <v>9106</v>
      </c>
      <c r="E7325" s="4">
        <v>13300</v>
      </c>
    </row>
    <row r="7326" spans="1:5">
      <c r="A7326" s="2" t="s">
        <v>1394</v>
      </c>
      <c r="B7326" s="2" t="s">
        <v>9107</v>
      </c>
      <c r="C7326" s="2" t="s">
        <v>9107</v>
      </c>
      <c r="D7326" s="2" t="s">
        <v>9108</v>
      </c>
      <c r="E7326" s="4">
        <v>1680</v>
      </c>
    </row>
    <row r="7327" spans="1:5">
      <c r="A7327" s="2" t="s">
        <v>296</v>
      </c>
      <c r="B7327" s="2" t="s">
        <v>9109</v>
      </c>
      <c r="C7327" s="2" t="s">
        <v>9109</v>
      </c>
      <c r="D7327" s="2" t="s">
        <v>9110</v>
      </c>
      <c r="E7327" s="4">
        <v>17800</v>
      </c>
    </row>
    <row r="7328" spans="1:5">
      <c r="A7328" s="2" t="s">
        <v>296</v>
      </c>
      <c r="B7328" s="2" t="s">
        <v>9111</v>
      </c>
      <c r="C7328" s="2" t="s">
        <v>9111</v>
      </c>
      <c r="D7328" s="2" t="s">
        <v>9112</v>
      </c>
      <c r="E7328" s="4">
        <v>16500</v>
      </c>
    </row>
    <row r="7329" spans="1:5">
      <c r="A7329" s="2" t="s">
        <v>296</v>
      </c>
      <c r="B7329" s="2" t="str">
        <f>"0001854"</f>
        <v>0001854</v>
      </c>
      <c r="C7329" s="2" t="str">
        <f>"0001854"</f>
        <v>0001854</v>
      </c>
      <c r="D7329" s="2" t="s">
        <v>9113</v>
      </c>
      <c r="E7329" s="4">
        <v>19600</v>
      </c>
    </row>
    <row r="7330" spans="1:5">
      <c r="A7330" s="2" t="s">
        <v>296</v>
      </c>
      <c r="B7330" s="2" t="s">
        <v>9114</v>
      </c>
      <c r="C7330" s="2" t="s">
        <v>9114</v>
      </c>
      <c r="D7330" s="2" t="s">
        <v>9115</v>
      </c>
      <c r="E7330" s="4">
        <v>13900</v>
      </c>
    </row>
    <row r="7331" spans="1:5">
      <c r="A7331" s="2" t="s">
        <v>296</v>
      </c>
      <c r="B7331" s="2" t="str">
        <f>"012069014"</f>
        <v>012069014</v>
      </c>
      <c r="C7331" s="2" t="str">
        <f>"012069014"</f>
        <v>012069014</v>
      </c>
      <c r="D7331" s="2" t="s">
        <v>9116</v>
      </c>
      <c r="E7331" s="4">
        <v>21500</v>
      </c>
    </row>
    <row r="7332" spans="1:5">
      <c r="A7332" s="2" t="s">
        <v>296</v>
      </c>
      <c r="B7332" s="2" t="s">
        <v>9117</v>
      </c>
      <c r="C7332" s="2" t="s">
        <v>9117</v>
      </c>
      <c r="D7332" s="2" t="s">
        <v>9118</v>
      </c>
      <c r="E7332" s="4">
        <v>17500</v>
      </c>
    </row>
    <row r="7333" spans="1:5">
      <c r="A7333" s="2" t="s">
        <v>296</v>
      </c>
      <c r="B7333" s="2" t="str">
        <f>"090860016"</f>
        <v>090860016</v>
      </c>
      <c r="C7333" s="2" t="str">
        <f>"090860016"</f>
        <v>090860016</v>
      </c>
      <c r="D7333" s="2" t="s">
        <v>9119</v>
      </c>
      <c r="E7333" s="4">
        <v>17500</v>
      </c>
    </row>
    <row r="7334" spans="1:5">
      <c r="A7334" s="2" t="s">
        <v>296</v>
      </c>
      <c r="B7334" s="2" t="s">
        <v>9120</v>
      </c>
      <c r="C7334" s="2" t="s">
        <v>9120</v>
      </c>
      <c r="D7334" s="2" t="s">
        <v>9121</v>
      </c>
      <c r="E7334" s="4">
        <v>15500</v>
      </c>
    </row>
    <row r="7335" spans="1:5">
      <c r="A7335" s="2" t="s">
        <v>296</v>
      </c>
      <c r="B7335" s="2" t="s">
        <v>9122</v>
      </c>
      <c r="C7335" s="2" t="s">
        <v>9122</v>
      </c>
      <c r="D7335" s="2" t="s">
        <v>9123</v>
      </c>
      <c r="E7335" s="4">
        <v>19500</v>
      </c>
    </row>
    <row r="7336" spans="1:5">
      <c r="A7336" s="2" t="s">
        <v>296</v>
      </c>
      <c r="B7336" s="2" t="s">
        <v>9124</v>
      </c>
      <c r="C7336" s="2" t="s">
        <v>9124</v>
      </c>
      <c r="D7336" s="2" t="s">
        <v>9125</v>
      </c>
      <c r="E7336" s="4">
        <v>19500</v>
      </c>
    </row>
    <row r="7337" spans="1:5">
      <c r="A7337" s="2" t="s">
        <v>296</v>
      </c>
      <c r="B7337" s="2" t="str">
        <f>"313051"</f>
        <v>313051</v>
      </c>
      <c r="C7337" s="2" t="str">
        <f>"313051"</f>
        <v>313051</v>
      </c>
      <c r="D7337" s="2" t="s">
        <v>9126</v>
      </c>
      <c r="E7337" s="4">
        <v>25000</v>
      </c>
    </row>
    <row r="7338" spans="1:5">
      <c r="A7338" s="2" t="s">
        <v>1394</v>
      </c>
      <c r="B7338" s="2" t="s">
        <v>9127</v>
      </c>
      <c r="C7338" s="2" t="s">
        <v>9127</v>
      </c>
      <c r="D7338" s="2" t="s">
        <v>9128</v>
      </c>
      <c r="E7338" s="4">
        <v>14200</v>
      </c>
    </row>
    <row r="7339" spans="1:5">
      <c r="A7339" s="2" t="s">
        <v>1394</v>
      </c>
      <c r="B7339" s="2" t="str">
        <f>"313018"</f>
        <v>313018</v>
      </c>
      <c r="C7339" s="2" t="str">
        <f>"313018"</f>
        <v>313018</v>
      </c>
      <c r="D7339" s="2" t="s">
        <v>9129</v>
      </c>
      <c r="E7339" s="4">
        <v>18500</v>
      </c>
    </row>
    <row r="7340" spans="1:5">
      <c r="A7340" s="2" t="s">
        <v>296</v>
      </c>
      <c r="B7340" s="2" t="s">
        <v>9130</v>
      </c>
      <c r="C7340" s="2" t="s">
        <v>9130</v>
      </c>
      <c r="D7340" s="2" t="s">
        <v>9131</v>
      </c>
      <c r="E7340" s="4">
        <v>19000</v>
      </c>
    </row>
    <row r="7341" spans="1:5">
      <c r="A7341" s="2" t="s">
        <v>296</v>
      </c>
      <c r="B7341" s="2" t="s">
        <v>9132</v>
      </c>
      <c r="C7341" s="2" t="s">
        <v>9132</v>
      </c>
      <c r="D7341" s="2" t="s">
        <v>9133</v>
      </c>
      <c r="E7341" s="4">
        <v>17800</v>
      </c>
    </row>
    <row r="7342" spans="1:5">
      <c r="A7342" s="2" t="s">
        <v>1394</v>
      </c>
      <c r="B7342" s="2" t="str">
        <f>"01201HYE"</f>
        <v>01201HYE</v>
      </c>
      <c r="C7342" s="2" t="str">
        <f>"01201HYE"</f>
        <v>01201HYE</v>
      </c>
      <c r="D7342" s="2" t="s">
        <v>9134</v>
      </c>
      <c r="E7342" s="4">
        <v>16000</v>
      </c>
    </row>
    <row r="7343" spans="1:5">
      <c r="A7343" s="2" t="s">
        <v>296</v>
      </c>
      <c r="B7343" s="2" t="s">
        <v>9135</v>
      </c>
      <c r="C7343" s="2" t="s">
        <v>9135</v>
      </c>
      <c r="D7343" s="2" t="s">
        <v>9136</v>
      </c>
      <c r="E7343" s="4">
        <v>18500</v>
      </c>
    </row>
    <row r="7344" spans="1:5">
      <c r="A7344" s="2" t="s">
        <v>296</v>
      </c>
      <c r="B7344" s="2" t="str">
        <f>"313004"</f>
        <v>313004</v>
      </c>
      <c r="C7344" s="2" t="str">
        <f>"313004"</f>
        <v>313004</v>
      </c>
      <c r="D7344" s="2" t="s">
        <v>9137</v>
      </c>
      <c r="E7344" s="4">
        <v>18700</v>
      </c>
    </row>
    <row r="7345" spans="1:5">
      <c r="A7345" s="2" t="s">
        <v>296</v>
      </c>
      <c r="B7345" s="2" t="s">
        <v>9138</v>
      </c>
      <c r="C7345" s="2" t="s">
        <v>9138</v>
      </c>
      <c r="D7345" s="2" t="s">
        <v>9139</v>
      </c>
      <c r="E7345" s="4">
        <v>18500</v>
      </c>
    </row>
    <row r="7346" spans="1:5">
      <c r="A7346" s="2" t="s">
        <v>1394</v>
      </c>
      <c r="B7346" s="2" t="s">
        <v>9140</v>
      </c>
      <c r="C7346" s="2" t="s">
        <v>9140</v>
      </c>
      <c r="D7346" s="2" t="s">
        <v>9141</v>
      </c>
      <c r="E7346" s="4">
        <v>13500</v>
      </c>
    </row>
    <row r="7347" spans="1:5">
      <c r="A7347" s="2" t="s">
        <v>296</v>
      </c>
      <c r="B7347" s="2" t="s">
        <v>9142</v>
      </c>
      <c r="C7347" s="2" t="str">
        <f>"1855006-7"</f>
        <v>1855006-7</v>
      </c>
      <c r="D7347" s="2" t="s">
        <v>9143</v>
      </c>
      <c r="E7347" s="4">
        <v>17800</v>
      </c>
    </row>
    <row r="7348" spans="1:5">
      <c r="A7348" s="2" t="s">
        <v>296</v>
      </c>
      <c r="B7348" s="2" t="str">
        <f>"313047"</f>
        <v>313047</v>
      </c>
      <c r="C7348" s="2" t="str">
        <f>"313047"</f>
        <v>313047</v>
      </c>
      <c r="D7348" s="2" t="s">
        <v>9144</v>
      </c>
      <c r="E7348" s="4">
        <v>38500</v>
      </c>
    </row>
    <row r="7349" spans="1:5">
      <c r="A7349" s="2" t="s">
        <v>296</v>
      </c>
      <c r="B7349" s="2" t="s">
        <v>9145</v>
      </c>
      <c r="C7349" s="2" t="s">
        <v>9145</v>
      </c>
      <c r="D7349" s="2" t="s">
        <v>9146</v>
      </c>
      <c r="E7349" s="4">
        <v>15100</v>
      </c>
    </row>
    <row r="7350" spans="1:5">
      <c r="A7350" s="2" t="s">
        <v>296</v>
      </c>
      <c r="B7350" s="2" t="s">
        <v>9147</v>
      </c>
      <c r="C7350" s="2" t="s">
        <v>9147</v>
      </c>
      <c r="D7350" s="2" t="s">
        <v>9148</v>
      </c>
      <c r="E7350" s="4">
        <v>15500</v>
      </c>
    </row>
    <row r="7351" spans="1:5">
      <c r="A7351" s="2" t="s">
        <v>1394</v>
      </c>
      <c r="B7351" s="2" t="s">
        <v>9149</v>
      </c>
      <c r="C7351" s="2" t="s">
        <v>9149</v>
      </c>
      <c r="D7351" s="2" t="s">
        <v>9150</v>
      </c>
      <c r="E7351" s="4">
        <v>15100</v>
      </c>
    </row>
    <row r="7352" spans="1:5">
      <c r="A7352" s="2" t="s">
        <v>296</v>
      </c>
      <c r="B7352" s="2" t="str">
        <f>"312931"</f>
        <v>312931</v>
      </c>
      <c r="C7352" s="2" t="str">
        <f>"312931"</f>
        <v>312931</v>
      </c>
      <c r="D7352" s="2" t="s">
        <v>9151</v>
      </c>
      <c r="E7352" s="4">
        <v>16000</v>
      </c>
    </row>
    <row r="7353" spans="1:5">
      <c r="A7353" s="2" t="s">
        <v>296</v>
      </c>
      <c r="B7353" s="2" t="str">
        <f>"12-032"</f>
        <v>12-032</v>
      </c>
      <c r="C7353" s="2" t="str">
        <f>"12-032"</f>
        <v>12-032</v>
      </c>
      <c r="D7353" s="2" t="s">
        <v>9152</v>
      </c>
      <c r="E7353" s="4">
        <v>32800</v>
      </c>
    </row>
    <row r="7354" spans="1:5">
      <c r="A7354" s="2" t="s">
        <v>296</v>
      </c>
      <c r="B7354" s="2" t="str">
        <f>"0900860166"</f>
        <v>0900860166</v>
      </c>
      <c r="C7354" s="2" t="str">
        <f>"0900860166"</f>
        <v>0900860166</v>
      </c>
      <c r="D7354" s="2" t="s">
        <v>9153</v>
      </c>
      <c r="E7354" s="4">
        <v>16500</v>
      </c>
    </row>
    <row r="7355" spans="1:5">
      <c r="A7355" s="2" t="s">
        <v>296</v>
      </c>
      <c r="B7355" s="2" t="str">
        <f>"8060910"</f>
        <v>8060910</v>
      </c>
      <c r="C7355" s="2" t="str">
        <f>"8060910"</f>
        <v>8060910</v>
      </c>
      <c r="D7355" s="2" t="s">
        <v>9154</v>
      </c>
      <c r="E7355" s="4">
        <v>16500</v>
      </c>
    </row>
    <row r="7356" spans="1:5">
      <c r="A7356" s="2" t="s">
        <v>296</v>
      </c>
      <c r="B7356" s="2" t="s">
        <v>9155</v>
      </c>
      <c r="C7356" s="2" t="s">
        <v>9155</v>
      </c>
      <c r="D7356" s="2" t="s">
        <v>9156</v>
      </c>
      <c r="E7356" s="4">
        <v>16000</v>
      </c>
    </row>
    <row r="7357" spans="1:5">
      <c r="A7357" s="2" t="s">
        <v>296</v>
      </c>
      <c r="B7357" s="2" t="s">
        <v>9157</v>
      </c>
      <c r="C7357" s="2" t="s">
        <v>9157</v>
      </c>
      <c r="D7357" s="2" t="s">
        <v>9158</v>
      </c>
      <c r="E7357" s="4">
        <v>16000</v>
      </c>
    </row>
    <row r="7358" spans="1:5">
      <c r="A7358" s="2" t="s">
        <v>296</v>
      </c>
      <c r="B7358" s="2" t="str">
        <f>"7000030"</f>
        <v>7000030</v>
      </c>
      <c r="C7358" s="2" t="str">
        <f>"7000030"</f>
        <v>7000030</v>
      </c>
      <c r="D7358" s="2" t="s">
        <v>9159</v>
      </c>
      <c r="E7358" s="4">
        <v>16400</v>
      </c>
    </row>
    <row r="7359" spans="1:5">
      <c r="A7359" s="2" t="s">
        <v>1394</v>
      </c>
      <c r="B7359" s="2" t="s">
        <v>9160</v>
      </c>
      <c r="C7359" s="2" t="s">
        <v>9160</v>
      </c>
      <c r="D7359" s="2" t="s">
        <v>9161</v>
      </c>
      <c r="E7359" s="4">
        <v>16000</v>
      </c>
    </row>
    <row r="7360" spans="1:5">
      <c r="A7360" s="2" t="s">
        <v>296</v>
      </c>
      <c r="B7360" s="2" t="str">
        <f>"313077"</f>
        <v>313077</v>
      </c>
      <c r="C7360" s="2" t="str">
        <f>"313077"</f>
        <v>313077</v>
      </c>
      <c r="D7360" s="2" t="s">
        <v>9162</v>
      </c>
      <c r="E7360" s="4">
        <v>28000</v>
      </c>
    </row>
    <row r="7361" spans="1:5">
      <c r="A7361" s="2" t="s">
        <v>296</v>
      </c>
      <c r="B7361" s="2" t="str">
        <f>"312981"</f>
        <v>312981</v>
      </c>
      <c r="C7361" s="2" t="str">
        <f>"312981"</f>
        <v>312981</v>
      </c>
      <c r="D7361" s="2" t="s">
        <v>9163</v>
      </c>
      <c r="E7361" s="4">
        <v>19800</v>
      </c>
    </row>
    <row r="7362" spans="1:5">
      <c r="A7362" s="2" t="s">
        <v>296</v>
      </c>
      <c r="B7362" s="2" t="s">
        <v>9164</v>
      </c>
      <c r="C7362" s="2" t="s">
        <v>9164</v>
      </c>
      <c r="D7362" s="2" t="s">
        <v>9165</v>
      </c>
      <c r="E7362" s="4">
        <v>16800</v>
      </c>
    </row>
    <row r="7363" spans="1:5">
      <c r="A7363" s="2" t="s">
        <v>296</v>
      </c>
      <c r="B7363" s="2" t="str">
        <f>"0200898"</f>
        <v>0200898</v>
      </c>
      <c r="C7363" s="2" t="str">
        <f>"0200898"</f>
        <v>0200898</v>
      </c>
      <c r="D7363" s="2" t="s">
        <v>9166</v>
      </c>
      <c r="E7363" s="4">
        <v>19800</v>
      </c>
    </row>
    <row r="7364" spans="1:5">
      <c r="A7364" s="2" t="s">
        <v>296</v>
      </c>
      <c r="B7364" s="2" t="str">
        <f>"0300550"</f>
        <v>0300550</v>
      </c>
      <c r="C7364" s="2" t="str">
        <f>"0300550"</f>
        <v>0300550</v>
      </c>
      <c r="D7364" s="2" t="s">
        <v>9167</v>
      </c>
      <c r="E7364" s="4">
        <v>25000</v>
      </c>
    </row>
    <row r="7365" spans="1:5">
      <c r="A7365" s="2" t="s">
        <v>296</v>
      </c>
      <c r="B7365" s="2" t="str">
        <f>"0000592"</f>
        <v>0000592</v>
      </c>
      <c r="C7365" s="2" t="str">
        <f>"0000592"</f>
        <v>0000592</v>
      </c>
      <c r="D7365" s="2" t="s">
        <v>9168</v>
      </c>
      <c r="E7365" s="4">
        <v>16000</v>
      </c>
    </row>
    <row r="7366" spans="1:5">
      <c r="A7366" s="2" t="s">
        <v>296</v>
      </c>
      <c r="B7366" s="2" t="str">
        <f>"01887747"</f>
        <v>01887747</v>
      </c>
      <c r="C7366" s="2" t="str">
        <f>"01887747"</f>
        <v>01887747</v>
      </c>
      <c r="D7366" s="2" t="s">
        <v>9169</v>
      </c>
      <c r="E7366" s="4">
        <v>14200</v>
      </c>
    </row>
    <row r="7367" spans="1:5">
      <c r="A7367" s="2" t="s">
        <v>296</v>
      </c>
      <c r="B7367" s="2" t="str">
        <f>"0206847"</f>
        <v>0206847</v>
      </c>
      <c r="C7367" s="2" t="str">
        <f>"0206847"</f>
        <v>0206847</v>
      </c>
      <c r="D7367" s="2" t="s">
        <v>9170</v>
      </c>
      <c r="E7367" s="4">
        <v>25000</v>
      </c>
    </row>
    <row r="7368" spans="1:5">
      <c r="A7368" s="2" t="s">
        <v>296</v>
      </c>
      <c r="B7368" s="2" t="str">
        <f>"02776747"</f>
        <v>02776747</v>
      </c>
      <c r="C7368" s="2" t="str">
        <f>"02776747"</f>
        <v>02776747</v>
      </c>
      <c r="D7368" s="2" t="s">
        <v>9171</v>
      </c>
      <c r="E7368" s="4">
        <v>11500</v>
      </c>
    </row>
    <row r="7369" spans="1:5">
      <c r="A7369" s="2" t="s">
        <v>1394</v>
      </c>
      <c r="B7369" s="2" t="str">
        <f>"0206147"</f>
        <v>0206147</v>
      </c>
      <c r="C7369" s="2" t="str">
        <f>"0206147"</f>
        <v>0206147</v>
      </c>
      <c r="D7369" s="2" t="s">
        <v>9172</v>
      </c>
      <c r="E7369" s="4">
        <v>18900</v>
      </c>
    </row>
    <row r="7370" spans="1:5">
      <c r="A7370" s="2" t="s">
        <v>1394</v>
      </c>
      <c r="B7370" s="2" t="str">
        <f>"01201V16J"</f>
        <v>01201V16J</v>
      </c>
      <c r="C7370" s="2" t="str">
        <f>"01201V16J"</f>
        <v>01201V16J</v>
      </c>
      <c r="D7370" s="2" t="s">
        <v>9173</v>
      </c>
      <c r="E7370" s="4">
        <v>12500</v>
      </c>
    </row>
    <row r="7371" spans="1:5">
      <c r="A7371" s="2" t="s">
        <v>296</v>
      </c>
      <c r="B7371" s="2" t="s">
        <v>9174</v>
      </c>
      <c r="C7371" s="2" t="s">
        <v>9174</v>
      </c>
      <c r="D7371" s="2" t="s">
        <v>9175</v>
      </c>
      <c r="E7371" s="4">
        <v>19000</v>
      </c>
    </row>
    <row r="7372" spans="1:5">
      <c r="A7372" s="2" t="s">
        <v>1394</v>
      </c>
      <c r="B7372" s="2" t="s">
        <v>9176</v>
      </c>
      <c r="C7372" s="2" t="s">
        <v>9176</v>
      </c>
      <c r="D7372" s="2" t="s">
        <v>9177</v>
      </c>
      <c r="E7372" s="4">
        <v>19500</v>
      </c>
    </row>
    <row r="7373" spans="1:5">
      <c r="A7373" s="2" t="s">
        <v>1394</v>
      </c>
      <c r="B7373" s="2" t="str">
        <f>"0188747"</f>
        <v>0188747</v>
      </c>
      <c r="C7373" s="2" t="str">
        <f>"0188747"</f>
        <v>0188747</v>
      </c>
      <c r="D7373" s="2" t="s">
        <v>9178</v>
      </c>
      <c r="E7373" s="4">
        <v>12400</v>
      </c>
    </row>
    <row r="7374" spans="1:5">
      <c r="A7374" s="2" t="s">
        <v>1394</v>
      </c>
      <c r="B7374" s="2" t="str">
        <f>"0276747"</f>
        <v>0276747</v>
      </c>
      <c r="C7374" s="2" t="str">
        <f>"0276747"</f>
        <v>0276747</v>
      </c>
      <c r="D7374" s="2" t="s">
        <v>9179</v>
      </c>
      <c r="E7374" s="4">
        <v>12500</v>
      </c>
    </row>
    <row r="7375" spans="1:5">
      <c r="A7375" s="2" t="s">
        <v>1394</v>
      </c>
      <c r="B7375" s="2" t="str">
        <f>"0023865"</f>
        <v>0023865</v>
      </c>
      <c r="C7375" s="2" t="str">
        <f>"0206647"</f>
        <v>0206647</v>
      </c>
      <c r="D7375" s="2" t="s">
        <v>9180</v>
      </c>
      <c r="E7375" s="4">
        <v>19600</v>
      </c>
    </row>
    <row r="7376" spans="1:5">
      <c r="A7376" s="2" t="s">
        <v>296</v>
      </c>
      <c r="B7376" s="2" t="s">
        <v>9181</v>
      </c>
      <c r="C7376" s="2" t="s">
        <v>9181</v>
      </c>
      <c r="D7376" s="2" t="s">
        <v>9182</v>
      </c>
      <c r="E7376" s="4">
        <v>19600</v>
      </c>
    </row>
    <row r="7377" spans="1:5">
      <c r="A7377" s="2" t="s">
        <v>296</v>
      </c>
      <c r="B7377" s="2" t="s">
        <v>9183</v>
      </c>
      <c r="C7377" s="2" t="s">
        <v>9183</v>
      </c>
      <c r="D7377" s="2" t="s">
        <v>9184</v>
      </c>
      <c r="E7377" s="4">
        <v>19500</v>
      </c>
    </row>
    <row r="7378" spans="1:5">
      <c r="A7378" s="2" t="s">
        <v>296</v>
      </c>
      <c r="B7378" s="2" t="s">
        <v>9185</v>
      </c>
      <c r="C7378" s="2" t="s">
        <v>9185</v>
      </c>
      <c r="D7378" s="2" t="s">
        <v>9186</v>
      </c>
      <c r="E7378" s="4">
        <v>16000</v>
      </c>
    </row>
    <row r="7379" spans="1:5">
      <c r="A7379" s="2" t="s">
        <v>296</v>
      </c>
      <c r="B7379" s="2" t="str">
        <f>"0204165"</f>
        <v>0204165</v>
      </c>
      <c r="C7379" s="2" t="str">
        <f>"0204165"</f>
        <v>0204165</v>
      </c>
      <c r="D7379" s="2" t="s">
        <v>9187</v>
      </c>
      <c r="E7379" s="4">
        <v>23200</v>
      </c>
    </row>
    <row r="7380" spans="1:5">
      <c r="A7380" s="2" t="s">
        <v>296</v>
      </c>
      <c r="B7380" s="2" t="str">
        <f>"169800"</f>
        <v>169800</v>
      </c>
      <c r="C7380" s="2" t="str">
        <f>"169800"</f>
        <v>169800</v>
      </c>
      <c r="D7380" s="2" t="s">
        <v>9188</v>
      </c>
      <c r="E7380" s="4">
        <v>19600</v>
      </c>
    </row>
    <row r="7381" spans="1:5">
      <c r="A7381" s="2" t="s">
        <v>296</v>
      </c>
      <c r="B7381" s="2" t="str">
        <f>"8021718-0"</f>
        <v>8021718-0</v>
      </c>
      <c r="C7381" s="2" t="str">
        <f>"8021718-0"</f>
        <v>8021718-0</v>
      </c>
      <c r="D7381" s="2" t="s">
        <v>9189</v>
      </c>
      <c r="E7381" s="4">
        <v>15800</v>
      </c>
    </row>
    <row r="7382" spans="1:5">
      <c r="A7382" s="2" t="s">
        <v>296</v>
      </c>
      <c r="B7382" s="2" t="s">
        <v>9190</v>
      </c>
      <c r="C7382" s="2" t="s">
        <v>9190</v>
      </c>
      <c r="D7382" s="2" t="s">
        <v>9191</v>
      </c>
      <c r="E7382" s="4">
        <v>23200</v>
      </c>
    </row>
    <row r="7383" spans="1:5">
      <c r="A7383" s="2" t="s">
        <v>296</v>
      </c>
      <c r="B7383" s="2" t="s">
        <v>9192</v>
      </c>
      <c r="C7383" s="2" t="s">
        <v>9192</v>
      </c>
      <c r="D7383" s="2" t="s">
        <v>9193</v>
      </c>
      <c r="E7383" s="4">
        <v>16000</v>
      </c>
    </row>
    <row r="7384" spans="1:5">
      <c r="A7384" s="2" t="s">
        <v>296</v>
      </c>
      <c r="B7384" s="2" t="s">
        <v>9194</v>
      </c>
      <c r="C7384" s="2" t="s">
        <v>9194</v>
      </c>
      <c r="D7384" s="2" t="s">
        <v>9195</v>
      </c>
      <c r="E7384" s="4">
        <v>19000</v>
      </c>
    </row>
    <row r="7385" spans="1:5">
      <c r="A7385" s="2" t="s">
        <v>296</v>
      </c>
      <c r="B7385" s="2" t="str">
        <f>"67553"</f>
        <v>67553</v>
      </c>
      <c r="C7385" s="2" t="str">
        <f>"67553"</f>
        <v>67553</v>
      </c>
      <c r="D7385" s="2" t="s">
        <v>9196</v>
      </c>
      <c r="E7385" s="4">
        <v>28500</v>
      </c>
    </row>
    <row r="7386" spans="1:5">
      <c r="A7386" s="2" t="s">
        <v>296</v>
      </c>
      <c r="B7386" s="2" t="s">
        <v>9197</v>
      </c>
      <c r="C7386" s="2" t="s">
        <v>9197</v>
      </c>
      <c r="D7386" s="2" t="s">
        <v>9198</v>
      </c>
      <c r="E7386" s="4">
        <v>23500</v>
      </c>
    </row>
    <row r="7387" spans="1:5">
      <c r="A7387" s="2" t="s">
        <v>296</v>
      </c>
      <c r="B7387" s="2" t="s">
        <v>9199</v>
      </c>
      <c r="C7387" s="2" t="s">
        <v>9199</v>
      </c>
      <c r="D7387" s="2" t="s">
        <v>9200</v>
      </c>
      <c r="E7387" s="4">
        <v>26500</v>
      </c>
    </row>
    <row r="7388" spans="1:5">
      <c r="A7388" s="2" t="s">
        <v>296</v>
      </c>
      <c r="B7388" s="2" t="s">
        <v>9201</v>
      </c>
      <c r="C7388" s="2" t="s">
        <v>9201</v>
      </c>
      <c r="D7388" s="2" t="s">
        <v>9202</v>
      </c>
      <c r="E7388" s="4">
        <v>30400</v>
      </c>
    </row>
    <row r="7389" spans="1:5">
      <c r="A7389" s="2" t="s">
        <v>296</v>
      </c>
      <c r="B7389" s="2" t="s">
        <v>9203</v>
      </c>
      <c r="C7389" s="2" t="s">
        <v>9203</v>
      </c>
      <c r="D7389" s="2" t="s">
        <v>9204</v>
      </c>
      <c r="E7389" s="4">
        <v>25000</v>
      </c>
    </row>
    <row r="7390" spans="1:5">
      <c r="A7390" s="2" t="s">
        <v>296</v>
      </c>
      <c r="B7390" s="2" t="str">
        <f>"2000190"</f>
        <v>2000190</v>
      </c>
      <c r="C7390" s="2" t="str">
        <f>"2000190"</f>
        <v>2000190</v>
      </c>
      <c r="D7390" s="2" t="s">
        <v>9205</v>
      </c>
      <c r="E7390" s="4">
        <v>14800</v>
      </c>
    </row>
    <row r="7391" spans="1:5">
      <c r="A7391" s="2" t="s">
        <v>296</v>
      </c>
      <c r="B7391" s="2" t="str">
        <f>"8060610"</f>
        <v>8060610</v>
      </c>
      <c r="C7391" s="2" t="str">
        <f>"8060610"</f>
        <v>8060610</v>
      </c>
      <c r="D7391" s="2" t="s">
        <v>9206</v>
      </c>
      <c r="E7391" s="4">
        <v>14800</v>
      </c>
    </row>
    <row r="7392" spans="1:5">
      <c r="A7392" s="2" t="s">
        <v>296</v>
      </c>
      <c r="B7392" s="2" t="s">
        <v>9207</v>
      </c>
      <c r="C7392" s="2" t="s">
        <v>9207</v>
      </c>
      <c r="D7392" s="2" t="s">
        <v>9208</v>
      </c>
      <c r="E7392" s="4">
        <v>15100</v>
      </c>
    </row>
    <row r="7393" spans="1:5">
      <c r="A7393" s="2" t="s">
        <v>296</v>
      </c>
      <c r="B7393" s="2" t="s">
        <v>9209</v>
      </c>
      <c r="C7393" s="2" t="s">
        <v>9209</v>
      </c>
      <c r="D7393" s="2" t="s">
        <v>9210</v>
      </c>
      <c r="E7393" s="4">
        <v>15100</v>
      </c>
    </row>
    <row r="7394" spans="1:5">
      <c r="A7394" s="2" t="s">
        <v>296</v>
      </c>
      <c r="B7394" s="2" t="s">
        <v>9211</v>
      </c>
      <c r="C7394" s="2" t="s">
        <v>9211</v>
      </c>
      <c r="D7394" s="2" t="s">
        <v>9212</v>
      </c>
      <c r="E7394" s="4">
        <v>16200</v>
      </c>
    </row>
    <row r="7395" spans="1:5">
      <c r="A7395" s="2" t="s">
        <v>296</v>
      </c>
      <c r="B7395" s="2" t="s">
        <v>9213</v>
      </c>
      <c r="C7395" s="2" t="s">
        <v>9213</v>
      </c>
      <c r="D7395" s="2" t="s">
        <v>9214</v>
      </c>
      <c r="E7395" s="4">
        <v>14800</v>
      </c>
    </row>
    <row r="7396" spans="1:5">
      <c r="A7396" s="2" t="s">
        <v>296</v>
      </c>
      <c r="B7396" s="2" t="str">
        <f>"2000950"</f>
        <v>2000950</v>
      </c>
      <c r="C7396" s="2" t="str">
        <f>"2000950"</f>
        <v>2000950</v>
      </c>
      <c r="D7396" s="2" t="s">
        <v>9215</v>
      </c>
      <c r="E7396" s="4">
        <v>14500</v>
      </c>
    </row>
    <row r="7397" spans="1:5">
      <c r="A7397" s="2" t="s">
        <v>296</v>
      </c>
      <c r="B7397" s="2" t="s">
        <v>9216</v>
      </c>
      <c r="C7397" s="2" t="s">
        <v>9216</v>
      </c>
      <c r="D7397" s="2" t="s">
        <v>9217</v>
      </c>
      <c r="E7397" s="4">
        <v>16500</v>
      </c>
    </row>
    <row r="7398" spans="1:5">
      <c r="A7398" s="2" t="s">
        <v>296</v>
      </c>
      <c r="B7398" s="2" t="s">
        <v>9218</v>
      </c>
      <c r="C7398" s="2" t="s">
        <v>9218</v>
      </c>
      <c r="D7398" s="2" t="s">
        <v>9219</v>
      </c>
      <c r="E7398" s="4">
        <v>19000</v>
      </c>
    </row>
    <row r="7399" spans="1:5">
      <c r="A7399" s="2" t="s">
        <v>296</v>
      </c>
      <c r="B7399" s="2" t="s">
        <v>9220</v>
      </c>
      <c r="C7399" s="2" t="s">
        <v>9220</v>
      </c>
      <c r="D7399" s="2" t="s">
        <v>9221</v>
      </c>
      <c r="E7399" s="4">
        <v>13900</v>
      </c>
    </row>
    <row r="7400" spans="1:5">
      <c r="A7400" s="2" t="s">
        <v>296</v>
      </c>
      <c r="B7400" s="2" t="s">
        <v>9222</v>
      </c>
      <c r="C7400" s="2" t="s">
        <v>9222</v>
      </c>
      <c r="D7400" s="2" t="s">
        <v>9223</v>
      </c>
      <c r="E7400" s="4">
        <v>16000</v>
      </c>
    </row>
    <row r="7401" spans="1:5">
      <c r="A7401" s="2" t="s">
        <v>296</v>
      </c>
      <c r="B7401" s="2" t="s">
        <v>9224</v>
      </c>
      <c r="C7401" s="2" t="s">
        <v>9224</v>
      </c>
      <c r="D7401" s="2" t="s">
        <v>9225</v>
      </c>
      <c r="E7401" s="4">
        <v>17800</v>
      </c>
    </row>
    <row r="7402" spans="1:5">
      <c r="A7402" s="2" t="s">
        <v>296</v>
      </c>
      <c r="B7402" s="2" t="s">
        <v>9226</v>
      </c>
      <c r="C7402" s="2" t="s">
        <v>9226</v>
      </c>
      <c r="D7402" s="2" t="s">
        <v>9227</v>
      </c>
      <c r="E7402" s="4">
        <v>17800</v>
      </c>
    </row>
    <row r="7403" spans="1:5">
      <c r="A7403" s="2" t="s">
        <v>296</v>
      </c>
      <c r="B7403" s="2" t="str">
        <f>"000000592"</f>
        <v>000000592</v>
      </c>
      <c r="C7403" s="2" t="str">
        <f>"000000592"</f>
        <v>000000592</v>
      </c>
      <c r="D7403" s="2" t="s">
        <v>9228</v>
      </c>
      <c r="E7403" s="4">
        <v>16000</v>
      </c>
    </row>
    <row r="7404" spans="1:5">
      <c r="A7404" s="2" t="s">
        <v>296</v>
      </c>
      <c r="B7404" s="2" t="s">
        <v>9229</v>
      </c>
      <c r="C7404" s="2" t="s">
        <v>9229</v>
      </c>
      <c r="D7404" s="2" t="s">
        <v>9230</v>
      </c>
      <c r="E7404" s="4">
        <v>17000</v>
      </c>
    </row>
    <row r="7405" spans="1:5">
      <c r="A7405" s="2" t="s">
        <v>296</v>
      </c>
      <c r="B7405" s="2" t="s">
        <v>9231</v>
      </c>
      <c r="C7405" s="2" t="s">
        <v>9231</v>
      </c>
      <c r="D7405" s="2" t="s">
        <v>9232</v>
      </c>
      <c r="E7405" s="4">
        <v>17800</v>
      </c>
    </row>
    <row r="7406" spans="1:5">
      <c r="A7406" s="2" t="s">
        <v>296</v>
      </c>
      <c r="B7406" s="2" t="s">
        <v>9233</v>
      </c>
      <c r="C7406" s="2" t="s">
        <v>9233</v>
      </c>
      <c r="D7406" s="2" t="s">
        <v>9234</v>
      </c>
      <c r="E7406" s="4">
        <v>31300</v>
      </c>
    </row>
    <row r="7407" spans="1:5">
      <c r="A7407" s="2" t="s">
        <v>1394</v>
      </c>
      <c r="B7407" s="2" t="s">
        <v>9235</v>
      </c>
      <c r="C7407" s="2" t="s">
        <v>9235</v>
      </c>
      <c r="D7407" s="2" t="s">
        <v>9236</v>
      </c>
      <c r="E7407" s="4">
        <v>16000</v>
      </c>
    </row>
    <row r="7408" spans="1:5">
      <c r="A7408" s="2" t="s">
        <v>296</v>
      </c>
      <c r="B7408" s="2" t="str">
        <f>"0013383"</f>
        <v>0013383</v>
      </c>
      <c r="C7408" s="2" t="str">
        <f>"0013383"</f>
        <v>0013383</v>
      </c>
      <c r="D7408" s="2" t="s">
        <v>9237</v>
      </c>
      <c r="E7408" s="4">
        <v>18700</v>
      </c>
    </row>
    <row r="7409" spans="1:5">
      <c r="A7409" s="2" t="s">
        <v>296</v>
      </c>
      <c r="B7409" s="2" t="str">
        <f>"0009206611-6"</f>
        <v>0009206611-6</v>
      </c>
      <c r="C7409" s="2" t="str">
        <f>"0009206611-6"</f>
        <v>0009206611-6</v>
      </c>
      <c r="D7409" s="2" t="s">
        <v>9238</v>
      </c>
      <c r="E7409" s="4">
        <v>18700</v>
      </c>
    </row>
    <row r="7410" spans="1:5">
      <c r="A7410" s="2" t="s">
        <v>296</v>
      </c>
      <c r="B7410" s="2" t="str">
        <f>"000920511"</f>
        <v>000920511</v>
      </c>
      <c r="C7410" s="2" t="str">
        <f>"000920511"</f>
        <v>000920511</v>
      </c>
      <c r="D7410" s="2" t="s">
        <v>9238</v>
      </c>
      <c r="E7410" s="4">
        <v>18700</v>
      </c>
    </row>
    <row r="7411" spans="1:5">
      <c r="A7411" s="2" t="s">
        <v>296</v>
      </c>
      <c r="B7411" s="2" t="str">
        <f>"1442841600"</f>
        <v>1442841600</v>
      </c>
      <c r="C7411" s="2" t="str">
        <f>"1442841600"</f>
        <v>1442841600</v>
      </c>
      <c r="D7411" s="2" t="s">
        <v>9239</v>
      </c>
      <c r="E7411" s="2">
        <v>1</v>
      </c>
    </row>
    <row r="7412" spans="1:5">
      <c r="A7412" s="2" t="s">
        <v>296</v>
      </c>
      <c r="B7412" s="2" t="str">
        <f>"507513"</f>
        <v>507513</v>
      </c>
      <c r="C7412" s="2" t="str">
        <f>"507513"</f>
        <v>507513</v>
      </c>
      <c r="D7412" s="2" t="s">
        <v>9240</v>
      </c>
      <c r="E7412" s="4">
        <v>16800</v>
      </c>
    </row>
    <row r="7413" spans="1:5">
      <c r="A7413" s="2" t="s">
        <v>296</v>
      </c>
      <c r="B7413" s="2" t="str">
        <f>"00188747"</f>
        <v>00188747</v>
      </c>
      <c r="C7413" s="2" t="str">
        <f>"00188747"</f>
        <v>00188747</v>
      </c>
      <c r="D7413" s="2" t="s">
        <v>9241</v>
      </c>
      <c r="E7413" s="4">
        <v>14200</v>
      </c>
    </row>
    <row r="7414" spans="1:5">
      <c r="A7414" s="2" t="s">
        <v>296</v>
      </c>
      <c r="B7414" s="2" t="str">
        <f>"0013358"</f>
        <v>0013358</v>
      </c>
      <c r="C7414" s="2" t="str">
        <f>"0013358"</f>
        <v>0013358</v>
      </c>
      <c r="D7414" s="2" t="s">
        <v>9242</v>
      </c>
      <c r="E7414" s="4">
        <v>28900</v>
      </c>
    </row>
    <row r="7415" spans="1:5">
      <c r="A7415" s="2" t="s">
        <v>296</v>
      </c>
      <c r="B7415" s="2" t="str">
        <f>"0023762"</f>
        <v>0023762</v>
      </c>
      <c r="C7415" s="2" t="str">
        <f>"0023762"</f>
        <v>0023762</v>
      </c>
      <c r="D7415" s="2" t="s">
        <v>9243</v>
      </c>
      <c r="E7415" s="4">
        <v>19600</v>
      </c>
    </row>
    <row r="7416" spans="1:5">
      <c r="A7416" s="2" t="s">
        <v>296</v>
      </c>
      <c r="B7416" s="2" t="str">
        <f>"312930"</f>
        <v>312930</v>
      </c>
      <c r="C7416" s="2" t="str">
        <f>"0023771"</f>
        <v>0023771</v>
      </c>
      <c r="D7416" s="2" t="s">
        <v>9244</v>
      </c>
      <c r="E7416" s="4">
        <v>14200</v>
      </c>
    </row>
    <row r="7417" spans="1:5">
      <c r="A7417" s="2" t="s">
        <v>296</v>
      </c>
      <c r="B7417" s="2" t="str">
        <f>"0014534"</f>
        <v>0014534</v>
      </c>
      <c r="C7417" s="2" t="str">
        <f>"0014534 1225100-9"</f>
        <v>0014534 1225100-9</v>
      </c>
      <c r="D7417" s="2" t="s">
        <v>9245</v>
      </c>
      <c r="E7417" s="4">
        <v>14200</v>
      </c>
    </row>
    <row r="7418" spans="1:5">
      <c r="A7418" s="2" t="s">
        <v>296</v>
      </c>
      <c r="B7418" s="2" t="str">
        <f>"9952147"</f>
        <v>9952147</v>
      </c>
      <c r="C7418" s="2" t="str">
        <f>"9952147"</f>
        <v>9952147</v>
      </c>
      <c r="D7418" s="2" t="s">
        <v>9246</v>
      </c>
      <c r="E7418" s="4">
        <v>25000</v>
      </c>
    </row>
    <row r="7419" spans="1:5">
      <c r="A7419" s="2" t="s">
        <v>296</v>
      </c>
      <c r="B7419" s="2" t="str">
        <f>"0023765"</f>
        <v>0023765</v>
      </c>
      <c r="C7419" s="2" t="str">
        <f>"0023765"</f>
        <v>0023765</v>
      </c>
      <c r="D7419" s="2" t="s">
        <v>9247</v>
      </c>
      <c r="E7419" s="4">
        <v>16000</v>
      </c>
    </row>
    <row r="7420" spans="1:5">
      <c r="A7420" s="2" t="s">
        <v>296</v>
      </c>
      <c r="B7420" s="2" t="str">
        <f>"0023764"</f>
        <v>0023764</v>
      </c>
      <c r="C7420" s="2" t="str">
        <f>"0023764"</f>
        <v>0023764</v>
      </c>
      <c r="D7420" s="2" t="s">
        <v>9248</v>
      </c>
      <c r="E7420" s="4">
        <v>18700</v>
      </c>
    </row>
    <row r="7421" spans="1:5">
      <c r="A7421" s="2" t="s">
        <v>296</v>
      </c>
      <c r="B7421" s="2" t="str">
        <f>"312924"</f>
        <v>312924</v>
      </c>
      <c r="C7421" s="2" t="str">
        <f>"312924"</f>
        <v>312924</v>
      </c>
      <c r="D7421" s="2" t="s">
        <v>9249</v>
      </c>
      <c r="E7421" s="4">
        <v>25000</v>
      </c>
    </row>
    <row r="7422" spans="1:5">
      <c r="A7422" s="2" t="s">
        <v>296</v>
      </c>
      <c r="B7422" s="2" t="str">
        <f>"7003470"</f>
        <v>7003470</v>
      </c>
      <c r="C7422" s="2" t="str">
        <f>"7003470"</f>
        <v>7003470</v>
      </c>
      <c r="D7422" s="2" t="s">
        <v>9250</v>
      </c>
      <c r="E7422" s="4">
        <v>18800</v>
      </c>
    </row>
    <row r="7423" spans="1:5">
      <c r="A7423" s="2" t="s">
        <v>296</v>
      </c>
      <c r="B7423" s="2" t="str">
        <f>"0014546"</f>
        <v>0014546</v>
      </c>
      <c r="C7423" s="2" t="str">
        <f>"0014546"</f>
        <v>0014546</v>
      </c>
      <c r="D7423" s="2" t="s">
        <v>9251</v>
      </c>
      <c r="E7423" s="4">
        <v>14000</v>
      </c>
    </row>
    <row r="7424" spans="1:5">
      <c r="A7424" s="2" t="s">
        <v>296</v>
      </c>
      <c r="B7424" s="2" t="str">
        <f>"313017"</f>
        <v>313017</v>
      </c>
      <c r="C7424" s="2" t="str">
        <f>"313017"</f>
        <v>313017</v>
      </c>
      <c r="D7424" s="2" t="s">
        <v>9252</v>
      </c>
      <c r="E7424" s="4">
        <v>28000</v>
      </c>
    </row>
    <row r="7425" spans="1:5">
      <c r="A7425" s="2" t="s">
        <v>296</v>
      </c>
      <c r="B7425" s="2" t="str">
        <f>"0014542"</f>
        <v>0014542</v>
      </c>
      <c r="C7425" s="2" t="str">
        <f>"0014542"</f>
        <v>0014542</v>
      </c>
      <c r="D7425" s="2" t="s">
        <v>9253</v>
      </c>
      <c r="E7425" s="4">
        <v>12500</v>
      </c>
    </row>
    <row r="7426" spans="1:5">
      <c r="A7426" s="2" t="s">
        <v>296</v>
      </c>
      <c r="B7426" s="2" t="str">
        <f>"0014603"</f>
        <v>0014603</v>
      </c>
      <c r="C7426" s="2" t="str">
        <f>"0014603"</f>
        <v>0014603</v>
      </c>
      <c r="D7426" s="2" t="s">
        <v>9254</v>
      </c>
      <c r="E7426" s="4">
        <v>12300</v>
      </c>
    </row>
    <row r="7427" spans="1:5">
      <c r="A7427" s="2" t="s">
        <v>296</v>
      </c>
      <c r="B7427" s="2" t="str">
        <f>"0014604"</f>
        <v>0014604</v>
      </c>
      <c r="C7427" s="2" t="str">
        <f>"0014604"</f>
        <v>0014604</v>
      </c>
      <c r="D7427" s="2" t="s">
        <v>9255</v>
      </c>
      <c r="E7427" s="4">
        <v>15900</v>
      </c>
    </row>
    <row r="7428" spans="1:5">
      <c r="A7428" s="2" t="s">
        <v>296</v>
      </c>
      <c r="B7428" s="2" t="s">
        <v>9256</v>
      </c>
      <c r="C7428" s="2" t="s">
        <v>9256</v>
      </c>
      <c r="D7428" s="2" t="s">
        <v>9257</v>
      </c>
      <c r="E7428" s="4">
        <v>19600</v>
      </c>
    </row>
    <row r="7429" spans="1:5">
      <c r="A7429" s="2" t="s">
        <v>296</v>
      </c>
      <c r="B7429" s="2" t="str">
        <f>"000902003-9"</f>
        <v>000902003-9</v>
      </c>
      <c r="C7429" s="2" t="str">
        <f>"000902003-9"</f>
        <v>000902003-9</v>
      </c>
      <c r="D7429" s="2" t="s">
        <v>9258</v>
      </c>
      <c r="E7429" s="4">
        <v>28600</v>
      </c>
    </row>
    <row r="7430" spans="1:5">
      <c r="A7430" s="2" t="s">
        <v>296</v>
      </c>
      <c r="B7430" s="2" t="str">
        <f>"090860227"</f>
        <v>090860227</v>
      </c>
      <c r="C7430" s="2" t="str">
        <f>"090860227"</f>
        <v>090860227</v>
      </c>
      <c r="D7430" s="2" t="s">
        <v>9259</v>
      </c>
      <c r="E7430" s="4">
        <v>28600</v>
      </c>
    </row>
    <row r="7431" spans="1:5">
      <c r="A7431" s="2" t="s">
        <v>296</v>
      </c>
      <c r="B7431" s="2" t="s">
        <v>9260</v>
      </c>
      <c r="C7431" s="2" t="s">
        <v>9260</v>
      </c>
      <c r="D7431" s="2" t="s">
        <v>9261</v>
      </c>
      <c r="E7431" s="4">
        <v>18700</v>
      </c>
    </row>
    <row r="7432" spans="1:5">
      <c r="A7432" s="2" t="s">
        <v>296</v>
      </c>
      <c r="B7432" s="2" t="s">
        <v>9262</v>
      </c>
      <c r="C7432" s="2" t="s">
        <v>9262</v>
      </c>
      <c r="D7432" s="2" t="s">
        <v>9263</v>
      </c>
      <c r="E7432" s="4">
        <v>18700</v>
      </c>
    </row>
    <row r="7433" spans="1:5">
      <c r="A7433" s="2" t="s">
        <v>296</v>
      </c>
      <c r="B7433" s="2" t="str">
        <f>"312940"</f>
        <v>312940</v>
      </c>
      <c r="C7433" s="2" t="str">
        <f>"312940"</f>
        <v>312940</v>
      </c>
      <c r="D7433" s="2" t="s">
        <v>9264</v>
      </c>
      <c r="E7433" s="4">
        <v>29500</v>
      </c>
    </row>
    <row r="7434" spans="1:5">
      <c r="A7434" s="2" t="s">
        <v>296</v>
      </c>
      <c r="B7434" s="2" t="str">
        <f>"0034057"</f>
        <v>0034057</v>
      </c>
      <c r="C7434" s="2" t="str">
        <f>"0034057"</f>
        <v>0034057</v>
      </c>
      <c r="D7434" s="2" t="s">
        <v>9265</v>
      </c>
      <c r="E7434" s="4">
        <v>28600</v>
      </c>
    </row>
    <row r="7435" spans="1:5">
      <c r="A7435" s="2" t="s">
        <v>296</v>
      </c>
      <c r="B7435" s="2" t="str">
        <f>"0014613"</f>
        <v>0014613</v>
      </c>
      <c r="C7435" s="2" t="str">
        <f>"0014613"</f>
        <v>0014613</v>
      </c>
      <c r="D7435" s="2" t="s">
        <v>9266</v>
      </c>
      <c r="E7435" s="4">
        <v>22000</v>
      </c>
    </row>
    <row r="7436" spans="1:5">
      <c r="A7436" s="2" t="s">
        <v>296</v>
      </c>
      <c r="B7436" s="2" t="str">
        <f>"090860062"</f>
        <v>090860062</v>
      </c>
      <c r="C7436" s="2" t="str">
        <f>"090860062"</f>
        <v>090860062</v>
      </c>
      <c r="D7436" s="2" t="s">
        <v>9267</v>
      </c>
      <c r="E7436" s="4">
        <v>18000</v>
      </c>
    </row>
    <row r="7437" spans="1:5">
      <c r="A7437" s="2" t="s">
        <v>296</v>
      </c>
      <c r="B7437" s="2" t="str">
        <f>"090860010"</f>
        <v>090860010</v>
      </c>
      <c r="C7437" s="2" t="s">
        <v>9268</v>
      </c>
      <c r="D7437" s="2" t="s">
        <v>9269</v>
      </c>
      <c r="E7437" s="4">
        <v>16000</v>
      </c>
    </row>
    <row r="7438" spans="1:5">
      <c r="A7438" s="2" t="s">
        <v>296</v>
      </c>
      <c r="B7438" s="2" t="str">
        <f>"312956"</f>
        <v>312956</v>
      </c>
      <c r="C7438" s="2" t="str">
        <f>"312956"</f>
        <v>312956</v>
      </c>
      <c r="D7438" s="2" t="s">
        <v>9270</v>
      </c>
      <c r="E7438" s="4">
        <v>19800</v>
      </c>
    </row>
    <row r="7439" spans="1:5">
      <c r="A7439" s="2" t="s">
        <v>296</v>
      </c>
      <c r="B7439" s="2" t="s">
        <v>9271</v>
      </c>
      <c r="C7439" s="2" t="s">
        <v>9271</v>
      </c>
      <c r="D7439" s="2" t="s">
        <v>9272</v>
      </c>
      <c r="E7439" s="4">
        <v>19600</v>
      </c>
    </row>
    <row r="7440" spans="1:5" ht="27.6">
      <c r="A7440" s="2" t="s">
        <v>296</v>
      </c>
      <c r="B7440" s="2" t="str">
        <f>"0023947"</f>
        <v>0023947</v>
      </c>
      <c r="C7440" s="2" t="str">
        <f>"0023947"</f>
        <v>0023947</v>
      </c>
      <c r="D7440" s="2" t="s">
        <v>9273</v>
      </c>
      <c r="E7440" s="4">
        <v>14200</v>
      </c>
    </row>
    <row r="7441" spans="1:5">
      <c r="A7441" s="2" t="s">
        <v>296</v>
      </c>
      <c r="B7441" s="2" t="str">
        <f>"9946195"</f>
        <v>9946195</v>
      </c>
      <c r="C7441" s="2" t="str">
        <f>"9946195"</f>
        <v>9946195</v>
      </c>
      <c r="D7441" s="2" t="s">
        <v>9274</v>
      </c>
      <c r="E7441" s="4">
        <v>19600</v>
      </c>
    </row>
    <row r="7442" spans="1:5" ht="27.6">
      <c r="A7442" s="2" t="s">
        <v>296</v>
      </c>
      <c r="B7442" s="2" t="str">
        <f>"9951616"</f>
        <v>9951616</v>
      </c>
      <c r="C7442" s="2" t="str">
        <f>"9951616"</f>
        <v>9951616</v>
      </c>
      <c r="D7442" s="2" t="s">
        <v>9275</v>
      </c>
      <c r="E7442" s="4">
        <v>28600</v>
      </c>
    </row>
    <row r="7443" spans="1:5">
      <c r="A7443" s="2" t="s">
        <v>296</v>
      </c>
      <c r="B7443" s="2" t="str">
        <f>"0023914"</f>
        <v>0023914</v>
      </c>
      <c r="C7443" s="2" t="str">
        <f>"0023914"</f>
        <v>0023914</v>
      </c>
      <c r="D7443" s="2" t="s">
        <v>9276</v>
      </c>
      <c r="E7443" s="4">
        <v>18700</v>
      </c>
    </row>
    <row r="7444" spans="1:5">
      <c r="A7444" s="2" t="s">
        <v>296</v>
      </c>
      <c r="B7444" s="2" t="str">
        <f>"0023786"</f>
        <v>0023786</v>
      </c>
      <c r="C7444" s="2" t="str">
        <f>"0023786"</f>
        <v>0023786</v>
      </c>
      <c r="D7444" s="2" t="s">
        <v>9277</v>
      </c>
      <c r="E7444" s="4">
        <v>19600</v>
      </c>
    </row>
    <row r="7445" spans="1:5">
      <c r="A7445" s="2" t="s">
        <v>296</v>
      </c>
      <c r="B7445" s="2" t="s">
        <v>9278</v>
      </c>
      <c r="C7445" s="2" t="s">
        <v>9278</v>
      </c>
      <c r="D7445" s="2" t="s">
        <v>9279</v>
      </c>
      <c r="E7445" s="4">
        <v>15500</v>
      </c>
    </row>
    <row r="7446" spans="1:5">
      <c r="A7446" s="2" t="s">
        <v>296</v>
      </c>
      <c r="B7446" s="2" t="str">
        <f>"090860118"</f>
        <v>090860118</v>
      </c>
      <c r="C7446" s="2" t="str">
        <f>"090860118"</f>
        <v>090860118</v>
      </c>
      <c r="D7446" s="2" t="s">
        <v>9280</v>
      </c>
      <c r="E7446" s="4">
        <v>15500</v>
      </c>
    </row>
    <row r="7447" spans="1:5">
      <c r="A7447" s="2" t="s">
        <v>296</v>
      </c>
      <c r="B7447" s="2" t="s">
        <v>9281</v>
      </c>
      <c r="C7447" s="2" t="s">
        <v>9281</v>
      </c>
      <c r="D7447" s="2" t="s">
        <v>9282</v>
      </c>
      <c r="E7447" s="4">
        <v>17000</v>
      </c>
    </row>
    <row r="7448" spans="1:5">
      <c r="A7448" s="2" t="s">
        <v>296</v>
      </c>
      <c r="B7448" s="2" t="str">
        <f>"0023840"</f>
        <v>0023840</v>
      </c>
      <c r="C7448" s="2" t="str">
        <f>"0023840"</f>
        <v>0023840</v>
      </c>
      <c r="D7448" s="2" t="s">
        <v>9283</v>
      </c>
      <c r="E7448" s="4">
        <v>16000</v>
      </c>
    </row>
    <row r="7449" spans="1:5">
      <c r="A7449" s="2" t="s">
        <v>296</v>
      </c>
      <c r="B7449" s="2" t="str">
        <f>"0023858"</f>
        <v>0023858</v>
      </c>
      <c r="C7449" s="2" t="str">
        <f>"0023858"</f>
        <v>0023858</v>
      </c>
      <c r="D7449" s="2" t="s">
        <v>9284</v>
      </c>
      <c r="E7449" s="4">
        <v>18700</v>
      </c>
    </row>
    <row r="7450" spans="1:5">
      <c r="A7450" s="2" t="s">
        <v>296</v>
      </c>
      <c r="B7450" s="2" t="str">
        <f>"0023855"</f>
        <v>0023855</v>
      </c>
      <c r="C7450" s="2" t="str">
        <f>"0014556"</f>
        <v>0014556</v>
      </c>
      <c r="D7450" s="2" t="s">
        <v>9285</v>
      </c>
      <c r="E7450" s="4">
        <v>16000</v>
      </c>
    </row>
    <row r="7451" spans="1:5">
      <c r="A7451" s="2" t="s">
        <v>296</v>
      </c>
      <c r="B7451" s="2" t="str">
        <f>"0014620"</f>
        <v>0014620</v>
      </c>
      <c r="C7451" s="2" t="str">
        <f>"0014620"</f>
        <v>0014620</v>
      </c>
      <c r="D7451" s="2" t="s">
        <v>9286</v>
      </c>
      <c r="E7451" s="4">
        <v>12000</v>
      </c>
    </row>
    <row r="7452" spans="1:5">
      <c r="A7452" s="2" t="s">
        <v>296</v>
      </c>
      <c r="B7452" s="2" t="str">
        <f>"0014622"</f>
        <v>0014622</v>
      </c>
      <c r="C7452" s="2" t="str">
        <f>"0014622"</f>
        <v>0014622</v>
      </c>
      <c r="D7452" s="2" t="s">
        <v>9287</v>
      </c>
      <c r="E7452" s="4">
        <v>11500</v>
      </c>
    </row>
    <row r="7453" spans="1:5">
      <c r="A7453" s="2" t="s">
        <v>296</v>
      </c>
      <c r="B7453" s="2" t="str">
        <f>"0014623"</f>
        <v>0014623</v>
      </c>
      <c r="C7453" s="2" t="str">
        <f>"0014623"</f>
        <v>0014623</v>
      </c>
      <c r="D7453" s="2" t="s">
        <v>9288</v>
      </c>
      <c r="E7453" s="4">
        <v>17800</v>
      </c>
    </row>
    <row r="7454" spans="1:5">
      <c r="A7454" s="2" t="s">
        <v>296</v>
      </c>
      <c r="B7454" s="2" t="str">
        <f>"0014557"</f>
        <v>0014557</v>
      </c>
      <c r="C7454" s="2" t="str">
        <f>"0014557"</f>
        <v>0014557</v>
      </c>
      <c r="D7454" s="2" t="s">
        <v>9289</v>
      </c>
      <c r="E7454" s="4">
        <v>10900</v>
      </c>
    </row>
    <row r="7455" spans="1:5">
      <c r="A7455" s="2" t="s">
        <v>296</v>
      </c>
      <c r="B7455" s="2" t="str">
        <f>"237513"</f>
        <v>237513</v>
      </c>
      <c r="C7455" s="2" t="str">
        <f>"237513"</f>
        <v>237513</v>
      </c>
      <c r="D7455" s="2" t="s">
        <v>9290</v>
      </c>
      <c r="E7455" s="4">
        <v>16000</v>
      </c>
    </row>
    <row r="7456" spans="1:5">
      <c r="A7456" s="2" t="s">
        <v>296</v>
      </c>
      <c r="B7456" s="2" t="str">
        <f>"0023864"</f>
        <v>0023864</v>
      </c>
      <c r="C7456" s="2" t="str">
        <f>"0023864"</f>
        <v>0023864</v>
      </c>
      <c r="D7456" s="2" t="s">
        <v>9291</v>
      </c>
      <c r="E7456" s="4">
        <v>17800</v>
      </c>
    </row>
    <row r="7457" spans="1:5" ht="27.6">
      <c r="A7457" s="2" t="s">
        <v>296</v>
      </c>
      <c r="B7457" s="2" t="str">
        <f>"426936-5"</f>
        <v>426936-5</v>
      </c>
      <c r="C7457" s="2" t="str">
        <f>"0279747 0023866 313052"</f>
        <v>0279747 0023866 313052</v>
      </c>
      <c r="D7457" s="2" t="s">
        <v>9292</v>
      </c>
      <c r="E7457" s="4">
        <v>25000</v>
      </c>
    </row>
    <row r="7458" spans="1:5">
      <c r="A7458" s="2" t="s">
        <v>296</v>
      </c>
      <c r="B7458" s="2" t="str">
        <f>"3702615-8"</f>
        <v>3702615-8</v>
      </c>
      <c r="C7458" s="2" t="str">
        <f>"3702615-8"</f>
        <v>3702615-8</v>
      </c>
      <c r="D7458" s="2" t="s">
        <v>9293</v>
      </c>
      <c r="E7458" s="4">
        <v>22300</v>
      </c>
    </row>
    <row r="7459" spans="1:5">
      <c r="A7459" s="2" t="s">
        <v>296</v>
      </c>
      <c r="B7459" s="2" t="s">
        <v>9294</v>
      </c>
      <c r="C7459" s="2" t="s">
        <v>9294</v>
      </c>
      <c r="D7459" s="2" t="s">
        <v>9295</v>
      </c>
      <c r="E7459" s="4">
        <v>24500</v>
      </c>
    </row>
    <row r="7460" spans="1:5">
      <c r="A7460" s="2" t="s">
        <v>296</v>
      </c>
      <c r="B7460" s="2" t="s">
        <v>9296</v>
      </c>
      <c r="C7460" s="2" t="s">
        <v>9296</v>
      </c>
      <c r="D7460" s="2" t="s">
        <v>9297</v>
      </c>
      <c r="E7460" s="4">
        <v>16000</v>
      </c>
    </row>
    <row r="7461" spans="1:5">
      <c r="A7461" s="2" t="s">
        <v>296</v>
      </c>
      <c r="B7461" s="2" t="s">
        <v>9298</v>
      </c>
      <c r="C7461" s="2" t="s">
        <v>9298</v>
      </c>
      <c r="D7461" s="2" t="s">
        <v>9299</v>
      </c>
      <c r="E7461" s="4">
        <v>15500</v>
      </c>
    </row>
    <row r="7462" spans="1:5">
      <c r="A7462" s="2" t="s">
        <v>296</v>
      </c>
      <c r="B7462" s="2" t="str">
        <f>"090860131"</f>
        <v>090860131</v>
      </c>
      <c r="C7462" s="2" t="str">
        <f>"090860131"</f>
        <v>090860131</v>
      </c>
      <c r="D7462" s="2" t="s">
        <v>9300</v>
      </c>
      <c r="E7462" s="4">
        <v>14500</v>
      </c>
    </row>
    <row r="7463" spans="1:5">
      <c r="A7463" s="2" t="s">
        <v>296</v>
      </c>
      <c r="B7463" s="2" t="s">
        <v>9301</v>
      </c>
      <c r="C7463" s="2" t="s">
        <v>9301</v>
      </c>
      <c r="D7463" s="2" t="s">
        <v>9302</v>
      </c>
      <c r="E7463" s="4">
        <v>14000</v>
      </c>
    </row>
    <row r="7464" spans="1:5">
      <c r="A7464" s="2" t="s">
        <v>296</v>
      </c>
      <c r="B7464" s="2" t="str">
        <f>"090860047"</f>
        <v>090860047</v>
      </c>
      <c r="C7464" s="2" t="str">
        <f>"090860047"</f>
        <v>090860047</v>
      </c>
      <c r="D7464" s="2" t="s">
        <v>9303</v>
      </c>
      <c r="E7464" s="4">
        <v>13000</v>
      </c>
    </row>
    <row r="7465" spans="1:5">
      <c r="A7465" s="2" t="s">
        <v>296</v>
      </c>
      <c r="B7465" s="2" t="str">
        <f>"090860045"</f>
        <v>090860045</v>
      </c>
      <c r="C7465" s="2" t="str">
        <f>"090860045"</f>
        <v>090860045</v>
      </c>
      <c r="D7465" s="2" t="s">
        <v>9304</v>
      </c>
      <c r="E7465" s="4">
        <v>14000</v>
      </c>
    </row>
    <row r="7466" spans="1:5">
      <c r="A7466" s="2" t="s">
        <v>296</v>
      </c>
      <c r="B7466" s="2" t="str">
        <f>"0014640"</f>
        <v>0014640</v>
      </c>
      <c r="C7466" s="2" t="str">
        <f>"0014640"</f>
        <v>0014640</v>
      </c>
      <c r="D7466" s="2" t="s">
        <v>9305</v>
      </c>
      <c r="E7466" s="4">
        <v>14200</v>
      </c>
    </row>
    <row r="7467" spans="1:5">
      <c r="A7467" s="2" t="s">
        <v>296</v>
      </c>
      <c r="B7467" s="2" t="str">
        <f>"313006"</f>
        <v>313006</v>
      </c>
      <c r="C7467" s="2" t="str">
        <f>"313006"</f>
        <v>313006</v>
      </c>
      <c r="D7467" s="2" t="s">
        <v>9306</v>
      </c>
      <c r="E7467" s="4">
        <v>21000</v>
      </c>
    </row>
    <row r="7468" spans="1:5">
      <c r="A7468" s="2" t="s">
        <v>296</v>
      </c>
      <c r="B7468" s="2" t="str">
        <f>"313033"</f>
        <v>313033</v>
      </c>
      <c r="C7468" s="2" t="str">
        <f>"313033"</f>
        <v>313033</v>
      </c>
      <c r="D7468" s="2" t="s">
        <v>9307</v>
      </c>
      <c r="E7468" s="4">
        <v>24000</v>
      </c>
    </row>
    <row r="7469" spans="1:5">
      <c r="A7469" s="2" t="s">
        <v>296</v>
      </c>
      <c r="B7469" s="2" t="str">
        <f>"0023926"</f>
        <v>0023926</v>
      </c>
      <c r="C7469" s="2" t="str">
        <f>"0023926"</f>
        <v>0023926</v>
      </c>
      <c r="D7469" s="2" t="s">
        <v>9308</v>
      </c>
      <c r="E7469" s="4">
        <v>14500</v>
      </c>
    </row>
    <row r="7470" spans="1:5">
      <c r="A7470" s="2" t="s">
        <v>296</v>
      </c>
      <c r="B7470" s="2" t="str">
        <f>"0023927"</f>
        <v>0023927</v>
      </c>
      <c r="C7470" s="2" t="str">
        <f>"0023927"</f>
        <v>0023927</v>
      </c>
      <c r="D7470" s="2" t="s">
        <v>9309</v>
      </c>
      <c r="E7470" s="4">
        <v>14000</v>
      </c>
    </row>
    <row r="7471" spans="1:5">
      <c r="A7471" s="2" t="s">
        <v>296</v>
      </c>
      <c r="B7471" s="2" t="str">
        <f>"0014641"</f>
        <v>0014641</v>
      </c>
      <c r="C7471" s="2" t="str">
        <f>"0014641"</f>
        <v>0014641</v>
      </c>
      <c r="D7471" s="2" t="s">
        <v>9310</v>
      </c>
      <c r="E7471" s="4">
        <v>16900</v>
      </c>
    </row>
    <row r="7472" spans="1:5">
      <c r="A7472" s="2" t="s">
        <v>296</v>
      </c>
      <c r="B7472" s="2" t="s">
        <v>9311</v>
      </c>
      <c r="C7472" s="2" t="s">
        <v>9311</v>
      </c>
      <c r="D7472" s="2" t="s">
        <v>9312</v>
      </c>
      <c r="E7472" s="4">
        <v>31300</v>
      </c>
    </row>
    <row r="7473" spans="1:5">
      <c r="A7473" s="2" t="s">
        <v>296</v>
      </c>
      <c r="B7473" s="2" t="str">
        <f>"313007"</f>
        <v>313007</v>
      </c>
      <c r="C7473" s="2" t="str">
        <f>"313007"</f>
        <v>313007</v>
      </c>
      <c r="D7473" s="2" t="s">
        <v>9313</v>
      </c>
      <c r="E7473" s="4">
        <v>22300</v>
      </c>
    </row>
    <row r="7474" spans="1:5">
      <c r="A7474" s="2" t="s">
        <v>296</v>
      </c>
      <c r="B7474" s="2" t="str">
        <f>"0014649"</f>
        <v>0014649</v>
      </c>
      <c r="C7474" s="2" t="str">
        <f>"0023949"</f>
        <v>0023949</v>
      </c>
      <c r="D7474" s="2" t="s">
        <v>9314</v>
      </c>
      <c r="E7474" s="4">
        <v>16000</v>
      </c>
    </row>
    <row r="7475" spans="1:5">
      <c r="A7475" s="2" t="s">
        <v>296</v>
      </c>
      <c r="B7475" s="2" t="str">
        <f>"090860133"</f>
        <v>090860133</v>
      </c>
      <c r="C7475" s="2" t="str">
        <f>"090860133"</f>
        <v>090860133</v>
      </c>
      <c r="D7475" s="2" t="s">
        <v>9315</v>
      </c>
      <c r="E7475" s="4">
        <v>15500</v>
      </c>
    </row>
    <row r="7476" spans="1:5">
      <c r="A7476" s="2" t="s">
        <v>296</v>
      </c>
      <c r="B7476" s="2" t="str">
        <f>"313059"</f>
        <v>313059</v>
      </c>
      <c r="C7476" s="2" t="str">
        <f>"313059"</f>
        <v>313059</v>
      </c>
      <c r="D7476" s="2" t="s">
        <v>9316</v>
      </c>
      <c r="E7476" s="4">
        <v>25000</v>
      </c>
    </row>
    <row r="7477" spans="1:5">
      <c r="A7477" s="2" t="s">
        <v>9317</v>
      </c>
      <c r="B7477" s="2" t="str">
        <f>"090980756"</f>
        <v>090980756</v>
      </c>
      <c r="C7477" s="2" t="str">
        <f>"090980756"</f>
        <v>090980756</v>
      </c>
      <c r="D7477" s="2" t="s">
        <v>9318</v>
      </c>
      <c r="E7477" s="4">
        <v>18700</v>
      </c>
    </row>
    <row r="7478" spans="1:5">
      <c r="A7478" s="2" t="s">
        <v>9317</v>
      </c>
      <c r="B7478" s="2" t="str">
        <f>"300542"</f>
        <v>300542</v>
      </c>
      <c r="C7478" s="2" t="str">
        <f>"300542"</f>
        <v>300542</v>
      </c>
      <c r="D7478" s="2" t="s">
        <v>9319</v>
      </c>
      <c r="E7478" s="4">
        <v>98000</v>
      </c>
    </row>
    <row r="7479" spans="1:5">
      <c r="A7479" s="2" t="s">
        <v>9317</v>
      </c>
      <c r="B7479" s="2" t="s">
        <v>9320</v>
      </c>
      <c r="C7479" s="2" t="s">
        <v>9320</v>
      </c>
      <c r="D7479" s="2" t="s">
        <v>9321</v>
      </c>
      <c r="E7479" s="4">
        <v>45700</v>
      </c>
    </row>
    <row r="7480" spans="1:5">
      <c r="A7480" s="2" t="s">
        <v>9317</v>
      </c>
      <c r="B7480" s="2" t="str">
        <f>"100519"</f>
        <v>100519</v>
      </c>
      <c r="C7480" s="2" t="str">
        <f>"100519"</f>
        <v>100519</v>
      </c>
      <c r="D7480" s="2" t="s">
        <v>9322</v>
      </c>
      <c r="E7480" s="4">
        <v>9700</v>
      </c>
    </row>
    <row r="7481" spans="1:5">
      <c r="A7481" s="2" t="s">
        <v>9317</v>
      </c>
      <c r="B7481" s="2" t="str">
        <f>"7000529"</f>
        <v>7000529</v>
      </c>
      <c r="C7481" s="2" t="str">
        <f>"7000529"</f>
        <v>7000529</v>
      </c>
      <c r="D7481" s="2" t="s">
        <v>9323</v>
      </c>
      <c r="E7481" s="4">
        <v>12400</v>
      </c>
    </row>
    <row r="7482" spans="1:5">
      <c r="A7482" s="2" t="s">
        <v>9317</v>
      </c>
      <c r="B7482" s="2" t="str">
        <f>"4871310"</f>
        <v>4871310</v>
      </c>
      <c r="C7482" s="2" t="str">
        <f>"4871310"</f>
        <v>4871310</v>
      </c>
      <c r="D7482" s="2" t="s">
        <v>9324</v>
      </c>
      <c r="E7482" s="4">
        <v>9700</v>
      </c>
    </row>
    <row r="7483" spans="1:5">
      <c r="A7483" s="2" t="s">
        <v>9317</v>
      </c>
      <c r="B7483" s="2" t="str">
        <f>"7101010"</f>
        <v>7101010</v>
      </c>
      <c r="C7483" s="2" t="str">
        <f>"7101010"</f>
        <v>7101010</v>
      </c>
      <c r="D7483" s="2" t="s">
        <v>9325</v>
      </c>
      <c r="E7483" s="4">
        <v>38900</v>
      </c>
    </row>
    <row r="7484" spans="1:5">
      <c r="A7484" s="2" t="s">
        <v>9317</v>
      </c>
      <c r="B7484" s="2" t="str">
        <f>"4870500"</f>
        <v>4870500</v>
      </c>
      <c r="C7484" s="2" t="str">
        <f>"4870500"</f>
        <v>4870500</v>
      </c>
      <c r="D7484" s="2" t="s">
        <v>9326</v>
      </c>
      <c r="E7484" s="4">
        <v>8800</v>
      </c>
    </row>
    <row r="7485" spans="1:5">
      <c r="A7485" s="2" t="s">
        <v>9317</v>
      </c>
      <c r="B7485" s="2" t="str">
        <f>"7000524"</f>
        <v>7000524</v>
      </c>
      <c r="C7485" s="2" t="str">
        <f>"7000524"</f>
        <v>7000524</v>
      </c>
      <c r="D7485" s="2" t="s">
        <v>9327</v>
      </c>
      <c r="E7485" s="4">
        <v>11900</v>
      </c>
    </row>
    <row r="7486" spans="1:5">
      <c r="A7486" s="2" t="s">
        <v>9317</v>
      </c>
      <c r="B7486" s="2" t="s">
        <v>9328</v>
      </c>
      <c r="C7486" s="2" t="s">
        <v>9329</v>
      </c>
      <c r="D7486" s="2" t="s">
        <v>9330</v>
      </c>
      <c r="E7486" s="4">
        <v>105000</v>
      </c>
    </row>
    <row r="7487" spans="1:5">
      <c r="A7487" s="2" t="s">
        <v>2076</v>
      </c>
      <c r="B7487" s="2" t="str">
        <f>"0015057"</f>
        <v>0015057</v>
      </c>
      <c r="C7487" s="2" t="str">
        <f>"0015057"</f>
        <v>0015057</v>
      </c>
      <c r="D7487" s="2" t="s">
        <v>9331</v>
      </c>
      <c r="E7487" s="4">
        <v>120000</v>
      </c>
    </row>
    <row r="7488" spans="1:5">
      <c r="A7488" s="2" t="s">
        <v>2076</v>
      </c>
      <c r="B7488" s="2" t="s">
        <v>9332</v>
      </c>
      <c r="C7488" s="2" t="s">
        <v>9332</v>
      </c>
      <c r="D7488" s="2" t="s">
        <v>9333</v>
      </c>
      <c r="E7488" s="4">
        <v>59000</v>
      </c>
    </row>
    <row r="7489" spans="1:5">
      <c r="A7489" s="2" t="s">
        <v>2076</v>
      </c>
      <c r="B7489" s="2" t="str">
        <f>"001225038-K"</f>
        <v>001225038-K</v>
      </c>
      <c r="C7489" s="2" t="str">
        <f>"001225038-K"</f>
        <v>001225038-K</v>
      </c>
      <c r="D7489" s="2" t="s">
        <v>9334</v>
      </c>
      <c r="E7489" s="4">
        <v>88000</v>
      </c>
    </row>
    <row r="7490" spans="1:5">
      <c r="A7490" s="2" t="s">
        <v>2076</v>
      </c>
      <c r="B7490" s="2" t="s">
        <v>9335</v>
      </c>
      <c r="C7490" s="2" t="s">
        <v>9335</v>
      </c>
      <c r="D7490" s="2" t="s">
        <v>9336</v>
      </c>
      <c r="E7490" s="4">
        <v>52000</v>
      </c>
    </row>
    <row r="7491" spans="1:5">
      <c r="A7491" s="2" t="s">
        <v>2076</v>
      </c>
      <c r="B7491" s="2" t="str">
        <f>"9960722"</f>
        <v>9960722</v>
      </c>
      <c r="C7491" s="2" t="str">
        <f>"9960722"</f>
        <v>9960722</v>
      </c>
      <c r="D7491" s="2" t="s">
        <v>9337</v>
      </c>
      <c r="E7491" s="4">
        <v>110000</v>
      </c>
    </row>
    <row r="7492" spans="1:5">
      <c r="A7492" s="2" t="s">
        <v>2076</v>
      </c>
      <c r="B7492" s="2" t="s">
        <v>9338</v>
      </c>
      <c r="C7492" s="2" t="str">
        <f>"1701435891772"</f>
        <v>1701435891772</v>
      </c>
      <c r="D7492" s="2" t="s">
        <v>9339</v>
      </c>
      <c r="E7492" s="4">
        <v>340000</v>
      </c>
    </row>
    <row r="7493" spans="1:5">
      <c r="A7493" s="2" t="s">
        <v>1478</v>
      </c>
      <c r="B7493" s="2" t="s">
        <v>9340</v>
      </c>
      <c r="C7493" s="2" t="str">
        <f>"1722957137739"</f>
        <v>1722957137739</v>
      </c>
      <c r="D7493" s="2" t="s">
        <v>9341</v>
      </c>
      <c r="E7493" s="2">
        <v>0</v>
      </c>
    </row>
    <row r="7494" spans="1:5">
      <c r="A7494" s="2" t="s">
        <v>1478</v>
      </c>
      <c r="B7494" s="2" t="s">
        <v>9342</v>
      </c>
      <c r="C7494" s="2" t="str">
        <f>"1697481145387"</f>
        <v>1697481145387</v>
      </c>
      <c r="D7494" s="2" t="s">
        <v>9343</v>
      </c>
      <c r="E7494" s="2">
        <v>0</v>
      </c>
    </row>
    <row r="7495" spans="1:5">
      <c r="A7495" s="2" t="s">
        <v>1478</v>
      </c>
      <c r="B7495" s="2" t="str">
        <f>"9952625"</f>
        <v>9952625</v>
      </c>
      <c r="C7495" s="2" t="str">
        <f>"9952625"</f>
        <v>9952625</v>
      </c>
      <c r="D7495" s="2" t="s">
        <v>9344</v>
      </c>
      <c r="E7495" s="4">
        <v>19600</v>
      </c>
    </row>
    <row r="7496" spans="1:5">
      <c r="A7496" s="2" t="s">
        <v>1478</v>
      </c>
      <c r="B7496" s="2" t="str">
        <f>"9941682"</f>
        <v>9941682</v>
      </c>
      <c r="C7496" s="2" t="str">
        <f>"9941682"</f>
        <v>9941682</v>
      </c>
      <c r="D7496" s="2" t="s">
        <v>9345</v>
      </c>
      <c r="E7496" s="4">
        <v>25000</v>
      </c>
    </row>
    <row r="7497" spans="1:5">
      <c r="A7497" s="2" t="s">
        <v>1478</v>
      </c>
      <c r="B7497" s="2" t="str">
        <f>"0014805"</f>
        <v>0014805</v>
      </c>
      <c r="C7497" s="2" t="str">
        <f>"0014805"</f>
        <v>0014805</v>
      </c>
      <c r="D7497" s="2" t="s">
        <v>9346</v>
      </c>
      <c r="E7497" s="4">
        <v>43000</v>
      </c>
    </row>
    <row r="7498" spans="1:5">
      <c r="A7498" s="2" t="s">
        <v>1478</v>
      </c>
      <c r="B7498" s="2" t="str">
        <f>"0005317"</f>
        <v>0005317</v>
      </c>
      <c r="C7498" s="2" t="str">
        <f>"0005317"</f>
        <v>0005317</v>
      </c>
      <c r="D7498" s="2" t="s">
        <v>9347</v>
      </c>
      <c r="E7498" s="4">
        <v>28600</v>
      </c>
    </row>
    <row r="7499" spans="1:5">
      <c r="A7499" s="2" t="s">
        <v>1478</v>
      </c>
      <c r="B7499" s="2" t="s">
        <v>9348</v>
      </c>
      <c r="C7499" s="2" t="s">
        <v>9348</v>
      </c>
      <c r="D7499" s="2" t="s">
        <v>9349</v>
      </c>
      <c r="E7499" s="4">
        <v>79000</v>
      </c>
    </row>
    <row r="7500" spans="1:5">
      <c r="A7500" s="2" t="s">
        <v>1478</v>
      </c>
      <c r="B7500" s="2" t="str">
        <f>"9952618"</f>
        <v>9952618</v>
      </c>
      <c r="C7500" s="2" t="str">
        <f>"9952618"</f>
        <v>9952618</v>
      </c>
      <c r="D7500" s="2" t="s">
        <v>9350</v>
      </c>
      <c r="E7500" s="4">
        <v>39500</v>
      </c>
    </row>
    <row r="7501" spans="1:5">
      <c r="A7501" s="2" t="s">
        <v>1478</v>
      </c>
      <c r="B7501" s="2" t="str">
        <f>"0009676"</f>
        <v>0009676</v>
      </c>
      <c r="C7501" s="2" t="str">
        <f>"0009676"</f>
        <v>0009676</v>
      </c>
      <c r="D7501" s="2" t="s">
        <v>9351</v>
      </c>
      <c r="E7501" s="4">
        <v>38500</v>
      </c>
    </row>
    <row r="7502" spans="1:5">
      <c r="A7502" s="2" t="s">
        <v>1478</v>
      </c>
      <c r="B7502" s="2" t="str">
        <f>"0014817"</f>
        <v>0014817</v>
      </c>
      <c r="C7502" s="2" t="str">
        <f>"0014817"</f>
        <v>0014817</v>
      </c>
      <c r="D7502" s="2" t="s">
        <v>9352</v>
      </c>
      <c r="E7502" s="4">
        <v>61000</v>
      </c>
    </row>
    <row r="7503" spans="1:5">
      <c r="A7503" s="2" t="s">
        <v>1478</v>
      </c>
      <c r="B7503" s="2" t="str">
        <f>"001201000-1"</f>
        <v>001201000-1</v>
      </c>
      <c r="C7503" s="2" t="str">
        <f>"001201000-1"</f>
        <v>001201000-1</v>
      </c>
      <c r="D7503" s="2" t="s">
        <v>9353</v>
      </c>
      <c r="E7503" s="4">
        <v>49000</v>
      </c>
    </row>
    <row r="7504" spans="1:5">
      <c r="A7504" s="2" t="s">
        <v>1478</v>
      </c>
      <c r="B7504" s="2" t="str">
        <f>"9952617"</f>
        <v>9952617</v>
      </c>
      <c r="C7504" s="2" t="str">
        <f>"9952617"</f>
        <v>9952617</v>
      </c>
      <c r="D7504" s="2" t="s">
        <v>9354</v>
      </c>
      <c r="E7504" s="4">
        <v>29500</v>
      </c>
    </row>
    <row r="7505" spans="1:5">
      <c r="A7505" s="2" t="s">
        <v>1478</v>
      </c>
      <c r="B7505" s="2" t="str">
        <f>"9952334"</f>
        <v>9952334</v>
      </c>
      <c r="C7505" s="2" t="str">
        <f>"9952334"</f>
        <v>9952334</v>
      </c>
      <c r="D7505" s="2" t="s">
        <v>9355</v>
      </c>
      <c r="E7505" s="4">
        <v>89000</v>
      </c>
    </row>
    <row r="7506" spans="1:5">
      <c r="A7506" s="2" t="s">
        <v>1478</v>
      </c>
      <c r="B7506" s="2" t="str">
        <f>"002901030-7"</f>
        <v>002901030-7</v>
      </c>
      <c r="C7506" s="2" t="str">
        <f>"002901030-7"</f>
        <v>002901030-7</v>
      </c>
      <c r="D7506" s="2" t="s">
        <v>9356</v>
      </c>
      <c r="E7506" s="4">
        <v>115000</v>
      </c>
    </row>
    <row r="7507" spans="1:5">
      <c r="A7507" s="2" t="s">
        <v>1478</v>
      </c>
      <c r="B7507" s="2" t="str">
        <f>"0014812"</f>
        <v>0014812</v>
      </c>
      <c r="C7507" s="2" t="str">
        <f>"0014812"</f>
        <v>0014812</v>
      </c>
      <c r="D7507" s="2" t="s">
        <v>9357</v>
      </c>
      <c r="E7507" s="4">
        <v>115000</v>
      </c>
    </row>
    <row r="7508" spans="1:5">
      <c r="A7508" s="2" t="s">
        <v>1478</v>
      </c>
      <c r="B7508" s="2" t="str">
        <f>"020610086"</f>
        <v>020610086</v>
      </c>
      <c r="C7508" s="2" t="str">
        <f>"020610086"</f>
        <v>020610086</v>
      </c>
      <c r="D7508" s="2" t="s">
        <v>9358</v>
      </c>
      <c r="E7508" s="4">
        <v>280000</v>
      </c>
    </row>
    <row r="7509" spans="1:5">
      <c r="A7509" s="2" t="s">
        <v>1478</v>
      </c>
      <c r="B7509" s="2" t="str">
        <f>"000411475-2"</f>
        <v>000411475-2</v>
      </c>
      <c r="C7509" s="2" t="str">
        <f>"000411475-2"</f>
        <v>000411475-2</v>
      </c>
      <c r="D7509" s="2" t="s">
        <v>9359</v>
      </c>
      <c r="E7509" s="4">
        <v>160000</v>
      </c>
    </row>
    <row r="7510" spans="1:5">
      <c r="A7510" s="2" t="s">
        <v>1478</v>
      </c>
      <c r="B7510" s="2" t="str">
        <f>"0109677"</f>
        <v>0109677</v>
      </c>
      <c r="C7510" s="2" t="str">
        <f>"0109677"</f>
        <v>0109677</v>
      </c>
      <c r="D7510" s="2" t="s">
        <v>9360</v>
      </c>
      <c r="E7510" s="4">
        <v>43000</v>
      </c>
    </row>
    <row r="7511" spans="1:5">
      <c r="A7511" s="2" t="s">
        <v>1478</v>
      </c>
      <c r="B7511" s="2" t="str">
        <f>"9952627"</f>
        <v>9952627</v>
      </c>
      <c r="C7511" s="2" t="str">
        <f>"9952627"</f>
        <v>9952627</v>
      </c>
      <c r="D7511" s="2" t="s">
        <v>9361</v>
      </c>
      <c r="E7511" s="4">
        <v>19600</v>
      </c>
    </row>
    <row r="7512" spans="1:5">
      <c r="A7512" s="2" t="s">
        <v>1478</v>
      </c>
      <c r="B7512" s="2" t="str">
        <f>"9952643"</f>
        <v>9952643</v>
      </c>
      <c r="C7512" s="2" t="str">
        <f>"9952643"</f>
        <v>9952643</v>
      </c>
      <c r="D7512" s="2" t="s">
        <v>9362</v>
      </c>
      <c r="E7512" s="4">
        <v>29500</v>
      </c>
    </row>
    <row r="7513" spans="1:5">
      <c r="A7513" s="2" t="s">
        <v>1478</v>
      </c>
      <c r="B7513" s="2" t="str">
        <f>"9952638"</f>
        <v>9952638</v>
      </c>
      <c r="C7513" s="2" t="str">
        <f>"9952638"</f>
        <v>9952638</v>
      </c>
      <c r="D7513" s="2" t="s">
        <v>9363</v>
      </c>
      <c r="E7513" s="4">
        <v>16000</v>
      </c>
    </row>
    <row r="7514" spans="1:5">
      <c r="A7514" s="2" t="s">
        <v>1478</v>
      </c>
      <c r="B7514" s="2" t="s">
        <v>9364</v>
      </c>
      <c r="C7514" s="2" t="s">
        <v>9364</v>
      </c>
      <c r="D7514" s="2" t="s">
        <v>9365</v>
      </c>
      <c r="E7514" s="4">
        <v>97000</v>
      </c>
    </row>
    <row r="7515" spans="1:5">
      <c r="A7515" s="2" t="s">
        <v>1478</v>
      </c>
      <c r="B7515" s="2" t="str">
        <f>"211358-K"</f>
        <v>211358-K</v>
      </c>
      <c r="C7515" s="2" t="str">
        <f>"211358-K"</f>
        <v>211358-K</v>
      </c>
      <c r="D7515" s="2" t="s">
        <v>9366</v>
      </c>
      <c r="E7515" s="4">
        <v>115000</v>
      </c>
    </row>
    <row r="7516" spans="1:5">
      <c r="A7516" s="2" t="s">
        <v>1478</v>
      </c>
      <c r="B7516" s="2" t="str">
        <f>"9952614"</f>
        <v>9952614</v>
      </c>
      <c r="C7516" s="2" t="str">
        <f>"9952614"</f>
        <v>9952614</v>
      </c>
      <c r="D7516" s="2" t="s">
        <v>9367</v>
      </c>
      <c r="E7516" s="4">
        <v>79000</v>
      </c>
    </row>
    <row r="7517" spans="1:5">
      <c r="A7517" s="2" t="s">
        <v>1478</v>
      </c>
      <c r="B7517" s="2" t="str">
        <f>"5000000379651"</f>
        <v>5000000379651</v>
      </c>
      <c r="C7517" s="2" t="str">
        <f>"141520"</f>
        <v>141520</v>
      </c>
      <c r="D7517" s="2" t="s">
        <v>9368</v>
      </c>
      <c r="E7517" s="4">
        <v>39000</v>
      </c>
    </row>
    <row r="7518" spans="1:5">
      <c r="A7518" s="2" t="s">
        <v>1478</v>
      </c>
      <c r="B7518" s="2" t="str">
        <f>"9952610"</f>
        <v>9952610</v>
      </c>
      <c r="C7518" s="2" t="str">
        <f>"9952610"</f>
        <v>9952610</v>
      </c>
      <c r="D7518" s="2" t="s">
        <v>9369</v>
      </c>
      <c r="E7518" s="4">
        <v>28600</v>
      </c>
    </row>
    <row r="7519" spans="1:5">
      <c r="A7519" s="2" t="s">
        <v>1478</v>
      </c>
      <c r="B7519" s="2" t="str">
        <f>"9941675"</f>
        <v>9941675</v>
      </c>
      <c r="C7519" s="2" t="str">
        <f>"1642634311574"</f>
        <v>1642634311574</v>
      </c>
      <c r="D7519" s="2" t="s">
        <v>9370</v>
      </c>
      <c r="E7519" s="4">
        <v>38500</v>
      </c>
    </row>
    <row r="7520" spans="1:5">
      <c r="A7520" s="2" t="s">
        <v>1478</v>
      </c>
      <c r="B7520" s="2" t="str">
        <f>"0014134980"</f>
        <v>0014134980</v>
      </c>
      <c r="C7520" s="2" t="str">
        <f>"1413498-0"</f>
        <v>1413498-0</v>
      </c>
      <c r="D7520" s="2" t="s">
        <v>9371</v>
      </c>
      <c r="E7520" s="4">
        <v>28600</v>
      </c>
    </row>
    <row r="7521" spans="1:5">
      <c r="A7521" s="2" t="s">
        <v>1478</v>
      </c>
      <c r="B7521" s="2" t="str">
        <f>"0005315"</f>
        <v>0005315</v>
      </c>
      <c r="C7521" s="2" t="str">
        <f>"0005315"</f>
        <v>0005315</v>
      </c>
      <c r="D7521" s="2" t="s">
        <v>9372</v>
      </c>
      <c r="E7521" s="4">
        <v>45000</v>
      </c>
    </row>
    <row r="7522" spans="1:5">
      <c r="A7522" s="2" t="s">
        <v>1478</v>
      </c>
      <c r="B7522" s="2" t="str">
        <f>"9941681"</f>
        <v>9941681</v>
      </c>
      <c r="C7522" s="2" t="str">
        <f>"9941681"</f>
        <v>9941681</v>
      </c>
      <c r="D7522" s="2" t="s">
        <v>9373</v>
      </c>
      <c r="E7522" s="4">
        <v>19600</v>
      </c>
    </row>
    <row r="7523" spans="1:5">
      <c r="A7523" s="2" t="s">
        <v>1478</v>
      </c>
      <c r="B7523" s="2" t="str">
        <f>"1514915-9"</f>
        <v>1514915-9</v>
      </c>
      <c r="C7523" s="2" t="str">
        <f>"0005318"</f>
        <v>0005318</v>
      </c>
      <c r="D7523" s="2" t="s">
        <v>9374</v>
      </c>
      <c r="E7523" s="4">
        <v>25000</v>
      </c>
    </row>
    <row r="7524" spans="1:5">
      <c r="A7524" s="2" t="s">
        <v>1478</v>
      </c>
      <c r="B7524" s="2" t="str">
        <f>"1113006-2"</f>
        <v>1113006-2</v>
      </c>
      <c r="C7524" s="2" t="str">
        <f>"1113006-2"</f>
        <v>1113006-2</v>
      </c>
      <c r="D7524" s="2" t="s">
        <v>9375</v>
      </c>
      <c r="E7524" s="4">
        <v>25000</v>
      </c>
    </row>
    <row r="7525" spans="1:5">
      <c r="A7525" s="2" t="s">
        <v>1478</v>
      </c>
      <c r="B7525" s="2" t="str">
        <f>"0109687"</f>
        <v>0109687</v>
      </c>
      <c r="C7525" s="2" t="str">
        <f>"0109687"</f>
        <v>0109687</v>
      </c>
      <c r="D7525" s="2" t="s">
        <v>9376</v>
      </c>
      <c r="E7525" s="4">
        <v>43000</v>
      </c>
    </row>
    <row r="7526" spans="1:5">
      <c r="A7526" s="2" t="s">
        <v>1478</v>
      </c>
      <c r="B7526" s="2" t="s">
        <v>9377</v>
      </c>
      <c r="C7526" s="2" t="s">
        <v>9377</v>
      </c>
      <c r="D7526" s="2" t="s">
        <v>9378</v>
      </c>
      <c r="E7526" s="4">
        <v>48500</v>
      </c>
    </row>
    <row r="7527" spans="1:5">
      <c r="A7527" s="2" t="s">
        <v>1478</v>
      </c>
      <c r="B7527" s="2" t="str">
        <f>"1201009-5"</f>
        <v>1201009-5</v>
      </c>
      <c r="C7527" s="2" t="str">
        <f>"1201009-5"</f>
        <v>1201009-5</v>
      </c>
      <c r="D7527" s="2" t="s">
        <v>9379</v>
      </c>
      <c r="E7527" s="4">
        <v>18000</v>
      </c>
    </row>
    <row r="7528" spans="1:5">
      <c r="A7528" s="2" t="s">
        <v>1478</v>
      </c>
      <c r="B7528" s="2" t="s">
        <v>9380</v>
      </c>
      <c r="C7528" s="2" t="s">
        <v>9380</v>
      </c>
      <c r="D7528" s="2" t="s">
        <v>9381</v>
      </c>
      <c r="E7528" s="4">
        <v>97000</v>
      </c>
    </row>
    <row r="7529" spans="1:5">
      <c r="A7529" s="2" t="s">
        <v>1478</v>
      </c>
      <c r="B7529" s="2" t="str">
        <f>"0009673"</f>
        <v>0009673</v>
      </c>
      <c r="C7529" s="2" t="str">
        <f>"0009673"</f>
        <v>0009673</v>
      </c>
      <c r="D7529" s="2" t="s">
        <v>9382</v>
      </c>
      <c r="E7529" s="4">
        <v>59000</v>
      </c>
    </row>
    <row r="7530" spans="1:5">
      <c r="A7530" s="2" t="s">
        <v>1478</v>
      </c>
      <c r="B7530" s="2" t="str">
        <f>"9959180"</f>
        <v>9959180</v>
      </c>
      <c r="C7530" s="2" t="str">
        <f>"9959180"</f>
        <v>9959180</v>
      </c>
      <c r="D7530" s="2" t="s">
        <v>9383</v>
      </c>
      <c r="E7530" s="4">
        <v>151000</v>
      </c>
    </row>
    <row r="7531" spans="1:5">
      <c r="A7531" s="2" t="s">
        <v>1478</v>
      </c>
      <c r="B7531" s="2" t="str">
        <f>"1201000-1"</f>
        <v>1201000-1</v>
      </c>
      <c r="C7531" s="2" t="str">
        <f>"1201000-1"</f>
        <v>1201000-1</v>
      </c>
      <c r="D7531" s="2" t="s">
        <v>9384</v>
      </c>
      <c r="E7531" s="4">
        <v>39000</v>
      </c>
    </row>
    <row r="7532" spans="1:5">
      <c r="A7532" s="2" t="s">
        <v>1478</v>
      </c>
      <c r="B7532" s="2" t="s">
        <v>9385</v>
      </c>
      <c r="C7532" s="2" t="s">
        <v>9385</v>
      </c>
      <c r="D7532" s="2" t="s">
        <v>9386</v>
      </c>
      <c r="E7532" s="4">
        <v>115000</v>
      </c>
    </row>
    <row r="7533" spans="1:5">
      <c r="A7533" s="2" t="s">
        <v>1478</v>
      </c>
      <c r="B7533" s="2" t="str">
        <f>"070600330"</f>
        <v>070600330</v>
      </c>
      <c r="C7533" s="2" t="str">
        <f>"070600330"</f>
        <v>070600330</v>
      </c>
      <c r="D7533" s="2" t="s">
        <v>9387</v>
      </c>
      <c r="E7533" s="4">
        <v>43000</v>
      </c>
    </row>
    <row r="7534" spans="1:5">
      <c r="A7534" s="2" t="s">
        <v>1478</v>
      </c>
      <c r="B7534" s="2" t="str">
        <f>"9952619"</f>
        <v>9952619</v>
      </c>
      <c r="C7534" s="2" t="str">
        <f>"9952619"</f>
        <v>9952619</v>
      </c>
      <c r="D7534" s="2" t="s">
        <v>9388</v>
      </c>
      <c r="E7534" s="4">
        <v>21400</v>
      </c>
    </row>
    <row r="7535" spans="1:5">
      <c r="A7535" s="2" t="s">
        <v>1478</v>
      </c>
      <c r="B7535" s="2" t="str">
        <f>"12010036"</f>
        <v>12010036</v>
      </c>
      <c r="C7535" s="2" t="str">
        <f>"12010036"</f>
        <v>12010036</v>
      </c>
      <c r="D7535" s="2" t="s">
        <v>9389</v>
      </c>
      <c r="E7535" s="4">
        <v>29000</v>
      </c>
    </row>
    <row r="7536" spans="1:5">
      <c r="A7536" s="2" t="s">
        <v>1478</v>
      </c>
      <c r="B7536" s="2" t="s">
        <v>9390</v>
      </c>
      <c r="C7536" s="2" t="s">
        <v>9391</v>
      </c>
      <c r="D7536" s="2" t="s">
        <v>9392</v>
      </c>
      <c r="E7536" s="4">
        <v>261800</v>
      </c>
    </row>
    <row r="7537" spans="1:5">
      <c r="A7537" s="2" t="s">
        <v>1478</v>
      </c>
      <c r="B7537" s="2" t="str">
        <f>"1201021-4"</f>
        <v>1201021-4</v>
      </c>
      <c r="C7537" s="2" t="str">
        <f>"1201021-4"</f>
        <v>1201021-4</v>
      </c>
      <c r="D7537" s="2" t="s">
        <v>9393</v>
      </c>
      <c r="E7537" s="4">
        <v>18000</v>
      </c>
    </row>
    <row r="7538" spans="1:5">
      <c r="A7538" s="2" t="s">
        <v>1478</v>
      </c>
      <c r="B7538" s="2" t="str">
        <f>"9941553"</f>
        <v>9941553</v>
      </c>
      <c r="C7538" s="2" t="str">
        <f>"9941553"</f>
        <v>9941553</v>
      </c>
      <c r="D7538" s="2" t="s">
        <v>9394</v>
      </c>
      <c r="E7538" s="4">
        <v>19600</v>
      </c>
    </row>
    <row r="7539" spans="1:5">
      <c r="A7539" s="2" t="s">
        <v>1478</v>
      </c>
      <c r="B7539" s="2" t="str">
        <f>"0009670"</f>
        <v>0009670</v>
      </c>
      <c r="C7539" s="2" t="str">
        <f>"009670"</f>
        <v>009670</v>
      </c>
      <c r="D7539" s="2" t="s">
        <v>9395</v>
      </c>
      <c r="E7539" s="4">
        <v>59000</v>
      </c>
    </row>
    <row r="7540" spans="1:5">
      <c r="A7540" s="2" t="s">
        <v>1478</v>
      </c>
      <c r="B7540" s="2" t="s">
        <v>9396</v>
      </c>
      <c r="C7540" s="2" t="s">
        <v>9397</v>
      </c>
      <c r="D7540" s="2" t="s">
        <v>9398</v>
      </c>
      <c r="E7540" s="4">
        <v>319327</v>
      </c>
    </row>
    <row r="7541" spans="1:5">
      <c r="A7541" s="2" t="s">
        <v>1478</v>
      </c>
      <c r="B7541" s="2" t="str">
        <f>"7095976"</f>
        <v>7095976</v>
      </c>
      <c r="C7541" s="2" t="str">
        <f>"7095976"</f>
        <v>7095976</v>
      </c>
      <c r="D7541" s="2" t="s">
        <v>9399</v>
      </c>
      <c r="E7541" s="4">
        <v>270000</v>
      </c>
    </row>
    <row r="7542" spans="1:5">
      <c r="A7542" s="2" t="s">
        <v>1478</v>
      </c>
      <c r="B7542" s="2" t="str">
        <f>"0000218"</f>
        <v>0000218</v>
      </c>
      <c r="C7542" s="2" t="str">
        <f>"0000218"</f>
        <v>0000218</v>
      </c>
      <c r="D7542" s="2" t="s">
        <v>9400</v>
      </c>
      <c r="E7542" s="4">
        <v>97000</v>
      </c>
    </row>
    <row r="7543" spans="1:5">
      <c r="A7543" s="2" t="s">
        <v>1478</v>
      </c>
      <c r="B7543" s="2" t="str">
        <f>"0109707"</f>
        <v>0109707</v>
      </c>
      <c r="C7543" s="2" t="str">
        <f>"0109707"</f>
        <v>0109707</v>
      </c>
      <c r="D7543" s="2" t="s">
        <v>9401</v>
      </c>
      <c r="E7543" s="4">
        <v>54000</v>
      </c>
    </row>
    <row r="7544" spans="1:5">
      <c r="A7544" s="2" t="s">
        <v>1478</v>
      </c>
      <c r="B7544" s="2" t="str">
        <f>"020610064"</f>
        <v>020610064</v>
      </c>
      <c r="C7544" s="2" t="s">
        <v>9402</v>
      </c>
      <c r="D7544" s="2" t="s">
        <v>9403</v>
      </c>
      <c r="E7544" s="4">
        <v>52000</v>
      </c>
    </row>
    <row r="7545" spans="1:5">
      <c r="A7545" s="2" t="s">
        <v>1478</v>
      </c>
      <c r="B7545" s="2" t="str">
        <f>"170541"</f>
        <v>170541</v>
      </c>
      <c r="C7545" s="2" t="str">
        <f>"170541"</f>
        <v>170541</v>
      </c>
      <c r="D7545" s="2" t="s">
        <v>9404</v>
      </c>
      <c r="E7545" s="4">
        <v>45100</v>
      </c>
    </row>
    <row r="7546" spans="1:5">
      <c r="A7546" s="2" t="s">
        <v>1478</v>
      </c>
      <c r="B7546" s="2" t="str">
        <f>"010610208"</f>
        <v>010610208</v>
      </c>
      <c r="C7546" s="2" t="str">
        <f>"010610208"</f>
        <v>010610208</v>
      </c>
      <c r="D7546" s="2" t="s">
        <v>9405</v>
      </c>
      <c r="E7546" s="4">
        <v>79000</v>
      </c>
    </row>
    <row r="7547" spans="1:5">
      <c r="A7547" s="2" t="s">
        <v>1478</v>
      </c>
      <c r="B7547" s="2" t="str">
        <f>"9945767"</f>
        <v>9945767</v>
      </c>
      <c r="C7547" s="2" t="str">
        <f>"9945767"</f>
        <v>9945767</v>
      </c>
      <c r="D7547" s="2" t="s">
        <v>9406</v>
      </c>
      <c r="E7547" s="4">
        <v>89000</v>
      </c>
    </row>
    <row r="7548" spans="1:5">
      <c r="A7548" s="2" t="s">
        <v>1478</v>
      </c>
      <c r="B7548" s="2" t="s">
        <v>9407</v>
      </c>
      <c r="C7548" s="2" t="str">
        <f>"1474901219"</f>
        <v>1474901219</v>
      </c>
      <c r="D7548" s="2" t="s">
        <v>9408</v>
      </c>
      <c r="E7548" s="4">
        <v>225000</v>
      </c>
    </row>
    <row r="7549" spans="1:5">
      <c r="A7549" s="2" t="s">
        <v>1478</v>
      </c>
      <c r="B7549" s="2" t="s">
        <v>9409</v>
      </c>
      <c r="C7549" s="2" t="s">
        <v>9409</v>
      </c>
      <c r="D7549" s="2" t="s">
        <v>9410</v>
      </c>
      <c r="E7549" s="4">
        <v>115000</v>
      </c>
    </row>
    <row r="7550" spans="1:5">
      <c r="A7550" s="2" t="s">
        <v>1478</v>
      </c>
      <c r="B7550" s="2" t="str">
        <f>"090610035"</f>
        <v>090610035</v>
      </c>
      <c r="C7550" s="2" t="str">
        <f>"090610035"</f>
        <v>090610035</v>
      </c>
      <c r="D7550" s="2" t="s">
        <v>9411</v>
      </c>
      <c r="E7550" s="4">
        <v>170000</v>
      </c>
    </row>
    <row r="7551" spans="1:5" ht="27.6">
      <c r="A7551" s="2" t="s">
        <v>1478</v>
      </c>
      <c r="B7551" s="2" t="str">
        <f>"090610036"</f>
        <v>090610036</v>
      </c>
      <c r="C7551" s="2" t="str">
        <f>"090610036"</f>
        <v>090610036</v>
      </c>
      <c r="D7551" s="2" t="s">
        <v>9412</v>
      </c>
      <c r="E7551" s="4">
        <v>160000</v>
      </c>
    </row>
    <row r="7552" spans="1:5" ht="27.6">
      <c r="A7552" s="2" t="s">
        <v>1478</v>
      </c>
      <c r="B7552" s="2" t="str">
        <f>"9959156"</f>
        <v>9959156</v>
      </c>
      <c r="C7552" s="2" t="str">
        <f>"9959156"</f>
        <v>9959156</v>
      </c>
      <c r="D7552" s="2" t="s">
        <v>9413</v>
      </c>
      <c r="E7552" s="4">
        <v>196000</v>
      </c>
    </row>
    <row r="7553" spans="1:5">
      <c r="A7553" s="2" t="s">
        <v>1478</v>
      </c>
      <c r="B7553" s="2" t="str">
        <f>"0300790"</f>
        <v>0300790</v>
      </c>
      <c r="C7553" s="2" t="str">
        <f>"0300790"</f>
        <v>0300790</v>
      </c>
      <c r="D7553" s="2" t="s">
        <v>9414</v>
      </c>
      <c r="E7553" s="4">
        <v>250000</v>
      </c>
    </row>
    <row r="7554" spans="1:5">
      <c r="A7554" s="2" t="s">
        <v>1478</v>
      </c>
      <c r="B7554" s="2" t="str">
        <f>"0014811"</f>
        <v>0014811</v>
      </c>
      <c r="C7554" s="2" t="str">
        <f>"0014811"</f>
        <v>0014811</v>
      </c>
      <c r="D7554" s="2" t="s">
        <v>9415</v>
      </c>
      <c r="E7554" s="4">
        <v>134000</v>
      </c>
    </row>
    <row r="7555" spans="1:5">
      <c r="A7555" s="2" t="s">
        <v>1478</v>
      </c>
      <c r="B7555" s="2" t="str">
        <f>"0003103"</f>
        <v>0003103</v>
      </c>
      <c r="C7555" s="2" t="str">
        <f>"0003103"</f>
        <v>0003103</v>
      </c>
      <c r="D7555" s="2" t="s">
        <v>9416</v>
      </c>
      <c r="E7555" s="4">
        <v>89000</v>
      </c>
    </row>
    <row r="7556" spans="1:5">
      <c r="A7556" s="2" t="s">
        <v>1478</v>
      </c>
      <c r="B7556" s="2" t="s">
        <v>9417</v>
      </c>
      <c r="C7556" s="2" t="str">
        <f>"090610031 090610033"</f>
        <v>090610031 090610033</v>
      </c>
      <c r="D7556" s="2" t="s">
        <v>9418</v>
      </c>
      <c r="E7556" s="4">
        <v>34000</v>
      </c>
    </row>
    <row r="7557" spans="1:5">
      <c r="A7557" s="2" t="s">
        <v>1478</v>
      </c>
      <c r="B7557" s="2" t="str">
        <f>"411417-5"</f>
        <v>411417-5</v>
      </c>
      <c r="C7557" s="2" t="str">
        <f>"411417-5"</f>
        <v>411417-5</v>
      </c>
      <c r="D7557" s="2" t="s">
        <v>9419</v>
      </c>
      <c r="E7557" s="4">
        <v>43000</v>
      </c>
    </row>
    <row r="7558" spans="1:5">
      <c r="A7558" s="2" t="s">
        <v>1478</v>
      </c>
      <c r="B7558" s="2" t="str">
        <f>"0007470"</f>
        <v>0007470</v>
      </c>
      <c r="C7558" s="2" t="str">
        <f>"0007470"</f>
        <v>0007470</v>
      </c>
      <c r="D7558" s="2" t="s">
        <v>9420</v>
      </c>
      <c r="E7558" s="4">
        <v>139000</v>
      </c>
    </row>
    <row r="7559" spans="1:5">
      <c r="A7559" s="2" t="s">
        <v>1478</v>
      </c>
      <c r="B7559" s="2" t="str">
        <f>"1713411-6"</f>
        <v>1713411-6</v>
      </c>
      <c r="C7559" s="2" t="str">
        <f>"1713411-6"</f>
        <v>1713411-6</v>
      </c>
      <c r="D7559" s="2" t="s">
        <v>9421</v>
      </c>
      <c r="E7559" s="4">
        <v>25000</v>
      </c>
    </row>
    <row r="7560" spans="1:5">
      <c r="A7560" s="2" t="s">
        <v>1478</v>
      </c>
      <c r="B7560" s="2" t="str">
        <f>"141236"</f>
        <v>141236</v>
      </c>
      <c r="C7560" s="2" t="str">
        <f>"141236"</f>
        <v>141236</v>
      </c>
      <c r="D7560" s="2" t="s">
        <v>9422</v>
      </c>
      <c r="E7560" s="4">
        <v>34000</v>
      </c>
    </row>
    <row r="7561" spans="1:5">
      <c r="A7561" s="2" t="s">
        <v>1478</v>
      </c>
      <c r="B7561" s="2" t="s">
        <v>9423</v>
      </c>
      <c r="C7561" s="2" t="s">
        <v>9423</v>
      </c>
      <c r="D7561" s="2" t="s">
        <v>9424</v>
      </c>
      <c r="E7561" s="4">
        <v>42000</v>
      </c>
    </row>
    <row r="7562" spans="1:5">
      <c r="A7562" s="2" t="s">
        <v>1478</v>
      </c>
      <c r="B7562" s="2" t="str">
        <f>"7091920"</f>
        <v>7091920</v>
      </c>
      <c r="C7562" s="2" t="str">
        <f>"7091920"</f>
        <v>7091920</v>
      </c>
      <c r="D7562" s="2" t="s">
        <v>9425</v>
      </c>
      <c r="E7562" s="4">
        <v>115000</v>
      </c>
    </row>
    <row r="7563" spans="1:5">
      <c r="A7563" s="2" t="s">
        <v>1478</v>
      </c>
      <c r="B7563" s="2" t="str">
        <f>"913706-8"</f>
        <v>913706-8</v>
      </c>
      <c r="C7563" s="2" t="str">
        <f>"913706-8"</f>
        <v>913706-8</v>
      </c>
      <c r="D7563" s="2" t="s">
        <v>9426</v>
      </c>
      <c r="E7563" s="4">
        <v>39000</v>
      </c>
    </row>
    <row r="7564" spans="1:5">
      <c r="A7564" s="2" t="s">
        <v>1478</v>
      </c>
      <c r="B7564" s="2" t="str">
        <f>"1613117-2"</f>
        <v>1613117-2</v>
      </c>
      <c r="C7564" s="2" t="str">
        <f>"1613117-2"</f>
        <v>1613117-2</v>
      </c>
      <c r="D7564" s="2" t="s">
        <v>9427</v>
      </c>
      <c r="E7564" s="4">
        <v>160000</v>
      </c>
    </row>
    <row r="7565" spans="1:5">
      <c r="A7565" s="2" t="s">
        <v>1478</v>
      </c>
      <c r="B7565" s="2" t="str">
        <f>"0011130178"</f>
        <v>0011130178</v>
      </c>
      <c r="C7565" s="2" t="str">
        <f>"0011130178"</f>
        <v>0011130178</v>
      </c>
      <c r="D7565" s="2" t="s">
        <v>9428</v>
      </c>
      <c r="E7565" s="4">
        <v>43000</v>
      </c>
    </row>
    <row r="7566" spans="1:5">
      <c r="A7566" s="2" t="s">
        <v>1478</v>
      </c>
      <c r="B7566" s="2" t="str">
        <f>"123321"</f>
        <v>123321</v>
      </c>
      <c r="C7566" s="2" t="str">
        <f>"123321"</f>
        <v>123321</v>
      </c>
      <c r="D7566" s="2" t="s">
        <v>9429</v>
      </c>
      <c r="E7566" s="4">
        <v>185000</v>
      </c>
    </row>
    <row r="7567" spans="1:5">
      <c r="A7567" s="2" t="s">
        <v>1478</v>
      </c>
      <c r="B7567" s="2" t="str">
        <f>"9959187"</f>
        <v>9959187</v>
      </c>
      <c r="C7567" s="2" t="str">
        <f>"9959187"</f>
        <v>9959187</v>
      </c>
      <c r="D7567" s="2" t="s">
        <v>9430</v>
      </c>
      <c r="E7567" s="4">
        <v>52000</v>
      </c>
    </row>
    <row r="7568" spans="1:5">
      <c r="A7568" s="2" t="s">
        <v>296</v>
      </c>
      <c r="B7568" s="2" t="str">
        <f>"1522315"</f>
        <v>1522315</v>
      </c>
      <c r="C7568" s="2" t="str">
        <f>"140076"</f>
        <v>140076</v>
      </c>
      <c r="D7568" s="2" t="s">
        <v>9431</v>
      </c>
      <c r="E7568" s="4">
        <v>48400</v>
      </c>
    </row>
    <row r="7569" spans="1:5">
      <c r="A7569" s="2" t="s">
        <v>296</v>
      </c>
      <c r="B7569" s="2" t="str">
        <f>"140082"</f>
        <v>140082</v>
      </c>
      <c r="C7569" s="2" t="str">
        <f>"140082"</f>
        <v>140082</v>
      </c>
      <c r="D7569" s="2" t="s">
        <v>9432</v>
      </c>
      <c r="E7569" s="4">
        <v>16400</v>
      </c>
    </row>
    <row r="7570" spans="1:5">
      <c r="A7570" s="2" t="s">
        <v>296</v>
      </c>
      <c r="B7570" s="2" t="str">
        <f>"1125059-9"</f>
        <v>1125059-9</v>
      </c>
      <c r="C7570" s="2" t="str">
        <f>"1125059-9"</f>
        <v>1125059-9</v>
      </c>
      <c r="D7570" s="2" t="s">
        <v>9433</v>
      </c>
      <c r="E7570" s="4">
        <v>59000</v>
      </c>
    </row>
    <row r="7571" spans="1:5">
      <c r="A7571" s="2" t="s">
        <v>296</v>
      </c>
      <c r="B7571" s="2" t="str">
        <f>"070027"</f>
        <v>070027</v>
      </c>
      <c r="C7571" s="2" t="str">
        <f>"070027"</f>
        <v>070027</v>
      </c>
      <c r="D7571" s="2" t="s">
        <v>9434</v>
      </c>
      <c r="E7571" s="4">
        <v>105000</v>
      </c>
    </row>
    <row r="7572" spans="1:5">
      <c r="A7572" s="2" t="s">
        <v>296</v>
      </c>
      <c r="B7572" s="2" t="str">
        <f>"260038"</f>
        <v>260038</v>
      </c>
      <c r="C7572" s="2" t="str">
        <f>"260038"</f>
        <v>260038</v>
      </c>
      <c r="D7572" s="2" t="s">
        <v>9435</v>
      </c>
      <c r="E7572" s="4">
        <v>59500</v>
      </c>
    </row>
    <row r="7573" spans="1:5">
      <c r="A7573" s="2" t="s">
        <v>296</v>
      </c>
      <c r="B7573" s="2" t="str">
        <f>"000402718-3"</f>
        <v>000402718-3</v>
      </c>
      <c r="C7573" s="2" t="str">
        <f>"402718-3"</f>
        <v>402718-3</v>
      </c>
      <c r="D7573" s="2" t="s">
        <v>9436</v>
      </c>
      <c r="E7573" s="4">
        <v>61000</v>
      </c>
    </row>
    <row r="7574" spans="1:5">
      <c r="A7574" s="2" t="s">
        <v>296</v>
      </c>
      <c r="B7574" s="2" t="str">
        <f>"225015"</f>
        <v>225015</v>
      </c>
      <c r="C7574" s="2" t="str">
        <f>"225015"</f>
        <v>225015</v>
      </c>
      <c r="D7574" s="2" t="s">
        <v>9437</v>
      </c>
      <c r="E7574" s="4">
        <v>115000</v>
      </c>
    </row>
    <row r="7575" spans="1:5">
      <c r="A7575" s="2" t="s">
        <v>296</v>
      </c>
      <c r="B7575" s="2" t="s">
        <v>9438</v>
      </c>
      <c r="C7575" s="2" t="s">
        <v>9438</v>
      </c>
      <c r="D7575" s="2" t="s">
        <v>9439</v>
      </c>
      <c r="E7575" s="4">
        <v>72000</v>
      </c>
    </row>
    <row r="7576" spans="1:5">
      <c r="A7576" s="2" t="s">
        <v>296</v>
      </c>
      <c r="B7576" s="2" t="str">
        <f>"260062"</f>
        <v>260062</v>
      </c>
      <c r="C7576" s="2" t="str">
        <f>"260062"</f>
        <v>260062</v>
      </c>
      <c r="D7576" s="2" t="s">
        <v>9440</v>
      </c>
      <c r="E7576" s="4">
        <v>55000</v>
      </c>
    </row>
    <row r="7577" spans="1:5">
      <c r="A7577" s="2" t="s">
        <v>296</v>
      </c>
      <c r="B7577" s="2" t="str">
        <f>"260065"</f>
        <v>260065</v>
      </c>
      <c r="C7577" s="2" t="str">
        <f>"260065"</f>
        <v>260065</v>
      </c>
      <c r="D7577" s="2" t="s">
        <v>9441</v>
      </c>
      <c r="E7577" s="4">
        <v>110000</v>
      </c>
    </row>
    <row r="7578" spans="1:5">
      <c r="A7578" s="2" t="s">
        <v>296</v>
      </c>
      <c r="B7578" s="2" t="str">
        <f>"1325033-2"</f>
        <v>1325033-2</v>
      </c>
      <c r="C7578" s="2" t="str">
        <f>"1325033-2"</f>
        <v>1325033-2</v>
      </c>
      <c r="D7578" s="2" t="s">
        <v>9442</v>
      </c>
      <c r="E7578" s="4">
        <v>49000</v>
      </c>
    </row>
    <row r="7579" spans="1:5">
      <c r="A7579" s="2" t="s">
        <v>296</v>
      </c>
      <c r="B7579" s="2" t="str">
        <f>"090090016"</f>
        <v>090090016</v>
      </c>
      <c r="C7579" s="2" t="str">
        <f>"090090016"</f>
        <v>090090016</v>
      </c>
      <c r="D7579" s="2" t="s">
        <v>9443</v>
      </c>
      <c r="E7579" s="4">
        <v>82000</v>
      </c>
    </row>
    <row r="7580" spans="1:5">
      <c r="A7580" s="2" t="s">
        <v>296</v>
      </c>
      <c r="B7580" s="2" t="str">
        <f>"0860-026"</f>
        <v>0860-026</v>
      </c>
      <c r="C7580" s="2" t="str">
        <f>"0860-026"</f>
        <v>0860-026</v>
      </c>
      <c r="D7580" s="2" t="s">
        <v>9444</v>
      </c>
      <c r="E7580" s="4">
        <v>430000</v>
      </c>
    </row>
    <row r="7581" spans="1:5">
      <c r="A7581" s="2" t="s">
        <v>296</v>
      </c>
      <c r="B7581" s="2" t="str">
        <f>"162375"</f>
        <v>162375</v>
      </c>
      <c r="C7581" s="2" t="str">
        <f>"162375"</f>
        <v>162375</v>
      </c>
      <c r="D7581" s="2" t="s">
        <v>9445</v>
      </c>
      <c r="E7581" s="4">
        <v>69000</v>
      </c>
    </row>
    <row r="7582" spans="1:5">
      <c r="A7582" s="2" t="s">
        <v>296</v>
      </c>
      <c r="B7582" s="2" t="str">
        <f>"1425138-3"</f>
        <v>1425138-3</v>
      </c>
      <c r="C7582" s="2" t="str">
        <f>"1643305636341"</f>
        <v>1643305636341</v>
      </c>
      <c r="D7582" s="2" t="s">
        <v>9446</v>
      </c>
      <c r="E7582" s="4">
        <v>89000</v>
      </c>
    </row>
    <row r="7583" spans="1:5">
      <c r="A7583" s="2" t="s">
        <v>296</v>
      </c>
      <c r="B7583" s="2" t="str">
        <f>"0027175"</f>
        <v>0027175</v>
      </c>
      <c r="C7583" s="2" t="str">
        <f>"0027175"</f>
        <v>0027175</v>
      </c>
      <c r="D7583" s="2" t="s">
        <v>9447</v>
      </c>
      <c r="E7583" s="4">
        <v>65000</v>
      </c>
    </row>
    <row r="7584" spans="1:5">
      <c r="A7584" s="2" t="s">
        <v>296</v>
      </c>
      <c r="B7584" s="2" t="str">
        <f>"1522310-3"</f>
        <v>1522310-3</v>
      </c>
      <c r="C7584" s="2" t="str">
        <f>"1522310-3"</f>
        <v>1522310-3</v>
      </c>
      <c r="D7584" s="2" t="s">
        <v>9448</v>
      </c>
      <c r="E7584" s="4">
        <v>95000</v>
      </c>
    </row>
    <row r="7585" spans="1:5">
      <c r="A7585" s="2" t="s">
        <v>296</v>
      </c>
      <c r="B7585" s="2" t="str">
        <f>"1422066-6"</f>
        <v>1422066-6</v>
      </c>
      <c r="C7585" s="2" t="str">
        <f>"141260"</f>
        <v>141260</v>
      </c>
      <c r="D7585" s="2" t="s">
        <v>9449</v>
      </c>
      <c r="E7585" s="4">
        <v>68000</v>
      </c>
    </row>
    <row r="7586" spans="1:5">
      <c r="A7586" s="2" t="s">
        <v>296</v>
      </c>
      <c r="B7586" s="2" t="str">
        <f>"1425046-8"</f>
        <v>1425046-8</v>
      </c>
      <c r="C7586" s="2" t="str">
        <f>"1425046-8"</f>
        <v>1425046-8</v>
      </c>
      <c r="D7586" s="2" t="s">
        <v>9450</v>
      </c>
      <c r="E7586" s="4">
        <v>61000</v>
      </c>
    </row>
    <row r="7587" spans="1:5">
      <c r="A7587" s="2" t="s">
        <v>296</v>
      </c>
      <c r="B7587" s="2" t="str">
        <f>"001422066-6"</f>
        <v>001422066-6</v>
      </c>
      <c r="C7587" s="2" t="str">
        <f>"001422066-6"</f>
        <v>001422066-6</v>
      </c>
      <c r="D7587" s="2" t="s">
        <v>9451</v>
      </c>
      <c r="E7587" s="4">
        <v>79000</v>
      </c>
    </row>
    <row r="7588" spans="1:5">
      <c r="A7588" s="2" t="s">
        <v>296</v>
      </c>
      <c r="B7588" s="2" t="str">
        <f>"3011476"</f>
        <v>3011476</v>
      </c>
      <c r="C7588" s="2" t="str">
        <f>"3011476"</f>
        <v>3011476</v>
      </c>
      <c r="D7588" s="2" t="s">
        <v>9452</v>
      </c>
      <c r="E7588" s="4">
        <v>68000</v>
      </c>
    </row>
    <row r="7589" spans="1:5">
      <c r="A7589" s="2" t="s">
        <v>296</v>
      </c>
      <c r="B7589" s="2" t="str">
        <f>"1500473"</f>
        <v>1500473</v>
      </c>
      <c r="C7589" s="2" t="str">
        <f>"1500473"</f>
        <v>1500473</v>
      </c>
      <c r="D7589" s="2" t="s">
        <v>9453</v>
      </c>
      <c r="E7589" s="4">
        <v>65000</v>
      </c>
    </row>
    <row r="7590" spans="1:5">
      <c r="A7590" s="2" t="s">
        <v>296</v>
      </c>
      <c r="B7590" s="2" t="str">
        <f>"1122104-1"</f>
        <v>1122104-1</v>
      </c>
      <c r="C7590" s="2" t="str">
        <f>"1122104-1"</f>
        <v>1122104-1</v>
      </c>
      <c r="D7590" s="2" t="s">
        <v>9454</v>
      </c>
      <c r="E7590" s="4">
        <v>48000</v>
      </c>
    </row>
    <row r="7591" spans="1:5">
      <c r="A7591" s="2" t="s">
        <v>296</v>
      </c>
      <c r="B7591" s="2" t="str">
        <f>"1219070"</f>
        <v>1219070</v>
      </c>
      <c r="C7591" s="2" t="str">
        <f>"1219070"</f>
        <v>1219070</v>
      </c>
      <c r="D7591" s="2" t="s">
        <v>9455</v>
      </c>
      <c r="E7591" s="4">
        <v>68200</v>
      </c>
    </row>
    <row r="7592" spans="1:5">
      <c r="A7592" s="2" t="s">
        <v>296</v>
      </c>
      <c r="B7592" s="2" t="str">
        <f>"1522313-8"</f>
        <v>1522313-8</v>
      </c>
      <c r="C7592" s="2" t="str">
        <f>"1522313-8"</f>
        <v>1522313-8</v>
      </c>
      <c r="D7592" s="2" t="s">
        <v>9456</v>
      </c>
      <c r="E7592" s="4">
        <v>59000</v>
      </c>
    </row>
    <row r="7593" spans="1:5">
      <c r="A7593" s="2" t="s">
        <v>296</v>
      </c>
      <c r="B7593" s="2" t="str">
        <f>"141296"</f>
        <v>141296</v>
      </c>
      <c r="C7593" s="2" t="str">
        <f>"141296"</f>
        <v>141296</v>
      </c>
      <c r="D7593" s="2" t="s">
        <v>9457</v>
      </c>
      <c r="E7593" s="4">
        <v>75000</v>
      </c>
    </row>
    <row r="7594" spans="1:5">
      <c r="A7594" s="2" t="s">
        <v>296</v>
      </c>
      <c r="B7594" s="2" t="str">
        <f>"1522312-K"</f>
        <v>1522312-K</v>
      </c>
      <c r="C7594" s="2" t="str">
        <f>"1522312-K"</f>
        <v>1522312-K</v>
      </c>
      <c r="D7594" s="2" t="s">
        <v>9458</v>
      </c>
      <c r="E7594" s="4">
        <v>48400</v>
      </c>
    </row>
    <row r="7595" spans="1:5">
      <c r="A7595" s="2" t="s">
        <v>296</v>
      </c>
      <c r="B7595" s="2" t="str">
        <f>"1219170"</f>
        <v>1219170</v>
      </c>
      <c r="C7595" s="2" t="str">
        <f>"1219170"</f>
        <v>1219170</v>
      </c>
      <c r="D7595" s="2" t="s">
        <v>9459</v>
      </c>
      <c r="E7595" s="4">
        <v>75000</v>
      </c>
    </row>
    <row r="7596" spans="1:5">
      <c r="A7596" s="2" t="s">
        <v>2076</v>
      </c>
      <c r="B7596" s="2" t="str">
        <f>"0001522308-1"</f>
        <v>0001522308-1</v>
      </c>
      <c r="C7596" s="2" t="str">
        <f>"1522308-1"</f>
        <v>1522308-1</v>
      </c>
      <c r="D7596" s="2" t="s">
        <v>9460</v>
      </c>
      <c r="E7596" s="4">
        <v>59000</v>
      </c>
    </row>
    <row r="7597" spans="1:5">
      <c r="A7597" s="2" t="s">
        <v>2076</v>
      </c>
      <c r="B7597" s="2" t="str">
        <f>"001522314"</f>
        <v>001522314</v>
      </c>
      <c r="C7597" s="2" t="str">
        <f>"001522314"</f>
        <v>001522314</v>
      </c>
      <c r="D7597" s="2" t="s">
        <v>9461</v>
      </c>
      <c r="E7597" s="4">
        <v>48400</v>
      </c>
    </row>
    <row r="7598" spans="1:5">
      <c r="A7598" s="2" t="s">
        <v>296</v>
      </c>
      <c r="B7598" s="2" t="s">
        <v>9462</v>
      </c>
      <c r="C7598" s="2" t="s">
        <v>9462</v>
      </c>
      <c r="D7598" s="2" t="s">
        <v>9463</v>
      </c>
      <c r="E7598" s="4">
        <v>230000</v>
      </c>
    </row>
    <row r="7599" spans="1:5">
      <c r="A7599" s="2" t="s">
        <v>296</v>
      </c>
      <c r="B7599" s="2" t="s">
        <v>9464</v>
      </c>
      <c r="C7599" s="2" t="s">
        <v>9465</v>
      </c>
      <c r="D7599" s="2" t="s">
        <v>9466</v>
      </c>
      <c r="E7599" s="4">
        <v>164000</v>
      </c>
    </row>
    <row r="7600" spans="1:5">
      <c r="A7600" s="2" t="s">
        <v>296</v>
      </c>
      <c r="B7600" s="2" t="s">
        <v>9467</v>
      </c>
      <c r="C7600" s="2" t="s">
        <v>9467</v>
      </c>
      <c r="D7600" s="2" t="s">
        <v>9468</v>
      </c>
      <c r="E7600" s="4">
        <v>97000</v>
      </c>
    </row>
    <row r="7601" spans="1:5">
      <c r="A7601" s="2" t="s">
        <v>296</v>
      </c>
      <c r="B7601" s="2" t="s">
        <v>9469</v>
      </c>
      <c r="C7601" s="2" t="s">
        <v>9469</v>
      </c>
      <c r="D7601" s="2" t="s">
        <v>9470</v>
      </c>
      <c r="E7601" s="4">
        <v>286000</v>
      </c>
    </row>
    <row r="7602" spans="1:5">
      <c r="A7602" s="2" t="s">
        <v>296</v>
      </c>
      <c r="B7602" s="2" t="str">
        <f>"1112115-2"</f>
        <v>1112115-2</v>
      </c>
      <c r="C7602" s="2" t="str">
        <f>"1112115-2"</f>
        <v>1112115-2</v>
      </c>
      <c r="D7602" s="2" t="s">
        <v>9471</v>
      </c>
      <c r="E7602" s="4">
        <v>41200</v>
      </c>
    </row>
    <row r="7603" spans="1:5">
      <c r="A7603" s="2" t="s">
        <v>2076</v>
      </c>
      <c r="B7603" s="2" t="str">
        <f>"1125004-1"</f>
        <v>1125004-1</v>
      </c>
      <c r="C7603" s="2" t="str">
        <f>"1125004-1"</f>
        <v>1125004-1</v>
      </c>
      <c r="D7603" s="2" t="s">
        <v>9472</v>
      </c>
      <c r="E7603" s="4">
        <v>65000</v>
      </c>
    </row>
    <row r="7604" spans="1:5" ht="27.6">
      <c r="A7604" s="2" t="s">
        <v>296</v>
      </c>
      <c r="B7604" s="2" t="s">
        <v>9473</v>
      </c>
      <c r="C7604" s="2" t="str">
        <f>"001122014-2"</f>
        <v>001122014-2</v>
      </c>
      <c r="D7604" s="2" t="s">
        <v>9474</v>
      </c>
      <c r="E7604" s="4">
        <v>79000</v>
      </c>
    </row>
    <row r="7605" spans="1:5">
      <c r="A7605" s="2" t="s">
        <v>2076</v>
      </c>
      <c r="B7605" s="2" t="str">
        <f>"162549"</f>
        <v>162549</v>
      </c>
      <c r="C7605" s="2" t="str">
        <f>"1125007-6 0013633"</f>
        <v>1125007-6 0013633</v>
      </c>
      <c r="D7605" s="2" t="s">
        <v>9475</v>
      </c>
      <c r="E7605" s="4">
        <v>68200</v>
      </c>
    </row>
    <row r="7606" spans="1:5">
      <c r="A7606" s="2" t="s">
        <v>296</v>
      </c>
      <c r="B7606" s="2" t="str">
        <f>"1601001"</f>
        <v>1601001</v>
      </c>
      <c r="C7606" s="2" t="str">
        <f>"1601001"</f>
        <v>1601001</v>
      </c>
      <c r="D7606" s="2" t="s">
        <v>9476</v>
      </c>
      <c r="E7606" s="4">
        <v>65000</v>
      </c>
    </row>
    <row r="7607" spans="1:5">
      <c r="A7607" s="2" t="s">
        <v>296</v>
      </c>
      <c r="B7607" s="2" t="s">
        <v>9477</v>
      </c>
      <c r="C7607" s="2" t="s">
        <v>9478</v>
      </c>
      <c r="D7607" s="2" t="s">
        <v>9479</v>
      </c>
      <c r="E7607" s="4">
        <v>69000</v>
      </c>
    </row>
    <row r="7608" spans="1:5">
      <c r="A7608" s="2" t="s">
        <v>296</v>
      </c>
      <c r="B7608" s="2" t="str">
        <f>"0014970"</f>
        <v>0014970</v>
      </c>
      <c r="C7608" s="2" t="str">
        <f>"0014970"</f>
        <v>0014970</v>
      </c>
      <c r="D7608" s="2" t="s">
        <v>9480</v>
      </c>
      <c r="E7608" s="4">
        <v>43000</v>
      </c>
    </row>
    <row r="7609" spans="1:5">
      <c r="A7609" s="2" t="s">
        <v>296</v>
      </c>
      <c r="B7609" s="2" t="s">
        <v>9481</v>
      </c>
      <c r="C7609" s="2" t="s">
        <v>9481</v>
      </c>
      <c r="D7609" s="2" t="s">
        <v>9482</v>
      </c>
      <c r="E7609" s="4">
        <v>79000</v>
      </c>
    </row>
    <row r="7610" spans="1:5">
      <c r="A7610" s="2" t="s">
        <v>296</v>
      </c>
      <c r="B7610" s="2" t="str">
        <f>"009618"</f>
        <v>009618</v>
      </c>
      <c r="C7610" s="2" t="str">
        <f>"009618"</f>
        <v>009618</v>
      </c>
      <c r="D7610" s="2" t="s">
        <v>9483</v>
      </c>
      <c r="E7610" s="4">
        <v>75000</v>
      </c>
    </row>
    <row r="7611" spans="1:5">
      <c r="A7611" s="2" t="s">
        <v>2076</v>
      </c>
      <c r="B7611" s="2" t="str">
        <f>"001425048-4"</f>
        <v>001425048-4</v>
      </c>
      <c r="C7611" s="2" t="str">
        <f>"1425048-4"</f>
        <v>1425048-4</v>
      </c>
      <c r="D7611" s="2" t="s">
        <v>9484</v>
      </c>
      <c r="E7611" s="4">
        <v>125000</v>
      </c>
    </row>
    <row r="7612" spans="1:5">
      <c r="A7612" s="2" t="s">
        <v>296</v>
      </c>
      <c r="B7612" s="2" t="s">
        <v>9485</v>
      </c>
      <c r="C7612" s="2" t="s">
        <v>9486</v>
      </c>
      <c r="D7612" s="2" t="s">
        <v>9487</v>
      </c>
      <c r="E7612" s="4">
        <v>680000</v>
      </c>
    </row>
    <row r="7613" spans="1:5">
      <c r="A7613" s="2" t="s">
        <v>296</v>
      </c>
      <c r="B7613" s="2" t="str">
        <f>"1220941"</f>
        <v>1220941</v>
      </c>
      <c r="C7613" s="2" t="str">
        <f>"1220941"</f>
        <v>1220941</v>
      </c>
      <c r="D7613" s="2" t="s">
        <v>9488</v>
      </c>
      <c r="E7613" s="4">
        <v>151000</v>
      </c>
    </row>
    <row r="7614" spans="1:5">
      <c r="A7614" s="2" t="s">
        <v>296</v>
      </c>
      <c r="B7614" s="2" t="str">
        <f>"1221050"</f>
        <v>1221050</v>
      </c>
      <c r="C7614" s="2" t="str">
        <f>"1221050"</f>
        <v>1221050</v>
      </c>
      <c r="D7614" s="2" t="s">
        <v>9489</v>
      </c>
      <c r="E7614" s="4">
        <v>196000</v>
      </c>
    </row>
    <row r="7615" spans="1:5">
      <c r="A7615" s="2" t="s">
        <v>296</v>
      </c>
      <c r="B7615" s="2" t="str">
        <f>"1425118-9"</f>
        <v>1425118-9</v>
      </c>
      <c r="C7615" s="2" t="str">
        <f>"1425118-9"</f>
        <v>1425118-9</v>
      </c>
      <c r="D7615" s="2" t="s">
        <v>9490</v>
      </c>
      <c r="E7615" s="4">
        <v>95000</v>
      </c>
    </row>
    <row r="7616" spans="1:5">
      <c r="A7616" s="2" t="s">
        <v>296</v>
      </c>
      <c r="B7616" s="2" t="s">
        <v>9491</v>
      </c>
      <c r="C7616" s="2" t="s">
        <v>9491</v>
      </c>
      <c r="D7616" s="2" t="s">
        <v>9492</v>
      </c>
      <c r="E7616" s="4">
        <v>61000</v>
      </c>
    </row>
    <row r="7617" spans="1:5">
      <c r="A7617" s="2" t="s">
        <v>296</v>
      </c>
      <c r="B7617" s="2" t="str">
        <f>"0011476"</f>
        <v>0011476</v>
      </c>
      <c r="C7617" s="2" t="str">
        <f>"0011476"</f>
        <v>0011476</v>
      </c>
      <c r="D7617" s="2" t="s">
        <v>9493</v>
      </c>
      <c r="E7617" s="4">
        <v>65000</v>
      </c>
    </row>
    <row r="7618" spans="1:5">
      <c r="A7618" s="2" t="s">
        <v>296</v>
      </c>
      <c r="B7618" s="2" t="str">
        <f>"001423555-8"</f>
        <v>001423555-8</v>
      </c>
      <c r="C7618" s="2" t="str">
        <f>"001423555-8"</f>
        <v>001423555-8</v>
      </c>
      <c r="D7618" s="2" t="s">
        <v>9494</v>
      </c>
      <c r="E7618" s="4">
        <v>88000</v>
      </c>
    </row>
    <row r="7619" spans="1:5">
      <c r="A7619" s="2" t="s">
        <v>296</v>
      </c>
      <c r="B7619" s="2" t="str">
        <f>"010310550"</f>
        <v>010310550</v>
      </c>
      <c r="C7619" s="2" t="str">
        <f>"010310550"</f>
        <v>010310550</v>
      </c>
      <c r="D7619" s="2" t="s">
        <v>9495</v>
      </c>
      <c r="E7619" s="4">
        <v>65000</v>
      </c>
    </row>
    <row r="7620" spans="1:5">
      <c r="A7620" s="2" t="s">
        <v>296</v>
      </c>
      <c r="B7620" s="2" t="str">
        <f>"001423556-6"</f>
        <v>001423556-6</v>
      </c>
      <c r="C7620" s="2" t="str">
        <f>"001423556-6"</f>
        <v>001423556-6</v>
      </c>
      <c r="D7620" s="2" t="s">
        <v>9496</v>
      </c>
      <c r="E7620" s="4">
        <v>70000</v>
      </c>
    </row>
    <row r="7621" spans="1:5">
      <c r="A7621" s="2" t="s">
        <v>296</v>
      </c>
      <c r="B7621" s="2" t="str">
        <f>"2011476"</f>
        <v>2011476</v>
      </c>
      <c r="C7621" s="2" t="str">
        <f>"1423555-8"</f>
        <v>1423555-8</v>
      </c>
      <c r="D7621" s="2" t="s">
        <v>9497</v>
      </c>
      <c r="E7621" s="4">
        <v>85000</v>
      </c>
    </row>
    <row r="7622" spans="1:5">
      <c r="A7622" s="2" t="s">
        <v>296</v>
      </c>
      <c r="B7622" s="2" t="str">
        <f>"001425118-9"</f>
        <v>001425118-9</v>
      </c>
      <c r="C7622" s="2" t="str">
        <f>"001425118-9"</f>
        <v>001425118-9</v>
      </c>
      <c r="D7622" s="2" t="s">
        <v>9498</v>
      </c>
      <c r="E7622" s="4">
        <v>95000</v>
      </c>
    </row>
    <row r="7623" spans="1:5">
      <c r="A7623" s="2" t="s">
        <v>296</v>
      </c>
      <c r="B7623" s="2" t="str">
        <f>"001425119-7"</f>
        <v>001425119-7</v>
      </c>
      <c r="C7623" s="2" t="str">
        <f>"1425119-7"</f>
        <v>1425119-7</v>
      </c>
      <c r="D7623" s="2" t="s">
        <v>9499</v>
      </c>
      <c r="E7623" s="4">
        <v>88000</v>
      </c>
    </row>
    <row r="7624" spans="1:5">
      <c r="A7624" s="2" t="s">
        <v>296</v>
      </c>
      <c r="B7624" s="2" t="str">
        <f>"9954095"</f>
        <v>9954095</v>
      </c>
      <c r="C7624" s="2" t="str">
        <f>"9954095"</f>
        <v>9954095</v>
      </c>
      <c r="D7624" s="2" t="s">
        <v>9500</v>
      </c>
      <c r="E7624" s="4">
        <v>79000</v>
      </c>
    </row>
    <row r="7625" spans="1:5">
      <c r="A7625" s="2" t="s">
        <v>296</v>
      </c>
      <c r="B7625" s="2" t="s">
        <v>9501</v>
      </c>
      <c r="C7625" s="2" t="s">
        <v>9501</v>
      </c>
      <c r="D7625" s="2" t="s">
        <v>9502</v>
      </c>
      <c r="E7625" s="4">
        <v>34000</v>
      </c>
    </row>
    <row r="7626" spans="1:5">
      <c r="A7626" s="2" t="s">
        <v>296</v>
      </c>
      <c r="B7626" s="2" t="str">
        <f>"006940"</f>
        <v>006940</v>
      </c>
      <c r="C7626" s="2" t="str">
        <f>"006940"</f>
        <v>006940</v>
      </c>
      <c r="D7626" s="2" t="s">
        <v>9503</v>
      </c>
      <c r="E7626" s="4">
        <v>59000</v>
      </c>
    </row>
    <row r="7627" spans="1:5">
      <c r="A7627" s="2" t="s">
        <v>296</v>
      </c>
      <c r="B7627" s="2" t="str">
        <f>"001425137-5"</f>
        <v>001425137-5</v>
      </c>
      <c r="C7627" s="2" t="str">
        <f>"001425137-5 DWK-037"</f>
        <v>001425137-5 DWK-037</v>
      </c>
      <c r="D7627" s="2" t="s">
        <v>9504</v>
      </c>
      <c r="E7627" s="4">
        <v>75000</v>
      </c>
    </row>
    <row r="7628" spans="1:5">
      <c r="A7628" s="2" t="s">
        <v>296</v>
      </c>
      <c r="B7628" s="2" t="str">
        <f>"1S01143"</f>
        <v>1S01143</v>
      </c>
      <c r="C7628" s="2" t="str">
        <f>"1S01143"</f>
        <v>1S01143</v>
      </c>
      <c r="D7628" s="2" t="s">
        <v>9505</v>
      </c>
      <c r="E7628" s="4">
        <v>59000</v>
      </c>
    </row>
    <row r="7629" spans="1:5">
      <c r="A7629" s="2" t="s">
        <v>296</v>
      </c>
      <c r="B7629" s="2" t="str">
        <f>"1425140-5"</f>
        <v>1425140-5</v>
      </c>
      <c r="C7629" s="2" t="str">
        <f>"1425140-5"</f>
        <v>1425140-5</v>
      </c>
      <c r="D7629" s="2" t="s">
        <v>9506</v>
      </c>
      <c r="E7629" s="4">
        <v>68000</v>
      </c>
    </row>
    <row r="7630" spans="1:5">
      <c r="A7630" s="2" t="s">
        <v>296</v>
      </c>
      <c r="B7630" s="2" t="str">
        <f>"008448"</f>
        <v>008448</v>
      </c>
      <c r="C7630" s="2" t="str">
        <f>"247032"</f>
        <v>247032</v>
      </c>
      <c r="D7630" s="2" t="s">
        <v>9507</v>
      </c>
      <c r="E7630" s="4">
        <v>65000</v>
      </c>
    </row>
    <row r="7631" spans="1:5">
      <c r="A7631" s="2" t="s">
        <v>296</v>
      </c>
      <c r="B7631" s="2" t="str">
        <f>"001425130-8"</f>
        <v>001425130-8</v>
      </c>
      <c r="C7631" s="2" t="str">
        <f>"001425130-8"</f>
        <v>001425130-8</v>
      </c>
      <c r="D7631" s="2" t="s">
        <v>9508</v>
      </c>
      <c r="E7631" s="4">
        <v>75000</v>
      </c>
    </row>
    <row r="7632" spans="1:5">
      <c r="A7632" s="2" t="s">
        <v>296</v>
      </c>
      <c r="B7632" s="2" t="str">
        <f>"001322033-6"</f>
        <v>001322033-6</v>
      </c>
      <c r="C7632" s="2" t="str">
        <f>"1322033-6"</f>
        <v>1322033-6</v>
      </c>
      <c r="D7632" s="2" t="s">
        <v>9509</v>
      </c>
      <c r="E7632" s="4">
        <v>59000</v>
      </c>
    </row>
    <row r="7633" spans="1:5">
      <c r="A7633" s="2" t="s">
        <v>296</v>
      </c>
      <c r="B7633" s="2" t="str">
        <f>"000602563-3"</f>
        <v>000602563-3</v>
      </c>
      <c r="C7633" s="2" t="str">
        <f>"000602563-3"</f>
        <v>000602563-3</v>
      </c>
      <c r="D7633" s="2" t="s">
        <v>9510</v>
      </c>
      <c r="E7633" s="4">
        <v>78000</v>
      </c>
    </row>
    <row r="7634" spans="1:5">
      <c r="A7634" s="2" t="s">
        <v>296</v>
      </c>
      <c r="B7634" s="2" t="str">
        <f>"1325004-9"</f>
        <v>1325004-9</v>
      </c>
      <c r="C7634" s="2" t="str">
        <f>"1325004-9"</f>
        <v>1325004-9</v>
      </c>
      <c r="D7634" s="2" t="s">
        <v>9511</v>
      </c>
      <c r="E7634" s="4">
        <v>54000</v>
      </c>
    </row>
    <row r="7635" spans="1:5">
      <c r="A7635" s="2" t="s">
        <v>296</v>
      </c>
      <c r="B7635" s="2" t="str">
        <f>"1325018-9"</f>
        <v>1325018-9</v>
      </c>
      <c r="C7635" s="2" t="str">
        <f>"1325018-9"</f>
        <v>1325018-9</v>
      </c>
      <c r="D7635" s="2" t="s">
        <v>9512</v>
      </c>
      <c r="E7635" s="4">
        <v>61000</v>
      </c>
    </row>
    <row r="7636" spans="1:5">
      <c r="A7636" s="2" t="s">
        <v>296</v>
      </c>
      <c r="B7636" s="2" t="str">
        <f>"286306"</f>
        <v>286306</v>
      </c>
      <c r="C7636" s="2" t="str">
        <f>"286306"</f>
        <v>286306</v>
      </c>
      <c r="D7636" s="2" t="s">
        <v>9513</v>
      </c>
      <c r="E7636" s="4">
        <v>52000</v>
      </c>
    </row>
    <row r="7637" spans="1:5">
      <c r="A7637" s="2" t="s">
        <v>296</v>
      </c>
      <c r="B7637" s="2" t="str">
        <f>"802708-0"</f>
        <v>802708-0</v>
      </c>
      <c r="C7637" s="2" t="str">
        <f>"802708-0"</f>
        <v>802708-0</v>
      </c>
      <c r="D7637" s="2" t="s">
        <v>9514</v>
      </c>
      <c r="E7637" s="4">
        <v>52000</v>
      </c>
    </row>
    <row r="7638" spans="1:5">
      <c r="A7638" s="2" t="s">
        <v>296</v>
      </c>
      <c r="B7638" s="2" t="str">
        <f>"0802708-6"</f>
        <v>0802708-6</v>
      </c>
      <c r="C7638" s="2" t="str">
        <f>"0802708-6"</f>
        <v>0802708-6</v>
      </c>
      <c r="D7638" s="2" t="s">
        <v>9515</v>
      </c>
      <c r="E7638" s="4">
        <v>52000</v>
      </c>
    </row>
    <row r="7639" spans="1:5">
      <c r="A7639" s="2" t="s">
        <v>296</v>
      </c>
      <c r="B7639" s="2" t="str">
        <f>"802604-1"</f>
        <v>802604-1</v>
      </c>
      <c r="C7639" s="2" t="str">
        <f>"802604-1"</f>
        <v>802604-1</v>
      </c>
      <c r="D7639" s="2" t="s">
        <v>9516</v>
      </c>
      <c r="E7639" s="4">
        <v>97000</v>
      </c>
    </row>
    <row r="7640" spans="1:5">
      <c r="A7640" s="2" t="s">
        <v>296</v>
      </c>
      <c r="B7640" s="2" t="str">
        <f>"000802162-7"</f>
        <v>000802162-7</v>
      </c>
      <c r="C7640" s="2" t="str">
        <f>"225012"</f>
        <v>225012</v>
      </c>
      <c r="D7640" s="2" t="s">
        <v>9517</v>
      </c>
      <c r="E7640" s="4">
        <v>97000</v>
      </c>
    </row>
    <row r="7641" spans="1:5">
      <c r="A7641" s="2" t="s">
        <v>296</v>
      </c>
      <c r="B7641" s="2" t="str">
        <f>"000402711-6"</f>
        <v>000402711-6</v>
      </c>
      <c r="C7641" s="2" t="str">
        <f>"000402711-6"</f>
        <v>000402711-6</v>
      </c>
      <c r="D7641" s="2" t="s">
        <v>9518</v>
      </c>
      <c r="E7641" s="4">
        <v>54000</v>
      </c>
    </row>
    <row r="7642" spans="1:5">
      <c r="A7642" s="2" t="s">
        <v>296</v>
      </c>
      <c r="B7642" s="2" t="str">
        <f>"000802604-1"</f>
        <v>000802604-1</v>
      </c>
      <c r="C7642" s="2" t="str">
        <f>"000802604-1"</f>
        <v>000802604-1</v>
      </c>
      <c r="D7642" s="2" t="s">
        <v>9519</v>
      </c>
      <c r="E7642" s="4">
        <v>97000</v>
      </c>
    </row>
    <row r="7643" spans="1:5">
      <c r="A7643" s="2" t="s">
        <v>296</v>
      </c>
      <c r="B7643" s="2" t="str">
        <f>"287875"</f>
        <v>287875</v>
      </c>
      <c r="C7643" s="2" t="str">
        <f>"287875"</f>
        <v>287875</v>
      </c>
      <c r="D7643" s="2" t="s">
        <v>9520</v>
      </c>
      <c r="E7643" s="4">
        <v>89000</v>
      </c>
    </row>
    <row r="7644" spans="1:5">
      <c r="A7644" s="2" t="s">
        <v>296</v>
      </c>
      <c r="B7644" s="2" t="str">
        <f>"0109657"</f>
        <v>0109657</v>
      </c>
      <c r="C7644" s="2" t="str">
        <f>"0109657"</f>
        <v>0109657</v>
      </c>
      <c r="D7644" s="2" t="s">
        <v>9521</v>
      </c>
      <c r="E7644" s="4">
        <v>22800</v>
      </c>
    </row>
    <row r="7645" spans="1:5">
      <c r="A7645" s="2" t="s">
        <v>296</v>
      </c>
      <c r="B7645" s="2" t="str">
        <f>"0003104"</f>
        <v>0003104</v>
      </c>
      <c r="C7645" s="2" t="str">
        <f>"0003104"</f>
        <v>0003104</v>
      </c>
      <c r="D7645" s="2" t="s">
        <v>9522</v>
      </c>
      <c r="E7645" s="4">
        <v>149000</v>
      </c>
    </row>
    <row r="7646" spans="1:5">
      <c r="A7646" s="2" t="s">
        <v>296</v>
      </c>
      <c r="B7646" s="2" t="str">
        <f>"0109717"</f>
        <v>0109717</v>
      </c>
      <c r="C7646" s="2" t="str">
        <f>"0109717"</f>
        <v>0109717</v>
      </c>
      <c r="D7646" s="2" t="s">
        <v>9523</v>
      </c>
      <c r="E7646" s="4">
        <v>43000</v>
      </c>
    </row>
    <row r="7647" spans="1:5">
      <c r="A7647" s="2" t="s">
        <v>296</v>
      </c>
      <c r="B7647" s="2" t="str">
        <f>"9951346"</f>
        <v>9951346</v>
      </c>
      <c r="C7647" s="2" t="str">
        <f>"9951346"</f>
        <v>9951346</v>
      </c>
      <c r="D7647" s="2" t="s">
        <v>9524</v>
      </c>
      <c r="E7647" s="4">
        <v>65000</v>
      </c>
    </row>
    <row r="7648" spans="1:5">
      <c r="A7648" s="2" t="s">
        <v>296</v>
      </c>
      <c r="B7648" s="2" t="str">
        <f>"8025143"</f>
        <v>8025143</v>
      </c>
      <c r="C7648" s="2" t="str">
        <f>"1643309470725"</f>
        <v>1643309470725</v>
      </c>
      <c r="D7648" s="2" t="s">
        <v>9525</v>
      </c>
      <c r="E7648" s="4">
        <v>58000</v>
      </c>
    </row>
    <row r="7649" spans="1:5">
      <c r="A7649" s="2" t="s">
        <v>296</v>
      </c>
      <c r="B7649" s="2" t="str">
        <f>"00122527-4"</f>
        <v>00122527-4</v>
      </c>
      <c r="C7649" s="2" t="str">
        <f>"00122527-4"</f>
        <v>00122527-4</v>
      </c>
      <c r="D7649" s="2" t="s">
        <v>9526</v>
      </c>
      <c r="E7649" s="4">
        <v>92500</v>
      </c>
    </row>
    <row r="7650" spans="1:5">
      <c r="A7650" s="2" t="s">
        <v>296</v>
      </c>
      <c r="B7650" s="2" t="str">
        <f>"0001787"</f>
        <v>0001787</v>
      </c>
      <c r="C7650" s="2" t="str">
        <f>"0001787"</f>
        <v>0001787</v>
      </c>
      <c r="D7650" s="2" t="s">
        <v>9527</v>
      </c>
      <c r="E7650" s="4">
        <v>97000</v>
      </c>
    </row>
    <row r="7651" spans="1:5">
      <c r="A7651" s="2" t="s">
        <v>296</v>
      </c>
      <c r="B7651" s="2" t="s">
        <v>9528</v>
      </c>
      <c r="C7651" s="2" t="s">
        <v>9529</v>
      </c>
      <c r="D7651" s="2" t="s">
        <v>9530</v>
      </c>
      <c r="E7651" s="4">
        <v>88000</v>
      </c>
    </row>
    <row r="7652" spans="1:5">
      <c r="A7652" s="2" t="s">
        <v>296</v>
      </c>
      <c r="B7652" s="2" t="str">
        <f>"002022047-3"</f>
        <v>002022047-3</v>
      </c>
      <c r="C7652" s="2" t="str">
        <f>"002022047-3"</f>
        <v>002022047-3</v>
      </c>
      <c r="D7652" s="2" t="s">
        <v>9531</v>
      </c>
      <c r="E7652" s="4">
        <v>97000</v>
      </c>
    </row>
    <row r="7653" spans="1:5">
      <c r="A7653" s="2" t="s">
        <v>296</v>
      </c>
      <c r="B7653" s="2" t="str">
        <f>"002022044-9"</f>
        <v>002022044-9</v>
      </c>
      <c r="C7653" s="2" t="str">
        <f>"2022044-9"</f>
        <v>2022044-9</v>
      </c>
      <c r="D7653" s="2" t="s">
        <v>9532</v>
      </c>
      <c r="E7653" s="4">
        <v>97000</v>
      </c>
    </row>
    <row r="7654" spans="1:5">
      <c r="A7654" s="2" t="s">
        <v>296</v>
      </c>
      <c r="B7654" s="2" t="s">
        <v>9533</v>
      </c>
      <c r="C7654" s="2" t="s">
        <v>9533</v>
      </c>
      <c r="D7654" s="2" t="s">
        <v>9534</v>
      </c>
      <c r="E7654" s="4">
        <v>140000</v>
      </c>
    </row>
    <row r="7655" spans="1:5">
      <c r="A7655" s="2" t="s">
        <v>296</v>
      </c>
      <c r="B7655" s="2" t="s">
        <v>9535</v>
      </c>
      <c r="C7655" s="2" t="s">
        <v>9535</v>
      </c>
      <c r="D7655" s="2" t="s">
        <v>9536</v>
      </c>
      <c r="E7655" s="4">
        <v>160000</v>
      </c>
    </row>
    <row r="7656" spans="1:5">
      <c r="A7656" s="2" t="s">
        <v>2076</v>
      </c>
      <c r="B7656" s="2" t="str">
        <f>"0860-285-05"</f>
        <v>0860-285-05</v>
      </c>
      <c r="C7656" s="2" t="str">
        <f>"0860-285-05"</f>
        <v>0860-285-05</v>
      </c>
      <c r="D7656" s="2" t="s">
        <v>9537</v>
      </c>
      <c r="E7656" s="4">
        <v>97000</v>
      </c>
    </row>
    <row r="7657" spans="1:5">
      <c r="A7657" s="2" t="s">
        <v>296</v>
      </c>
      <c r="B7657" s="2" t="str">
        <f>"0029905"</f>
        <v>0029905</v>
      </c>
      <c r="C7657" s="2" t="str">
        <f>"0029905"</f>
        <v>0029905</v>
      </c>
      <c r="D7657" s="2" t="s">
        <v>9538</v>
      </c>
      <c r="E7657" s="4">
        <v>290000</v>
      </c>
    </row>
    <row r="7658" spans="1:5">
      <c r="A7658" s="2" t="s">
        <v>296</v>
      </c>
      <c r="B7658" s="2" t="str">
        <f>"0029903"</f>
        <v>0029903</v>
      </c>
      <c r="C7658" s="2" t="str">
        <f>"0029903"</f>
        <v>0029903</v>
      </c>
      <c r="D7658" s="2" t="s">
        <v>9539</v>
      </c>
      <c r="E7658" s="4">
        <v>280000</v>
      </c>
    </row>
    <row r="7659" spans="1:5">
      <c r="A7659" s="2" t="s">
        <v>296</v>
      </c>
      <c r="B7659" s="2" t="s">
        <v>9540</v>
      </c>
      <c r="C7659" s="2" t="s">
        <v>9540</v>
      </c>
      <c r="D7659" s="2" t="s">
        <v>9541</v>
      </c>
      <c r="E7659" s="2">
        <v>0</v>
      </c>
    </row>
    <row r="7660" spans="1:5">
      <c r="A7660" s="2" t="s">
        <v>296</v>
      </c>
      <c r="B7660" s="2" t="s">
        <v>9542</v>
      </c>
      <c r="C7660" s="2" t="s">
        <v>9542</v>
      </c>
      <c r="D7660" s="2" t="s">
        <v>9541</v>
      </c>
      <c r="E7660" s="2">
        <v>0</v>
      </c>
    </row>
    <row r="7661" spans="1:5">
      <c r="A7661" s="2" t="s">
        <v>296</v>
      </c>
      <c r="B7661" s="2" t="s">
        <v>9543</v>
      </c>
      <c r="C7661" s="2" t="s">
        <v>9543</v>
      </c>
      <c r="D7661" s="2" t="s">
        <v>9544</v>
      </c>
      <c r="E7661" s="4">
        <v>112000</v>
      </c>
    </row>
    <row r="7662" spans="1:5">
      <c r="A7662" s="2" t="s">
        <v>296</v>
      </c>
      <c r="B7662" s="2" t="s">
        <v>9545</v>
      </c>
      <c r="C7662" s="2" t="s">
        <v>9545</v>
      </c>
      <c r="D7662" s="2" t="s">
        <v>9546</v>
      </c>
      <c r="E7662" s="4">
        <v>105000</v>
      </c>
    </row>
    <row r="7663" spans="1:5">
      <c r="A7663" s="2" t="s">
        <v>296</v>
      </c>
      <c r="B7663" s="2" t="str">
        <f>"001225150-5"</f>
        <v>001225150-5</v>
      </c>
      <c r="C7663" s="2" t="str">
        <f>"1225150-5"</f>
        <v>1225150-5</v>
      </c>
      <c r="D7663" s="2" t="s">
        <v>9547</v>
      </c>
      <c r="E7663" s="4">
        <v>98800</v>
      </c>
    </row>
    <row r="7664" spans="1:5">
      <c r="A7664" s="2" t="s">
        <v>296</v>
      </c>
      <c r="B7664" s="2" t="str">
        <f>"001225188-2"</f>
        <v>001225188-2</v>
      </c>
      <c r="C7664" s="2" t="str">
        <f>"001225188-2"</f>
        <v>001225188-2</v>
      </c>
      <c r="D7664" s="2" t="s">
        <v>9548</v>
      </c>
      <c r="E7664" s="4">
        <v>135000</v>
      </c>
    </row>
    <row r="7665" spans="1:5">
      <c r="A7665" s="2" t="s">
        <v>296</v>
      </c>
      <c r="B7665" s="2" t="str">
        <f>"001225447-4"</f>
        <v>001225447-4</v>
      </c>
      <c r="C7665" s="2" t="str">
        <f>"001225447-4"</f>
        <v>001225447-4</v>
      </c>
      <c r="D7665" s="2" t="s">
        <v>9549</v>
      </c>
      <c r="E7665" s="4">
        <v>97000</v>
      </c>
    </row>
    <row r="7666" spans="1:5">
      <c r="A7666" s="2" t="s">
        <v>296</v>
      </c>
      <c r="B7666" s="2" t="str">
        <f>"1225206-4"</f>
        <v>1225206-4</v>
      </c>
      <c r="C7666" s="2" t="str">
        <f>"1643308862907"</f>
        <v>1643308862907</v>
      </c>
      <c r="D7666" s="2" t="s">
        <v>9550</v>
      </c>
      <c r="E7666" s="4">
        <v>115000</v>
      </c>
    </row>
    <row r="7667" spans="1:5">
      <c r="A7667" s="2" t="s">
        <v>296</v>
      </c>
      <c r="B7667" s="2" t="str">
        <f>"001225453-9"</f>
        <v>001225453-9</v>
      </c>
      <c r="C7667" s="2" t="str">
        <f>"001225453-9"</f>
        <v>001225453-9</v>
      </c>
      <c r="D7667" s="2" t="s">
        <v>9551</v>
      </c>
      <c r="E7667" s="4">
        <v>115000</v>
      </c>
    </row>
    <row r="7668" spans="1:5">
      <c r="A7668" s="2" t="s">
        <v>296</v>
      </c>
      <c r="B7668" s="2" t="str">
        <f>"001225456-3"</f>
        <v>001225456-3</v>
      </c>
      <c r="C7668" s="2" t="str">
        <f>"1225456-3"</f>
        <v>1225456-3</v>
      </c>
      <c r="D7668" s="2" t="s">
        <v>9552</v>
      </c>
      <c r="E7668" s="4">
        <v>97000</v>
      </c>
    </row>
    <row r="7669" spans="1:5">
      <c r="A7669" s="2" t="s">
        <v>296</v>
      </c>
      <c r="B7669" s="2" t="str">
        <f>"1222174-6"</f>
        <v>1222174-6</v>
      </c>
      <c r="C7669" s="2" t="str">
        <f>"1222174-6"</f>
        <v>1222174-6</v>
      </c>
      <c r="D7669" s="2" t="s">
        <v>9553</v>
      </c>
      <c r="E7669" s="4">
        <v>47900</v>
      </c>
    </row>
    <row r="7670" spans="1:5">
      <c r="A7670" s="2" t="s">
        <v>296</v>
      </c>
      <c r="B7670" s="2" t="str">
        <f>"001225457-1"</f>
        <v>001225457-1</v>
      </c>
      <c r="C7670" s="2" t="str">
        <f>"001225457-1"</f>
        <v>001225457-1</v>
      </c>
      <c r="D7670" s="2" t="s">
        <v>9554</v>
      </c>
      <c r="E7670" s="4">
        <v>97000</v>
      </c>
    </row>
    <row r="7671" spans="1:5">
      <c r="A7671" s="2" t="s">
        <v>296</v>
      </c>
      <c r="B7671" s="2" t="str">
        <f>"286309"</f>
        <v>286309</v>
      </c>
      <c r="C7671" s="2" t="str">
        <f>"286309"</f>
        <v>286309</v>
      </c>
      <c r="D7671" s="2" t="s">
        <v>9555</v>
      </c>
      <c r="E7671" s="4">
        <v>59000</v>
      </c>
    </row>
    <row r="7672" spans="1:5">
      <c r="A7672" s="2" t="s">
        <v>296</v>
      </c>
      <c r="B7672" s="2" t="str">
        <f>"001225019-3"</f>
        <v>001225019-3</v>
      </c>
      <c r="C7672" s="2" t="str">
        <f>"1443391254"</f>
        <v>1443391254</v>
      </c>
      <c r="D7672" s="2" t="s">
        <v>9555</v>
      </c>
      <c r="E7672" s="4">
        <v>55600</v>
      </c>
    </row>
    <row r="7673" spans="1:5">
      <c r="A7673" s="2" t="s">
        <v>2076</v>
      </c>
      <c r="B7673" s="2" t="str">
        <f>"1225019-3"</f>
        <v>1225019-3</v>
      </c>
      <c r="C7673" s="2" t="str">
        <f>"1225019-3"</f>
        <v>1225019-3</v>
      </c>
      <c r="D7673" s="2" t="s">
        <v>9555</v>
      </c>
      <c r="E7673" s="4">
        <v>55600</v>
      </c>
    </row>
    <row r="7674" spans="1:5">
      <c r="A7674" s="2" t="s">
        <v>2076</v>
      </c>
      <c r="B7674" s="2" t="str">
        <f>"1225180-7"</f>
        <v>1225180-7</v>
      </c>
      <c r="C7674" s="2" t="str">
        <f>"1225180-7"</f>
        <v>1225180-7</v>
      </c>
      <c r="D7674" s="2" t="s">
        <v>9556</v>
      </c>
      <c r="E7674" s="4">
        <v>72000</v>
      </c>
    </row>
    <row r="7675" spans="1:5">
      <c r="A7675" s="2" t="s">
        <v>296</v>
      </c>
      <c r="B7675" s="2" t="str">
        <f>"1225170-K"</f>
        <v>1225170-K</v>
      </c>
      <c r="C7675" s="2" t="str">
        <f>"1225170-K"</f>
        <v>1225170-K</v>
      </c>
      <c r="D7675" s="2" t="s">
        <v>9557</v>
      </c>
      <c r="E7675" s="4">
        <v>69000</v>
      </c>
    </row>
    <row r="7676" spans="1:5">
      <c r="A7676" s="2" t="s">
        <v>2076</v>
      </c>
      <c r="B7676" s="2" t="str">
        <f>"1225177-7"</f>
        <v>1225177-7</v>
      </c>
      <c r="C7676" s="2" t="str">
        <f>"1225177-7"</f>
        <v>1225177-7</v>
      </c>
      <c r="D7676" s="2" t="s">
        <v>9558</v>
      </c>
      <c r="E7676" s="4">
        <v>72000</v>
      </c>
    </row>
    <row r="7677" spans="1:5">
      <c r="A7677" s="2" t="s">
        <v>296</v>
      </c>
      <c r="B7677" s="2" t="str">
        <f>"010310609"</f>
        <v>010310609</v>
      </c>
      <c r="C7677" s="2" t="str">
        <f>"010310609"</f>
        <v>010310609</v>
      </c>
      <c r="D7677" s="2" t="s">
        <v>9559</v>
      </c>
      <c r="E7677" s="4">
        <v>75000</v>
      </c>
    </row>
    <row r="7678" spans="1:5">
      <c r="A7678" s="2" t="s">
        <v>296</v>
      </c>
      <c r="B7678" s="2" t="str">
        <f>"0021834"</f>
        <v>0021834</v>
      </c>
      <c r="C7678" s="2" t="str">
        <f>"0021834 00148"</f>
        <v>0021834 00148</v>
      </c>
      <c r="D7678" s="2" t="s">
        <v>9560</v>
      </c>
      <c r="E7678" s="4">
        <v>85000</v>
      </c>
    </row>
    <row r="7679" spans="1:5">
      <c r="A7679" s="2" t="s">
        <v>296</v>
      </c>
      <c r="B7679" s="2" t="str">
        <f>"1225437-7"</f>
        <v>1225437-7</v>
      </c>
      <c r="C7679" s="2" t="str">
        <f>"1225437-7"</f>
        <v>1225437-7</v>
      </c>
      <c r="D7679" s="2" t="s">
        <v>9561</v>
      </c>
      <c r="E7679" s="4">
        <v>68000</v>
      </c>
    </row>
    <row r="7680" spans="1:5">
      <c r="A7680" s="2" t="s">
        <v>296</v>
      </c>
      <c r="B7680" s="2" t="s">
        <v>9562</v>
      </c>
      <c r="C7680" s="2" t="s">
        <v>9562</v>
      </c>
      <c r="D7680" s="2" t="s">
        <v>9563</v>
      </c>
      <c r="E7680" s="4">
        <v>57143</v>
      </c>
    </row>
    <row r="7681" spans="1:5">
      <c r="A7681" s="2" t="s">
        <v>296</v>
      </c>
      <c r="B7681" s="2" t="str">
        <f>"1225268-4"</f>
        <v>1225268-4</v>
      </c>
      <c r="C7681" s="2" t="str">
        <f>"1225268-4"</f>
        <v>1225268-4</v>
      </c>
      <c r="D7681" s="2" t="s">
        <v>9564</v>
      </c>
      <c r="E7681" s="4">
        <v>75000</v>
      </c>
    </row>
    <row r="7682" spans="1:5">
      <c r="A7682" s="2" t="s">
        <v>296</v>
      </c>
      <c r="B7682" s="2" t="str">
        <f>"162543"</f>
        <v>162543</v>
      </c>
      <c r="C7682" s="2" t="str">
        <f>"162543"</f>
        <v>162543</v>
      </c>
      <c r="D7682" s="2" t="s">
        <v>9565</v>
      </c>
      <c r="E7682" s="4">
        <v>88000</v>
      </c>
    </row>
    <row r="7683" spans="1:5">
      <c r="A7683" s="2" t="s">
        <v>296</v>
      </c>
      <c r="B7683" s="2" t="str">
        <f>"001225280-3"</f>
        <v>001225280-3</v>
      </c>
      <c r="C7683" s="2" t="str">
        <f>"1225280-3"</f>
        <v>1225280-3</v>
      </c>
      <c r="D7683" s="2" t="s">
        <v>9566</v>
      </c>
      <c r="E7683" s="4">
        <v>97000</v>
      </c>
    </row>
    <row r="7684" spans="1:5">
      <c r="A7684" s="2" t="s">
        <v>296</v>
      </c>
      <c r="B7684" s="2" t="str">
        <f>"001225058-4"</f>
        <v>001225058-4</v>
      </c>
      <c r="C7684" s="2" t="str">
        <f>"001225058-4"</f>
        <v>001225058-4</v>
      </c>
      <c r="D7684" s="2" t="s">
        <v>9567</v>
      </c>
      <c r="E7684" s="4">
        <v>79000</v>
      </c>
    </row>
    <row r="7685" spans="1:5">
      <c r="A7685" s="2" t="s">
        <v>296</v>
      </c>
      <c r="B7685" s="2" t="str">
        <f>"1222183-5"</f>
        <v>1222183-5</v>
      </c>
      <c r="C7685" s="2" t="str">
        <f>"1222183-5"</f>
        <v>1222183-5</v>
      </c>
      <c r="D7685" s="2" t="s">
        <v>9568</v>
      </c>
      <c r="E7685" s="4">
        <v>115000</v>
      </c>
    </row>
    <row r="7686" spans="1:5">
      <c r="A7686" s="2" t="s">
        <v>296</v>
      </c>
      <c r="B7686" s="2" t="str">
        <f>"9950901"</f>
        <v>9950901</v>
      </c>
      <c r="C7686" s="2" t="str">
        <f>"9950901"</f>
        <v>9950901</v>
      </c>
      <c r="D7686" s="2" t="s">
        <v>9569</v>
      </c>
      <c r="E7686" s="4">
        <v>250000</v>
      </c>
    </row>
    <row r="7687" spans="1:5">
      <c r="A7687" s="2" t="s">
        <v>2076</v>
      </c>
      <c r="B7687" s="2" t="str">
        <f>"001225309-5"</f>
        <v>001225309-5</v>
      </c>
      <c r="C7687" s="2" t="str">
        <f>"1225309-5"</f>
        <v>1225309-5</v>
      </c>
      <c r="D7687" s="2" t="s">
        <v>9570</v>
      </c>
      <c r="E7687" s="4">
        <v>170000</v>
      </c>
    </row>
    <row r="7688" spans="1:5">
      <c r="A7688" s="2" t="s">
        <v>296</v>
      </c>
      <c r="B7688" s="2" t="str">
        <f>"0014327"</f>
        <v>0014327</v>
      </c>
      <c r="C7688" s="2" t="str">
        <f>"0014327"</f>
        <v>0014327</v>
      </c>
      <c r="D7688" s="2" t="s">
        <v>9571</v>
      </c>
      <c r="E7688" s="4">
        <v>61000</v>
      </c>
    </row>
    <row r="7689" spans="1:5">
      <c r="A7689" s="2" t="s">
        <v>296</v>
      </c>
      <c r="B7689" s="2" t="str">
        <f>"008440"</f>
        <v>008440</v>
      </c>
      <c r="C7689" s="2" t="str">
        <f>"008440"</f>
        <v>008440</v>
      </c>
      <c r="D7689" s="2" t="s">
        <v>9572</v>
      </c>
      <c r="E7689" s="4">
        <v>79000</v>
      </c>
    </row>
    <row r="7690" spans="1:5">
      <c r="A7690" s="2" t="s">
        <v>2076</v>
      </c>
      <c r="B7690" s="2" t="str">
        <f>"1225038-K"</f>
        <v>1225038-K</v>
      </c>
      <c r="C7690" s="2" t="str">
        <f>"1225038-K"</f>
        <v>1225038-K</v>
      </c>
      <c r="D7690" s="2" t="s">
        <v>9573</v>
      </c>
      <c r="E7690" s="4">
        <v>69100</v>
      </c>
    </row>
    <row r="7691" spans="1:5">
      <c r="A7691" s="2" t="s">
        <v>296</v>
      </c>
      <c r="B7691" s="2" t="str">
        <f>"1222165-7"</f>
        <v>1222165-7</v>
      </c>
      <c r="C7691" s="2" t="str">
        <f>"1222165-7"</f>
        <v>1222165-7</v>
      </c>
      <c r="D7691" s="2" t="s">
        <v>9574</v>
      </c>
      <c r="E7691" s="4">
        <v>61000</v>
      </c>
    </row>
    <row r="7692" spans="1:5">
      <c r="A7692" s="2" t="s">
        <v>2076</v>
      </c>
      <c r="B7692" s="2" t="str">
        <f>"00703H240"</f>
        <v>00703H240</v>
      </c>
      <c r="C7692" s="2" t="str">
        <f>"00703H240"</f>
        <v>00703H240</v>
      </c>
      <c r="D7692" s="2" t="s">
        <v>9575</v>
      </c>
      <c r="E7692" s="4">
        <v>35900</v>
      </c>
    </row>
    <row r="7693" spans="1:5">
      <c r="A7693" s="2" t="s">
        <v>296</v>
      </c>
      <c r="B7693" s="2" t="str">
        <f>"1225038"</f>
        <v>1225038</v>
      </c>
      <c r="C7693" s="2" t="str">
        <f>"1225038"</f>
        <v>1225038</v>
      </c>
      <c r="D7693" s="2" t="s">
        <v>9576</v>
      </c>
      <c r="E7693" s="4">
        <v>59000</v>
      </c>
    </row>
    <row r="7694" spans="1:5">
      <c r="A7694" s="2" t="s">
        <v>296</v>
      </c>
      <c r="B7694" s="2" t="str">
        <f>"162359"</f>
        <v>162359</v>
      </c>
      <c r="C7694" s="2" t="str">
        <f>"162359"</f>
        <v>162359</v>
      </c>
      <c r="D7694" s="2" t="s">
        <v>9577</v>
      </c>
      <c r="E7694" s="4">
        <v>59000</v>
      </c>
    </row>
    <row r="7695" spans="1:5">
      <c r="A7695" s="2" t="s">
        <v>296</v>
      </c>
      <c r="B7695" s="2" t="str">
        <f>"1225385-0"</f>
        <v>1225385-0</v>
      </c>
      <c r="C7695" s="2" t="str">
        <f>"1225385-0"</f>
        <v>1225385-0</v>
      </c>
      <c r="D7695" s="2" t="s">
        <v>9578</v>
      </c>
      <c r="E7695" s="4">
        <v>68000</v>
      </c>
    </row>
    <row r="7696" spans="1:5">
      <c r="A7696" s="2" t="s">
        <v>296</v>
      </c>
      <c r="B7696" s="2" t="s">
        <v>9579</v>
      </c>
      <c r="C7696" s="2" t="s">
        <v>9579</v>
      </c>
      <c r="D7696" s="2" t="s">
        <v>9580</v>
      </c>
      <c r="E7696" s="4">
        <v>48500</v>
      </c>
    </row>
    <row r="7697" spans="1:5">
      <c r="A7697" s="2" t="s">
        <v>296</v>
      </c>
      <c r="B7697" s="2" t="str">
        <f>"001225385-0"</f>
        <v>001225385-0</v>
      </c>
      <c r="C7697" s="2" t="str">
        <f>"001225385-0"</f>
        <v>001225385-0</v>
      </c>
      <c r="D7697" s="2" t="s">
        <v>9581</v>
      </c>
      <c r="E7697" s="4">
        <v>97000</v>
      </c>
    </row>
    <row r="7698" spans="1:5">
      <c r="A7698" s="2" t="s">
        <v>2076</v>
      </c>
      <c r="B7698" s="2" t="str">
        <f>"001225271-4"</f>
        <v>001225271-4</v>
      </c>
      <c r="C7698" s="2" t="str">
        <f>"1225271-4"</f>
        <v>1225271-4</v>
      </c>
      <c r="D7698" s="2" t="s">
        <v>9582</v>
      </c>
      <c r="E7698" s="4">
        <v>133000</v>
      </c>
    </row>
    <row r="7699" spans="1:5">
      <c r="A7699" s="2" t="s">
        <v>296</v>
      </c>
      <c r="B7699" s="2" t="str">
        <f>"1225347-8"</f>
        <v>1225347-8</v>
      </c>
      <c r="C7699" s="2" t="str">
        <f>"1225347-8"</f>
        <v>1225347-8</v>
      </c>
      <c r="D7699" s="2" t="s">
        <v>9583</v>
      </c>
      <c r="E7699" s="4">
        <v>430000</v>
      </c>
    </row>
    <row r="7700" spans="1:5">
      <c r="A7700" s="2" t="s">
        <v>296</v>
      </c>
      <c r="B7700" s="2" t="str">
        <f>"260028"</f>
        <v>260028</v>
      </c>
      <c r="C7700" s="2" t="str">
        <f>"260028"</f>
        <v>260028</v>
      </c>
      <c r="D7700" s="2" t="s">
        <v>9584</v>
      </c>
      <c r="E7700" s="4">
        <v>196000</v>
      </c>
    </row>
    <row r="7701" spans="1:5">
      <c r="A7701" s="2" t="s">
        <v>296</v>
      </c>
      <c r="B7701" s="2" t="s">
        <v>9585</v>
      </c>
      <c r="C7701" s="2" t="s">
        <v>9585</v>
      </c>
      <c r="D7701" s="2" t="s">
        <v>9586</v>
      </c>
      <c r="E7701" s="4">
        <v>219000</v>
      </c>
    </row>
    <row r="7702" spans="1:5">
      <c r="A7702" s="2" t="s">
        <v>296</v>
      </c>
      <c r="B7702" s="2" t="str">
        <f>"001225117-3"</f>
        <v>001225117-3</v>
      </c>
      <c r="C7702" s="2" t="str">
        <f>"1225117-3"</f>
        <v>1225117-3</v>
      </c>
      <c r="D7702" s="2" t="s">
        <v>9587</v>
      </c>
      <c r="E7702" s="4">
        <v>92500</v>
      </c>
    </row>
    <row r="7703" spans="1:5">
      <c r="A7703" s="2" t="s">
        <v>2076</v>
      </c>
      <c r="B7703" s="2" t="str">
        <f>"00703HT250"</f>
        <v>00703HT250</v>
      </c>
      <c r="C7703" s="2" t="str">
        <f>"00703HT250"</f>
        <v>00703HT250</v>
      </c>
      <c r="D7703" s="2" t="s">
        <v>9588</v>
      </c>
      <c r="E7703" s="4">
        <v>290500</v>
      </c>
    </row>
    <row r="7704" spans="1:5">
      <c r="A7704" s="2" t="s">
        <v>296</v>
      </c>
      <c r="B7704" s="2" t="str">
        <f>"1225397-4"</f>
        <v>1225397-4</v>
      </c>
      <c r="C7704" s="2" t="str">
        <f>"1225397-4"</f>
        <v>1225397-4</v>
      </c>
      <c r="D7704" s="2" t="s">
        <v>9589</v>
      </c>
      <c r="E7704" s="4">
        <v>350000</v>
      </c>
    </row>
    <row r="7705" spans="1:5">
      <c r="A7705" s="2" t="s">
        <v>296</v>
      </c>
      <c r="B7705" s="2" t="str">
        <f>"1224184-K"</f>
        <v>1224184-K</v>
      </c>
      <c r="C7705" s="2" t="str">
        <f>"1224184-K"</f>
        <v>1224184-K</v>
      </c>
      <c r="D7705" s="2" t="s">
        <v>9590</v>
      </c>
      <c r="E7705" s="4">
        <v>84400</v>
      </c>
    </row>
    <row r="7706" spans="1:5">
      <c r="A7706" s="2" t="s">
        <v>296</v>
      </c>
      <c r="B7706" s="2" t="str">
        <f>"1225188-2"</f>
        <v>1225188-2</v>
      </c>
      <c r="C7706" s="2" t="str">
        <f>"1225188-2"</f>
        <v>1225188-2</v>
      </c>
      <c r="D7706" s="2" t="s">
        <v>9590</v>
      </c>
      <c r="E7706" s="4">
        <v>89000</v>
      </c>
    </row>
    <row r="7707" spans="1:5">
      <c r="A7707" s="2" t="s">
        <v>296</v>
      </c>
      <c r="B7707" s="2" t="str">
        <f>"001225184-K"</f>
        <v>001225184-K</v>
      </c>
      <c r="C7707" s="2" t="str">
        <f>"1225184-K"</f>
        <v>1225184-K</v>
      </c>
      <c r="D7707" s="2" t="s">
        <v>9591</v>
      </c>
      <c r="E7707" s="4">
        <v>97000</v>
      </c>
    </row>
    <row r="7708" spans="1:5">
      <c r="A7708" s="2" t="s">
        <v>2076</v>
      </c>
      <c r="B7708" s="2" t="str">
        <f>"00703HTC"</f>
        <v>00703HTC</v>
      </c>
      <c r="C7708" s="2" t="str">
        <f>"00703HTC"</f>
        <v>00703HTC</v>
      </c>
      <c r="D7708" s="2" t="s">
        <v>9592</v>
      </c>
      <c r="E7708" s="4">
        <v>260800</v>
      </c>
    </row>
    <row r="7709" spans="1:5">
      <c r="A7709" s="2" t="s">
        <v>296</v>
      </c>
      <c r="B7709" s="2" t="str">
        <f>"140092"</f>
        <v>140092</v>
      </c>
      <c r="C7709" s="2" t="str">
        <f>"140092"</f>
        <v>140092</v>
      </c>
      <c r="D7709" s="2" t="s">
        <v>9593</v>
      </c>
      <c r="E7709" s="4">
        <v>97000</v>
      </c>
    </row>
    <row r="7710" spans="1:5">
      <c r="A7710" s="2" t="s">
        <v>296</v>
      </c>
      <c r="B7710" s="2" t="s">
        <v>9594</v>
      </c>
      <c r="C7710" s="2" t="s">
        <v>9594</v>
      </c>
      <c r="D7710" s="2" t="s">
        <v>9595</v>
      </c>
      <c r="E7710" s="4">
        <v>260000</v>
      </c>
    </row>
    <row r="7711" spans="1:5">
      <c r="A7711" s="2" t="s">
        <v>296</v>
      </c>
      <c r="B7711" s="2" t="str">
        <f>"001225177-7"</f>
        <v>001225177-7</v>
      </c>
      <c r="C7711" s="2" t="str">
        <f>"260034"</f>
        <v>260034</v>
      </c>
      <c r="D7711" s="2" t="s">
        <v>9596</v>
      </c>
      <c r="E7711" s="4">
        <v>72000</v>
      </c>
    </row>
    <row r="7712" spans="1:5">
      <c r="A7712" s="2" t="s">
        <v>296</v>
      </c>
      <c r="B7712" s="2" t="str">
        <f>"007398"</f>
        <v>007398</v>
      </c>
      <c r="C7712" s="2" t="str">
        <f>"1225170-7"</f>
        <v>1225170-7</v>
      </c>
      <c r="D7712" s="2" t="s">
        <v>9597</v>
      </c>
      <c r="E7712" s="4">
        <v>65000</v>
      </c>
    </row>
    <row r="7713" spans="1:5">
      <c r="A7713" s="2" t="s">
        <v>2076</v>
      </c>
      <c r="B7713" s="2" t="str">
        <f>"0001867"</f>
        <v>0001867</v>
      </c>
      <c r="C7713" s="2" t="str">
        <f>"0001867"</f>
        <v>0001867</v>
      </c>
      <c r="D7713" s="2" t="s">
        <v>9598</v>
      </c>
      <c r="E7713" s="4">
        <v>286000</v>
      </c>
    </row>
    <row r="7714" spans="1:5">
      <c r="A7714" s="2" t="s">
        <v>296</v>
      </c>
      <c r="B7714" s="2" t="str">
        <f>"005432"</f>
        <v>005432</v>
      </c>
      <c r="C7714" s="2" t="str">
        <f>"005436"</f>
        <v>005436</v>
      </c>
      <c r="D7714" s="2" t="s">
        <v>9599</v>
      </c>
      <c r="E7714" s="4">
        <v>72000</v>
      </c>
    </row>
    <row r="7715" spans="1:5">
      <c r="A7715" s="2" t="s">
        <v>2076</v>
      </c>
      <c r="B7715" s="2" t="str">
        <f>"17225177"</f>
        <v>17225177</v>
      </c>
      <c r="C7715" s="2" t="str">
        <f>"17225177"</f>
        <v>17225177</v>
      </c>
      <c r="D7715" s="2" t="s">
        <v>9600</v>
      </c>
      <c r="E7715" s="4">
        <v>59000</v>
      </c>
    </row>
    <row r="7716" spans="1:5">
      <c r="A7716" s="2" t="s">
        <v>296</v>
      </c>
      <c r="B7716" s="2" t="str">
        <f>"001825039-K"</f>
        <v>001825039-K</v>
      </c>
      <c r="C7716" s="2" t="str">
        <f>"1825039-K"</f>
        <v>1825039-K</v>
      </c>
      <c r="D7716" s="2" t="s">
        <v>9601</v>
      </c>
      <c r="E7716" s="4">
        <v>78000</v>
      </c>
    </row>
    <row r="7717" spans="1:5">
      <c r="A7717" s="2" t="s">
        <v>2076</v>
      </c>
      <c r="B7717" s="2" t="str">
        <f>"00703KCR"</f>
        <v>00703KCR</v>
      </c>
      <c r="C7717" s="2" t="str">
        <f>"00703KCR"</f>
        <v>00703KCR</v>
      </c>
      <c r="D7717" s="2" t="s">
        <v>9602</v>
      </c>
      <c r="E7717" s="4">
        <v>360700</v>
      </c>
    </row>
    <row r="7718" spans="1:5">
      <c r="A7718" s="2" t="s">
        <v>296</v>
      </c>
      <c r="B7718" s="2" t="str">
        <f>"1825004-7"</f>
        <v>1825004-7</v>
      </c>
      <c r="C7718" s="2" t="str">
        <f>"1825004-7"</f>
        <v>1825004-7</v>
      </c>
      <c r="D7718" s="2" t="s">
        <v>9603</v>
      </c>
      <c r="E7718" s="4">
        <v>61000</v>
      </c>
    </row>
    <row r="7719" spans="1:5">
      <c r="A7719" s="2" t="s">
        <v>296</v>
      </c>
      <c r="B7719" s="2" t="s">
        <v>9604</v>
      </c>
      <c r="C7719" s="2" t="s">
        <v>9604</v>
      </c>
      <c r="D7719" s="2" t="s">
        <v>9605</v>
      </c>
      <c r="E7719" s="4">
        <v>151000</v>
      </c>
    </row>
    <row r="7720" spans="1:5">
      <c r="A7720" s="2" t="s">
        <v>296</v>
      </c>
      <c r="B7720" s="2" t="str">
        <f>"1825122-1"</f>
        <v>1825122-1</v>
      </c>
      <c r="C7720" s="2" t="str">
        <f>"001825122-1"</f>
        <v>001825122-1</v>
      </c>
      <c r="D7720" s="2" t="s">
        <v>9606</v>
      </c>
      <c r="E7720" s="4">
        <v>97000</v>
      </c>
    </row>
    <row r="7721" spans="1:5">
      <c r="A7721" s="2" t="s">
        <v>296</v>
      </c>
      <c r="B7721" s="2" t="str">
        <f>"008896"</f>
        <v>008896</v>
      </c>
      <c r="C7721" s="2" t="str">
        <f>"008896"</f>
        <v>008896</v>
      </c>
      <c r="D7721" s="2" t="s">
        <v>9607</v>
      </c>
      <c r="E7721" s="4">
        <v>58000</v>
      </c>
    </row>
    <row r="7722" spans="1:5">
      <c r="A7722" s="2" t="s">
        <v>296</v>
      </c>
      <c r="B7722" s="2" t="str">
        <f>"001225443-1"</f>
        <v>001225443-1</v>
      </c>
      <c r="C7722" s="2" t="str">
        <f>"1225443-1"</f>
        <v>1225443-1</v>
      </c>
      <c r="D7722" s="2" t="s">
        <v>9608</v>
      </c>
      <c r="E7722" s="4">
        <v>97000</v>
      </c>
    </row>
    <row r="7723" spans="1:5">
      <c r="A7723" s="2" t="s">
        <v>296</v>
      </c>
      <c r="B7723" s="2" t="s">
        <v>9609</v>
      </c>
      <c r="C7723" s="2" t="s">
        <v>9609</v>
      </c>
      <c r="D7723" s="2" t="s">
        <v>9610</v>
      </c>
      <c r="E7723" s="4">
        <v>333480</v>
      </c>
    </row>
    <row r="7724" spans="1:5">
      <c r="A7724" s="2" t="s">
        <v>296</v>
      </c>
      <c r="B7724" s="2" t="str">
        <f>"0902702-5"</f>
        <v>0902702-5</v>
      </c>
      <c r="C7724" s="2" t="str">
        <f>"142077"</f>
        <v>142077</v>
      </c>
      <c r="D7724" s="2" t="s">
        <v>9611</v>
      </c>
      <c r="E7724" s="4">
        <v>70000</v>
      </c>
    </row>
    <row r="7725" spans="1:5">
      <c r="A7725" s="2" t="s">
        <v>296</v>
      </c>
      <c r="B7725" s="2" t="str">
        <f>"001125007-6"</f>
        <v>001125007-6</v>
      </c>
      <c r="C7725" s="2" t="str">
        <f>"001125007-6"</f>
        <v>001125007-6</v>
      </c>
      <c r="D7725" s="2" t="s">
        <v>9612</v>
      </c>
      <c r="E7725" s="4">
        <v>79000</v>
      </c>
    </row>
    <row r="7726" spans="1:5">
      <c r="A7726" s="2" t="s">
        <v>296</v>
      </c>
      <c r="B7726" s="2" t="s">
        <v>9613</v>
      </c>
      <c r="C7726" s="2" t="s">
        <v>9614</v>
      </c>
      <c r="D7726" s="2" t="s">
        <v>9615</v>
      </c>
      <c r="E7726" s="4">
        <v>310000</v>
      </c>
    </row>
    <row r="7727" spans="1:5">
      <c r="A7727" s="2" t="s">
        <v>296</v>
      </c>
      <c r="B7727" s="2" t="str">
        <f>"0013450"</f>
        <v>0013450</v>
      </c>
      <c r="C7727" s="2" t="str">
        <f>"180000"</f>
        <v>180000</v>
      </c>
      <c r="D7727" s="2" t="s">
        <v>9616</v>
      </c>
      <c r="E7727" s="4">
        <v>180000</v>
      </c>
    </row>
    <row r="7728" spans="1:5">
      <c r="A7728" s="2" t="s">
        <v>296</v>
      </c>
      <c r="B7728" s="2" t="str">
        <f>"4322011-K"</f>
        <v>4322011-K</v>
      </c>
      <c r="C7728" s="2" t="str">
        <f>"4322011-K"</f>
        <v>4322011-K</v>
      </c>
      <c r="D7728" s="2" t="s">
        <v>9617</v>
      </c>
      <c r="E7728" s="4">
        <v>180000</v>
      </c>
    </row>
    <row r="7729" spans="1:5">
      <c r="A7729" s="2" t="s">
        <v>296</v>
      </c>
      <c r="B7729" s="2" t="s">
        <v>9618</v>
      </c>
      <c r="C7729" s="2" t="s">
        <v>9619</v>
      </c>
      <c r="D7729" s="2" t="s">
        <v>9620</v>
      </c>
      <c r="E7729" s="4">
        <v>190000</v>
      </c>
    </row>
    <row r="7730" spans="1:5">
      <c r="A7730" s="2" t="s">
        <v>296</v>
      </c>
      <c r="B7730" s="2" t="str">
        <f>"2125070-8"</f>
        <v>2125070-8</v>
      </c>
      <c r="C7730" s="2" t="str">
        <f>"2125070-8"</f>
        <v>2125070-8</v>
      </c>
      <c r="D7730" s="2" t="s">
        <v>9621</v>
      </c>
      <c r="E7730" s="4">
        <v>133000</v>
      </c>
    </row>
    <row r="7731" spans="1:5">
      <c r="A7731" s="2" t="s">
        <v>296</v>
      </c>
      <c r="B7731" s="2" t="str">
        <f>"2122007-8"</f>
        <v>2122007-8</v>
      </c>
      <c r="C7731" s="2" t="str">
        <f>"2122007-8"</f>
        <v>2122007-8</v>
      </c>
      <c r="D7731" s="2" t="s">
        <v>9622</v>
      </c>
      <c r="E7731" s="4">
        <v>59000</v>
      </c>
    </row>
    <row r="7732" spans="1:5">
      <c r="A7732" s="2" t="s">
        <v>296</v>
      </c>
      <c r="B7732" s="2" t="str">
        <f>"0014567"</f>
        <v>0014567</v>
      </c>
      <c r="C7732" s="2" t="str">
        <f>"0014567"</f>
        <v>0014567</v>
      </c>
      <c r="D7732" s="2" t="s">
        <v>9623</v>
      </c>
      <c r="E7732" s="4">
        <v>70000</v>
      </c>
    </row>
    <row r="7733" spans="1:5">
      <c r="A7733" s="2" t="s">
        <v>296</v>
      </c>
      <c r="B7733" s="2" t="str">
        <f>"260039"</f>
        <v>260039</v>
      </c>
      <c r="C7733" s="2" t="str">
        <f>"260039"</f>
        <v>260039</v>
      </c>
      <c r="D7733" s="2" t="s">
        <v>9624</v>
      </c>
      <c r="E7733" s="4">
        <v>159000</v>
      </c>
    </row>
    <row r="7734" spans="1:5">
      <c r="A7734" s="2" t="s">
        <v>296</v>
      </c>
      <c r="B7734" s="2" t="s">
        <v>9625</v>
      </c>
      <c r="C7734" s="2" t="s">
        <v>9626</v>
      </c>
      <c r="D7734" s="2" t="s">
        <v>9627</v>
      </c>
      <c r="E7734" s="4">
        <v>280000</v>
      </c>
    </row>
    <row r="7735" spans="1:5">
      <c r="A7735" s="2" t="s">
        <v>2076</v>
      </c>
      <c r="B7735" s="2" t="s">
        <v>9628</v>
      </c>
      <c r="C7735" s="2" t="s">
        <v>9628</v>
      </c>
      <c r="D7735" s="2" t="s">
        <v>9629</v>
      </c>
      <c r="E7735" s="4">
        <v>61000</v>
      </c>
    </row>
    <row r="7736" spans="1:5">
      <c r="A7736" s="2" t="s">
        <v>296</v>
      </c>
      <c r="B7736" s="2" t="str">
        <f>"002925254-8"</f>
        <v>002925254-8</v>
      </c>
      <c r="C7736" s="2" t="str">
        <f>"1491862303009"</f>
        <v>1491862303009</v>
      </c>
      <c r="D7736" s="2" t="s">
        <v>9630</v>
      </c>
      <c r="E7736" s="4">
        <v>150000</v>
      </c>
    </row>
    <row r="7737" spans="1:5">
      <c r="A7737" s="2" t="s">
        <v>296</v>
      </c>
      <c r="B7737" s="2" t="str">
        <f>"141993"</f>
        <v>141993</v>
      </c>
      <c r="C7737" s="2" t="str">
        <f>"141993"</f>
        <v>141993</v>
      </c>
      <c r="D7737" s="2" t="s">
        <v>9631</v>
      </c>
      <c r="E7737" s="4">
        <v>340000</v>
      </c>
    </row>
    <row r="7738" spans="1:5">
      <c r="A7738" s="2" t="s">
        <v>296</v>
      </c>
      <c r="B7738" s="2" t="str">
        <f>"260061"</f>
        <v>260061</v>
      </c>
      <c r="C7738" s="2" t="str">
        <f>"260061"</f>
        <v>260061</v>
      </c>
      <c r="D7738" s="2" t="s">
        <v>9632</v>
      </c>
      <c r="E7738" s="4">
        <v>82600</v>
      </c>
    </row>
    <row r="7739" spans="1:5">
      <c r="A7739" s="2" t="s">
        <v>296</v>
      </c>
      <c r="B7739" s="2" t="str">
        <f>"002167"</f>
        <v>002167</v>
      </c>
      <c r="C7739" s="2" t="str">
        <f>"002167"</f>
        <v>002167</v>
      </c>
      <c r="D7739" s="2" t="s">
        <v>9633</v>
      </c>
      <c r="E7739" s="4">
        <v>280000</v>
      </c>
    </row>
    <row r="7740" spans="1:5">
      <c r="A7740" s="2" t="s">
        <v>296</v>
      </c>
      <c r="B7740" s="2" t="str">
        <f>"2925230-0"</f>
        <v>2925230-0</v>
      </c>
      <c r="C7740" s="2" t="str">
        <f>"2925230-0"</f>
        <v>2925230-0</v>
      </c>
      <c r="D7740" s="2" t="s">
        <v>9634</v>
      </c>
      <c r="E7740" s="4">
        <v>52000</v>
      </c>
    </row>
    <row r="7741" spans="1:5">
      <c r="A7741" s="2" t="s">
        <v>296</v>
      </c>
      <c r="B7741" s="2" t="s">
        <v>9635</v>
      </c>
      <c r="C7741" s="2" t="s">
        <v>9635</v>
      </c>
      <c r="D7741" s="2" t="s">
        <v>9636</v>
      </c>
      <c r="E7741" s="4">
        <v>65000</v>
      </c>
    </row>
    <row r="7742" spans="1:5">
      <c r="A7742" s="2" t="s">
        <v>296</v>
      </c>
      <c r="B7742" s="2" t="str">
        <f>"002925225-4"</f>
        <v>002925225-4</v>
      </c>
      <c r="C7742" s="2" t="str">
        <f>"2925225-4"</f>
        <v>2925225-4</v>
      </c>
      <c r="D7742" s="2" t="s">
        <v>9637</v>
      </c>
      <c r="E7742" s="4">
        <v>106000</v>
      </c>
    </row>
    <row r="7743" spans="1:5">
      <c r="A7743" s="2" t="s">
        <v>296</v>
      </c>
      <c r="B7743" s="2" t="str">
        <f>"2125066-K"</f>
        <v>2125066-K</v>
      </c>
      <c r="C7743" s="2" t="str">
        <f>"2125066-K"</f>
        <v>2125066-K</v>
      </c>
      <c r="D7743" s="2" t="s">
        <v>9638</v>
      </c>
      <c r="E7743" s="4">
        <v>280000</v>
      </c>
    </row>
    <row r="7744" spans="1:5">
      <c r="A7744" s="2" t="s">
        <v>296</v>
      </c>
      <c r="B7744" s="2" t="s">
        <v>9639</v>
      </c>
      <c r="C7744" s="2" t="s">
        <v>9640</v>
      </c>
      <c r="D7744" s="2" t="s">
        <v>9641</v>
      </c>
      <c r="E7744" s="4">
        <v>110000</v>
      </c>
    </row>
    <row r="7745" spans="1:5">
      <c r="A7745" s="2" t="s">
        <v>296</v>
      </c>
      <c r="B7745" s="2" t="s">
        <v>9642</v>
      </c>
      <c r="C7745" s="2" t="str">
        <f>"30100"</f>
        <v>30100</v>
      </c>
      <c r="D7745" s="2" t="s">
        <v>9643</v>
      </c>
      <c r="E7745" s="4">
        <v>430000</v>
      </c>
    </row>
    <row r="7746" spans="1:5">
      <c r="A7746" s="2" t="s">
        <v>296</v>
      </c>
      <c r="B7746" s="2" t="str">
        <f>"402695-0"</f>
        <v>402695-0</v>
      </c>
      <c r="C7746" s="2" t="str">
        <f>"402695-0"</f>
        <v>402695-0</v>
      </c>
      <c r="D7746" s="2" t="s">
        <v>9644</v>
      </c>
      <c r="E7746" s="4">
        <v>79000</v>
      </c>
    </row>
    <row r="7747" spans="1:5">
      <c r="A7747" s="2" t="s">
        <v>296</v>
      </c>
      <c r="B7747" s="2" t="str">
        <f>"141992"</f>
        <v>141992</v>
      </c>
      <c r="C7747" s="2" t="str">
        <f>"141992"</f>
        <v>141992</v>
      </c>
      <c r="D7747" s="2" t="s">
        <v>9645</v>
      </c>
      <c r="E7747" s="4">
        <v>336000</v>
      </c>
    </row>
    <row r="7748" spans="1:5">
      <c r="A7748" s="2" t="s">
        <v>296</v>
      </c>
      <c r="B7748" s="2" t="str">
        <f>"000402732-9"</f>
        <v>000402732-9</v>
      </c>
      <c r="C7748" s="2" t="str">
        <f>"402732-9"</f>
        <v>402732-9</v>
      </c>
      <c r="D7748" s="2" t="s">
        <v>9646</v>
      </c>
      <c r="E7748" s="4">
        <v>95000</v>
      </c>
    </row>
    <row r="7749" spans="1:5">
      <c r="A7749" s="2" t="s">
        <v>296</v>
      </c>
      <c r="B7749" s="2" t="str">
        <f>"000402714-0"</f>
        <v>000402714-0</v>
      </c>
      <c r="C7749" s="2" t="str">
        <f>"402714-0"</f>
        <v>402714-0</v>
      </c>
      <c r="D7749" s="2" t="s">
        <v>9647</v>
      </c>
      <c r="E7749" s="4">
        <v>78100</v>
      </c>
    </row>
    <row r="7750" spans="1:5">
      <c r="A7750" s="2" t="s">
        <v>296</v>
      </c>
      <c r="B7750" s="2" t="str">
        <f>"000404714-1"</f>
        <v>000404714-1</v>
      </c>
      <c r="C7750" s="2" t="str">
        <f>"000404714-1"</f>
        <v>000404714-1</v>
      </c>
      <c r="D7750" s="2" t="s">
        <v>9648</v>
      </c>
      <c r="E7750" s="4">
        <v>79000</v>
      </c>
    </row>
    <row r="7751" spans="1:5">
      <c r="A7751" s="2" t="s">
        <v>296</v>
      </c>
      <c r="B7751" s="2" t="str">
        <f>"404714-1"</f>
        <v>404714-1</v>
      </c>
      <c r="C7751" s="2" t="str">
        <f>"141981"</f>
        <v>141981</v>
      </c>
      <c r="D7751" s="2" t="s">
        <v>9649</v>
      </c>
      <c r="E7751" s="4">
        <v>75000</v>
      </c>
    </row>
    <row r="7752" spans="1:5">
      <c r="A7752" s="2" t="s">
        <v>296</v>
      </c>
      <c r="B7752" s="2" t="s">
        <v>9650</v>
      </c>
      <c r="C7752" s="2" t="s">
        <v>9650</v>
      </c>
      <c r="D7752" s="2" t="s">
        <v>9651</v>
      </c>
      <c r="E7752" s="4">
        <v>43000</v>
      </c>
    </row>
    <row r="7753" spans="1:5">
      <c r="A7753" s="2" t="s">
        <v>296</v>
      </c>
      <c r="B7753" s="2" t="s">
        <v>9652</v>
      </c>
      <c r="C7753" s="2" t="s">
        <v>9652</v>
      </c>
      <c r="D7753" s="2" t="s">
        <v>9653</v>
      </c>
      <c r="E7753" s="4">
        <v>95000</v>
      </c>
    </row>
    <row r="7754" spans="1:5">
      <c r="A7754" s="2" t="s">
        <v>296</v>
      </c>
      <c r="B7754" s="2" t="s">
        <v>9654</v>
      </c>
      <c r="C7754" s="2" t="s">
        <v>9654</v>
      </c>
      <c r="D7754" s="2" t="s">
        <v>9655</v>
      </c>
      <c r="E7754" s="4">
        <v>115000</v>
      </c>
    </row>
    <row r="7755" spans="1:5">
      <c r="A7755" s="2" t="s">
        <v>296</v>
      </c>
      <c r="B7755" s="2" t="str">
        <f>"0016608"</f>
        <v>0016608</v>
      </c>
      <c r="C7755" s="2" t="str">
        <f>"0016608"</f>
        <v>0016608</v>
      </c>
      <c r="D7755" s="2" t="s">
        <v>9656</v>
      </c>
      <c r="E7755" s="4">
        <v>350000</v>
      </c>
    </row>
    <row r="7756" spans="1:5">
      <c r="A7756" s="2" t="s">
        <v>296</v>
      </c>
      <c r="B7756" s="2" t="str">
        <f>"141264"</f>
        <v>141264</v>
      </c>
      <c r="C7756" s="2" t="str">
        <f>"141264"</f>
        <v>141264</v>
      </c>
      <c r="D7756" s="2" t="s">
        <v>9657</v>
      </c>
      <c r="E7756" s="4">
        <v>49000</v>
      </c>
    </row>
    <row r="7757" spans="1:5">
      <c r="A7757" s="2" t="s">
        <v>296</v>
      </c>
      <c r="B7757" s="2" t="str">
        <f>"000402735-3"</f>
        <v>000402735-3</v>
      </c>
      <c r="C7757" s="2" t="str">
        <f>"000402735-3"</f>
        <v>000402735-3</v>
      </c>
      <c r="D7757" s="2" t="s">
        <v>9658</v>
      </c>
      <c r="E7757" s="4">
        <v>115000</v>
      </c>
    </row>
    <row r="7758" spans="1:5">
      <c r="A7758" s="2" t="s">
        <v>296</v>
      </c>
      <c r="B7758" s="2" t="s">
        <v>9659</v>
      </c>
      <c r="C7758" s="2" t="s">
        <v>9659</v>
      </c>
      <c r="D7758" s="2" t="s">
        <v>9660</v>
      </c>
      <c r="E7758" s="4">
        <v>89000</v>
      </c>
    </row>
    <row r="7759" spans="1:5">
      <c r="A7759" s="2" t="s">
        <v>296</v>
      </c>
      <c r="B7759" s="2" t="str">
        <f>"020310209"</f>
        <v>020310209</v>
      </c>
      <c r="C7759" s="2" t="str">
        <f>"020310209"</f>
        <v>020310209</v>
      </c>
      <c r="D7759" s="2" t="s">
        <v>9661</v>
      </c>
      <c r="E7759" s="4">
        <v>59000</v>
      </c>
    </row>
    <row r="7760" spans="1:5">
      <c r="A7760" s="2" t="s">
        <v>296</v>
      </c>
      <c r="B7760" s="2" t="str">
        <f>"0013644"</f>
        <v>0013644</v>
      </c>
      <c r="C7760" s="2" t="str">
        <f>"0013644"</f>
        <v>0013644</v>
      </c>
      <c r="D7760" s="2" t="s">
        <v>9662</v>
      </c>
      <c r="E7760" s="4">
        <v>115000</v>
      </c>
    </row>
    <row r="7761" spans="1:5">
      <c r="A7761" s="2" t="s">
        <v>296</v>
      </c>
      <c r="B7761" s="2" t="str">
        <f>"40343309"</f>
        <v>40343309</v>
      </c>
      <c r="C7761" s="2" t="str">
        <f>"4034-3309"</f>
        <v>4034-3309</v>
      </c>
      <c r="D7761" s="2" t="s">
        <v>9660</v>
      </c>
      <c r="E7761" s="4">
        <v>97000</v>
      </c>
    </row>
    <row r="7762" spans="1:5">
      <c r="A7762" s="2" t="s">
        <v>296</v>
      </c>
      <c r="B7762" s="2" t="str">
        <f>"402743-4"</f>
        <v>402743-4</v>
      </c>
      <c r="C7762" s="2" t="str">
        <f>"402743-4"</f>
        <v>402743-4</v>
      </c>
      <c r="D7762" s="2" t="s">
        <v>9663</v>
      </c>
      <c r="E7762" s="4">
        <v>97000</v>
      </c>
    </row>
    <row r="7763" spans="1:5">
      <c r="A7763" s="2" t="s">
        <v>296</v>
      </c>
      <c r="B7763" s="2" t="str">
        <f>"0300895"</f>
        <v>0300895</v>
      </c>
      <c r="C7763" s="2" t="str">
        <f>"0300895"</f>
        <v>0300895</v>
      </c>
      <c r="D7763" s="2" t="s">
        <v>9664</v>
      </c>
      <c r="E7763" s="4">
        <v>250000</v>
      </c>
    </row>
    <row r="7764" spans="1:5">
      <c r="A7764" s="2" t="s">
        <v>296</v>
      </c>
      <c r="B7764" s="2" t="str">
        <f>"402715-6"</f>
        <v>402715-6</v>
      </c>
      <c r="C7764" s="2" t="str">
        <f>"245053"</f>
        <v>245053</v>
      </c>
      <c r="D7764" s="2" t="s">
        <v>9665</v>
      </c>
      <c r="E7764" s="4">
        <v>97000</v>
      </c>
    </row>
    <row r="7765" spans="1:5">
      <c r="A7765" s="2" t="s">
        <v>2076</v>
      </c>
      <c r="B7765" s="2" t="str">
        <f>"000402725-6"</f>
        <v>000402725-6</v>
      </c>
      <c r="C7765" s="2" t="str">
        <f>"180397"</f>
        <v>180397</v>
      </c>
      <c r="D7765" s="2" t="s">
        <v>9666</v>
      </c>
      <c r="E7765" s="4">
        <v>95000</v>
      </c>
    </row>
    <row r="7766" spans="1:5">
      <c r="A7766" s="2" t="s">
        <v>296</v>
      </c>
      <c r="B7766" s="2" t="str">
        <f>"402731-0"</f>
        <v>402731-0</v>
      </c>
      <c r="C7766" s="2" t="str">
        <f>"000402731-0"</f>
        <v>000402731-0</v>
      </c>
      <c r="D7766" s="2" t="s">
        <v>9667</v>
      </c>
      <c r="E7766" s="4">
        <v>170000</v>
      </c>
    </row>
    <row r="7767" spans="1:5">
      <c r="A7767" s="2" t="s">
        <v>296</v>
      </c>
      <c r="B7767" s="2" t="str">
        <f>"162360"</f>
        <v>162360</v>
      </c>
      <c r="C7767" s="2" t="str">
        <f>"162360"</f>
        <v>162360</v>
      </c>
      <c r="D7767" s="2" t="s">
        <v>9668</v>
      </c>
      <c r="E7767" s="4">
        <v>88000</v>
      </c>
    </row>
    <row r="7768" spans="1:5">
      <c r="A7768" s="2" t="s">
        <v>296</v>
      </c>
      <c r="B7768" s="2" t="str">
        <f>"000402731-0"</f>
        <v>000402731-0</v>
      </c>
      <c r="C7768" s="2" t="str">
        <f>"162361"</f>
        <v>162361</v>
      </c>
      <c r="D7768" s="2" t="s">
        <v>9669</v>
      </c>
      <c r="E7768" s="4">
        <v>88000</v>
      </c>
    </row>
    <row r="7769" spans="1:5">
      <c r="A7769" s="2" t="s">
        <v>296</v>
      </c>
      <c r="B7769" s="2" t="s">
        <v>9670</v>
      </c>
      <c r="C7769" s="2" t="s">
        <v>9670</v>
      </c>
      <c r="D7769" s="2" t="s">
        <v>9671</v>
      </c>
      <c r="E7769" s="4">
        <v>52000</v>
      </c>
    </row>
    <row r="7770" spans="1:5">
      <c r="A7770" s="2" t="s">
        <v>296</v>
      </c>
      <c r="B7770" s="2" t="str">
        <f>"0300007"</f>
        <v>0300007</v>
      </c>
      <c r="C7770" s="2" t="str">
        <f>"0300007"</f>
        <v>0300007</v>
      </c>
      <c r="D7770" s="2" t="s">
        <v>9672</v>
      </c>
      <c r="E7770" s="4">
        <v>52000</v>
      </c>
    </row>
    <row r="7771" spans="1:5">
      <c r="A7771" s="2" t="s">
        <v>296</v>
      </c>
      <c r="B7771" s="2" t="str">
        <f>"0300006"</f>
        <v>0300006</v>
      </c>
      <c r="C7771" s="2" t="str">
        <f>"0300006"</f>
        <v>0300006</v>
      </c>
      <c r="D7771" s="2" t="s">
        <v>9673</v>
      </c>
      <c r="E7771" s="4">
        <v>69000</v>
      </c>
    </row>
    <row r="7772" spans="1:5">
      <c r="A7772" s="2" t="s">
        <v>296</v>
      </c>
      <c r="B7772" s="2" t="s">
        <v>9674</v>
      </c>
      <c r="C7772" s="2" t="s">
        <v>9675</v>
      </c>
      <c r="D7772" s="2" t="s">
        <v>9676</v>
      </c>
      <c r="E7772" s="4">
        <v>52000</v>
      </c>
    </row>
    <row r="7773" spans="1:5">
      <c r="A7773" s="2" t="s">
        <v>296</v>
      </c>
      <c r="B7773" s="2" t="str">
        <f>"286305"</f>
        <v>286305</v>
      </c>
      <c r="C7773" s="2" t="str">
        <f>"286305"</f>
        <v>286305</v>
      </c>
      <c r="D7773" s="2" t="s">
        <v>9677</v>
      </c>
      <c r="E7773" s="4">
        <v>38500</v>
      </c>
    </row>
    <row r="7774" spans="1:5">
      <c r="A7774" s="2" t="s">
        <v>2076</v>
      </c>
      <c r="B7774" s="2" t="str">
        <f>"00703V16L"</f>
        <v>00703V16L</v>
      </c>
      <c r="C7774" s="2" t="str">
        <f>"00703V16L"</f>
        <v>00703V16L</v>
      </c>
      <c r="D7774" s="2" t="s">
        <v>9678</v>
      </c>
      <c r="E7774" s="4">
        <v>52000</v>
      </c>
    </row>
    <row r="7775" spans="1:5">
      <c r="A7775" s="2" t="s">
        <v>296</v>
      </c>
      <c r="B7775" s="2" t="s">
        <v>9679</v>
      </c>
      <c r="C7775" s="2" t="s">
        <v>9679</v>
      </c>
      <c r="D7775" s="2" t="s">
        <v>9680</v>
      </c>
      <c r="E7775" s="4">
        <v>68200</v>
      </c>
    </row>
    <row r="7776" spans="1:5">
      <c r="A7776" s="2" t="s">
        <v>296</v>
      </c>
      <c r="B7776" s="2" t="s">
        <v>9681</v>
      </c>
      <c r="C7776" s="2" t="s">
        <v>9681</v>
      </c>
      <c r="D7776" s="2" t="s">
        <v>9682</v>
      </c>
      <c r="E7776" s="4">
        <v>39000</v>
      </c>
    </row>
    <row r="7777" spans="1:5">
      <c r="A7777" s="2" t="s">
        <v>296</v>
      </c>
      <c r="B7777" s="2" t="str">
        <f>"402722-1"</f>
        <v>402722-1</v>
      </c>
      <c r="C7777" s="2" t="str">
        <f>"402722-1"</f>
        <v>402722-1</v>
      </c>
      <c r="D7777" s="2" t="s">
        <v>9683</v>
      </c>
      <c r="E7777" s="4">
        <v>52000</v>
      </c>
    </row>
    <row r="7778" spans="1:5">
      <c r="A7778" s="2" t="s">
        <v>296</v>
      </c>
      <c r="B7778" s="2" t="str">
        <f>"0001795"</f>
        <v>0001795</v>
      </c>
      <c r="C7778" s="2" t="str">
        <f>"0001795"</f>
        <v>0001795</v>
      </c>
      <c r="D7778" s="2" t="s">
        <v>9684</v>
      </c>
      <c r="E7778" s="4">
        <v>68000</v>
      </c>
    </row>
    <row r="7779" spans="1:5">
      <c r="A7779" s="2" t="s">
        <v>296</v>
      </c>
      <c r="B7779" s="2" t="str">
        <f>"000202368-7"</f>
        <v>000202368-7</v>
      </c>
      <c r="C7779" s="2" t="str">
        <f>"000202368-7"</f>
        <v>000202368-7</v>
      </c>
      <c r="D7779" s="2" t="s">
        <v>9685</v>
      </c>
      <c r="E7779" s="4">
        <v>145000</v>
      </c>
    </row>
    <row r="7780" spans="1:5">
      <c r="A7780" s="2" t="s">
        <v>296</v>
      </c>
      <c r="B7780" s="2" t="str">
        <f>"202359K"</f>
        <v>202359K</v>
      </c>
      <c r="C7780" s="2" t="str">
        <f>"202359K"</f>
        <v>202359K</v>
      </c>
      <c r="D7780" s="2" t="s">
        <v>9686</v>
      </c>
      <c r="E7780" s="4">
        <v>98800</v>
      </c>
    </row>
    <row r="7781" spans="1:5">
      <c r="A7781" s="2" t="s">
        <v>2076</v>
      </c>
      <c r="B7781" s="2" t="str">
        <f>"321123321"</f>
        <v>321123321</v>
      </c>
      <c r="C7781" s="2" t="str">
        <f>"321123321"</f>
        <v>321123321</v>
      </c>
      <c r="D7781" s="2" t="s">
        <v>9687</v>
      </c>
      <c r="E7781" s="4">
        <v>160000</v>
      </c>
    </row>
    <row r="7782" spans="1:5">
      <c r="A7782" s="2" t="s">
        <v>296</v>
      </c>
      <c r="B7782" s="2" t="str">
        <f>"1825029-2"</f>
        <v>1825029-2</v>
      </c>
      <c r="C7782" s="2" t="str">
        <f>"1825029-2"</f>
        <v>1825029-2</v>
      </c>
      <c r="D7782" s="2" t="s">
        <v>9688</v>
      </c>
      <c r="E7782" s="4">
        <v>43000</v>
      </c>
    </row>
    <row r="7783" spans="1:5">
      <c r="A7783" s="2" t="s">
        <v>296</v>
      </c>
      <c r="B7783" s="2" t="s">
        <v>9689</v>
      </c>
      <c r="C7783" s="2" t="s">
        <v>9689</v>
      </c>
      <c r="D7783" s="2" t="s">
        <v>9690</v>
      </c>
      <c r="E7783" s="4">
        <v>97000</v>
      </c>
    </row>
    <row r="7784" spans="1:5">
      <c r="A7784" s="2" t="s">
        <v>296</v>
      </c>
      <c r="B7784" s="2" t="str">
        <f>"000302425-3"</f>
        <v>000302425-3</v>
      </c>
      <c r="C7784" s="2" t="str">
        <f>"000302425-3"</f>
        <v>000302425-3</v>
      </c>
      <c r="D7784" s="2" t="s">
        <v>9691</v>
      </c>
      <c r="E7784" s="4">
        <v>88000</v>
      </c>
    </row>
    <row r="7785" spans="1:5">
      <c r="A7785" s="2" t="s">
        <v>296</v>
      </c>
      <c r="B7785" s="2" t="str">
        <f>"0010306"</f>
        <v>0010306</v>
      </c>
      <c r="C7785" s="2" t="str">
        <f>"0010306"</f>
        <v>0010306</v>
      </c>
      <c r="D7785" s="2" t="s">
        <v>9692</v>
      </c>
      <c r="E7785" s="4">
        <v>43000</v>
      </c>
    </row>
    <row r="7786" spans="1:5">
      <c r="A7786" s="2" t="s">
        <v>296</v>
      </c>
      <c r="B7786" s="2" t="str">
        <f>"3702301-9"</f>
        <v>3702301-9</v>
      </c>
      <c r="C7786" s="2" t="str">
        <f>"003702301-9"</f>
        <v>003702301-9</v>
      </c>
      <c r="D7786" s="2" t="s">
        <v>9693</v>
      </c>
      <c r="E7786" s="4">
        <v>75000</v>
      </c>
    </row>
    <row r="7787" spans="1:5">
      <c r="A7787" s="2" t="s">
        <v>296</v>
      </c>
      <c r="B7787" s="2" t="str">
        <f>"003702300-0"</f>
        <v>003702300-0</v>
      </c>
      <c r="C7787" s="2" t="str">
        <f>"3702300-0"</f>
        <v>3702300-0</v>
      </c>
      <c r="D7787" s="2" t="s">
        <v>9694</v>
      </c>
      <c r="E7787" s="4">
        <v>79000</v>
      </c>
    </row>
    <row r="7788" spans="1:5">
      <c r="A7788" s="2" t="s">
        <v>296</v>
      </c>
      <c r="B7788" s="2" t="str">
        <f>"245034"</f>
        <v>245034</v>
      </c>
      <c r="C7788" s="2" t="str">
        <f>"245034"</f>
        <v>245034</v>
      </c>
      <c r="D7788" s="2" t="s">
        <v>9695</v>
      </c>
      <c r="E7788" s="4">
        <v>130000</v>
      </c>
    </row>
    <row r="7789" spans="1:5">
      <c r="A7789" s="2" t="s">
        <v>2076</v>
      </c>
      <c r="B7789" s="2" t="str">
        <f>"1225097-5"</f>
        <v>1225097-5</v>
      </c>
      <c r="C7789" s="2" t="str">
        <f>"1225097-5"</f>
        <v>1225097-5</v>
      </c>
      <c r="D7789" s="2" t="s">
        <v>9696</v>
      </c>
      <c r="E7789" s="4">
        <v>259000</v>
      </c>
    </row>
    <row r="7790" spans="1:5">
      <c r="A7790" s="2" t="s">
        <v>296</v>
      </c>
      <c r="B7790" s="2" t="str">
        <f>"001222119-3"</f>
        <v>001222119-3</v>
      </c>
      <c r="C7790" s="2" t="str">
        <f>"1222119-3"</f>
        <v>1222119-3</v>
      </c>
      <c r="D7790" s="2" t="s">
        <v>9697</v>
      </c>
      <c r="E7790" s="4">
        <v>550000</v>
      </c>
    </row>
    <row r="7791" spans="1:5">
      <c r="A7791" s="2" t="s">
        <v>296</v>
      </c>
      <c r="B7791" s="2" t="str">
        <f>"054778"</f>
        <v>054778</v>
      </c>
      <c r="C7791" s="2" t="str">
        <f>"054778"</f>
        <v>054778</v>
      </c>
      <c r="D7791" s="2" t="s">
        <v>9698</v>
      </c>
      <c r="E7791" s="4">
        <v>300000</v>
      </c>
    </row>
    <row r="7792" spans="1:5">
      <c r="A7792" s="2" t="s">
        <v>296</v>
      </c>
      <c r="B7792" s="2" t="s">
        <v>9699</v>
      </c>
      <c r="C7792" s="2" t="s">
        <v>9700</v>
      </c>
      <c r="D7792" s="2" t="s">
        <v>9701</v>
      </c>
      <c r="E7792" s="4">
        <v>428995</v>
      </c>
    </row>
    <row r="7793" spans="1:5">
      <c r="A7793" s="2" t="s">
        <v>296</v>
      </c>
      <c r="B7793" s="2" t="str">
        <f>"9942633"</f>
        <v>9942633</v>
      </c>
      <c r="C7793" s="2" t="str">
        <f>"9942633"</f>
        <v>9942633</v>
      </c>
      <c r="D7793" s="2" t="s">
        <v>9702</v>
      </c>
      <c r="E7793" s="4">
        <v>97000</v>
      </c>
    </row>
    <row r="7794" spans="1:5">
      <c r="A7794" s="2" t="s">
        <v>296</v>
      </c>
      <c r="B7794" s="2" t="str">
        <f>"009423"</f>
        <v>009423</v>
      </c>
      <c r="C7794" s="2" t="str">
        <f>"009423"</f>
        <v>009423</v>
      </c>
      <c r="D7794" s="2" t="s">
        <v>9703</v>
      </c>
      <c r="E7794" s="4">
        <v>75000</v>
      </c>
    </row>
    <row r="7795" spans="1:5">
      <c r="A7795" s="2" t="s">
        <v>296</v>
      </c>
      <c r="B7795" s="2" t="str">
        <f>"1925033"</f>
        <v>1925033</v>
      </c>
      <c r="C7795" s="2" t="str">
        <f>"1925033"</f>
        <v>1925033</v>
      </c>
      <c r="D7795" s="2" t="s">
        <v>9704</v>
      </c>
      <c r="E7795" s="4">
        <v>98800</v>
      </c>
    </row>
    <row r="7796" spans="1:5">
      <c r="A7796" s="2" t="s">
        <v>296</v>
      </c>
      <c r="B7796" s="2" t="str">
        <f>"302869"</f>
        <v>302869</v>
      </c>
      <c r="C7796" s="2" t="str">
        <f>"302869"</f>
        <v>302869</v>
      </c>
      <c r="D7796" s="2" t="s">
        <v>9705</v>
      </c>
      <c r="E7796" s="4">
        <v>106000</v>
      </c>
    </row>
    <row r="7797" spans="1:5">
      <c r="A7797" s="2" t="s">
        <v>296</v>
      </c>
      <c r="B7797" s="2" t="str">
        <f>"1722038-1"</f>
        <v>1722038-1</v>
      </c>
      <c r="C7797" s="2" t="str">
        <f>"1722038-1"</f>
        <v>1722038-1</v>
      </c>
      <c r="D7797" s="2" t="s">
        <v>9706</v>
      </c>
      <c r="E7797" s="4">
        <v>59000</v>
      </c>
    </row>
    <row r="7798" spans="1:5" ht="27.6">
      <c r="A7798" s="2" t="s">
        <v>296</v>
      </c>
      <c r="B7798" s="2" t="str">
        <f>"000902718-1"</f>
        <v>000902718-1</v>
      </c>
      <c r="C7798" s="2" t="str">
        <f>"09027181"</f>
        <v>09027181</v>
      </c>
      <c r="D7798" s="2" t="s">
        <v>9707</v>
      </c>
      <c r="E7798" s="4">
        <v>110000</v>
      </c>
    </row>
    <row r="7799" spans="1:5">
      <c r="A7799" s="2" t="s">
        <v>296</v>
      </c>
      <c r="B7799" s="2" t="str">
        <f>"1725029-9"</f>
        <v>1725029-9</v>
      </c>
      <c r="C7799" s="2" t="str">
        <f>"1725029-9"</f>
        <v>1725029-9</v>
      </c>
      <c r="D7799" s="2" t="s">
        <v>9708</v>
      </c>
      <c r="E7799" s="4">
        <v>59000</v>
      </c>
    </row>
    <row r="7800" spans="1:5">
      <c r="A7800" s="2" t="s">
        <v>296</v>
      </c>
      <c r="B7800" s="2" t="str">
        <f>"001725072-8"</f>
        <v>001725072-8</v>
      </c>
      <c r="C7800" s="2" t="str">
        <f>"001725072-8"</f>
        <v>001725072-8</v>
      </c>
      <c r="D7800" s="2" t="s">
        <v>9709</v>
      </c>
      <c r="E7800" s="4">
        <v>88000</v>
      </c>
    </row>
    <row r="7801" spans="1:5">
      <c r="A7801" s="2" t="s">
        <v>2076</v>
      </c>
      <c r="B7801" s="2" t="str">
        <f>"001725049-3"</f>
        <v>001725049-3</v>
      </c>
      <c r="C7801" s="2" t="str">
        <f>"1725049-3"</f>
        <v>1725049-3</v>
      </c>
      <c r="D7801" s="2" t="s">
        <v>9710</v>
      </c>
      <c r="E7801" s="4">
        <v>79000</v>
      </c>
    </row>
    <row r="7802" spans="1:5">
      <c r="A7802" s="2" t="s">
        <v>296</v>
      </c>
      <c r="B7802" s="2" t="str">
        <f>"245033"</f>
        <v>245033</v>
      </c>
      <c r="C7802" s="2" t="str">
        <f>"245033"</f>
        <v>245033</v>
      </c>
      <c r="D7802" s="2" t="s">
        <v>9711</v>
      </c>
      <c r="E7802" s="4">
        <v>70000</v>
      </c>
    </row>
    <row r="7803" spans="1:5">
      <c r="A7803" s="2" t="s">
        <v>296</v>
      </c>
      <c r="B7803" s="2" t="str">
        <f>"8025153"</f>
        <v>8025153</v>
      </c>
      <c r="C7803" s="2" t="str">
        <f>"8025153"</f>
        <v>8025153</v>
      </c>
      <c r="D7803" s="2" t="s">
        <v>9712</v>
      </c>
      <c r="E7803" s="4">
        <v>34000</v>
      </c>
    </row>
    <row r="7804" spans="1:5">
      <c r="A7804" s="2" t="s">
        <v>296</v>
      </c>
      <c r="B7804" s="2" t="str">
        <f>"001722058-6"</f>
        <v>001722058-6</v>
      </c>
      <c r="C7804" s="2" t="str">
        <f>"1722058-6"</f>
        <v>1722058-6</v>
      </c>
      <c r="D7804" s="2" t="s">
        <v>9713</v>
      </c>
      <c r="E7804" s="4">
        <v>70000</v>
      </c>
    </row>
    <row r="7805" spans="1:5">
      <c r="A7805" s="2" t="s">
        <v>296</v>
      </c>
      <c r="B7805" s="2" t="str">
        <f>"001725058-2"</f>
        <v>001725058-2</v>
      </c>
      <c r="C7805" s="2" t="str">
        <f>"1725058-2"</f>
        <v>1725058-2</v>
      </c>
      <c r="D7805" s="2" t="s">
        <v>9714</v>
      </c>
      <c r="E7805" s="4">
        <v>88000</v>
      </c>
    </row>
    <row r="7806" spans="1:5">
      <c r="A7806" s="2" t="s">
        <v>296</v>
      </c>
      <c r="B7806" s="2" t="str">
        <f>"245043"</f>
        <v>245043</v>
      </c>
      <c r="C7806" s="2" t="str">
        <f>"245043"</f>
        <v>245043</v>
      </c>
      <c r="D7806" s="2" t="s">
        <v>9715</v>
      </c>
      <c r="E7806" s="4">
        <v>69500</v>
      </c>
    </row>
    <row r="7807" spans="1:5" ht="27.6">
      <c r="A7807" s="2" t="s">
        <v>296</v>
      </c>
      <c r="B7807" s="2" t="str">
        <f>"1725110-4"</f>
        <v>1725110-4</v>
      </c>
      <c r="C7807" s="2" t="str">
        <f>"125110-4"</f>
        <v>125110-4</v>
      </c>
      <c r="D7807" s="2" t="s">
        <v>9716</v>
      </c>
      <c r="E7807" s="4">
        <v>75000</v>
      </c>
    </row>
    <row r="7808" spans="1:5">
      <c r="A7808" s="2" t="s">
        <v>296</v>
      </c>
      <c r="B7808" s="2" t="str">
        <f>"001722123-K"</f>
        <v>001722123-K</v>
      </c>
      <c r="C7808" s="2" t="str">
        <f>"001722123-K"</f>
        <v>001722123-K</v>
      </c>
      <c r="D7808" s="2" t="s">
        <v>9717</v>
      </c>
      <c r="E7808" s="4">
        <v>97000</v>
      </c>
    </row>
    <row r="7809" spans="1:5">
      <c r="A7809" s="2" t="s">
        <v>296</v>
      </c>
      <c r="B7809" s="2" t="str">
        <f>"1722123-k"</f>
        <v>1722123-k</v>
      </c>
      <c r="C7809" s="2" t="s">
        <v>9718</v>
      </c>
      <c r="D7809" s="2" t="s">
        <v>9719</v>
      </c>
      <c r="E7809" s="4">
        <v>88000</v>
      </c>
    </row>
    <row r="7810" spans="1:5">
      <c r="A7810" s="2" t="s">
        <v>296</v>
      </c>
      <c r="B7810" s="2" t="s">
        <v>9720</v>
      </c>
      <c r="C7810" s="2" t="str">
        <f>"1722010-1"</f>
        <v>1722010-1</v>
      </c>
      <c r="D7810" s="2" t="s">
        <v>9721</v>
      </c>
      <c r="E7810" s="4">
        <v>43000</v>
      </c>
    </row>
    <row r="7811" spans="1:5">
      <c r="A7811" s="2" t="s">
        <v>296</v>
      </c>
      <c r="B7811" s="2" t="str">
        <f>"1725072-8"</f>
        <v>1725072-8</v>
      </c>
      <c r="C7811" s="2" t="str">
        <f>"1725072-8"</f>
        <v>1725072-8</v>
      </c>
      <c r="D7811" s="2" t="s">
        <v>9722</v>
      </c>
      <c r="E7811" s="4">
        <v>97000</v>
      </c>
    </row>
    <row r="7812" spans="1:5">
      <c r="A7812" s="2" t="s">
        <v>2076</v>
      </c>
      <c r="B7812" s="2" t="str">
        <f>"2125014-7"</f>
        <v>2125014-7</v>
      </c>
      <c r="C7812" s="2" t="str">
        <f>"2125014-7"</f>
        <v>2125014-7</v>
      </c>
      <c r="D7812" s="2" t="s">
        <v>9723</v>
      </c>
      <c r="E7812" s="4">
        <v>63000</v>
      </c>
    </row>
    <row r="7813" spans="1:5">
      <c r="A7813" s="2" t="s">
        <v>296</v>
      </c>
      <c r="B7813" s="2" t="s">
        <v>9724</v>
      </c>
      <c r="C7813" s="2" t="s">
        <v>9724</v>
      </c>
      <c r="D7813" s="2" t="s">
        <v>9725</v>
      </c>
      <c r="E7813" s="4">
        <v>97000</v>
      </c>
    </row>
    <row r="7814" spans="1:5">
      <c r="A7814" s="2" t="s">
        <v>296</v>
      </c>
      <c r="B7814" s="2" t="str">
        <f>"001722004-7"</f>
        <v>001722004-7</v>
      </c>
      <c r="C7814" s="2" t="str">
        <f>"1722004-7"</f>
        <v>1722004-7</v>
      </c>
      <c r="D7814" s="2" t="s">
        <v>9726</v>
      </c>
      <c r="E7814" s="4">
        <v>59000</v>
      </c>
    </row>
    <row r="7815" spans="1:5">
      <c r="A7815" s="2" t="s">
        <v>296</v>
      </c>
      <c r="B7815" s="2" t="s">
        <v>9727</v>
      </c>
      <c r="C7815" s="2" t="s">
        <v>9727</v>
      </c>
      <c r="D7815" s="2" t="s">
        <v>9728</v>
      </c>
      <c r="E7815" s="4">
        <v>97000</v>
      </c>
    </row>
    <row r="7816" spans="1:5">
      <c r="A7816" s="2" t="s">
        <v>296</v>
      </c>
      <c r="B7816" s="2" t="str">
        <f>"005979"</f>
        <v>005979</v>
      </c>
      <c r="C7816" s="2" t="str">
        <f>"005979"</f>
        <v>005979</v>
      </c>
      <c r="D7816" s="2" t="s">
        <v>9729</v>
      </c>
      <c r="E7816" s="4">
        <v>120000</v>
      </c>
    </row>
    <row r="7817" spans="1:5">
      <c r="A7817" s="2" t="s">
        <v>296</v>
      </c>
      <c r="B7817" s="2" t="s">
        <v>9730</v>
      </c>
      <c r="C7817" s="2" t="s">
        <v>9730</v>
      </c>
      <c r="D7817" s="2" t="s">
        <v>9731</v>
      </c>
      <c r="E7817" s="4">
        <v>59000</v>
      </c>
    </row>
    <row r="7818" spans="1:5">
      <c r="A7818" s="2" t="s">
        <v>296</v>
      </c>
      <c r="B7818" s="2" t="s">
        <v>9732</v>
      </c>
      <c r="C7818" s="2" t="s">
        <v>9732</v>
      </c>
      <c r="D7818" s="2" t="s">
        <v>9733</v>
      </c>
      <c r="E7818" s="4">
        <v>197000</v>
      </c>
    </row>
    <row r="7819" spans="1:5">
      <c r="A7819" s="2" t="s">
        <v>2076</v>
      </c>
      <c r="B7819" s="2" t="str">
        <f>"902718-1"</f>
        <v>902718-1</v>
      </c>
      <c r="C7819" s="2" t="str">
        <f>"902718-1"</f>
        <v>902718-1</v>
      </c>
      <c r="D7819" s="2" t="s">
        <v>9734</v>
      </c>
      <c r="E7819" s="4">
        <v>110000</v>
      </c>
    </row>
    <row r="7820" spans="1:5">
      <c r="A7820" s="2" t="s">
        <v>2076</v>
      </c>
      <c r="B7820" s="2" t="str">
        <f>"000902717-3"</f>
        <v>000902717-3</v>
      </c>
      <c r="C7820" s="2" t="str">
        <f>"902717-3"</f>
        <v>902717-3</v>
      </c>
      <c r="D7820" s="2" t="s">
        <v>9735</v>
      </c>
      <c r="E7820" s="4">
        <v>97000</v>
      </c>
    </row>
    <row r="7821" spans="1:5">
      <c r="A7821" s="2" t="s">
        <v>2076</v>
      </c>
      <c r="B7821" s="2" t="str">
        <f>"000902683-5"</f>
        <v>000902683-5</v>
      </c>
      <c r="C7821" s="2" t="str">
        <f>"902683-5"</f>
        <v>902683-5</v>
      </c>
      <c r="D7821" s="2" t="s">
        <v>9736</v>
      </c>
      <c r="E7821" s="4">
        <v>59000</v>
      </c>
    </row>
    <row r="7822" spans="1:5">
      <c r="A7822" s="2" t="s">
        <v>2076</v>
      </c>
      <c r="B7822" s="2" t="str">
        <f>"000902702-5"</f>
        <v>000902702-5</v>
      </c>
      <c r="C7822" s="2" t="str">
        <f>"902702-5"</f>
        <v>902702-5</v>
      </c>
      <c r="D7822" s="2" t="s">
        <v>9737</v>
      </c>
      <c r="E7822" s="4">
        <v>88000</v>
      </c>
    </row>
    <row r="7823" spans="1:5">
      <c r="A7823" s="2" t="s">
        <v>296</v>
      </c>
      <c r="B7823" s="2" t="str">
        <f>"007397"</f>
        <v>007397</v>
      </c>
      <c r="C7823" s="2" t="str">
        <f>"007397"</f>
        <v>007397</v>
      </c>
      <c r="D7823" s="2" t="s">
        <v>9738</v>
      </c>
      <c r="E7823" s="4">
        <v>178000</v>
      </c>
    </row>
    <row r="7824" spans="1:5">
      <c r="A7824" s="2" t="s">
        <v>296</v>
      </c>
      <c r="B7824" s="2" t="str">
        <f>"9951349"</f>
        <v>9951349</v>
      </c>
      <c r="C7824" s="2" t="str">
        <f>"9951349"</f>
        <v>9951349</v>
      </c>
      <c r="D7824" s="2" t="s">
        <v>9739</v>
      </c>
      <c r="E7824" s="4">
        <v>160000</v>
      </c>
    </row>
    <row r="7825" spans="1:5">
      <c r="A7825" s="2" t="s">
        <v>296</v>
      </c>
      <c r="B7825" s="2" t="str">
        <f>"287885"</f>
        <v>287885</v>
      </c>
      <c r="C7825" s="2" t="str">
        <f>"287885"</f>
        <v>287885</v>
      </c>
      <c r="D7825" s="2" t="s">
        <v>9740</v>
      </c>
      <c r="E7825" s="4">
        <v>115000</v>
      </c>
    </row>
    <row r="7826" spans="1:5">
      <c r="A7826" s="2" t="s">
        <v>296</v>
      </c>
      <c r="B7826" s="2" t="str">
        <f>"9951277"</f>
        <v>9951277</v>
      </c>
      <c r="C7826" s="2" t="str">
        <f>"9951277"</f>
        <v>9951277</v>
      </c>
      <c r="D7826" s="2" t="s">
        <v>9741</v>
      </c>
      <c r="E7826" s="4">
        <v>340000</v>
      </c>
    </row>
    <row r="7827" spans="1:5">
      <c r="A7827" s="2" t="s">
        <v>296</v>
      </c>
      <c r="B7827" s="2" t="s">
        <v>9742</v>
      </c>
      <c r="C7827" s="2" t="s">
        <v>9742</v>
      </c>
      <c r="D7827" s="2" t="s">
        <v>9743</v>
      </c>
      <c r="E7827" s="4">
        <v>295000</v>
      </c>
    </row>
    <row r="7828" spans="1:5">
      <c r="A7828" s="2" t="s">
        <v>296</v>
      </c>
      <c r="B7828" s="2" t="str">
        <f>"0012820"</f>
        <v>0012820</v>
      </c>
      <c r="C7828" s="2" t="str">
        <f>"9949860"</f>
        <v>9949860</v>
      </c>
      <c r="D7828" s="2" t="s">
        <v>9744</v>
      </c>
      <c r="E7828" s="4">
        <v>286000</v>
      </c>
    </row>
    <row r="7829" spans="1:5">
      <c r="A7829" s="2" t="s">
        <v>296</v>
      </c>
      <c r="B7829" s="2" t="str">
        <f>"000902768-8"</f>
        <v>000902768-8</v>
      </c>
      <c r="C7829" s="2" t="str">
        <f>"902768-8"</f>
        <v>902768-8</v>
      </c>
      <c r="D7829" s="2" t="s">
        <v>9745</v>
      </c>
      <c r="E7829" s="4">
        <v>65000</v>
      </c>
    </row>
    <row r="7830" spans="1:5">
      <c r="A7830" s="2" t="s">
        <v>296</v>
      </c>
      <c r="B7830" s="2" t="str">
        <f>"000902769-6"</f>
        <v>000902769-6</v>
      </c>
      <c r="C7830" s="2" t="str">
        <f>"00902769-6"</f>
        <v>00902769-6</v>
      </c>
      <c r="D7830" s="2" t="s">
        <v>9746</v>
      </c>
      <c r="E7830" s="4">
        <v>69000</v>
      </c>
    </row>
    <row r="7831" spans="1:5">
      <c r="A7831" s="2" t="s">
        <v>296</v>
      </c>
      <c r="B7831" s="2" t="str">
        <f>"1493760728"</f>
        <v>1493760728</v>
      </c>
      <c r="C7831" s="2" t="str">
        <f>"000902683-5"</f>
        <v>000902683-5</v>
      </c>
      <c r="D7831" s="2" t="s">
        <v>9747</v>
      </c>
      <c r="E7831" s="4">
        <v>68000</v>
      </c>
    </row>
    <row r="7832" spans="1:5">
      <c r="A7832" s="2" t="s">
        <v>296</v>
      </c>
      <c r="B7832" s="2" t="str">
        <f>"0013634"</f>
        <v>0013634</v>
      </c>
      <c r="C7832" s="2" t="str">
        <f>"0013634"</f>
        <v>0013634</v>
      </c>
      <c r="D7832" s="2" t="s">
        <v>9748</v>
      </c>
      <c r="E7832" s="4">
        <v>65000</v>
      </c>
    </row>
    <row r="7833" spans="1:5">
      <c r="A7833" s="2" t="s">
        <v>296</v>
      </c>
      <c r="B7833" s="2" t="s">
        <v>9749</v>
      </c>
      <c r="C7833" s="2" t="s">
        <v>9749</v>
      </c>
      <c r="D7833" s="2" t="s">
        <v>9750</v>
      </c>
      <c r="E7833" s="4">
        <v>43000</v>
      </c>
    </row>
    <row r="7834" spans="1:5">
      <c r="A7834" s="2" t="s">
        <v>296</v>
      </c>
      <c r="B7834" s="2" t="s">
        <v>9751</v>
      </c>
      <c r="C7834" s="2" t="s">
        <v>9751</v>
      </c>
      <c r="D7834" s="2" t="s">
        <v>9752</v>
      </c>
      <c r="E7834" s="4">
        <v>97000</v>
      </c>
    </row>
    <row r="7835" spans="1:5">
      <c r="A7835" s="2" t="s">
        <v>296</v>
      </c>
      <c r="B7835" s="2" t="s">
        <v>9753</v>
      </c>
      <c r="C7835" s="2" t="s">
        <v>9753</v>
      </c>
      <c r="D7835" s="2" t="s">
        <v>9754</v>
      </c>
      <c r="E7835" s="4">
        <v>97000</v>
      </c>
    </row>
    <row r="7836" spans="1:5">
      <c r="A7836" s="2" t="s">
        <v>296</v>
      </c>
      <c r="B7836" s="2" t="s">
        <v>9755</v>
      </c>
      <c r="C7836" s="2" t="s">
        <v>9755</v>
      </c>
      <c r="D7836" s="2" t="s">
        <v>9756</v>
      </c>
      <c r="E7836" s="4">
        <v>1920000</v>
      </c>
    </row>
    <row r="7837" spans="1:5">
      <c r="A7837" s="2" t="s">
        <v>296</v>
      </c>
      <c r="B7837" s="2" t="str">
        <f>"4400050"</f>
        <v>4400050</v>
      </c>
      <c r="C7837" s="2" t="str">
        <f>"4400050"</f>
        <v>4400050</v>
      </c>
      <c r="D7837" s="2" t="s">
        <v>9757</v>
      </c>
      <c r="E7837" s="4">
        <v>98800</v>
      </c>
    </row>
    <row r="7838" spans="1:5">
      <c r="A7838" s="2" t="s">
        <v>296</v>
      </c>
      <c r="B7838" s="2" t="str">
        <f>"4200015"</f>
        <v>4200015</v>
      </c>
      <c r="C7838" s="2" t="str">
        <f>"4200015"</f>
        <v>4200015</v>
      </c>
      <c r="D7838" s="2" t="s">
        <v>9758</v>
      </c>
      <c r="E7838" s="4">
        <v>85300</v>
      </c>
    </row>
    <row r="7839" spans="1:5">
      <c r="A7839" s="2" t="s">
        <v>2076</v>
      </c>
      <c r="B7839" s="2" t="s">
        <v>9759</v>
      </c>
      <c r="C7839" s="2" t="str">
        <f>"1735908745747"</f>
        <v>1735908745747</v>
      </c>
      <c r="D7839" s="2" t="s">
        <v>9760</v>
      </c>
      <c r="E7839" s="4">
        <v>295000</v>
      </c>
    </row>
    <row r="7840" spans="1:5">
      <c r="A7840" s="2" t="s">
        <v>5</v>
      </c>
      <c r="B7840" s="2" t="str">
        <f>"001319"</f>
        <v>001319</v>
      </c>
      <c r="C7840" s="2" t="str">
        <f>"001319"</f>
        <v>001319</v>
      </c>
      <c r="D7840" s="2" t="s">
        <v>9761</v>
      </c>
      <c r="E7840" s="4">
        <v>35000</v>
      </c>
    </row>
    <row r="7841" spans="1:5">
      <c r="A7841" s="2" t="s">
        <v>5</v>
      </c>
      <c r="B7841" s="2" t="s">
        <v>9762</v>
      </c>
      <c r="C7841" s="2" t="str">
        <f>"1627509437793"</f>
        <v>1627509437793</v>
      </c>
      <c r="D7841" s="2" t="s">
        <v>9763</v>
      </c>
      <c r="E7841" s="4">
        <v>21000</v>
      </c>
    </row>
    <row r="7842" spans="1:5">
      <c r="A7842" s="2" t="s">
        <v>5</v>
      </c>
      <c r="B7842" s="2" t="str">
        <f>"003241"</f>
        <v>003241</v>
      </c>
      <c r="C7842" s="2" t="str">
        <f>"003241"</f>
        <v>003241</v>
      </c>
      <c r="D7842" s="2" t="s">
        <v>9764</v>
      </c>
      <c r="E7842" s="4">
        <v>32000</v>
      </c>
    </row>
    <row r="7843" spans="1:5">
      <c r="A7843" s="2" t="s">
        <v>5</v>
      </c>
      <c r="B7843" s="2" t="str">
        <f>"0013264"</f>
        <v>0013264</v>
      </c>
      <c r="C7843" s="2" t="str">
        <f>"0013264"</f>
        <v>0013264</v>
      </c>
      <c r="D7843" s="2" t="s">
        <v>9765</v>
      </c>
      <c r="E7843" s="4">
        <v>34000</v>
      </c>
    </row>
    <row r="7844" spans="1:5">
      <c r="A7844" s="2" t="s">
        <v>5</v>
      </c>
      <c r="B7844" s="2" t="str">
        <f>"300725"</f>
        <v>300725</v>
      </c>
      <c r="C7844" s="2" t="str">
        <f>"300725"</f>
        <v>300725</v>
      </c>
      <c r="D7844" s="2" t="s">
        <v>9766</v>
      </c>
      <c r="E7844" s="4">
        <v>48000</v>
      </c>
    </row>
    <row r="7845" spans="1:5">
      <c r="A7845" s="2" t="s">
        <v>5</v>
      </c>
      <c r="B7845" s="2" t="str">
        <f>"281681"</f>
        <v>281681</v>
      </c>
      <c r="C7845" s="2" t="str">
        <f>"281681"</f>
        <v>281681</v>
      </c>
      <c r="D7845" s="2" t="s">
        <v>9767</v>
      </c>
      <c r="E7845" s="4">
        <v>74000</v>
      </c>
    </row>
    <row r="7846" spans="1:5">
      <c r="A7846" s="2" t="s">
        <v>5</v>
      </c>
      <c r="B7846" s="2" t="str">
        <f>"002349"</f>
        <v>002349</v>
      </c>
      <c r="C7846" s="2" t="str">
        <f>"002349"</f>
        <v>002349</v>
      </c>
      <c r="D7846" s="2" t="s">
        <v>9768</v>
      </c>
      <c r="E7846" s="4">
        <v>61500</v>
      </c>
    </row>
    <row r="7847" spans="1:5">
      <c r="A7847" s="2" t="s">
        <v>5</v>
      </c>
      <c r="B7847" s="2" t="str">
        <f>"0013257"</f>
        <v>0013257</v>
      </c>
      <c r="C7847" s="2" t="str">
        <f>"0013257"</f>
        <v>0013257</v>
      </c>
      <c r="D7847" s="2" t="s">
        <v>9769</v>
      </c>
      <c r="E7847" s="4">
        <v>69000</v>
      </c>
    </row>
    <row r="7848" spans="1:5">
      <c r="A7848" s="2" t="s">
        <v>5</v>
      </c>
      <c r="B7848" s="2" t="str">
        <f>"032013"</f>
        <v>032013</v>
      </c>
      <c r="C7848" s="2" t="str">
        <f>"032013"</f>
        <v>032013</v>
      </c>
      <c r="D7848" s="2" t="s">
        <v>9770</v>
      </c>
      <c r="E7848" s="4">
        <v>10600</v>
      </c>
    </row>
    <row r="7849" spans="1:5">
      <c r="A7849" s="2" t="s">
        <v>5</v>
      </c>
      <c r="B7849" s="2" t="str">
        <f>"0000605"</f>
        <v>0000605</v>
      </c>
      <c r="C7849" s="2" t="str">
        <f>"0000605"</f>
        <v>0000605</v>
      </c>
      <c r="D7849" s="2" t="s">
        <v>9771</v>
      </c>
      <c r="E7849" s="4">
        <v>30000</v>
      </c>
    </row>
    <row r="7850" spans="1:5">
      <c r="A7850" s="2" t="s">
        <v>5</v>
      </c>
      <c r="B7850" s="2" t="str">
        <f>"020340577"</f>
        <v>020340577</v>
      </c>
      <c r="C7850" s="2" t="str">
        <f>"020340577"</f>
        <v>020340577</v>
      </c>
      <c r="D7850" s="2" t="s">
        <v>9772</v>
      </c>
      <c r="E7850" s="4">
        <v>37000</v>
      </c>
    </row>
    <row r="7851" spans="1:5">
      <c r="A7851" s="2" t="s">
        <v>421</v>
      </c>
      <c r="B7851" s="2" t="s">
        <v>9773</v>
      </c>
      <c r="C7851" s="2" t="str">
        <f>"3028-3185"</f>
        <v>3028-3185</v>
      </c>
      <c r="D7851" s="2" t="s">
        <v>9774</v>
      </c>
      <c r="E7851" s="4">
        <v>8900</v>
      </c>
    </row>
    <row r="7852" spans="1:5">
      <c r="A7852" s="2" t="s">
        <v>165</v>
      </c>
      <c r="B7852" s="2" t="str">
        <f>"45999"</f>
        <v>45999</v>
      </c>
      <c r="C7852" s="2" t="str">
        <f>"1453918682"</f>
        <v>1453918682</v>
      </c>
      <c r="D7852" s="2" t="s">
        <v>9775</v>
      </c>
      <c r="E7852" s="4">
        <v>71400</v>
      </c>
    </row>
    <row r="7853" spans="1:5">
      <c r="A7853" s="2" t="s">
        <v>165</v>
      </c>
      <c r="B7853" s="2" t="str">
        <f>"501010"</f>
        <v>501010</v>
      </c>
      <c r="C7853" s="2" t="str">
        <f>"501010"</f>
        <v>501010</v>
      </c>
      <c r="D7853" s="2" t="s">
        <v>9776</v>
      </c>
      <c r="E7853" s="4">
        <v>5500</v>
      </c>
    </row>
    <row r="7854" spans="1:5">
      <c r="A7854" s="2" t="s">
        <v>1392</v>
      </c>
      <c r="B7854" s="2" t="str">
        <f>"103121"</f>
        <v>103121</v>
      </c>
      <c r="C7854" s="2" t="str">
        <f>"103121"</f>
        <v>103121</v>
      </c>
      <c r="D7854" s="2" t="s">
        <v>9777</v>
      </c>
      <c r="E7854" s="4">
        <v>2000</v>
      </c>
    </row>
    <row r="7855" spans="1:5">
      <c r="A7855" s="2" t="s">
        <v>5</v>
      </c>
      <c r="B7855" s="2" t="str">
        <f>"64332"</f>
        <v>64332</v>
      </c>
      <c r="C7855" s="2" t="str">
        <f>"064332"</f>
        <v>064332</v>
      </c>
      <c r="D7855" s="2" t="s">
        <v>9778</v>
      </c>
      <c r="E7855" s="4">
        <v>6100</v>
      </c>
    </row>
    <row r="7856" spans="1:5">
      <c r="A7856" s="2" t="s">
        <v>1392</v>
      </c>
      <c r="B7856" s="2" t="str">
        <f>"201600"</f>
        <v>201600</v>
      </c>
      <c r="C7856" s="2" t="str">
        <f>"20600"</f>
        <v>20600</v>
      </c>
      <c r="D7856" s="2" t="s">
        <v>9779</v>
      </c>
      <c r="E7856" s="2">
        <v>250</v>
      </c>
    </row>
    <row r="7857" spans="1:5">
      <c r="A7857" s="2" t="s">
        <v>1392</v>
      </c>
      <c r="B7857" s="2" t="str">
        <f>"201800"</f>
        <v>201800</v>
      </c>
      <c r="C7857" s="2" t="str">
        <f>"201800"</f>
        <v>201800</v>
      </c>
      <c r="D7857" s="2" t="s">
        <v>9780</v>
      </c>
      <c r="E7857" s="2">
        <v>250</v>
      </c>
    </row>
    <row r="7858" spans="1:5">
      <c r="A7858" s="2" t="s">
        <v>1392</v>
      </c>
      <c r="B7858" s="2" t="str">
        <f>"198240"</f>
        <v>198240</v>
      </c>
      <c r="C7858" s="2" t="str">
        <f>"198240"</f>
        <v>198240</v>
      </c>
      <c r="D7858" s="2" t="s">
        <v>9781</v>
      </c>
      <c r="E7858" s="2">
        <v>300</v>
      </c>
    </row>
    <row r="7859" spans="1:5">
      <c r="A7859" s="2" t="s">
        <v>1392</v>
      </c>
      <c r="B7859" s="2" t="str">
        <f>"198280"</f>
        <v>198280</v>
      </c>
      <c r="C7859" s="2" t="str">
        <f>"198280"</f>
        <v>198280</v>
      </c>
      <c r="D7859" s="2" t="s">
        <v>9782</v>
      </c>
      <c r="E7859" s="2">
        <v>300</v>
      </c>
    </row>
    <row r="7860" spans="1:5">
      <c r="A7860" s="2" t="s">
        <v>296</v>
      </c>
      <c r="B7860" s="2" t="str">
        <f>"0893620031"</f>
        <v>0893620031</v>
      </c>
      <c r="C7860" s="2" t="s">
        <v>9783</v>
      </c>
      <c r="D7860" s="2" t="s">
        <v>9784</v>
      </c>
      <c r="E7860" s="4">
        <v>9700</v>
      </c>
    </row>
    <row r="7861" spans="1:5">
      <c r="A7861" s="2" t="s">
        <v>165</v>
      </c>
      <c r="B7861" s="2" t="s">
        <v>9785</v>
      </c>
      <c r="C7861" s="2" t="s">
        <v>9785</v>
      </c>
      <c r="D7861" s="2" t="s">
        <v>9786</v>
      </c>
      <c r="E7861" s="4">
        <v>5200</v>
      </c>
    </row>
    <row r="7862" spans="1:5">
      <c r="A7862" s="2" t="s">
        <v>165</v>
      </c>
      <c r="B7862" s="2" t="s">
        <v>9787</v>
      </c>
      <c r="C7862" s="2" t="s">
        <v>9787</v>
      </c>
      <c r="D7862" s="2" t="s">
        <v>9788</v>
      </c>
      <c r="E7862" s="4">
        <v>4800</v>
      </c>
    </row>
    <row r="7863" spans="1:5">
      <c r="A7863" s="2" t="s">
        <v>165</v>
      </c>
      <c r="B7863" s="2" t="str">
        <f>"430241-544"</f>
        <v>430241-544</v>
      </c>
      <c r="C7863" s="2" t="str">
        <f>"430241-544"</f>
        <v>430241-544</v>
      </c>
      <c r="D7863" s="2" t="s">
        <v>9789</v>
      </c>
      <c r="E7863" s="4">
        <v>4500</v>
      </c>
    </row>
    <row r="7864" spans="1:5">
      <c r="A7864" s="2" t="s">
        <v>165</v>
      </c>
      <c r="B7864" s="2" t="str">
        <f>"4100420021237"</f>
        <v>4100420021237</v>
      </c>
      <c r="C7864" s="2" t="str">
        <f>"2123"</f>
        <v>2123</v>
      </c>
      <c r="D7864" s="2" t="s">
        <v>9790</v>
      </c>
      <c r="E7864" s="4">
        <v>5200</v>
      </c>
    </row>
    <row r="7865" spans="1:5">
      <c r="A7865" s="2" t="s">
        <v>296</v>
      </c>
      <c r="B7865" s="2" t="str">
        <f>"4058794505580"</f>
        <v>4058794505580</v>
      </c>
      <c r="C7865" s="2" t="s">
        <v>9791</v>
      </c>
      <c r="D7865" s="2" t="s">
        <v>9792</v>
      </c>
      <c r="E7865" s="4">
        <v>4000</v>
      </c>
    </row>
    <row r="7866" spans="1:5">
      <c r="A7866" s="2" t="s">
        <v>296</v>
      </c>
      <c r="B7866" s="2" t="str">
        <f>"5605157244007"</f>
        <v>5605157244007</v>
      </c>
      <c r="C7866" s="2" t="str">
        <f>"15664-7"</f>
        <v>15664-7</v>
      </c>
      <c r="D7866" s="2" t="s">
        <v>9793</v>
      </c>
      <c r="E7866" s="4">
        <v>4500</v>
      </c>
    </row>
    <row r="7867" spans="1:5">
      <c r="A7867" s="2" t="s">
        <v>296</v>
      </c>
      <c r="B7867" s="2" t="s">
        <v>9794</v>
      </c>
      <c r="C7867" s="2" t="str">
        <f>"040210020"</f>
        <v>040210020</v>
      </c>
      <c r="D7867" s="2" t="s">
        <v>9795</v>
      </c>
      <c r="E7867" s="4">
        <v>7000</v>
      </c>
    </row>
    <row r="7868" spans="1:5">
      <c r="A7868" s="2" t="s">
        <v>296</v>
      </c>
      <c r="B7868" s="2" t="str">
        <f>"7805315000188"</f>
        <v>7805315000188</v>
      </c>
      <c r="C7868" s="2" t="s">
        <v>9796</v>
      </c>
      <c r="D7868" s="2" t="s">
        <v>9797</v>
      </c>
      <c r="E7868" s="4">
        <v>6500</v>
      </c>
    </row>
    <row r="7869" spans="1:5">
      <c r="A7869" s="2" t="s">
        <v>296</v>
      </c>
      <c r="B7869" s="2" t="str">
        <f>"4100420089312"</f>
        <v>4100420089312</v>
      </c>
      <c r="C7869" s="2" t="str">
        <f>"8931"</f>
        <v>8931</v>
      </c>
      <c r="D7869" s="2" t="s">
        <v>9798</v>
      </c>
      <c r="E7869" s="4">
        <v>10500</v>
      </c>
    </row>
    <row r="7870" spans="1:5">
      <c r="A7870" s="2" t="s">
        <v>165</v>
      </c>
      <c r="B7870" s="2" t="str">
        <f>"02212CR"</f>
        <v>02212CR</v>
      </c>
      <c r="C7870" s="2" t="str">
        <f>"02212CR"</f>
        <v>02212CR</v>
      </c>
      <c r="D7870" s="2" t="s">
        <v>9799</v>
      </c>
      <c r="E7870" s="4">
        <v>3000</v>
      </c>
    </row>
    <row r="7871" spans="1:5">
      <c r="A7871" s="2" t="s">
        <v>296</v>
      </c>
      <c r="B7871" s="2" t="str">
        <f>"089269000877"</f>
        <v>089269000877</v>
      </c>
      <c r="C7871" s="2" t="str">
        <f>"040210024"</f>
        <v>040210024</v>
      </c>
      <c r="D7871" s="2" t="s">
        <v>9800</v>
      </c>
      <c r="E7871" s="4">
        <v>4300</v>
      </c>
    </row>
    <row r="7872" spans="1:5">
      <c r="A7872" s="2" t="s">
        <v>165</v>
      </c>
      <c r="B7872" s="2" t="s">
        <v>9801</v>
      </c>
      <c r="C7872" s="2" t="s">
        <v>9801</v>
      </c>
      <c r="D7872" s="2" t="s">
        <v>9802</v>
      </c>
      <c r="E7872" s="4">
        <v>3500</v>
      </c>
    </row>
    <row r="7873" spans="1:5">
      <c r="A7873" s="2" t="s">
        <v>296</v>
      </c>
      <c r="B7873" s="2" t="str">
        <f>"8028687382006"</f>
        <v>8028687382006</v>
      </c>
      <c r="C7873" s="2" t="str">
        <f>"1001794"</f>
        <v>1001794</v>
      </c>
      <c r="D7873" s="2" t="s">
        <v>9803</v>
      </c>
      <c r="E7873" s="4">
        <v>3400</v>
      </c>
    </row>
    <row r="7874" spans="1:5">
      <c r="A7874" s="2" t="s">
        <v>296</v>
      </c>
      <c r="B7874" s="2" t="str">
        <f>"7805315124174"</f>
        <v>7805315124174</v>
      </c>
      <c r="C7874" s="2" t="str">
        <f>"100038"</f>
        <v>100038</v>
      </c>
      <c r="D7874" s="2" t="s">
        <v>9804</v>
      </c>
      <c r="E7874" s="4">
        <v>5200</v>
      </c>
    </row>
    <row r="7875" spans="1:5">
      <c r="A7875" s="2" t="s">
        <v>296</v>
      </c>
      <c r="B7875" s="2" t="str">
        <f>"4056807871295"</f>
        <v>4056807871295</v>
      </c>
      <c r="C7875" s="2" t="s">
        <v>9805</v>
      </c>
      <c r="D7875" s="2" t="s">
        <v>9806</v>
      </c>
      <c r="E7875" s="4">
        <v>4300</v>
      </c>
    </row>
    <row r="7876" spans="1:5">
      <c r="A7876" s="2" t="s">
        <v>165</v>
      </c>
      <c r="B7876" s="2" t="str">
        <f>"040210114"</f>
        <v>040210114</v>
      </c>
      <c r="C7876" s="2" t="str">
        <f>"040210114"</f>
        <v>040210114</v>
      </c>
      <c r="D7876" s="2" t="s">
        <v>9807</v>
      </c>
      <c r="E7876" s="4">
        <v>5200</v>
      </c>
    </row>
    <row r="7877" spans="1:5">
      <c r="A7877" s="2" t="s">
        <v>296</v>
      </c>
      <c r="B7877" s="2" t="str">
        <f>"2512"</f>
        <v>2512</v>
      </c>
      <c r="C7877" s="2" t="str">
        <f>"2512"</f>
        <v>2512</v>
      </c>
      <c r="D7877" s="2" t="s">
        <v>9808</v>
      </c>
      <c r="E7877" s="4">
        <v>18500</v>
      </c>
    </row>
    <row r="7878" spans="1:5">
      <c r="A7878" s="2" t="s">
        <v>165</v>
      </c>
      <c r="B7878" s="2" t="str">
        <f>"292241-544"</f>
        <v>292241-544</v>
      </c>
      <c r="C7878" s="2" t="str">
        <f>"292241-544"</f>
        <v>292241-544</v>
      </c>
      <c r="D7878" s="2" t="s">
        <v>9809</v>
      </c>
      <c r="E7878" s="4">
        <v>4500</v>
      </c>
    </row>
    <row r="7879" spans="1:5">
      <c r="A7879" s="2" t="s">
        <v>165</v>
      </c>
      <c r="B7879" s="2" t="s">
        <v>9810</v>
      </c>
      <c r="C7879" s="2" t="s">
        <v>9811</v>
      </c>
      <c r="D7879" s="2" t="s">
        <v>9812</v>
      </c>
      <c r="E7879" s="4">
        <v>8800</v>
      </c>
    </row>
    <row r="7880" spans="1:5">
      <c r="A7880" s="2" t="s">
        <v>296</v>
      </c>
      <c r="B7880" s="2" t="str">
        <f>"4100420021466"</f>
        <v>4100420021466</v>
      </c>
      <c r="C7880" s="2" t="str">
        <f>"2146"</f>
        <v>2146</v>
      </c>
      <c r="D7880" s="2" t="s">
        <v>9813</v>
      </c>
      <c r="E7880" s="4">
        <v>13500</v>
      </c>
    </row>
    <row r="7881" spans="1:5">
      <c r="A7881" s="2" t="s">
        <v>296</v>
      </c>
      <c r="B7881" s="2" t="str">
        <f>"4053479537740"</f>
        <v>4053479537740</v>
      </c>
      <c r="C7881" s="2" t="str">
        <f>"0890 108 10"</f>
        <v>0890 108 10</v>
      </c>
      <c r="D7881" s="2" t="s">
        <v>9814</v>
      </c>
      <c r="E7881" s="4">
        <v>5800</v>
      </c>
    </row>
    <row r="7882" spans="1:5">
      <c r="A7882" s="2" t="s">
        <v>165</v>
      </c>
      <c r="B7882" s="2" t="str">
        <f>"4100420021244"</f>
        <v>4100420021244</v>
      </c>
      <c r="C7882" s="2" t="str">
        <f>"2124"</f>
        <v>2124</v>
      </c>
      <c r="D7882" s="2" t="s">
        <v>9815</v>
      </c>
      <c r="E7882" s="4">
        <v>10500</v>
      </c>
    </row>
    <row r="7883" spans="1:5">
      <c r="A7883" s="2" t="s">
        <v>296</v>
      </c>
      <c r="B7883" s="2" t="str">
        <f>"040210009"</f>
        <v>040210009</v>
      </c>
      <c r="C7883" s="2" t="str">
        <f>"040210009"</f>
        <v>040210009</v>
      </c>
      <c r="D7883" s="2" t="s">
        <v>9816</v>
      </c>
      <c r="E7883" s="4">
        <v>6100</v>
      </c>
    </row>
    <row r="7884" spans="1:5">
      <c r="A7884" s="2" t="s">
        <v>165</v>
      </c>
      <c r="B7884" s="2" t="str">
        <f>"089269200444"</f>
        <v>089269200444</v>
      </c>
      <c r="C7884" s="2" t="s">
        <v>9817</v>
      </c>
      <c r="D7884" s="2" t="s">
        <v>9818</v>
      </c>
      <c r="E7884" s="4">
        <v>8800</v>
      </c>
    </row>
    <row r="7885" spans="1:5">
      <c r="A7885" s="2" t="s">
        <v>165</v>
      </c>
      <c r="B7885" s="2" t="str">
        <f>"509-FI"</f>
        <v>509-FI</v>
      </c>
      <c r="C7885" s="2" t="str">
        <f>"509-FI"</f>
        <v>509-FI</v>
      </c>
      <c r="D7885" s="2" t="s">
        <v>9819</v>
      </c>
      <c r="E7885" s="4">
        <v>5200</v>
      </c>
    </row>
    <row r="7886" spans="1:5">
      <c r="A7886" s="2" t="s">
        <v>296</v>
      </c>
      <c r="B7886" s="2" t="str">
        <f>"089269000402"</f>
        <v>089269000402</v>
      </c>
      <c r="C7886" s="2" t="s">
        <v>9820</v>
      </c>
      <c r="D7886" s="2" t="s">
        <v>9821</v>
      </c>
      <c r="E7886" s="4">
        <v>4300</v>
      </c>
    </row>
    <row r="7887" spans="1:5">
      <c r="A7887" s="2" t="s">
        <v>165</v>
      </c>
      <c r="B7887" s="2" t="str">
        <f>"8357"</f>
        <v>8357</v>
      </c>
      <c r="C7887" s="2" t="str">
        <f>"8357"</f>
        <v>8357</v>
      </c>
      <c r="D7887" s="2" t="s">
        <v>9822</v>
      </c>
      <c r="E7887" s="4">
        <v>9900</v>
      </c>
    </row>
    <row r="7888" spans="1:5">
      <c r="A7888" s="2" t="s">
        <v>165</v>
      </c>
      <c r="B7888" s="2" t="str">
        <f>"355"</f>
        <v>355</v>
      </c>
      <c r="C7888" s="2" t="str">
        <f>"355"</f>
        <v>355</v>
      </c>
      <c r="D7888" s="2" t="s">
        <v>9823</v>
      </c>
      <c r="E7888" s="4">
        <v>3800</v>
      </c>
    </row>
    <row r="7889" spans="1:5">
      <c r="A7889" s="2" t="s">
        <v>296</v>
      </c>
      <c r="B7889" s="2" t="str">
        <f>"089269002604"</f>
        <v>089269002604</v>
      </c>
      <c r="C7889" s="2" t="s">
        <v>9824</v>
      </c>
      <c r="D7889" s="2" t="s">
        <v>9825</v>
      </c>
      <c r="E7889" s="4">
        <v>7000</v>
      </c>
    </row>
    <row r="7890" spans="1:5">
      <c r="A7890" s="2" t="s">
        <v>165</v>
      </c>
      <c r="B7890" s="2" t="str">
        <f>"4100420025204"</f>
        <v>4100420025204</v>
      </c>
      <c r="C7890" s="2" t="str">
        <f>"2520"</f>
        <v>2520</v>
      </c>
      <c r="D7890" s="2" t="s">
        <v>9826</v>
      </c>
      <c r="E7890" s="4">
        <v>24500</v>
      </c>
    </row>
    <row r="7891" spans="1:5">
      <c r="A7891" s="2" t="s">
        <v>296</v>
      </c>
      <c r="B7891" s="2" t="str">
        <f>"2504"</f>
        <v>2504</v>
      </c>
      <c r="C7891" s="2" t="str">
        <f>"2504"</f>
        <v>2504</v>
      </c>
      <c r="D7891" s="2" t="s">
        <v>9827</v>
      </c>
      <c r="E7891" s="4">
        <v>10500</v>
      </c>
    </row>
    <row r="7892" spans="1:5">
      <c r="A7892" s="2" t="s">
        <v>296</v>
      </c>
      <c r="B7892" s="2" t="str">
        <f>"7702763003344"</f>
        <v>7702763003344</v>
      </c>
      <c r="C7892" s="2" t="str">
        <f>"7702763003344"</f>
        <v>7702763003344</v>
      </c>
      <c r="D7892" s="2" t="s">
        <v>9828</v>
      </c>
      <c r="E7892" s="4">
        <v>4500</v>
      </c>
    </row>
    <row r="7893" spans="1:5">
      <c r="A7893" s="2" t="s">
        <v>296</v>
      </c>
      <c r="B7893" s="2" t="str">
        <f>"82200"</f>
        <v>82200</v>
      </c>
      <c r="C7893" s="2" t="str">
        <f>"82200"</f>
        <v>82200</v>
      </c>
      <c r="D7893" s="2" t="s">
        <v>9829</v>
      </c>
      <c r="E7893" s="4">
        <v>5000</v>
      </c>
    </row>
    <row r="7894" spans="1:5">
      <c r="A7894" s="2" t="s">
        <v>165</v>
      </c>
      <c r="B7894" s="2" t="s">
        <v>9830</v>
      </c>
      <c r="C7894" s="2" t="s">
        <v>9830</v>
      </c>
      <c r="D7894" s="2" t="s">
        <v>9831</v>
      </c>
      <c r="E7894" s="4">
        <v>1900</v>
      </c>
    </row>
    <row r="7895" spans="1:5">
      <c r="A7895" s="2" t="s">
        <v>296</v>
      </c>
      <c r="B7895" s="2" t="s">
        <v>9832</v>
      </c>
      <c r="C7895" s="2" t="s">
        <v>9832</v>
      </c>
      <c r="D7895" s="2" t="s">
        <v>9833</v>
      </c>
      <c r="E7895" s="4">
        <v>2500</v>
      </c>
    </row>
    <row r="7896" spans="1:5">
      <c r="A7896" s="2" t="s">
        <v>296</v>
      </c>
      <c r="B7896" s="2" t="str">
        <f>"2657"</f>
        <v>2657</v>
      </c>
      <c r="C7896" s="2" t="str">
        <f>"2657"</f>
        <v>2657</v>
      </c>
      <c r="D7896" s="2" t="s">
        <v>9834</v>
      </c>
      <c r="E7896" s="4">
        <v>11500</v>
      </c>
    </row>
    <row r="7897" spans="1:5">
      <c r="A7897" s="2" t="s">
        <v>165</v>
      </c>
      <c r="B7897" s="2" t="str">
        <f>"02204CF"</f>
        <v>02204CF</v>
      </c>
      <c r="C7897" s="2" t="str">
        <f>"02204CF"</f>
        <v>02204CF</v>
      </c>
      <c r="D7897" s="2" t="s">
        <v>9835</v>
      </c>
      <c r="E7897" s="4">
        <v>3500</v>
      </c>
    </row>
    <row r="7898" spans="1:5">
      <c r="A7898" s="2" t="s">
        <v>296</v>
      </c>
      <c r="B7898" s="2" t="str">
        <f>"089269000198"</f>
        <v>089269000198</v>
      </c>
      <c r="C7898" s="2" t="str">
        <f>"040210008"</f>
        <v>040210008</v>
      </c>
      <c r="D7898" s="2" t="s">
        <v>9836</v>
      </c>
      <c r="E7898" s="4">
        <v>3400</v>
      </c>
    </row>
    <row r="7899" spans="1:5">
      <c r="A7899" s="2" t="s">
        <v>296</v>
      </c>
      <c r="B7899" s="2" t="str">
        <f>"7805315000652"</f>
        <v>7805315000652</v>
      </c>
      <c r="C7899" s="2" t="str">
        <f>"100093"</f>
        <v>100093</v>
      </c>
      <c r="D7899" s="2" t="s">
        <v>9837</v>
      </c>
      <c r="E7899" s="4">
        <v>5200</v>
      </c>
    </row>
    <row r="7900" spans="1:5">
      <c r="A7900" s="2" t="s">
        <v>165</v>
      </c>
      <c r="B7900" s="2" t="s">
        <v>9838</v>
      </c>
      <c r="C7900" s="2" t="s">
        <v>9838</v>
      </c>
      <c r="D7900" s="2" t="s">
        <v>9839</v>
      </c>
      <c r="E7900" s="2">
        <v>400</v>
      </c>
    </row>
    <row r="7901" spans="1:5">
      <c r="A7901" s="2" t="s">
        <v>296</v>
      </c>
      <c r="B7901" s="2" t="str">
        <f>"797496878892"</f>
        <v>797496878892</v>
      </c>
      <c r="C7901" s="2" t="s">
        <v>9840</v>
      </c>
      <c r="D7901" s="2" t="s">
        <v>9841</v>
      </c>
      <c r="E7901" s="4">
        <v>7000</v>
      </c>
    </row>
    <row r="7902" spans="1:5">
      <c r="A7902" s="2" t="s">
        <v>296</v>
      </c>
      <c r="B7902" s="2" t="str">
        <f>"012470"</f>
        <v>012470</v>
      </c>
      <c r="C7902" s="2" t="str">
        <f>"012470"</f>
        <v>012470</v>
      </c>
      <c r="D7902" s="2" t="s">
        <v>9842</v>
      </c>
      <c r="E7902" s="4">
        <v>4900</v>
      </c>
    </row>
    <row r="7903" spans="1:5">
      <c r="A7903" s="2" t="s">
        <v>165</v>
      </c>
      <c r="B7903" s="2" t="s">
        <v>9843</v>
      </c>
      <c r="C7903" s="2" t="s">
        <v>9843</v>
      </c>
      <c r="D7903" s="2" t="s">
        <v>9844</v>
      </c>
      <c r="E7903" s="4">
        <v>7100</v>
      </c>
    </row>
    <row r="7904" spans="1:5">
      <c r="A7904" s="2" t="s">
        <v>296</v>
      </c>
      <c r="B7904" s="2" t="str">
        <f>"4100420025068"</f>
        <v>4100420025068</v>
      </c>
      <c r="C7904" s="2" t="str">
        <f>"2506"</f>
        <v>2506</v>
      </c>
      <c r="D7904" s="2" t="s">
        <v>9845</v>
      </c>
      <c r="E7904" s="4">
        <v>11500</v>
      </c>
    </row>
    <row r="7905" spans="1:5">
      <c r="A7905" s="2" t="s">
        <v>165</v>
      </c>
      <c r="B7905" s="2" t="str">
        <f>"030980081"</f>
        <v>030980081</v>
      </c>
      <c r="C7905" s="2" t="s">
        <v>9846</v>
      </c>
      <c r="D7905" s="2" t="s">
        <v>9847</v>
      </c>
      <c r="E7905" s="4">
        <v>2500</v>
      </c>
    </row>
    <row r="7906" spans="1:5">
      <c r="A7906" s="2" t="s">
        <v>165</v>
      </c>
      <c r="B7906" s="2" t="s">
        <v>9848</v>
      </c>
      <c r="C7906" s="2" t="s">
        <v>9848</v>
      </c>
      <c r="D7906" s="2" t="s">
        <v>9849</v>
      </c>
      <c r="E7906" s="4">
        <v>3400</v>
      </c>
    </row>
    <row r="7907" spans="1:5">
      <c r="A7907" s="2" t="s">
        <v>165</v>
      </c>
      <c r="B7907" s="2" t="str">
        <f>"2000"</f>
        <v>2000</v>
      </c>
      <c r="C7907" s="2" t="str">
        <f>"2000"</f>
        <v>2000</v>
      </c>
      <c r="D7907" s="2" t="s">
        <v>9850</v>
      </c>
      <c r="E7907" s="4">
        <v>2800</v>
      </c>
    </row>
    <row r="7908" spans="1:5">
      <c r="A7908" s="2" t="s">
        <v>296</v>
      </c>
      <c r="B7908" s="2" t="str">
        <f>"4100420015151"</f>
        <v>4100420015151</v>
      </c>
      <c r="C7908" s="2" t="str">
        <f>"1515"</f>
        <v>1515</v>
      </c>
      <c r="D7908" s="2" t="s">
        <v>9851</v>
      </c>
      <c r="E7908" s="4">
        <v>15500</v>
      </c>
    </row>
    <row r="7909" spans="1:5">
      <c r="A7909" s="2" t="s">
        <v>165</v>
      </c>
      <c r="B7909" s="2" t="str">
        <f>"321200-544"</f>
        <v>321200-544</v>
      </c>
      <c r="C7909" s="2" t="str">
        <f>"321200-544"</f>
        <v>321200-544</v>
      </c>
      <c r="D7909" s="2" t="s">
        <v>9852</v>
      </c>
      <c r="E7909" s="4">
        <v>4500</v>
      </c>
    </row>
    <row r="7910" spans="1:5">
      <c r="A7910" s="2" t="s">
        <v>296</v>
      </c>
      <c r="B7910" s="2" t="s">
        <v>9853</v>
      </c>
      <c r="C7910" s="2" t="str">
        <f>"040210067"</f>
        <v>040210067</v>
      </c>
      <c r="D7910" s="2" t="s">
        <v>9854</v>
      </c>
      <c r="E7910" s="4">
        <v>9700</v>
      </c>
    </row>
    <row r="7911" spans="1:5">
      <c r="A7911" s="2" t="s">
        <v>296</v>
      </c>
      <c r="B7911" s="2" t="str">
        <f>"089269003953"</f>
        <v>089269003953</v>
      </c>
      <c r="C7911" s="2" t="s">
        <v>9855</v>
      </c>
      <c r="D7911" s="2" t="s">
        <v>9856</v>
      </c>
      <c r="E7911" s="4">
        <v>4300</v>
      </c>
    </row>
    <row r="7912" spans="1:5">
      <c r="A7912" s="2" t="s">
        <v>165</v>
      </c>
      <c r="B7912" s="2" t="s">
        <v>9857</v>
      </c>
      <c r="C7912" s="2" t="s">
        <v>9857</v>
      </c>
      <c r="D7912" s="2" t="s">
        <v>9858</v>
      </c>
      <c r="E7912" s="4">
        <v>1800</v>
      </c>
    </row>
    <row r="7913" spans="1:5">
      <c r="A7913" s="2" t="s">
        <v>296</v>
      </c>
      <c r="B7913" s="2" t="str">
        <f>"089269002079"</f>
        <v>089269002079</v>
      </c>
      <c r="C7913" s="2" t="s">
        <v>9859</v>
      </c>
      <c r="D7913" s="2" t="s">
        <v>9860</v>
      </c>
      <c r="E7913" s="4">
        <v>2500</v>
      </c>
    </row>
    <row r="7914" spans="1:5">
      <c r="A7914" s="2" t="s">
        <v>296</v>
      </c>
      <c r="B7914" s="2" t="s">
        <v>9861</v>
      </c>
      <c r="C7914" s="2" t="s">
        <v>9861</v>
      </c>
      <c r="D7914" s="2" t="s">
        <v>9862</v>
      </c>
      <c r="E7914" s="4">
        <v>100000</v>
      </c>
    </row>
    <row r="7915" spans="1:5">
      <c r="A7915" s="2" t="s">
        <v>165</v>
      </c>
      <c r="B7915" s="2" t="str">
        <f>"4046777382273"</f>
        <v>4046777382273</v>
      </c>
      <c r="C7915" s="2" t="str">
        <f>"4046777382273"</f>
        <v>4046777382273</v>
      </c>
      <c r="D7915" s="2" t="s">
        <v>9863</v>
      </c>
      <c r="E7915" s="4">
        <v>38500</v>
      </c>
    </row>
    <row r="7916" spans="1:5">
      <c r="A7916" s="2" t="s">
        <v>165</v>
      </c>
      <c r="B7916" s="2" t="str">
        <f>"686226822208"</f>
        <v>686226822208</v>
      </c>
      <c r="C7916" s="2" t="s">
        <v>9864</v>
      </c>
      <c r="D7916" s="2" t="s">
        <v>9865</v>
      </c>
      <c r="E7916" s="4">
        <v>4300</v>
      </c>
    </row>
    <row r="7917" spans="1:5">
      <c r="A7917" s="2" t="s">
        <v>165</v>
      </c>
      <c r="B7917" s="2" t="str">
        <f>"111101"</f>
        <v>111101</v>
      </c>
      <c r="C7917" s="2" t="str">
        <f>"111101"</f>
        <v>111101</v>
      </c>
      <c r="D7917" s="2" t="s">
        <v>9866</v>
      </c>
      <c r="E7917" s="4">
        <v>4300</v>
      </c>
    </row>
    <row r="7918" spans="1:5">
      <c r="A7918" s="2" t="s">
        <v>165</v>
      </c>
      <c r="B7918" s="2" t="str">
        <f>"4062856384501"</f>
        <v>4062856384501</v>
      </c>
      <c r="C7918" s="2" t="str">
        <f>"0890108775710"</f>
        <v>0890108775710</v>
      </c>
      <c r="D7918" s="2" t="s">
        <v>9867</v>
      </c>
      <c r="E7918" s="4">
        <v>4800</v>
      </c>
    </row>
    <row r="7919" spans="1:5">
      <c r="A7919" s="2" t="s">
        <v>165</v>
      </c>
      <c r="B7919" s="2" t="str">
        <f>"5861014501"</f>
        <v>5861014501</v>
      </c>
      <c r="C7919" s="2" t="str">
        <f>"5861014501"</f>
        <v>5861014501</v>
      </c>
      <c r="D7919" s="2" t="s">
        <v>9868</v>
      </c>
      <c r="E7919" s="4">
        <v>31000</v>
      </c>
    </row>
    <row r="7920" spans="1:5">
      <c r="A7920" s="2" t="s">
        <v>296</v>
      </c>
      <c r="B7920" s="2" t="str">
        <f>"4047025341103"</f>
        <v>4047025341103</v>
      </c>
      <c r="C7920" s="2" t="str">
        <f>"17242"</f>
        <v>17242</v>
      </c>
      <c r="D7920" s="2" t="s">
        <v>9869</v>
      </c>
      <c r="E7920" s="4">
        <v>3000</v>
      </c>
    </row>
    <row r="7921" spans="1:5">
      <c r="A7921" s="2" t="s">
        <v>296</v>
      </c>
      <c r="B7921" s="2" t="str">
        <f>"4047025341110"</f>
        <v>4047025341110</v>
      </c>
      <c r="C7921" s="2" t="str">
        <f>"17257B 18328A"</f>
        <v>17257B 18328A</v>
      </c>
      <c r="D7921" s="2" t="s">
        <v>9870</v>
      </c>
      <c r="E7921" s="4">
        <v>6000</v>
      </c>
    </row>
    <row r="7922" spans="1:5">
      <c r="A7922" s="2" t="s">
        <v>296</v>
      </c>
      <c r="B7922" s="2" t="str">
        <f>"4047025341127"</f>
        <v>4047025341127</v>
      </c>
      <c r="C7922" s="2" t="str">
        <f>"17234"</f>
        <v>17234</v>
      </c>
      <c r="D7922" s="2" t="s">
        <v>9871</v>
      </c>
      <c r="E7922" s="4">
        <v>3000</v>
      </c>
    </row>
    <row r="7923" spans="1:5">
      <c r="A7923" s="2" t="s">
        <v>296</v>
      </c>
      <c r="B7923" s="2" t="str">
        <f>"4047025341134"</f>
        <v>4047025341134</v>
      </c>
      <c r="C7923" s="2" t="str">
        <f>"17343B 18341A"</f>
        <v>17343B 18341A</v>
      </c>
      <c r="D7923" s="2" t="s">
        <v>9872</v>
      </c>
      <c r="E7923" s="4">
        <v>5500</v>
      </c>
    </row>
    <row r="7924" spans="1:5">
      <c r="A7924" s="2" t="s">
        <v>296</v>
      </c>
      <c r="B7924" s="2" t="s">
        <v>9873</v>
      </c>
      <c r="C7924" s="2" t="s">
        <v>9873</v>
      </c>
      <c r="D7924" s="2" t="s">
        <v>9874</v>
      </c>
      <c r="E7924" s="4">
        <v>7000</v>
      </c>
    </row>
    <row r="7925" spans="1:5">
      <c r="A7925" s="2" t="s">
        <v>296</v>
      </c>
      <c r="B7925" s="2" t="str">
        <f>"008536649021"</f>
        <v>008536649021</v>
      </c>
      <c r="C7925" s="2" t="str">
        <f>"920102"</f>
        <v>920102</v>
      </c>
      <c r="D7925" s="2" t="s">
        <v>9875</v>
      </c>
      <c r="E7925" s="4">
        <v>9700</v>
      </c>
    </row>
    <row r="7926" spans="1:5">
      <c r="A7926" s="2" t="s">
        <v>165</v>
      </c>
      <c r="B7926" s="2" t="str">
        <f>"008536649014"</f>
        <v>008536649014</v>
      </c>
      <c r="C7926" s="2" t="str">
        <f>"920108"</f>
        <v>920108</v>
      </c>
      <c r="D7926" s="2" t="s">
        <v>9876</v>
      </c>
      <c r="E7926" s="4">
        <v>3900</v>
      </c>
    </row>
    <row r="7927" spans="1:5">
      <c r="A7927" s="2" t="s">
        <v>296</v>
      </c>
      <c r="B7927" s="2" t="str">
        <f>"920107P"</f>
        <v>920107P</v>
      </c>
      <c r="C7927" s="2" t="str">
        <f>"920107P"</f>
        <v>920107P</v>
      </c>
      <c r="D7927" s="2" t="s">
        <v>9877</v>
      </c>
      <c r="E7927" s="4">
        <v>9300</v>
      </c>
    </row>
    <row r="7928" spans="1:5">
      <c r="A7928" s="2" t="s">
        <v>296</v>
      </c>
      <c r="B7928" s="2" t="s">
        <v>9878</v>
      </c>
      <c r="C7928" s="2" t="s">
        <v>9879</v>
      </c>
      <c r="D7928" s="2" t="s">
        <v>9880</v>
      </c>
      <c r="E7928" s="4">
        <v>3000</v>
      </c>
    </row>
    <row r="7929" spans="1:5">
      <c r="A7929" s="2" t="s">
        <v>296</v>
      </c>
      <c r="B7929" s="2" t="s">
        <v>9881</v>
      </c>
      <c r="C7929" s="2" t="s">
        <v>9881</v>
      </c>
      <c r="D7929" s="2" t="s">
        <v>9882</v>
      </c>
      <c r="E7929" s="4">
        <v>3900</v>
      </c>
    </row>
    <row r="7930" spans="1:5">
      <c r="A7930" s="2" t="s">
        <v>296</v>
      </c>
      <c r="B7930" s="2" t="str">
        <f>"008536649038"</f>
        <v>008536649038</v>
      </c>
      <c r="C7930" s="2" t="s">
        <v>9883</v>
      </c>
      <c r="D7930" s="2" t="s">
        <v>9884</v>
      </c>
      <c r="E7930" s="4">
        <v>3500</v>
      </c>
    </row>
    <row r="7931" spans="1:5">
      <c r="A7931" s="2" t="s">
        <v>296</v>
      </c>
      <c r="B7931" s="2" t="str">
        <f>"920111"</f>
        <v>920111</v>
      </c>
      <c r="C7931" s="2" t="str">
        <f>"920111"</f>
        <v>920111</v>
      </c>
      <c r="D7931" s="2" t="s">
        <v>9885</v>
      </c>
      <c r="E7931" s="4">
        <v>4000</v>
      </c>
    </row>
    <row r="7932" spans="1:5">
      <c r="A7932" s="2" t="s">
        <v>296</v>
      </c>
      <c r="B7932" s="2" t="str">
        <f>"920101"</f>
        <v>920101</v>
      </c>
      <c r="C7932" s="2" t="str">
        <f>"920101"</f>
        <v>920101</v>
      </c>
      <c r="D7932" s="2" t="s">
        <v>9886</v>
      </c>
      <c r="E7932" s="4">
        <v>3900</v>
      </c>
    </row>
    <row r="7933" spans="1:5">
      <c r="A7933" s="2" t="s">
        <v>296</v>
      </c>
      <c r="B7933" s="2" t="str">
        <f>"4046777346350"</f>
        <v>4046777346350</v>
      </c>
      <c r="C7933" s="2" t="s">
        <v>9887</v>
      </c>
      <c r="D7933" s="2" t="s">
        <v>9888</v>
      </c>
      <c r="E7933" s="4">
        <v>2500</v>
      </c>
    </row>
    <row r="7934" spans="1:5">
      <c r="A7934" s="2" t="s">
        <v>296</v>
      </c>
      <c r="B7934" s="2" t="s">
        <v>9889</v>
      </c>
      <c r="C7934" s="2" t="s">
        <v>9889</v>
      </c>
      <c r="D7934" s="2" t="s">
        <v>9890</v>
      </c>
      <c r="E7934" s="4">
        <v>1300</v>
      </c>
    </row>
    <row r="7935" spans="1:5">
      <c r="A7935" s="2" t="s">
        <v>296</v>
      </c>
      <c r="B7935" s="2" t="s">
        <v>9891</v>
      </c>
      <c r="C7935" s="2" t="s">
        <v>9891</v>
      </c>
      <c r="D7935" s="2" t="s">
        <v>9892</v>
      </c>
      <c r="E7935" s="4">
        <v>1000</v>
      </c>
    </row>
    <row r="7936" spans="1:5">
      <c r="A7936" s="2" t="s">
        <v>296</v>
      </c>
      <c r="B7936" s="2" t="str">
        <f>"02600111"</f>
        <v>02600111</v>
      </c>
      <c r="C7936" s="2" t="str">
        <f>"02600111"</f>
        <v>02600111</v>
      </c>
      <c r="D7936" s="2" t="s">
        <v>9893</v>
      </c>
      <c r="E7936" s="4">
        <v>1000</v>
      </c>
    </row>
    <row r="7937" spans="1:5">
      <c r="A7937" s="2" t="s">
        <v>296</v>
      </c>
      <c r="B7937" s="2" t="str">
        <f>"02600112"</f>
        <v>02600112</v>
      </c>
      <c r="C7937" s="2" t="str">
        <f>"02600112"</f>
        <v>02600112</v>
      </c>
      <c r="D7937" s="2" t="s">
        <v>9894</v>
      </c>
      <c r="E7937" s="4">
        <v>1000</v>
      </c>
    </row>
    <row r="7938" spans="1:5">
      <c r="A7938" s="2" t="s">
        <v>296</v>
      </c>
      <c r="B7938" s="2" t="str">
        <f>"0260010113"</f>
        <v>0260010113</v>
      </c>
      <c r="C7938" s="2" t="str">
        <f>"0260010113"</f>
        <v>0260010113</v>
      </c>
      <c r="D7938" s="2" t="s">
        <v>9895</v>
      </c>
      <c r="E7938" s="4">
        <v>1000</v>
      </c>
    </row>
    <row r="7939" spans="1:5">
      <c r="A7939" s="2" t="s">
        <v>296</v>
      </c>
      <c r="B7939" s="2" t="str">
        <f>"0260010114"</f>
        <v>0260010114</v>
      </c>
      <c r="C7939" s="2" t="str">
        <f>"0260010114"</f>
        <v>0260010114</v>
      </c>
      <c r="D7939" s="2" t="s">
        <v>9896</v>
      </c>
      <c r="E7939" s="4">
        <v>1200</v>
      </c>
    </row>
    <row r="7940" spans="1:5">
      <c r="A7940" s="2" t="s">
        <v>296</v>
      </c>
      <c r="B7940" s="2" t="str">
        <f>"0260010117"</f>
        <v>0260010117</v>
      </c>
      <c r="C7940" s="2" t="str">
        <f>"0260010117"</f>
        <v>0260010117</v>
      </c>
      <c r="D7940" s="2" t="s">
        <v>9897</v>
      </c>
      <c r="E7940" s="4">
        <v>1500</v>
      </c>
    </row>
    <row r="7941" spans="1:5">
      <c r="A7941" s="2" t="s">
        <v>296</v>
      </c>
      <c r="B7941" s="2" t="str">
        <f>"0260010119"</f>
        <v>0260010119</v>
      </c>
      <c r="C7941" s="2" t="str">
        <f>"0260010119"</f>
        <v>0260010119</v>
      </c>
      <c r="D7941" s="2" t="s">
        <v>9898</v>
      </c>
      <c r="E7941" s="4">
        <v>1800</v>
      </c>
    </row>
    <row r="7942" spans="1:5">
      <c r="A7942" s="2" t="s">
        <v>296</v>
      </c>
      <c r="B7942" s="2" t="s">
        <v>9899</v>
      </c>
      <c r="C7942" s="2" t="s">
        <v>9900</v>
      </c>
      <c r="D7942" s="2" t="s">
        <v>9901</v>
      </c>
      <c r="E7942" s="4">
        <v>2500</v>
      </c>
    </row>
    <row r="7943" spans="1:5">
      <c r="A7943" s="2" t="s">
        <v>296</v>
      </c>
      <c r="B7943" s="2" t="s">
        <v>9902</v>
      </c>
      <c r="C7943" s="2" t="s">
        <v>9903</v>
      </c>
      <c r="D7943" s="2" t="s">
        <v>9904</v>
      </c>
      <c r="E7943" s="4">
        <v>4000</v>
      </c>
    </row>
    <row r="7944" spans="1:5">
      <c r="A7944" s="2" t="s">
        <v>296</v>
      </c>
      <c r="B7944" s="2" t="s">
        <v>9905</v>
      </c>
      <c r="C7944" s="2" t="s">
        <v>9905</v>
      </c>
      <c r="D7944" s="2" t="s">
        <v>9906</v>
      </c>
      <c r="E7944" s="4">
        <v>3500</v>
      </c>
    </row>
    <row r="7945" spans="1:5">
      <c r="A7945" s="2" t="s">
        <v>296</v>
      </c>
      <c r="B7945" s="2" t="s">
        <v>9907</v>
      </c>
      <c r="C7945" s="2" t="s">
        <v>9907</v>
      </c>
      <c r="D7945" s="2" t="s">
        <v>9908</v>
      </c>
      <c r="E7945" s="4">
        <v>3500</v>
      </c>
    </row>
    <row r="7946" spans="1:5">
      <c r="A7946" s="2" t="s">
        <v>296</v>
      </c>
      <c r="B7946" s="2" t="str">
        <f>"090980667"</f>
        <v>090980667</v>
      </c>
      <c r="C7946" s="2" t="str">
        <f>"090980667"</f>
        <v>090980667</v>
      </c>
      <c r="D7946" s="2" t="s">
        <v>9909</v>
      </c>
      <c r="E7946" s="4">
        <v>3000</v>
      </c>
    </row>
    <row r="7947" spans="1:5">
      <c r="A7947" s="2" t="s">
        <v>296</v>
      </c>
      <c r="B7947" s="2" t="s">
        <v>9910</v>
      </c>
      <c r="C7947" s="2" t="s">
        <v>9910</v>
      </c>
      <c r="D7947" s="2" t="s">
        <v>9911</v>
      </c>
      <c r="E7947" s="4">
        <v>2500</v>
      </c>
    </row>
    <row r="7948" spans="1:5">
      <c r="A7948" s="2" t="s">
        <v>296</v>
      </c>
      <c r="B7948" s="2" t="str">
        <f>"055112"</f>
        <v>055112</v>
      </c>
      <c r="C7948" s="2" t="str">
        <f>"055112"</f>
        <v>055112</v>
      </c>
      <c r="D7948" s="2" t="s">
        <v>9912</v>
      </c>
      <c r="E7948" s="4">
        <v>3900</v>
      </c>
    </row>
    <row r="7949" spans="1:5">
      <c r="A7949" s="2" t="s">
        <v>296</v>
      </c>
      <c r="B7949" s="2" t="str">
        <f>"0341612"</f>
        <v>0341612</v>
      </c>
      <c r="C7949" s="2" t="str">
        <f>"0341612"</f>
        <v>0341612</v>
      </c>
      <c r="D7949" s="2" t="s">
        <v>9913</v>
      </c>
      <c r="E7949" s="4">
        <v>5200</v>
      </c>
    </row>
    <row r="7950" spans="1:5">
      <c r="A7950" s="2" t="s">
        <v>296</v>
      </c>
      <c r="B7950" s="2" t="s">
        <v>9914</v>
      </c>
      <c r="C7950" s="2" t="s">
        <v>9915</v>
      </c>
      <c r="D7950" s="2" t="s">
        <v>9916</v>
      </c>
      <c r="E7950" s="4">
        <v>4500</v>
      </c>
    </row>
    <row r="7951" spans="1:5">
      <c r="A7951" s="2" t="s">
        <v>296</v>
      </c>
      <c r="B7951" s="2" t="s">
        <v>9917</v>
      </c>
      <c r="C7951" s="2" t="s">
        <v>9917</v>
      </c>
      <c r="D7951" s="2" t="s">
        <v>9916</v>
      </c>
      <c r="E7951" s="4">
        <v>7000</v>
      </c>
    </row>
    <row r="7952" spans="1:5">
      <c r="A7952" s="2" t="s">
        <v>296</v>
      </c>
      <c r="B7952" s="2" t="str">
        <f>"055120"</f>
        <v>055120</v>
      </c>
      <c r="C7952" s="2" t="str">
        <f>"026001CL"</f>
        <v>026001CL</v>
      </c>
      <c r="D7952" s="2" t="s">
        <v>9918</v>
      </c>
      <c r="E7952" s="4">
        <v>6100</v>
      </c>
    </row>
    <row r="7953" spans="1:5">
      <c r="A7953" s="2" t="s">
        <v>296</v>
      </c>
      <c r="B7953" s="2" t="str">
        <f>"0008274"</f>
        <v>0008274</v>
      </c>
      <c r="C7953" s="2" t="str">
        <f>"0008274"</f>
        <v>0008274</v>
      </c>
      <c r="D7953" s="2" t="s">
        <v>9919</v>
      </c>
      <c r="E7953" s="4">
        <v>8800</v>
      </c>
    </row>
    <row r="7954" spans="1:5">
      <c r="A7954" s="2" t="s">
        <v>296</v>
      </c>
      <c r="B7954" s="2" t="str">
        <f>"0341622"</f>
        <v>0341622</v>
      </c>
      <c r="C7954" s="2" t="str">
        <f>"0341622"</f>
        <v>0341622</v>
      </c>
      <c r="D7954" s="2" t="s">
        <v>9920</v>
      </c>
      <c r="E7954" s="4">
        <v>4300</v>
      </c>
    </row>
    <row r="7955" spans="1:5">
      <c r="A7955" s="2" t="s">
        <v>296</v>
      </c>
      <c r="B7955" s="2" t="s">
        <v>9921</v>
      </c>
      <c r="C7955" s="2" t="s">
        <v>9921</v>
      </c>
      <c r="D7955" s="2" t="s">
        <v>9922</v>
      </c>
      <c r="E7955" s="4">
        <v>9000</v>
      </c>
    </row>
    <row r="7956" spans="1:5">
      <c r="A7956" s="2" t="s">
        <v>5</v>
      </c>
      <c r="B7956" s="2" t="s">
        <v>9923</v>
      </c>
      <c r="C7956" s="2" t="s">
        <v>9923</v>
      </c>
      <c r="D7956" s="2" t="s">
        <v>9924</v>
      </c>
      <c r="E7956" s="4">
        <v>8000</v>
      </c>
    </row>
    <row r="7957" spans="1:5">
      <c r="A7957" s="2" t="s">
        <v>5</v>
      </c>
      <c r="B7957" s="2" t="s">
        <v>9925</v>
      </c>
      <c r="C7957" s="2" t="s">
        <v>9925</v>
      </c>
      <c r="D7957" s="2" t="s">
        <v>9924</v>
      </c>
      <c r="E7957" s="4">
        <v>8000</v>
      </c>
    </row>
    <row r="7958" spans="1:5">
      <c r="A7958" s="2" t="s">
        <v>5</v>
      </c>
      <c r="B7958" s="2" t="s">
        <v>9926</v>
      </c>
      <c r="C7958" s="2" t="s">
        <v>9926</v>
      </c>
      <c r="D7958" s="2" t="s">
        <v>9927</v>
      </c>
      <c r="E7958" s="4">
        <v>3000</v>
      </c>
    </row>
    <row r="7959" spans="1:5">
      <c r="A7959" s="2" t="s">
        <v>5</v>
      </c>
      <c r="B7959" s="2" t="s">
        <v>9928</v>
      </c>
      <c r="C7959" s="2" t="s">
        <v>9928</v>
      </c>
      <c r="D7959" s="2" t="s">
        <v>9929</v>
      </c>
      <c r="E7959" s="4">
        <v>6000</v>
      </c>
    </row>
    <row r="7960" spans="1:5">
      <c r="A7960" s="2" t="s">
        <v>5</v>
      </c>
      <c r="B7960" s="2" t="s">
        <v>9930</v>
      </c>
      <c r="C7960" s="2" t="s">
        <v>9930</v>
      </c>
      <c r="D7960" s="2" t="s">
        <v>9931</v>
      </c>
      <c r="E7960" s="4">
        <v>12000</v>
      </c>
    </row>
    <row r="7961" spans="1:5">
      <c r="A7961" s="2" t="s">
        <v>5</v>
      </c>
      <c r="B7961" s="2" t="s">
        <v>9932</v>
      </c>
      <c r="C7961" s="2" t="s">
        <v>9932</v>
      </c>
      <c r="D7961" s="2" t="s">
        <v>9931</v>
      </c>
      <c r="E7961" s="4">
        <v>5500</v>
      </c>
    </row>
    <row r="7962" spans="1:5">
      <c r="A7962" s="2" t="s">
        <v>5</v>
      </c>
      <c r="B7962" s="2" t="s">
        <v>9933</v>
      </c>
      <c r="C7962" s="2" t="s">
        <v>9933</v>
      </c>
      <c r="D7962" s="2" t="s">
        <v>9931</v>
      </c>
      <c r="E7962" s="4">
        <v>4900</v>
      </c>
    </row>
    <row r="7963" spans="1:5">
      <c r="A7963" s="2" t="s">
        <v>5</v>
      </c>
      <c r="B7963" s="2" t="s">
        <v>9934</v>
      </c>
      <c r="C7963" s="2" t="s">
        <v>9934</v>
      </c>
      <c r="D7963" s="2" t="s">
        <v>9931</v>
      </c>
      <c r="E7963" s="4">
        <v>4500</v>
      </c>
    </row>
    <row r="7964" spans="1:5">
      <c r="A7964" s="2" t="s">
        <v>5</v>
      </c>
      <c r="B7964" s="2" t="s">
        <v>9935</v>
      </c>
      <c r="C7964" s="2" t="s">
        <v>9935</v>
      </c>
      <c r="D7964" s="2" t="s">
        <v>9931</v>
      </c>
      <c r="E7964" s="4">
        <v>9500</v>
      </c>
    </row>
    <row r="7965" spans="1:5">
      <c r="A7965" s="2" t="s">
        <v>5</v>
      </c>
      <c r="B7965" s="2" t="s">
        <v>9936</v>
      </c>
      <c r="C7965" s="2" t="s">
        <v>9936</v>
      </c>
      <c r="D7965" s="2" t="s">
        <v>9937</v>
      </c>
      <c r="E7965" s="4">
        <v>2500</v>
      </c>
    </row>
    <row r="7966" spans="1:5">
      <c r="A7966" s="2" t="s">
        <v>5</v>
      </c>
      <c r="B7966" s="2" t="s">
        <v>9938</v>
      </c>
      <c r="C7966" s="2" t="s">
        <v>9938</v>
      </c>
      <c r="D7966" s="2" t="s">
        <v>9939</v>
      </c>
      <c r="E7966" s="4">
        <v>4000</v>
      </c>
    </row>
    <row r="7967" spans="1:5">
      <c r="A7967" s="2" t="s">
        <v>5</v>
      </c>
      <c r="B7967" s="2" t="s">
        <v>9940</v>
      </c>
      <c r="C7967" s="2" t="s">
        <v>9940</v>
      </c>
      <c r="D7967" s="2" t="s">
        <v>9941</v>
      </c>
      <c r="E7967" s="4">
        <v>14000</v>
      </c>
    </row>
    <row r="7968" spans="1:5">
      <c r="A7968" s="2" t="s">
        <v>5</v>
      </c>
      <c r="B7968" s="2" t="s">
        <v>9942</v>
      </c>
      <c r="C7968" s="2" t="s">
        <v>9942</v>
      </c>
      <c r="D7968" s="2" t="s">
        <v>9941</v>
      </c>
      <c r="E7968" s="4">
        <v>9000</v>
      </c>
    </row>
    <row r="7969" spans="1:5">
      <c r="A7969" s="2" t="s">
        <v>5</v>
      </c>
      <c r="B7969" s="2" t="s">
        <v>9943</v>
      </c>
      <c r="C7969" s="2" t="s">
        <v>9943</v>
      </c>
      <c r="D7969" s="2" t="s">
        <v>9941</v>
      </c>
      <c r="E7969" s="4">
        <v>4800</v>
      </c>
    </row>
    <row r="7970" spans="1:5">
      <c r="A7970" s="2" t="s">
        <v>46</v>
      </c>
      <c r="B7970" s="2" t="str">
        <f>"2100"</f>
        <v>2100</v>
      </c>
      <c r="C7970" s="2" t="str">
        <f>"2100"</f>
        <v>2100</v>
      </c>
      <c r="D7970" s="2" t="s">
        <v>9944</v>
      </c>
      <c r="E7970" s="4">
        <v>2000</v>
      </c>
    </row>
    <row r="7971" spans="1:5">
      <c r="A7971" s="2" t="s">
        <v>46</v>
      </c>
      <c r="B7971" s="2" t="s">
        <v>9945</v>
      </c>
      <c r="C7971" s="2" t="s">
        <v>9945</v>
      </c>
      <c r="D7971" s="2" t="s">
        <v>9946</v>
      </c>
      <c r="E7971" s="4">
        <v>4300</v>
      </c>
    </row>
    <row r="7972" spans="1:5">
      <c r="A7972" s="2" t="s">
        <v>46</v>
      </c>
      <c r="B7972" s="2" t="s">
        <v>9947</v>
      </c>
      <c r="C7972" s="2" t="s">
        <v>9947</v>
      </c>
      <c r="D7972" s="2" t="s">
        <v>9948</v>
      </c>
      <c r="E7972" s="4">
        <v>4500</v>
      </c>
    </row>
    <row r="7973" spans="1:5">
      <c r="A7973" s="2">
        <v>0</v>
      </c>
      <c r="B7973" s="2" t="str">
        <f>"1652205685726"</f>
        <v>1652205685726</v>
      </c>
      <c r="C7973" s="2" t="str">
        <f>"1652205685726"</f>
        <v>1652205685726</v>
      </c>
      <c r="D7973" s="2" t="s">
        <v>9949</v>
      </c>
      <c r="E7973" s="2">
        <v>0</v>
      </c>
    </row>
    <row r="7974" spans="1:5">
      <c r="A7974" s="2">
        <v>0</v>
      </c>
      <c r="B7974" s="2">
        <v>0</v>
      </c>
      <c r="C7974" s="2">
        <v>0</v>
      </c>
      <c r="D7974" s="2" t="s">
        <v>9950</v>
      </c>
      <c r="E7974" s="2">
        <v>0</v>
      </c>
    </row>
    <row r="7975" spans="1:5">
      <c r="A7975" s="2" t="s">
        <v>365</v>
      </c>
      <c r="B7975" s="2" t="str">
        <f>"60032"</f>
        <v>60032</v>
      </c>
      <c r="C7975" s="2" t="str">
        <f>"60032"</f>
        <v>60032</v>
      </c>
      <c r="D7975" s="2" t="s">
        <v>9951</v>
      </c>
      <c r="E7975" s="4">
        <v>1700</v>
      </c>
    </row>
    <row r="7976" spans="1:5">
      <c r="A7976" s="2" t="s">
        <v>5</v>
      </c>
      <c r="B7976" s="2" t="str">
        <f>"54403"</f>
        <v>54403</v>
      </c>
      <c r="C7976" s="2" t="str">
        <f>"54403"</f>
        <v>54403</v>
      </c>
      <c r="D7976" s="2" t="s">
        <v>9952</v>
      </c>
      <c r="E7976" s="4">
        <v>7700</v>
      </c>
    </row>
    <row r="7977" spans="1:5">
      <c r="A7977" s="2" t="s">
        <v>296</v>
      </c>
      <c r="B7977" s="2" t="str">
        <f>"180011"</f>
        <v>180011</v>
      </c>
      <c r="C7977" s="2" t="str">
        <f>"180011"</f>
        <v>180011</v>
      </c>
      <c r="D7977" s="2" t="s">
        <v>9953</v>
      </c>
      <c r="E7977" s="4">
        <v>5800</v>
      </c>
    </row>
    <row r="7978" spans="1:5">
      <c r="A7978" s="2" t="s">
        <v>296</v>
      </c>
      <c r="B7978" s="2" t="str">
        <f>"180008"</f>
        <v>180008</v>
      </c>
      <c r="C7978" s="2" t="str">
        <f>"180008"</f>
        <v>180008</v>
      </c>
      <c r="D7978" s="2" t="s">
        <v>9954</v>
      </c>
      <c r="E7978" s="4">
        <v>2500</v>
      </c>
    </row>
    <row r="7979" spans="1:5">
      <c r="A7979" s="2" t="s">
        <v>296</v>
      </c>
      <c r="B7979" s="2" t="str">
        <f>"180010"</f>
        <v>180010</v>
      </c>
      <c r="C7979" s="2" t="str">
        <f>"180010"</f>
        <v>180010</v>
      </c>
      <c r="D7979" s="2" t="s">
        <v>9955</v>
      </c>
      <c r="E7979" s="4">
        <v>4300</v>
      </c>
    </row>
    <row r="7980" spans="1:5">
      <c r="A7980" s="2" t="s">
        <v>296</v>
      </c>
      <c r="B7980" s="2" t="s">
        <v>9956</v>
      </c>
      <c r="C7980" s="2" t="s">
        <v>9956</v>
      </c>
      <c r="D7980" s="2" t="s">
        <v>9957</v>
      </c>
      <c r="E7980" s="2">
        <v>800</v>
      </c>
    </row>
    <row r="7981" spans="1:5">
      <c r="A7981" s="2" t="s">
        <v>296</v>
      </c>
      <c r="B7981" s="2" t="s">
        <v>9958</v>
      </c>
      <c r="C7981" s="2" t="s">
        <v>9958</v>
      </c>
      <c r="D7981" s="2" t="s">
        <v>9959</v>
      </c>
      <c r="E7981" s="2">
        <v>700</v>
      </c>
    </row>
    <row r="7982" spans="1:5">
      <c r="A7982" s="2" t="s">
        <v>296</v>
      </c>
      <c r="B7982" s="2" t="str">
        <f>"1515250-8"</f>
        <v>1515250-8</v>
      </c>
      <c r="C7982" s="2" t="str">
        <f>"284229"</f>
        <v>284229</v>
      </c>
      <c r="D7982" s="2" t="s">
        <v>9960</v>
      </c>
      <c r="E7982" s="4">
        <v>7000</v>
      </c>
    </row>
    <row r="7983" spans="1:5">
      <c r="A7983" s="2" t="s">
        <v>296</v>
      </c>
      <c r="B7983" s="2" t="str">
        <f>"1515301-6"</f>
        <v>1515301-6</v>
      </c>
      <c r="C7983" s="2" t="str">
        <f>"7000"</f>
        <v>7000</v>
      </c>
      <c r="D7983" s="2" t="s">
        <v>9961</v>
      </c>
      <c r="E7983" s="4">
        <v>7000</v>
      </c>
    </row>
    <row r="7984" spans="1:5">
      <c r="A7984" s="2" t="s">
        <v>296</v>
      </c>
      <c r="B7984" s="2" t="str">
        <f>"15155301-6"</f>
        <v>15155301-6</v>
      </c>
      <c r="C7984" s="2" t="str">
        <f>"1566082099429"</f>
        <v>1566082099429</v>
      </c>
      <c r="D7984" s="2" t="s">
        <v>9962</v>
      </c>
      <c r="E7984" s="4">
        <v>7000</v>
      </c>
    </row>
    <row r="7985" spans="1:5">
      <c r="A7985" s="2" t="s">
        <v>296</v>
      </c>
      <c r="B7985" s="2" t="str">
        <f>"1115300-3"</f>
        <v>1115300-3</v>
      </c>
      <c r="C7985" s="2" t="str">
        <f>"284228"</f>
        <v>284228</v>
      </c>
      <c r="D7985" s="2" t="s">
        <v>9963</v>
      </c>
      <c r="E7985" s="4">
        <v>7000</v>
      </c>
    </row>
    <row r="7986" spans="1:5">
      <c r="A7986" s="2" t="s">
        <v>296</v>
      </c>
      <c r="B7986" s="2" t="s">
        <v>9964</v>
      </c>
      <c r="C7986" s="2" t="s">
        <v>9964</v>
      </c>
      <c r="D7986" s="2" t="s">
        <v>9965</v>
      </c>
      <c r="E7986" s="4">
        <v>1000</v>
      </c>
    </row>
    <row r="7987" spans="1:5">
      <c r="A7987" s="2" t="s">
        <v>296</v>
      </c>
      <c r="B7987" s="2" t="str">
        <f>"900208"</f>
        <v>900208</v>
      </c>
      <c r="C7987" s="2" t="str">
        <f>"180017"</f>
        <v>180017</v>
      </c>
      <c r="D7987" s="2" t="s">
        <v>9966</v>
      </c>
      <c r="E7987" s="4">
        <v>4300</v>
      </c>
    </row>
    <row r="7988" spans="1:5">
      <c r="A7988" s="2" t="s">
        <v>296</v>
      </c>
      <c r="B7988" s="2" t="str">
        <f>"900209"</f>
        <v>900209</v>
      </c>
      <c r="C7988" s="2" t="str">
        <f>"900209"</f>
        <v>900209</v>
      </c>
      <c r="D7988" s="2" t="s">
        <v>9967</v>
      </c>
      <c r="E7988" s="4">
        <v>3100</v>
      </c>
    </row>
    <row r="7989" spans="1:5">
      <c r="A7989" s="2" t="s">
        <v>296</v>
      </c>
      <c r="B7989" s="2" t="str">
        <f>"900206"</f>
        <v>900206</v>
      </c>
      <c r="C7989" s="2" t="str">
        <f>"900206"</f>
        <v>900206</v>
      </c>
      <c r="D7989" s="2" t="s">
        <v>9968</v>
      </c>
      <c r="E7989" s="4">
        <v>3000</v>
      </c>
    </row>
    <row r="7990" spans="1:5">
      <c r="A7990" s="2" t="s">
        <v>296</v>
      </c>
      <c r="B7990" s="2" t="str">
        <f>"900207"</f>
        <v>900207</v>
      </c>
      <c r="C7990" s="2" t="str">
        <f>"180016"</f>
        <v>180016</v>
      </c>
      <c r="D7990" s="2" t="s">
        <v>9969</v>
      </c>
      <c r="E7990" s="4">
        <v>3400</v>
      </c>
    </row>
    <row r="7991" spans="1:5">
      <c r="A7991" s="2" t="s">
        <v>296</v>
      </c>
      <c r="B7991" s="2" t="str">
        <f>"140448"</f>
        <v>140448</v>
      </c>
      <c r="C7991" s="2" t="str">
        <f>"140448"</f>
        <v>140448</v>
      </c>
      <c r="D7991" s="2" t="s">
        <v>9970</v>
      </c>
      <c r="E7991" s="4">
        <v>6500</v>
      </c>
    </row>
    <row r="7992" spans="1:5">
      <c r="A7992" s="2" t="s">
        <v>296</v>
      </c>
      <c r="B7992" s="2" t="str">
        <f>"0004547"</f>
        <v>0004547</v>
      </c>
      <c r="C7992" s="2" t="str">
        <f>"0004547"</f>
        <v>0004547</v>
      </c>
      <c r="D7992" s="2" t="s">
        <v>9971</v>
      </c>
      <c r="E7992" s="4">
        <v>3400</v>
      </c>
    </row>
    <row r="7993" spans="1:5">
      <c r="A7993" s="2" t="s">
        <v>296</v>
      </c>
      <c r="B7993" s="2" t="str">
        <f>"0004546"</f>
        <v>0004546</v>
      </c>
      <c r="C7993" s="2" t="str">
        <f>"0004546"</f>
        <v>0004546</v>
      </c>
      <c r="D7993" s="2" t="s">
        <v>9972</v>
      </c>
      <c r="E7993" s="4">
        <v>4300</v>
      </c>
    </row>
    <row r="7994" spans="1:5">
      <c r="A7994" s="2" t="s">
        <v>296</v>
      </c>
      <c r="B7994" s="2" t="str">
        <f>"00771-10"</f>
        <v>00771-10</v>
      </c>
      <c r="C7994" s="2" t="s">
        <v>9973</v>
      </c>
      <c r="D7994" s="2" t="s">
        <v>9974</v>
      </c>
      <c r="E7994" s="2">
        <v>900</v>
      </c>
    </row>
    <row r="7995" spans="1:5">
      <c r="A7995" s="2" t="s">
        <v>296</v>
      </c>
      <c r="B7995" s="2" t="str">
        <f>"0771-12"</f>
        <v>0771-12</v>
      </c>
      <c r="C7995" s="2" t="s">
        <v>9975</v>
      </c>
      <c r="D7995" s="2" t="s">
        <v>9976</v>
      </c>
      <c r="E7995" s="4">
        <v>1000</v>
      </c>
    </row>
    <row r="7996" spans="1:5">
      <c r="A7996" s="2" t="s">
        <v>296</v>
      </c>
      <c r="B7996" s="2" t="str">
        <f>"0771-8"</f>
        <v>0771-8</v>
      </c>
      <c r="C7996" s="2" t="s">
        <v>9977</v>
      </c>
      <c r="D7996" s="2" t="s">
        <v>9978</v>
      </c>
      <c r="E7996" s="2">
        <v>800</v>
      </c>
    </row>
    <row r="7997" spans="1:5">
      <c r="A7997" s="2" t="s">
        <v>5</v>
      </c>
      <c r="B7997" s="2" t="str">
        <f>"015623"</f>
        <v>015623</v>
      </c>
      <c r="C7997" s="2" t="str">
        <f>"015623"</f>
        <v>015623</v>
      </c>
      <c r="D7997" s="2" t="s">
        <v>9979</v>
      </c>
      <c r="E7997" s="4">
        <v>2000</v>
      </c>
    </row>
    <row r="7998" spans="1:5">
      <c r="A7998" s="2" t="s">
        <v>5</v>
      </c>
      <c r="B7998" s="2" t="str">
        <f>"0300980"</f>
        <v>0300980</v>
      </c>
      <c r="C7998" s="2" t="str">
        <f>"0300980"</f>
        <v>0300980</v>
      </c>
      <c r="D7998" s="2" t="s">
        <v>9980</v>
      </c>
      <c r="E7998" s="4">
        <v>19500</v>
      </c>
    </row>
    <row r="7999" spans="1:5">
      <c r="A7999" s="2" t="s">
        <v>5</v>
      </c>
      <c r="B7999" s="2" t="str">
        <f>"015679"</f>
        <v>015679</v>
      </c>
      <c r="C7999" s="2" t="str">
        <f>"015679"</f>
        <v>015679</v>
      </c>
      <c r="D7999" s="2" t="s">
        <v>9981</v>
      </c>
      <c r="E7999" s="4">
        <v>3400</v>
      </c>
    </row>
    <row r="8000" spans="1:5">
      <c r="A8000" s="2" t="s">
        <v>296</v>
      </c>
      <c r="B8000" s="2" t="s">
        <v>9982</v>
      </c>
      <c r="C8000" s="2" t="s">
        <v>9982</v>
      </c>
      <c r="D8000" s="2" t="s">
        <v>9983</v>
      </c>
      <c r="E8000" s="4">
        <v>10600</v>
      </c>
    </row>
    <row r="8001" spans="1:5">
      <c r="A8001" s="2" t="s">
        <v>296</v>
      </c>
      <c r="B8001" s="2" t="str">
        <f>"1600670"</f>
        <v>1600670</v>
      </c>
      <c r="C8001" s="2" t="str">
        <f>"1600670"</f>
        <v>1600670</v>
      </c>
      <c r="D8001" s="2" t="s">
        <v>9984</v>
      </c>
      <c r="E8001" s="4">
        <v>7000</v>
      </c>
    </row>
    <row r="8002" spans="1:5">
      <c r="A8002" s="2" t="s">
        <v>296</v>
      </c>
      <c r="B8002" s="2" t="str">
        <f>"0151047"</f>
        <v>0151047</v>
      </c>
      <c r="C8002" s="2" t="str">
        <f>"0151047"</f>
        <v>0151047</v>
      </c>
      <c r="D8002" s="2" t="s">
        <v>9985</v>
      </c>
      <c r="E8002" s="4">
        <v>1800</v>
      </c>
    </row>
    <row r="8003" spans="1:5">
      <c r="A8003" s="2" t="s">
        <v>296</v>
      </c>
      <c r="B8003" s="2" t="s">
        <v>9986</v>
      </c>
      <c r="C8003" s="2" t="s">
        <v>9986</v>
      </c>
      <c r="D8003" s="2" t="s">
        <v>9987</v>
      </c>
      <c r="E8003" s="4">
        <v>4300</v>
      </c>
    </row>
    <row r="8004" spans="1:5">
      <c r="A8004" s="2" t="s">
        <v>296</v>
      </c>
      <c r="B8004" s="2" t="str">
        <f>"0100270"</f>
        <v>0100270</v>
      </c>
      <c r="C8004" s="2" t="str">
        <f>"0100330"</f>
        <v>0100330</v>
      </c>
      <c r="D8004" s="2" t="s">
        <v>9988</v>
      </c>
      <c r="E8004" s="4">
        <v>1900</v>
      </c>
    </row>
    <row r="8005" spans="1:5">
      <c r="A8005" s="2" t="s">
        <v>296</v>
      </c>
      <c r="B8005" s="2" t="str">
        <f>"0100320"</f>
        <v>0100320</v>
      </c>
      <c r="C8005" s="2" t="str">
        <f>"0100320"</f>
        <v>0100320</v>
      </c>
      <c r="D8005" s="2" t="s">
        <v>9989</v>
      </c>
      <c r="E8005" s="4">
        <v>1900</v>
      </c>
    </row>
    <row r="8006" spans="1:5">
      <c r="A8006" s="2" t="s">
        <v>2541</v>
      </c>
      <c r="B8006" s="2" t="str">
        <f>"1600250"</f>
        <v>1600250</v>
      </c>
      <c r="C8006" s="2" t="str">
        <f>"1600250"</f>
        <v>1600250</v>
      </c>
      <c r="D8006" s="2" t="s">
        <v>9990</v>
      </c>
      <c r="E8006" s="4">
        <v>24900</v>
      </c>
    </row>
    <row r="8007" spans="1:5">
      <c r="A8007" s="2" t="s">
        <v>2541</v>
      </c>
      <c r="B8007" s="2" t="s">
        <v>9991</v>
      </c>
      <c r="C8007" s="2" t="str">
        <f>"1194610-0"</f>
        <v>1194610-0</v>
      </c>
      <c r="D8007" s="2" t="s">
        <v>9992</v>
      </c>
      <c r="E8007" s="4">
        <v>25000</v>
      </c>
    </row>
    <row r="8008" spans="1:5">
      <c r="A8008" s="2" t="s">
        <v>2541</v>
      </c>
      <c r="B8008" s="2" t="s">
        <v>9993</v>
      </c>
      <c r="C8008" s="2" t="s">
        <v>9993</v>
      </c>
      <c r="D8008" s="2" t="s">
        <v>9994</v>
      </c>
      <c r="E8008" s="4">
        <v>29500</v>
      </c>
    </row>
    <row r="8009" spans="1:5">
      <c r="A8009" s="2" t="s">
        <v>2541</v>
      </c>
      <c r="B8009" s="2" t="s">
        <v>9995</v>
      </c>
      <c r="C8009" s="2" t="s">
        <v>9995</v>
      </c>
      <c r="D8009" s="2" t="s">
        <v>9996</v>
      </c>
      <c r="E8009" s="4">
        <v>28600</v>
      </c>
    </row>
    <row r="8010" spans="1:5">
      <c r="A8010" s="2" t="s">
        <v>2541</v>
      </c>
      <c r="B8010" s="2" t="s">
        <v>9997</v>
      </c>
      <c r="C8010" s="2" t="s">
        <v>9997</v>
      </c>
      <c r="D8010" s="2" t="s">
        <v>9998</v>
      </c>
      <c r="E8010" s="4">
        <v>19700</v>
      </c>
    </row>
    <row r="8011" spans="1:5">
      <c r="A8011" s="2" t="s">
        <v>2541</v>
      </c>
      <c r="B8011" s="2" t="str">
        <f>"110490"</f>
        <v>110490</v>
      </c>
      <c r="C8011" s="2" t="str">
        <f>"110490"</f>
        <v>110490</v>
      </c>
      <c r="D8011" s="2" t="s">
        <v>9999</v>
      </c>
      <c r="E8011" s="4">
        <v>18800</v>
      </c>
    </row>
    <row r="8012" spans="1:5">
      <c r="A8012" s="2" t="s">
        <v>2541</v>
      </c>
      <c r="B8012" s="2" t="str">
        <f>"330151"</f>
        <v>330151</v>
      </c>
      <c r="C8012" s="2" t="str">
        <f>"330151"</f>
        <v>330151</v>
      </c>
      <c r="D8012" s="2" t="s">
        <v>10000</v>
      </c>
      <c r="E8012" s="4">
        <v>38000</v>
      </c>
    </row>
    <row r="8013" spans="1:5">
      <c r="A8013" s="2" t="s">
        <v>2541</v>
      </c>
      <c r="B8013" s="2" t="s">
        <v>10001</v>
      </c>
      <c r="C8013" s="2" t="s">
        <v>10001</v>
      </c>
      <c r="D8013" s="2" t="s">
        <v>10002</v>
      </c>
      <c r="E8013" s="4">
        <v>70000</v>
      </c>
    </row>
    <row r="8014" spans="1:5">
      <c r="A8014" s="2" t="s">
        <v>2541</v>
      </c>
      <c r="B8014" s="2" t="str">
        <f>"0101600"</f>
        <v>0101600</v>
      </c>
      <c r="C8014" s="2" t="str">
        <f>"0101600"</f>
        <v>0101600</v>
      </c>
      <c r="D8014" s="2" t="s">
        <v>10003</v>
      </c>
      <c r="E8014" s="4">
        <v>29000</v>
      </c>
    </row>
    <row r="8015" spans="1:5">
      <c r="A8015" s="2" t="s">
        <v>2541</v>
      </c>
      <c r="B8015" s="2" t="str">
        <f>"016013D21"</f>
        <v>016013D21</v>
      </c>
      <c r="C8015" s="2" t="str">
        <f>"016013D21"</f>
        <v>016013D21</v>
      </c>
      <c r="D8015" s="2" t="s">
        <v>10004</v>
      </c>
      <c r="E8015" s="4">
        <v>16000</v>
      </c>
    </row>
    <row r="8016" spans="1:5">
      <c r="A8016" s="2" t="s">
        <v>2541</v>
      </c>
      <c r="B8016" s="2" t="str">
        <f>"0171680"</f>
        <v>0171680</v>
      </c>
      <c r="C8016" s="2" t="str">
        <f>"0171680"</f>
        <v>0171680</v>
      </c>
      <c r="D8016" s="2" t="s">
        <v>10005</v>
      </c>
      <c r="E8016" s="4">
        <v>24500</v>
      </c>
    </row>
    <row r="8017" spans="1:5">
      <c r="A8017" s="2" t="s">
        <v>2541</v>
      </c>
      <c r="B8017" s="2" t="str">
        <f>"0181890"</f>
        <v>0181890</v>
      </c>
      <c r="C8017" s="2" t="str">
        <f>"0181890"</f>
        <v>0181890</v>
      </c>
      <c r="D8017" s="2" t="s">
        <v>10006</v>
      </c>
      <c r="E8017" s="4">
        <v>35800</v>
      </c>
    </row>
    <row r="8018" spans="1:5">
      <c r="A8018" s="2" t="s">
        <v>2541</v>
      </c>
      <c r="B8018" s="2" t="str">
        <f>"231105"</f>
        <v>231105</v>
      </c>
      <c r="C8018" s="2" t="str">
        <f>"231105"</f>
        <v>231105</v>
      </c>
      <c r="D8018" s="2" t="s">
        <v>10007</v>
      </c>
      <c r="E8018" s="4">
        <v>9700</v>
      </c>
    </row>
    <row r="8019" spans="1:5">
      <c r="A8019" s="2" t="s">
        <v>2541</v>
      </c>
      <c r="B8019" s="2" t="str">
        <f>"4001006"</f>
        <v>4001006</v>
      </c>
      <c r="C8019" s="2" t="str">
        <f>"4001006"</f>
        <v>4001006</v>
      </c>
      <c r="D8019" s="2" t="s">
        <v>10008</v>
      </c>
      <c r="E8019" s="4">
        <v>28500</v>
      </c>
    </row>
    <row r="8020" spans="1:5">
      <c r="A8020" s="2" t="s">
        <v>2541</v>
      </c>
      <c r="B8020" s="2" t="s">
        <v>10009</v>
      </c>
      <c r="C8020" s="2" t="s">
        <v>10009</v>
      </c>
      <c r="D8020" s="2" t="s">
        <v>10010</v>
      </c>
      <c r="E8020" s="4">
        <v>18700</v>
      </c>
    </row>
    <row r="8021" spans="1:5">
      <c r="A8021" s="2" t="s">
        <v>296</v>
      </c>
      <c r="B8021" s="2" t="s">
        <v>10011</v>
      </c>
      <c r="C8021" s="2" t="s">
        <v>10011</v>
      </c>
      <c r="D8021" s="2" t="s">
        <v>10012</v>
      </c>
      <c r="E8021" s="4">
        <v>19600</v>
      </c>
    </row>
    <row r="8022" spans="1:5">
      <c r="A8022" s="2" t="s">
        <v>296</v>
      </c>
      <c r="B8022" s="2" t="str">
        <f>"1219480"</f>
        <v>1219480</v>
      </c>
      <c r="C8022" s="2" t="str">
        <f>"1219480"</f>
        <v>1219480</v>
      </c>
      <c r="D8022" s="2" t="s">
        <v>10013</v>
      </c>
      <c r="E8022" s="4">
        <v>8800</v>
      </c>
    </row>
    <row r="8023" spans="1:5">
      <c r="A8023" s="2" t="s">
        <v>296</v>
      </c>
      <c r="B8023" s="2" t="s">
        <v>10014</v>
      </c>
      <c r="C8023" s="2" t="s">
        <v>10015</v>
      </c>
      <c r="D8023" s="2" t="s">
        <v>10016</v>
      </c>
      <c r="E8023" s="4">
        <v>25000</v>
      </c>
    </row>
    <row r="8024" spans="1:5">
      <c r="A8024" s="2" t="s">
        <v>296</v>
      </c>
      <c r="B8024" s="2" t="s">
        <v>10017</v>
      </c>
      <c r="C8024" s="2" t="s">
        <v>10017</v>
      </c>
      <c r="D8024" s="2" t="s">
        <v>10018</v>
      </c>
      <c r="E8024" s="4">
        <v>38000</v>
      </c>
    </row>
    <row r="8025" spans="1:5">
      <c r="A8025" s="2" t="s">
        <v>296</v>
      </c>
      <c r="B8025" s="2" t="s">
        <v>10019</v>
      </c>
      <c r="C8025" s="2" t="s">
        <v>10020</v>
      </c>
      <c r="D8025" s="2" t="s">
        <v>10021</v>
      </c>
      <c r="E8025" s="4">
        <v>43000</v>
      </c>
    </row>
    <row r="8026" spans="1:5">
      <c r="A8026" s="2" t="s">
        <v>296</v>
      </c>
      <c r="B8026" s="2" t="s">
        <v>10022</v>
      </c>
      <c r="C8026" s="2" t="s">
        <v>10023</v>
      </c>
      <c r="D8026" s="2" t="s">
        <v>10024</v>
      </c>
      <c r="E8026" s="4">
        <v>59000</v>
      </c>
    </row>
    <row r="8027" spans="1:5">
      <c r="A8027" s="2" t="s">
        <v>296</v>
      </c>
      <c r="B8027" s="2" t="s">
        <v>10025</v>
      </c>
      <c r="C8027" s="2" t="s">
        <v>10025</v>
      </c>
      <c r="D8027" s="2" t="s">
        <v>10026</v>
      </c>
      <c r="E8027" s="4">
        <v>38000</v>
      </c>
    </row>
    <row r="8028" spans="1:5">
      <c r="A8028" s="2" t="s">
        <v>296</v>
      </c>
      <c r="B8028" s="2" t="s">
        <v>10027</v>
      </c>
      <c r="C8028" s="2" t="s">
        <v>10027</v>
      </c>
      <c r="D8028" s="2" t="s">
        <v>10028</v>
      </c>
      <c r="E8028" s="4">
        <v>34000</v>
      </c>
    </row>
    <row r="8029" spans="1:5">
      <c r="A8029" s="2" t="s">
        <v>296</v>
      </c>
      <c r="B8029" s="2" t="str">
        <f>"001194610-0"</f>
        <v>001194610-0</v>
      </c>
      <c r="C8029" s="2" t="str">
        <f>"001194610-0"</f>
        <v>001194610-0</v>
      </c>
      <c r="D8029" s="2" t="s">
        <v>10029</v>
      </c>
      <c r="E8029" s="4">
        <v>43000</v>
      </c>
    </row>
    <row r="8030" spans="1:5">
      <c r="A8030" s="2" t="s">
        <v>296</v>
      </c>
      <c r="B8030" s="2" t="str">
        <f>"9942966"</f>
        <v>9942966</v>
      </c>
      <c r="C8030" s="2" t="str">
        <f>"9942966"</f>
        <v>9942966</v>
      </c>
      <c r="D8030" s="2" t="s">
        <v>10030</v>
      </c>
      <c r="E8030" s="4">
        <v>19600</v>
      </c>
    </row>
    <row r="8031" spans="1:5">
      <c r="A8031" s="2" t="s">
        <v>296</v>
      </c>
      <c r="B8031" s="2" t="str">
        <f>"0002737"</f>
        <v>0002737</v>
      </c>
      <c r="C8031" s="2" t="str">
        <f>"0002737"</f>
        <v>0002737</v>
      </c>
      <c r="D8031" s="2" t="s">
        <v>10031</v>
      </c>
      <c r="E8031" s="4">
        <v>14000</v>
      </c>
    </row>
    <row r="8032" spans="1:5">
      <c r="A8032" s="2" t="s">
        <v>296</v>
      </c>
      <c r="B8032" s="2" t="s">
        <v>10032</v>
      </c>
      <c r="C8032" s="2" t="s">
        <v>10032</v>
      </c>
      <c r="D8032" s="2" t="s">
        <v>10033</v>
      </c>
      <c r="E8032" s="4">
        <v>170000</v>
      </c>
    </row>
    <row r="8033" spans="1:5">
      <c r="A8033" s="2" t="s">
        <v>296</v>
      </c>
      <c r="B8033" s="2" t="s">
        <v>10034</v>
      </c>
      <c r="C8033" s="2" t="s">
        <v>10034</v>
      </c>
      <c r="D8033" s="2" t="s">
        <v>10035</v>
      </c>
      <c r="E8033" s="4">
        <v>85000</v>
      </c>
    </row>
    <row r="8034" spans="1:5">
      <c r="A8034" s="2" t="s">
        <v>296</v>
      </c>
      <c r="B8034" s="2" t="s">
        <v>10036</v>
      </c>
      <c r="C8034" s="2" t="str">
        <f>"1718744826155"</f>
        <v>1718744826155</v>
      </c>
      <c r="D8034" s="2" t="s">
        <v>10037</v>
      </c>
      <c r="E8034" s="2">
        <v>1</v>
      </c>
    </row>
    <row r="8035" spans="1:5">
      <c r="A8035" s="2" t="s">
        <v>296</v>
      </c>
      <c r="B8035" s="2" t="str">
        <f>"0000787"</f>
        <v>0000787</v>
      </c>
      <c r="C8035" s="2" t="str">
        <f>"0000787"</f>
        <v>0000787</v>
      </c>
      <c r="D8035" s="2" t="s">
        <v>10038</v>
      </c>
      <c r="E8035" s="4">
        <v>32200</v>
      </c>
    </row>
    <row r="8036" spans="1:5">
      <c r="A8036" s="2" t="s">
        <v>296</v>
      </c>
      <c r="B8036" s="2" t="s">
        <v>10039</v>
      </c>
      <c r="C8036" s="2" t="s">
        <v>10039</v>
      </c>
      <c r="D8036" s="2" t="s">
        <v>10040</v>
      </c>
      <c r="E8036" s="4">
        <v>35000</v>
      </c>
    </row>
    <row r="8037" spans="1:5">
      <c r="A8037" s="2" t="s">
        <v>296</v>
      </c>
      <c r="B8037" s="2" t="s">
        <v>10041</v>
      </c>
      <c r="C8037" s="2" t="s">
        <v>10041</v>
      </c>
      <c r="D8037" s="2" t="s">
        <v>10042</v>
      </c>
      <c r="E8037" s="4">
        <v>19000</v>
      </c>
    </row>
    <row r="8038" spans="1:5">
      <c r="A8038" s="2" t="s">
        <v>296</v>
      </c>
      <c r="B8038" s="2" t="str">
        <f>"299672-9"</f>
        <v>299672-9</v>
      </c>
      <c r="C8038" s="2" t="str">
        <f>"299672-9"</f>
        <v>299672-9</v>
      </c>
      <c r="D8038" s="2" t="s">
        <v>10043</v>
      </c>
      <c r="E8038" s="4">
        <v>75000</v>
      </c>
    </row>
    <row r="8039" spans="1:5">
      <c r="A8039" s="2" t="s">
        <v>296</v>
      </c>
      <c r="B8039" s="2" t="str">
        <f>"2996671-0"</f>
        <v>2996671-0</v>
      </c>
      <c r="C8039" s="2" t="str">
        <f>"2996671-0"</f>
        <v>2996671-0</v>
      </c>
      <c r="D8039" s="2" t="s">
        <v>10044</v>
      </c>
      <c r="E8039" s="4">
        <v>68000</v>
      </c>
    </row>
    <row r="8040" spans="1:5">
      <c r="A8040" s="2" t="s">
        <v>296</v>
      </c>
      <c r="B8040" s="2" t="s">
        <v>10045</v>
      </c>
      <c r="C8040" s="2" t="s">
        <v>10045</v>
      </c>
      <c r="D8040" s="2" t="s">
        <v>10046</v>
      </c>
      <c r="E8040" s="4">
        <v>9700</v>
      </c>
    </row>
    <row r="8041" spans="1:5">
      <c r="A8041" s="2" t="s">
        <v>296</v>
      </c>
      <c r="B8041" s="2" t="str">
        <f>"000409535-9"</f>
        <v>000409535-9</v>
      </c>
      <c r="C8041" s="2" t="str">
        <f>"000409535-9"</f>
        <v>000409535-9</v>
      </c>
      <c r="D8041" s="2" t="s">
        <v>10047</v>
      </c>
      <c r="E8041" s="4">
        <v>34000</v>
      </c>
    </row>
    <row r="8042" spans="1:5">
      <c r="A8042" s="2" t="s">
        <v>296</v>
      </c>
      <c r="B8042" s="2" t="s">
        <v>10048</v>
      </c>
      <c r="C8042" s="2" t="s">
        <v>10048</v>
      </c>
      <c r="D8042" s="2" t="s">
        <v>10049</v>
      </c>
      <c r="E8042" s="4">
        <v>14500</v>
      </c>
    </row>
    <row r="8043" spans="1:5">
      <c r="A8043" s="2" t="s">
        <v>296</v>
      </c>
      <c r="B8043" s="2" t="str">
        <f>"020600920"</f>
        <v>020600920</v>
      </c>
      <c r="C8043" s="2" t="str">
        <f>"020600920"</f>
        <v>020600920</v>
      </c>
      <c r="D8043" s="2" t="s">
        <v>10050</v>
      </c>
      <c r="E8043" s="4">
        <v>28600</v>
      </c>
    </row>
    <row r="8044" spans="1:5">
      <c r="A8044" s="2" t="s">
        <v>296</v>
      </c>
      <c r="B8044" s="2" t="str">
        <f>"0160050"</f>
        <v>0160050</v>
      </c>
      <c r="C8044" s="2" t="s">
        <v>10051</v>
      </c>
      <c r="D8044" s="2" t="s">
        <v>10052</v>
      </c>
      <c r="E8044" s="4">
        <v>43000</v>
      </c>
    </row>
    <row r="8045" spans="1:5">
      <c r="A8045" s="2" t="s">
        <v>296</v>
      </c>
      <c r="B8045" s="2" t="s">
        <v>10053</v>
      </c>
      <c r="C8045" s="2" t="s">
        <v>10053</v>
      </c>
      <c r="D8045" s="2" t="s">
        <v>10054</v>
      </c>
      <c r="E8045" s="4">
        <v>28000</v>
      </c>
    </row>
    <row r="8046" spans="1:5">
      <c r="A8046" s="2" t="s">
        <v>296</v>
      </c>
      <c r="B8046" s="2" t="str">
        <f>"0002902"</f>
        <v>0002902</v>
      </c>
      <c r="C8046" s="2" t="str">
        <f>"0002902"</f>
        <v>0002902</v>
      </c>
      <c r="D8046" s="2" t="s">
        <v>10055</v>
      </c>
      <c r="E8046" s="4">
        <v>25000</v>
      </c>
    </row>
    <row r="8047" spans="1:5">
      <c r="A8047" s="2" t="s">
        <v>296</v>
      </c>
      <c r="B8047" s="2" t="str">
        <f>"090600466"</f>
        <v>090600466</v>
      </c>
      <c r="C8047" s="2" t="str">
        <f>"090600466"</f>
        <v>090600466</v>
      </c>
      <c r="D8047" s="2" t="s">
        <v>10056</v>
      </c>
      <c r="E8047" s="4">
        <v>9700</v>
      </c>
    </row>
    <row r="8048" spans="1:5">
      <c r="A8048" s="2" t="s">
        <v>296</v>
      </c>
      <c r="B8048" s="2" t="s">
        <v>10057</v>
      </c>
      <c r="C8048" s="2" t="s">
        <v>10057</v>
      </c>
      <c r="D8048" s="2" t="s">
        <v>10058</v>
      </c>
      <c r="E8048" s="4">
        <v>9700</v>
      </c>
    </row>
    <row r="8049" spans="1:5">
      <c r="A8049" s="2" t="s">
        <v>296</v>
      </c>
      <c r="B8049" s="2" t="str">
        <f>"070600135"</f>
        <v>070600135</v>
      </c>
      <c r="C8049" s="2" t="str">
        <f>"070600135"</f>
        <v>070600135</v>
      </c>
      <c r="D8049" s="2" t="s">
        <v>10059</v>
      </c>
      <c r="E8049" s="4">
        <v>68000</v>
      </c>
    </row>
    <row r="8050" spans="1:5">
      <c r="A8050" s="2" t="s">
        <v>296</v>
      </c>
      <c r="B8050" s="2" t="str">
        <f>"0007546"</f>
        <v>0007546</v>
      </c>
      <c r="C8050" s="2" t="str">
        <f>"0007546"</f>
        <v>0007546</v>
      </c>
      <c r="D8050" s="2" t="s">
        <v>10060</v>
      </c>
      <c r="E8050" s="4">
        <v>61000</v>
      </c>
    </row>
    <row r="8051" spans="1:5">
      <c r="A8051" s="2" t="s">
        <v>296</v>
      </c>
      <c r="B8051" s="2" t="s">
        <v>10061</v>
      </c>
      <c r="C8051" s="2" t="s">
        <v>10061</v>
      </c>
      <c r="D8051" s="2" t="s">
        <v>10062</v>
      </c>
      <c r="E8051" s="4">
        <v>9000</v>
      </c>
    </row>
    <row r="8052" spans="1:5">
      <c r="A8052" s="2" t="s">
        <v>296</v>
      </c>
      <c r="B8052" s="2" t="str">
        <f>"000909592-6"</f>
        <v>000909592-6</v>
      </c>
      <c r="C8052" s="2" t="str">
        <f>"000909592-6"</f>
        <v>000909592-6</v>
      </c>
      <c r="D8052" s="2" t="s">
        <v>10063</v>
      </c>
      <c r="E8052" s="4">
        <v>9700</v>
      </c>
    </row>
    <row r="8053" spans="1:5">
      <c r="A8053" s="2" t="s">
        <v>296</v>
      </c>
      <c r="B8053" s="2" t="str">
        <f>"990192-2"</f>
        <v>990192-2</v>
      </c>
      <c r="C8053" s="2" t="str">
        <f>"990192-2"</f>
        <v>990192-2</v>
      </c>
      <c r="D8053" s="2" t="s">
        <v>10064</v>
      </c>
      <c r="E8053" s="4">
        <v>15100</v>
      </c>
    </row>
    <row r="8054" spans="1:5">
      <c r="A8054" s="2" t="s">
        <v>296</v>
      </c>
      <c r="B8054" s="2" t="str">
        <f>"020601003"</f>
        <v>020601003</v>
      </c>
      <c r="C8054" s="2" t="str">
        <f>"020601003"</f>
        <v>020601003</v>
      </c>
      <c r="D8054" s="2" t="s">
        <v>10065</v>
      </c>
      <c r="E8054" s="4">
        <v>17500</v>
      </c>
    </row>
    <row r="8055" spans="1:5">
      <c r="A8055" s="2" t="s">
        <v>296</v>
      </c>
      <c r="B8055" s="2" t="s">
        <v>10066</v>
      </c>
      <c r="C8055" s="2" t="s">
        <v>10066</v>
      </c>
      <c r="D8055" s="2" t="s">
        <v>10067</v>
      </c>
      <c r="E8055" s="4">
        <v>28600</v>
      </c>
    </row>
    <row r="8056" spans="1:5">
      <c r="A8056" s="2" t="s">
        <v>296</v>
      </c>
      <c r="B8056" s="2" t="s">
        <v>10068</v>
      </c>
      <c r="C8056" s="2" t="s">
        <v>10069</v>
      </c>
      <c r="D8056" s="2" t="s">
        <v>10070</v>
      </c>
      <c r="E8056" s="4">
        <v>28000</v>
      </c>
    </row>
    <row r="8057" spans="1:5">
      <c r="A8057" s="2" t="s">
        <v>296</v>
      </c>
      <c r="B8057" s="2" t="s">
        <v>10071</v>
      </c>
      <c r="C8057" s="2" t="s">
        <v>10071</v>
      </c>
      <c r="D8057" s="2" t="s">
        <v>10072</v>
      </c>
      <c r="E8057" s="4">
        <v>18700</v>
      </c>
    </row>
    <row r="8058" spans="1:5">
      <c r="A8058" s="2" t="s">
        <v>2541</v>
      </c>
      <c r="B8058" s="2" t="s">
        <v>10073</v>
      </c>
      <c r="C8058" s="2" t="str">
        <f>"1684948340544"</f>
        <v>1684948340544</v>
      </c>
      <c r="D8058" s="2" t="s">
        <v>10074</v>
      </c>
      <c r="E8058" s="4">
        <v>110000</v>
      </c>
    </row>
    <row r="8059" spans="1:5">
      <c r="A8059" s="2" t="s">
        <v>296</v>
      </c>
      <c r="B8059" s="2" t="str">
        <f>"5345"</f>
        <v>5345</v>
      </c>
      <c r="C8059" s="2" t="s">
        <v>10075</v>
      </c>
      <c r="D8059" s="2" t="s">
        <v>10076</v>
      </c>
      <c r="E8059" s="4">
        <v>8500</v>
      </c>
    </row>
    <row r="8060" spans="1:5">
      <c r="A8060" s="2" t="s">
        <v>2541</v>
      </c>
      <c r="B8060" s="2" t="str">
        <f>"35360"</f>
        <v>35360</v>
      </c>
      <c r="C8060" s="2" t="str">
        <f>"35360"</f>
        <v>35360</v>
      </c>
      <c r="D8060" s="2" t="s">
        <v>10077</v>
      </c>
      <c r="E8060" s="4">
        <v>28600</v>
      </c>
    </row>
    <row r="8061" spans="1:5">
      <c r="A8061" s="2" t="s">
        <v>2541</v>
      </c>
      <c r="B8061" s="2" t="s">
        <v>10078</v>
      </c>
      <c r="C8061" s="2" t="s">
        <v>10078</v>
      </c>
      <c r="D8061" s="2" t="s">
        <v>10079</v>
      </c>
      <c r="E8061" s="4">
        <v>15500</v>
      </c>
    </row>
    <row r="8062" spans="1:5">
      <c r="A8062" s="2" t="s">
        <v>2541</v>
      </c>
      <c r="B8062" s="2" t="s">
        <v>10080</v>
      </c>
      <c r="C8062" s="2" t="s">
        <v>10080</v>
      </c>
      <c r="D8062" s="2" t="s">
        <v>10081</v>
      </c>
      <c r="E8062" s="4">
        <v>13800</v>
      </c>
    </row>
    <row r="8063" spans="1:5">
      <c r="A8063" s="2" t="s">
        <v>296</v>
      </c>
      <c r="B8063" s="2" t="s">
        <v>10082</v>
      </c>
      <c r="C8063" s="2" t="s">
        <v>10082</v>
      </c>
      <c r="D8063" s="2" t="s">
        <v>10083</v>
      </c>
      <c r="E8063" s="4">
        <v>18000</v>
      </c>
    </row>
    <row r="8064" spans="1:5">
      <c r="A8064" s="2" t="s">
        <v>296</v>
      </c>
      <c r="B8064" s="2" t="s">
        <v>10084</v>
      </c>
      <c r="C8064" s="2" t="s">
        <v>10084</v>
      </c>
      <c r="D8064" s="2" t="s">
        <v>10085</v>
      </c>
      <c r="E8064" s="2">
        <v>0</v>
      </c>
    </row>
    <row r="8065" spans="1:5">
      <c r="A8065" s="2" t="s">
        <v>296</v>
      </c>
      <c r="B8065" s="2" t="str">
        <f>"016030012"</f>
        <v>016030012</v>
      </c>
      <c r="C8065" s="2" t="str">
        <f>"016030012"</f>
        <v>016030012</v>
      </c>
      <c r="D8065" s="2" t="s">
        <v>10086</v>
      </c>
      <c r="E8065" s="2">
        <v>0</v>
      </c>
    </row>
    <row r="8066" spans="1:5">
      <c r="A8066" s="2" t="s">
        <v>296</v>
      </c>
      <c r="B8066" s="2" t="s">
        <v>10087</v>
      </c>
      <c r="C8066" s="2" t="s">
        <v>10088</v>
      </c>
      <c r="D8066" s="2" t="s">
        <v>10089</v>
      </c>
      <c r="E8066" s="4">
        <v>98000</v>
      </c>
    </row>
    <row r="8067" spans="1:5">
      <c r="A8067" s="2" t="s">
        <v>1394</v>
      </c>
      <c r="B8067" s="2" t="str">
        <f>"1500298"</f>
        <v>1500298</v>
      </c>
      <c r="C8067" s="2" t="str">
        <f>"1500298"</f>
        <v>1500298</v>
      </c>
      <c r="D8067" s="2" t="s">
        <v>10090</v>
      </c>
      <c r="E8067" s="4">
        <v>12400</v>
      </c>
    </row>
    <row r="8068" spans="1:5">
      <c r="A8068" s="2" t="s">
        <v>1394</v>
      </c>
      <c r="B8068" s="2" t="str">
        <f>"1454930-7"</f>
        <v>1454930-7</v>
      </c>
      <c r="C8068" s="2" t="str">
        <f>"1454930-7"</f>
        <v>1454930-7</v>
      </c>
      <c r="D8068" s="2" t="s">
        <v>10091</v>
      </c>
      <c r="E8068" s="4">
        <v>12400</v>
      </c>
    </row>
    <row r="8069" spans="1:5">
      <c r="A8069" s="2" t="s">
        <v>1394</v>
      </c>
      <c r="B8069" s="2" t="str">
        <f>"001255130-4"</f>
        <v>001255130-4</v>
      </c>
      <c r="C8069" s="2" t="str">
        <f>"1255130-4"</f>
        <v>1255130-4</v>
      </c>
      <c r="D8069" s="2" t="s">
        <v>10092</v>
      </c>
      <c r="E8069" s="4">
        <v>12400</v>
      </c>
    </row>
    <row r="8070" spans="1:5">
      <c r="A8070" s="2" t="s">
        <v>296</v>
      </c>
      <c r="B8070" s="2" t="str">
        <f>"7930335"</f>
        <v>7930335</v>
      </c>
      <c r="C8070" s="2" t="str">
        <f>"7930335"</f>
        <v>7930335</v>
      </c>
      <c r="D8070" s="2" t="s">
        <v>10093</v>
      </c>
      <c r="E8070" s="4">
        <v>125800</v>
      </c>
    </row>
    <row r="8071" spans="1:5">
      <c r="A8071" s="2" t="s">
        <v>296</v>
      </c>
      <c r="B8071" s="2" t="s">
        <v>10094</v>
      </c>
      <c r="C8071" s="2" t="s">
        <v>10094</v>
      </c>
      <c r="D8071" s="2" t="s">
        <v>10095</v>
      </c>
      <c r="E8071" s="4">
        <v>39000</v>
      </c>
    </row>
    <row r="8072" spans="1:5">
      <c r="A8072" s="2" t="s">
        <v>296</v>
      </c>
      <c r="B8072" s="2" t="str">
        <f>"0026626"</f>
        <v>0026626</v>
      </c>
      <c r="C8072" s="2" t="str">
        <f>"0026626"</f>
        <v>0026626</v>
      </c>
      <c r="D8072" s="2" t="s">
        <v>10095</v>
      </c>
      <c r="E8072" s="4">
        <v>61000</v>
      </c>
    </row>
    <row r="8073" spans="1:5">
      <c r="A8073" s="2" t="s">
        <v>1394</v>
      </c>
      <c r="B8073" s="2" t="str">
        <f>"1000863"</f>
        <v>1000863</v>
      </c>
      <c r="C8073" s="2" t="str">
        <f>"1000863"</f>
        <v>1000863</v>
      </c>
      <c r="D8073" s="2" t="s">
        <v>10096</v>
      </c>
      <c r="E8073" s="4">
        <v>28000</v>
      </c>
    </row>
    <row r="8074" spans="1:5">
      <c r="A8074" s="2" t="s">
        <v>296</v>
      </c>
      <c r="B8074" s="2" t="str">
        <f>"0026544"</f>
        <v>0026544</v>
      </c>
      <c r="C8074" s="2" t="s">
        <v>10097</v>
      </c>
      <c r="D8074" s="2" t="s">
        <v>10098</v>
      </c>
      <c r="E8074" s="4">
        <v>16000</v>
      </c>
    </row>
    <row r="8075" spans="1:5">
      <c r="A8075" s="2" t="s">
        <v>296</v>
      </c>
      <c r="B8075" s="2" t="str">
        <f>"1728071-6"</f>
        <v>1728071-6</v>
      </c>
      <c r="C8075" s="2" t="str">
        <f>"1728071-6"</f>
        <v>1728071-6</v>
      </c>
      <c r="D8075" s="2" t="s">
        <v>10099</v>
      </c>
      <c r="E8075" s="4">
        <v>28600</v>
      </c>
    </row>
    <row r="8076" spans="1:5">
      <c r="A8076" s="2" t="s">
        <v>1394</v>
      </c>
      <c r="B8076" s="2" t="s">
        <v>10100</v>
      </c>
      <c r="C8076" s="2" t="s">
        <v>10100</v>
      </c>
      <c r="D8076" s="2" t="s">
        <v>10101</v>
      </c>
      <c r="E8076" s="4">
        <v>61000</v>
      </c>
    </row>
    <row r="8077" spans="1:5">
      <c r="A8077" s="2" t="s">
        <v>296</v>
      </c>
      <c r="B8077" s="2" t="str">
        <f>"9953807"</f>
        <v>9953807</v>
      </c>
      <c r="C8077" s="2" t="str">
        <f>"9953807"</f>
        <v>9953807</v>
      </c>
      <c r="D8077" s="2" t="s">
        <v>10102</v>
      </c>
      <c r="E8077" s="4">
        <v>43000</v>
      </c>
    </row>
    <row r="8078" spans="1:5">
      <c r="A8078" s="2" t="s">
        <v>1394</v>
      </c>
      <c r="B8078" s="2" t="str">
        <f>"5 000000 359653"</f>
        <v>5 000000 359653</v>
      </c>
      <c r="C8078" s="2" t="str">
        <f>"016924"</f>
        <v>016924</v>
      </c>
      <c r="D8078" s="2" t="s">
        <v>10103</v>
      </c>
      <c r="E8078" s="4">
        <v>38500</v>
      </c>
    </row>
    <row r="8079" spans="1:5">
      <c r="A8079" s="2" t="s">
        <v>1394</v>
      </c>
      <c r="B8079" s="2" t="str">
        <f>"7006040"</f>
        <v>7006040</v>
      </c>
      <c r="C8079" s="2" t="str">
        <f>"7006040"</f>
        <v>7006040</v>
      </c>
      <c r="D8079" s="2" t="s">
        <v>10104</v>
      </c>
      <c r="E8079" s="4">
        <v>14200</v>
      </c>
    </row>
    <row r="8080" spans="1:5">
      <c r="A8080" s="2" t="s">
        <v>296</v>
      </c>
      <c r="B8080" s="2" t="str">
        <f>"4000038"</f>
        <v>4000038</v>
      </c>
      <c r="C8080" s="2" t="str">
        <f>"4000038"</f>
        <v>4000038</v>
      </c>
      <c r="D8080" s="2" t="s">
        <v>10105</v>
      </c>
      <c r="E8080" s="4">
        <v>10600</v>
      </c>
    </row>
    <row r="8081" spans="1:5">
      <c r="A8081" s="2" t="s">
        <v>296</v>
      </c>
      <c r="B8081" s="2" t="str">
        <f>"0026552"</f>
        <v>0026552</v>
      </c>
      <c r="C8081" s="2" t="str">
        <f>"0026552"</f>
        <v>0026552</v>
      </c>
      <c r="D8081" s="2" t="s">
        <v>10106</v>
      </c>
      <c r="E8081" s="4">
        <v>18700</v>
      </c>
    </row>
    <row r="8082" spans="1:5">
      <c r="A8082" s="2" t="s">
        <v>1394</v>
      </c>
      <c r="B8082" s="2" t="str">
        <f>"8022410"</f>
        <v>8022410</v>
      </c>
      <c r="C8082" s="2" t="str">
        <f>"8022410"</f>
        <v>8022410</v>
      </c>
      <c r="D8082" s="2" t="s">
        <v>10107</v>
      </c>
      <c r="E8082" s="4">
        <v>9000</v>
      </c>
    </row>
    <row r="8083" spans="1:5">
      <c r="A8083" s="2" t="s">
        <v>296</v>
      </c>
      <c r="B8083" s="2" t="str">
        <f>"9953748"</f>
        <v>9953748</v>
      </c>
      <c r="C8083" s="2" t="str">
        <f>"9953748"</f>
        <v>9953748</v>
      </c>
      <c r="D8083" s="2" t="s">
        <v>10108</v>
      </c>
      <c r="E8083" s="4">
        <v>18700</v>
      </c>
    </row>
    <row r="8084" spans="1:5">
      <c r="A8084" s="2" t="s">
        <v>1394</v>
      </c>
      <c r="B8084" s="2" t="str">
        <f>"1003519"</f>
        <v>1003519</v>
      </c>
      <c r="C8084" s="2" t="str">
        <f>"1003519"</f>
        <v>1003519</v>
      </c>
      <c r="D8084" s="2" t="s">
        <v>10109</v>
      </c>
      <c r="E8084" s="4">
        <v>15100</v>
      </c>
    </row>
    <row r="8085" spans="1:5">
      <c r="A8085" s="2" t="s">
        <v>1394</v>
      </c>
      <c r="B8085" s="2" t="str">
        <f>"021010013"</f>
        <v>021010013</v>
      </c>
      <c r="C8085" s="2" t="str">
        <f>"021010013"</f>
        <v>021010013</v>
      </c>
      <c r="D8085" s="2" t="s">
        <v>10110</v>
      </c>
      <c r="E8085" s="4">
        <v>8900</v>
      </c>
    </row>
    <row r="8086" spans="1:5">
      <c r="A8086" s="2" t="s">
        <v>296</v>
      </c>
      <c r="B8086" s="2" t="str">
        <f>"7002060"</f>
        <v>7002060</v>
      </c>
      <c r="C8086" s="2" t="str">
        <f>"7002060"</f>
        <v>7002060</v>
      </c>
      <c r="D8086" s="2" t="s">
        <v>10111</v>
      </c>
      <c r="E8086" s="4">
        <v>38000</v>
      </c>
    </row>
    <row r="8087" spans="1:5">
      <c r="A8087" s="2" t="s">
        <v>1394</v>
      </c>
      <c r="B8087" s="2" t="str">
        <f>"1003520"</f>
        <v>1003520</v>
      </c>
      <c r="C8087" s="2" t="str">
        <f>"1003520"</f>
        <v>1003520</v>
      </c>
      <c r="D8087" s="2" t="s">
        <v>10112</v>
      </c>
      <c r="E8087" s="4">
        <v>34000</v>
      </c>
    </row>
    <row r="8088" spans="1:5">
      <c r="A8088" s="2" t="s">
        <v>296</v>
      </c>
      <c r="B8088" s="2" t="str">
        <f>"7012030"</f>
        <v>7012030</v>
      </c>
      <c r="C8088" s="2" t="str">
        <f>"7012030"</f>
        <v>7012030</v>
      </c>
      <c r="D8088" s="2" t="s">
        <v>10113</v>
      </c>
      <c r="E8088" s="4">
        <v>12400</v>
      </c>
    </row>
    <row r="8089" spans="1:5">
      <c r="A8089" s="2" t="s">
        <v>1394</v>
      </c>
      <c r="B8089" s="2" t="str">
        <f>"1003521"</f>
        <v>1003521</v>
      </c>
      <c r="C8089" s="2" t="str">
        <f>"1003521"</f>
        <v>1003521</v>
      </c>
      <c r="D8089" s="2" t="s">
        <v>10114</v>
      </c>
      <c r="E8089" s="4">
        <v>29500</v>
      </c>
    </row>
    <row r="8090" spans="1:5">
      <c r="A8090" s="2" t="s">
        <v>1394</v>
      </c>
      <c r="B8090" s="2" t="str">
        <f>"5 000000 288328"</f>
        <v>5 000000 288328</v>
      </c>
      <c r="C8090" s="2" t="str">
        <f>"015090"</f>
        <v>015090</v>
      </c>
      <c r="D8090" s="2" t="s">
        <v>10115</v>
      </c>
      <c r="E8090" s="4">
        <v>34000</v>
      </c>
    </row>
    <row r="8091" spans="1:5">
      <c r="A8091" s="2" t="s">
        <v>1394</v>
      </c>
      <c r="B8091" s="2" t="str">
        <f>"021010016"</f>
        <v>021010016</v>
      </c>
      <c r="C8091" s="2" t="str">
        <f>"021010016"</f>
        <v>021010016</v>
      </c>
      <c r="D8091" s="2" t="s">
        <v>10116</v>
      </c>
      <c r="E8091" s="4">
        <v>12900</v>
      </c>
    </row>
    <row r="8092" spans="1:5">
      <c r="A8092" s="2" t="s">
        <v>296</v>
      </c>
      <c r="B8092" s="2" t="str">
        <f>"7003202"</f>
        <v>7003202</v>
      </c>
      <c r="C8092" s="2" t="str">
        <f>"7003202"</f>
        <v>7003202</v>
      </c>
      <c r="D8092" s="2" t="s">
        <v>10117</v>
      </c>
      <c r="E8092" s="4">
        <v>29000</v>
      </c>
    </row>
    <row r="8093" spans="1:5">
      <c r="A8093" s="2" t="s">
        <v>296</v>
      </c>
      <c r="B8093" s="2" t="str">
        <f>"040001"</f>
        <v>040001</v>
      </c>
      <c r="C8093" s="2" t="str">
        <f>"040001"</f>
        <v>040001</v>
      </c>
      <c r="D8093" s="2" t="s">
        <v>10118</v>
      </c>
      <c r="E8093" s="2">
        <v>0</v>
      </c>
    </row>
    <row r="8094" spans="1:5">
      <c r="A8094" s="2" t="s">
        <v>296</v>
      </c>
      <c r="B8094" s="2" t="str">
        <f>"451713"</f>
        <v>451713</v>
      </c>
      <c r="C8094" s="2" t="s">
        <v>10119</v>
      </c>
      <c r="D8094" s="2" t="s">
        <v>10120</v>
      </c>
      <c r="E8094" s="4">
        <v>29000</v>
      </c>
    </row>
    <row r="8095" spans="1:5">
      <c r="A8095" s="2" t="s">
        <v>4493</v>
      </c>
      <c r="B8095" s="2" t="str">
        <f>"231723"</f>
        <v>231723</v>
      </c>
      <c r="C8095" s="2" t="str">
        <f>"231723"</f>
        <v>231723</v>
      </c>
      <c r="D8095" s="2" t="s">
        <v>10121</v>
      </c>
      <c r="E8095" s="4">
        <v>16000</v>
      </c>
    </row>
    <row r="8096" spans="1:5">
      <c r="A8096" s="2" t="s">
        <v>4493</v>
      </c>
      <c r="B8096" s="2" t="str">
        <f>"96471775"</f>
        <v>96471775</v>
      </c>
      <c r="C8096" s="2" t="str">
        <f>"96471775"</f>
        <v>96471775</v>
      </c>
      <c r="D8096" s="2" t="s">
        <v>10122</v>
      </c>
      <c r="E8096" s="4">
        <v>25000</v>
      </c>
    </row>
    <row r="8097" spans="1:5">
      <c r="A8097" s="2" t="s">
        <v>296</v>
      </c>
      <c r="B8097" s="2" t="s">
        <v>10123</v>
      </c>
      <c r="C8097" s="2" t="s">
        <v>10123</v>
      </c>
      <c r="D8097" s="2" t="s">
        <v>10124</v>
      </c>
      <c r="E8097" s="4">
        <v>17952</v>
      </c>
    </row>
    <row r="8098" spans="1:5">
      <c r="A8098" s="2" t="s">
        <v>296</v>
      </c>
      <c r="B8098" s="2" t="str">
        <f>"1000012"</f>
        <v>1000012</v>
      </c>
      <c r="C8098" s="2" t="str">
        <f>"1000012"</f>
        <v>1000012</v>
      </c>
      <c r="D8098" s="2" t="s">
        <v>10125</v>
      </c>
      <c r="E8098" s="4">
        <v>29000</v>
      </c>
    </row>
    <row r="8099" spans="1:5">
      <c r="A8099" s="2" t="s">
        <v>296</v>
      </c>
      <c r="B8099" s="2" t="str">
        <f>"0026614"</f>
        <v>0026614</v>
      </c>
      <c r="C8099" s="2" t="str">
        <f>"0026614"</f>
        <v>0026614</v>
      </c>
      <c r="D8099" s="2" t="s">
        <v>10126</v>
      </c>
      <c r="E8099" s="4">
        <v>43000</v>
      </c>
    </row>
    <row r="8100" spans="1:5">
      <c r="A8100" s="2" t="s">
        <v>296</v>
      </c>
      <c r="B8100" s="2" t="s">
        <v>10127</v>
      </c>
      <c r="C8100" s="2" t="s">
        <v>10127</v>
      </c>
      <c r="D8100" s="2" t="s">
        <v>10128</v>
      </c>
      <c r="E8100" s="4">
        <v>18700</v>
      </c>
    </row>
    <row r="8101" spans="1:5">
      <c r="A8101" s="2" t="s">
        <v>1394</v>
      </c>
      <c r="B8101" s="2" t="str">
        <f>"7093202"</f>
        <v>7093202</v>
      </c>
      <c r="C8101" s="2" t="str">
        <f>"7093202"</f>
        <v>7093202</v>
      </c>
      <c r="D8101" s="2" t="s">
        <v>10129</v>
      </c>
      <c r="E8101" s="4">
        <v>9800</v>
      </c>
    </row>
    <row r="8102" spans="1:5">
      <c r="A8102" s="2" t="s">
        <v>296</v>
      </c>
      <c r="B8102" s="2" t="str">
        <f>"7093208"</f>
        <v>7093208</v>
      </c>
      <c r="C8102" s="2" t="str">
        <f>"7093208"</f>
        <v>7093208</v>
      </c>
      <c r="D8102" s="2" t="s">
        <v>10130</v>
      </c>
      <c r="E8102" s="4">
        <v>8800</v>
      </c>
    </row>
    <row r="8103" spans="1:5">
      <c r="A8103" s="2" t="s">
        <v>2541</v>
      </c>
      <c r="B8103" s="2" t="s">
        <v>10131</v>
      </c>
      <c r="C8103" s="2" t="str">
        <f>"1719240854647"</f>
        <v>1719240854647</v>
      </c>
      <c r="D8103" s="2" t="s">
        <v>10132</v>
      </c>
      <c r="E8103" s="2">
        <v>0</v>
      </c>
    </row>
    <row r="8104" spans="1:5">
      <c r="A8104" s="2" t="s">
        <v>2541</v>
      </c>
      <c r="B8104" s="2" t="s">
        <v>10133</v>
      </c>
      <c r="C8104" s="2" t="s">
        <v>10133</v>
      </c>
      <c r="D8104" s="2" t="s">
        <v>10134</v>
      </c>
      <c r="E8104" s="4">
        <v>6100</v>
      </c>
    </row>
    <row r="8105" spans="1:5">
      <c r="A8105" s="2" t="s">
        <v>2541</v>
      </c>
      <c r="B8105" s="2" t="s">
        <v>10135</v>
      </c>
      <c r="C8105" s="2" t="s">
        <v>10135</v>
      </c>
      <c r="D8105" s="2" t="s">
        <v>10136</v>
      </c>
      <c r="E8105" s="4">
        <v>6100</v>
      </c>
    </row>
    <row r="8106" spans="1:5">
      <c r="A8106" s="2" t="s">
        <v>2541</v>
      </c>
      <c r="B8106" s="2" t="str">
        <f>"0002164"</f>
        <v>0002164</v>
      </c>
      <c r="C8106" s="2" t="str">
        <f>"0002164"</f>
        <v>0002164</v>
      </c>
      <c r="D8106" s="2" t="s">
        <v>10137</v>
      </c>
      <c r="E8106" s="4">
        <v>6500</v>
      </c>
    </row>
    <row r="8107" spans="1:5">
      <c r="A8107" s="2" t="s">
        <v>2541</v>
      </c>
      <c r="B8107" s="2" t="str">
        <f>"0001837"</f>
        <v>0001837</v>
      </c>
      <c r="C8107" s="2" t="str">
        <f>"0001837"</f>
        <v>0001837</v>
      </c>
      <c r="D8107" s="2" t="s">
        <v>10138</v>
      </c>
      <c r="E8107" s="4">
        <v>4300</v>
      </c>
    </row>
    <row r="8108" spans="1:5">
      <c r="A8108" s="2" t="s">
        <v>2541</v>
      </c>
      <c r="B8108" s="2" t="str">
        <f>"0001836"</f>
        <v>0001836</v>
      </c>
      <c r="C8108" s="2" t="str">
        <f>"0001836"</f>
        <v>0001836</v>
      </c>
      <c r="D8108" s="2" t="s">
        <v>10139</v>
      </c>
      <c r="E8108" s="4">
        <v>4300</v>
      </c>
    </row>
    <row r="8109" spans="1:5">
      <c r="A8109" s="2" t="s">
        <v>2541</v>
      </c>
      <c r="B8109" s="2" t="s">
        <v>10140</v>
      </c>
      <c r="C8109" s="2" t="s">
        <v>10140</v>
      </c>
      <c r="D8109" s="2" t="s">
        <v>10141</v>
      </c>
      <c r="E8109" s="4">
        <v>7000</v>
      </c>
    </row>
    <row r="8110" spans="1:5">
      <c r="A8110" s="2" t="s">
        <v>2541</v>
      </c>
      <c r="B8110" s="2" t="s">
        <v>10142</v>
      </c>
      <c r="C8110" s="2" t="str">
        <f>"1718744742035"</f>
        <v>1718744742035</v>
      </c>
      <c r="D8110" s="2" t="s">
        <v>10143</v>
      </c>
      <c r="E8110" s="2">
        <v>0</v>
      </c>
    </row>
    <row r="8111" spans="1:5">
      <c r="A8111" s="2" t="s">
        <v>2541</v>
      </c>
      <c r="B8111" s="2" t="s">
        <v>10144</v>
      </c>
      <c r="C8111" s="2" t="str">
        <f>"1718744775436"</f>
        <v>1718744775436</v>
      </c>
      <c r="D8111" s="2" t="s">
        <v>10145</v>
      </c>
      <c r="E8111" s="2">
        <v>0</v>
      </c>
    </row>
    <row r="8112" spans="1:5">
      <c r="A8112" s="2" t="s">
        <v>2541</v>
      </c>
      <c r="B8112" s="2" t="s">
        <v>10146</v>
      </c>
      <c r="C8112" s="2" t="str">
        <f>"1718744650360"</f>
        <v>1718744650360</v>
      </c>
      <c r="D8112" s="2" t="s">
        <v>10147</v>
      </c>
      <c r="E8112" s="2">
        <v>1</v>
      </c>
    </row>
    <row r="8113" spans="1:5">
      <c r="A8113" s="2" t="s">
        <v>2541</v>
      </c>
      <c r="B8113" s="2" t="s">
        <v>10148</v>
      </c>
      <c r="C8113" s="2" t="str">
        <f>"1718744680356"</f>
        <v>1718744680356</v>
      </c>
      <c r="D8113" s="2" t="s">
        <v>10149</v>
      </c>
      <c r="E8113" s="2">
        <v>0</v>
      </c>
    </row>
    <row r="8114" spans="1:5">
      <c r="A8114" s="2" t="s">
        <v>1478</v>
      </c>
      <c r="B8114" s="2" t="str">
        <f>"286231"</f>
        <v>286231</v>
      </c>
      <c r="C8114" s="2" t="str">
        <f>"286231"</f>
        <v>286231</v>
      </c>
      <c r="D8114" s="2" t="s">
        <v>10150</v>
      </c>
      <c r="E8114" s="4">
        <v>16500</v>
      </c>
    </row>
    <row r="8115" spans="1:5">
      <c r="A8115" s="2" t="s">
        <v>1478</v>
      </c>
      <c r="B8115" s="2" t="str">
        <f>"286233"</f>
        <v>286233</v>
      </c>
      <c r="C8115" s="2" t="str">
        <f>"286233"</f>
        <v>286233</v>
      </c>
      <c r="D8115" s="2" t="s">
        <v>10151</v>
      </c>
      <c r="E8115" s="4">
        <v>16500</v>
      </c>
    </row>
    <row r="8116" spans="1:5">
      <c r="A8116" s="2" t="s">
        <v>1478</v>
      </c>
      <c r="B8116" s="2" t="str">
        <f>"230124"</f>
        <v>230124</v>
      </c>
      <c r="C8116" s="2" t="str">
        <f>"230124"</f>
        <v>230124</v>
      </c>
      <c r="D8116" s="2" t="s">
        <v>10152</v>
      </c>
      <c r="E8116" s="4">
        <v>9800</v>
      </c>
    </row>
    <row r="8117" spans="1:5">
      <c r="A8117" s="2" t="s">
        <v>1478</v>
      </c>
      <c r="B8117" s="2" t="s">
        <v>10153</v>
      </c>
      <c r="C8117" s="2" t="str">
        <f>"1698504965795"</f>
        <v>1698504965795</v>
      </c>
      <c r="D8117" s="2" t="s">
        <v>10154</v>
      </c>
      <c r="E8117" s="4">
        <v>30000</v>
      </c>
    </row>
    <row r="8118" spans="1:5">
      <c r="A8118" s="2" t="s">
        <v>1478</v>
      </c>
      <c r="B8118" s="2" t="str">
        <f>"000401294-1"</f>
        <v>000401294-1</v>
      </c>
      <c r="C8118" s="2" t="str">
        <f>"000401294-1"</f>
        <v>000401294-1</v>
      </c>
      <c r="D8118" s="2" t="s">
        <v>10155</v>
      </c>
      <c r="E8118" s="4">
        <v>25000</v>
      </c>
    </row>
    <row r="8119" spans="1:5">
      <c r="A8119" s="2" t="s">
        <v>1537</v>
      </c>
      <c r="B8119" s="2" t="str">
        <f>"1-090250B"</f>
        <v>1-090250B</v>
      </c>
      <c r="C8119" s="2" t="str">
        <f>"1-09-250B"</f>
        <v>1-09-250B</v>
      </c>
      <c r="D8119" s="2" t="s">
        <v>10156</v>
      </c>
      <c r="E8119" s="4">
        <v>11500</v>
      </c>
    </row>
    <row r="8120" spans="1:5">
      <c r="A8120" s="2" t="s">
        <v>1537</v>
      </c>
      <c r="B8120" s="2" t="str">
        <f>"1-09-250A"</f>
        <v>1-09-250A</v>
      </c>
      <c r="C8120" s="2" t="str">
        <f>"1-09-250A"</f>
        <v>1-09-250A</v>
      </c>
      <c r="D8120" s="2" t="s">
        <v>10157</v>
      </c>
      <c r="E8120" s="4">
        <v>11500</v>
      </c>
    </row>
    <row r="8121" spans="1:5">
      <c r="A8121" s="2" t="s">
        <v>1537</v>
      </c>
      <c r="B8121" s="2" t="s">
        <v>10158</v>
      </c>
      <c r="C8121" s="2" t="s">
        <v>10158</v>
      </c>
      <c r="D8121" s="2" t="s">
        <v>10159</v>
      </c>
      <c r="E8121" s="4">
        <v>3800</v>
      </c>
    </row>
    <row r="8122" spans="1:5">
      <c r="A8122" s="2" t="s">
        <v>2544</v>
      </c>
      <c r="B8122" s="2" t="str">
        <f>"248138"</f>
        <v>248138</v>
      </c>
      <c r="C8122" s="2" t="str">
        <f>"248138"</f>
        <v>248138</v>
      </c>
      <c r="D8122" s="2" t="s">
        <v>10160</v>
      </c>
      <c r="E8122" s="4">
        <v>16000</v>
      </c>
    </row>
    <row r="8123" spans="1:5">
      <c r="A8123" s="2" t="s">
        <v>2544</v>
      </c>
      <c r="B8123" s="2" t="str">
        <f>"248137"</f>
        <v>248137</v>
      </c>
      <c r="C8123" s="2" t="str">
        <f>"248137"</f>
        <v>248137</v>
      </c>
      <c r="D8123" s="2" t="s">
        <v>10161</v>
      </c>
      <c r="E8123" s="4">
        <v>18700</v>
      </c>
    </row>
    <row r="8124" spans="1:5">
      <c r="A8124" s="2" t="s">
        <v>2544</v>
      </c>
      <c r="B8124" s="2" t="str">
        <f>"416201-1"</f>
        <v>416201-1</v>
      </c>
      <c r="C8124" s="2" t="str">
        <f>"416201-1"</f>
        <v>416201-1</v>
      </c>
      <c r="D8124" s="2" t="s">
        <v>10162</v>
      </c>
      <c r="E8124" s="4">
        <v>12800</v>
      </c>
    </row>
    <row r="8125" spans="1:5">
      <c r="A8125" s="2" t="s">
        <v>2544</v>
      </c>
      <c r="B8125" s="2" t="str">
        <f>"248139"</f>
        <v>248139</v>
      </c>
      <c r="C8125" s="2" t="str">
        <f>"248139"</f>
        <v>248139</v>
      </c>
      <c r="D8125" s="2" t="s">
        <v>10163</v>
      </c>
      <c r="E8125" s="4">
        <v>17500</v>
      </c>
    </row>
    <row r="8126" spans="1:5">
      <c r="A8126" s="2" t="s">
        <v>2544</v>
      </c>
      <c r="B8126" s="2" t="str">
        <f>"248146"</f>
        <v>248146</v>
      </c>
      <c r="C8126" s="2" t="str">
        <f>"248146"</f>
        <v>248146</v>
      </c>
      <c r="D8126" s="2" t="s">
        <v>10164</v>
      </c>
      <c r="E8126" s="4">
        <v>24800</v>
      </c>
    </row>
    <row r="8127" spans="1:5">
      <c r="A8127" s="2" t="s">
        <v>2544</v>
      </c>
      <c r="B8127" s="2" t="str">
        <f>"248144"</f>
        <v>248144</v>
      </c>
      <c r="C8127" s="2" t="str">
        <f>"248144"</f>
        <v>248144</v>
      </c>
      <c r="D8127" s="2" t="s">
        <v>10165</v>
      </c>
      <c r="E8127" s="4">
        <v>43900</v>
      </c>
    </row>
    <row r="8128" spans="1:5">
      <c r="A8128" s="2" t="s">
        <v>5</v>
      </c>
      <c r="B8128" s="2" t="str">
        <f>"090980553"</f>
        <v>090980553</v>
      </c>
      <c r="C8128" s="2" t="s">
        <v>10166</v>
      </c>
      <c r="D8128" s="2" t="s">
        <v>10167</v>
      </c>
      <c r="E8128" s="4">
        <v>3400</v>
      </c>
    </row>
    <row r="8129" spans="1:5">
      <c r="A8129" s="2" t="s">
        <v>5</v>
      </c>
      <c r="B8129" s="2" t="str">
        <f>"75001"</f>
        <v>75001</v>
      </c>
      <c r="C8129" s="2" t="str">
        <f>"75001"</f>
        <v>75001</v>
      </c>
      <c r="D8129" s="2" t="s">
        <v>10168</v>
      </c>
      <c r="E8129" s="2">
        <v>900</v>
      </c>
    </row>
    <row r="8130" spans="1:5">
      <c r="A8130" s="2" t="s">
        <v>5</v>
      </c>
      <c r="B8130" s="2" t="str">
        <f>"232104"</f>
        <v>232104</v>
      </c>
      <c r="C8130" s="2" t="str">
        <f>"0311690"</f>
        <v>0311690</v>
      </c>
      <c r="D8130" s="2" t="s">
        <v>10169</v>
      </c>
      <c r="E8130" s="4">
        <v>6100</v>
      </c>
    </row>
    <row r="8131" spans="1:5">
      <c r="A8131" s="2" t="s">
        <v>1478</v>
      </c>
      <c r="B8131" s="2" t="str">
        <f>"0003995"</f>
        <v>0003995</v>
      </c>
      <c r="C8131" s="2" t="str">
        <f>"0003995"</f>
        <v>0003995</v>
      </c>
      <c r="D8131" s="2" t="s">
        <v>10170</v>
      </c>
      <c r="E8131" s="4">
        <v>38500</v>
      </c>
    </row>
    <row r="8132" spans="1:5">
      <c r="A8132" s="2" t="s">
        <v>1478</v>
      </c>
      <c r="B8132" s="2" t="str">
        <f>"040020849"</f>
        <v>040020849</v>
      </c>
      <c r="C8132" s="2" t="str">
        <f>"040020849"</f>
        <v>040020849</v>
      </c>
      <c r="D8132" s="2" t="s">
        <v>10171</v>
      </c>
      <c r="E8132" s="4">
        <v>60000</v>
      </c>
    </row>
    <row r="8133" spans="1:5">
      <c r="A8133" s="2" t="s">
        <v>1478</v>
      </c>
      <c r="B8133" s="2" t="str">
        <f>"435013-8"</f>
        <v>435013-8</v>
      </c>
      <c r="C8133" s="2" t="str">
        <f>"435013-8"</f>
        <v>435013-8</v>
      </c>
      <c r="D8133" s="2" t="s">
        <v>10172</v>
      </c>
      <c r="E8133" s="4">
        <v>49000</v>
      </c>
    </row>
    <row r="8134" spans="1:5">
      <c r="A8134" s="2" t="s">
        <v>365</v>
      </c>
      <c r="B8134" s="2" t="str">
        <f>"091020365"</f>
        <v>091020365</v>
      </c>
      <c r="C8134" s="2" t="str">
        <f>"091020365"</f>
        <v>091020365</v>
      </c>
      <c r="D8134" s="2" t="s">
        <v>10173</v>
      </c>
      <c r="E8134" s="4">
        <v>49000</v>
      </c>
    </row>
    <row r="8135" spans="1:5">
      <c r="A8135" s="2" t="s">
        <v>359</v>
      </c>
      <c r="B8135" s="2" t="str">
        <f>"0006557"</f>
        <v>0006557</v>
      </c>
      <c r="C8135" s="2" t="str">
        <f>"0006557"</f>
        <v>0006557</v>
      </c>
      <c r="D8135" s="2" t="s">
        <v>10174</v>
      </c>
      <c r="E8135" s="4">
        <v>38500</v>
      </c>
    </row>
    <row r="8136" spans="1:5">
      <c r="A8136" s="2" t="s">
        <v>359</v>
      </c>
      <c r="B8136" s="2" t="str">
        <f>"500000025657"</f>
        <v>500000025657</v>
      </c>
      <c r="C8136" s="2" t="str">
        <f>"283450"</f>
        <v>283450</v>
      </c>
      <c r="D8136" s="2" t="s">
        <v>10175</v>
      </c>
      <c r="E8136" s="4">
        <v>68800</v>
      </c>
    </row>
    <row r="8137" spans="1:5">
      <c r="A8137" s="2" t="s">
        <v>359</v>
      </c>
      <c r="B8137" s="2" t="str">
        <f>"091020062"</f>
        <v>091020062</v>
      </c>
      <c r="C8137" s="2" t="str">
        <f>"091020062"</f>
        <v>091020062</v>
      </c>
      <c r="D8137" s="2" t="s">
        <v>10176</v>
      </c>
      <c r="E8137" s="4">
        <v>48000</v>
      </c>
    </row>
    <row r="8138" spans="1:5">
      <c r="A8138" s="2" t="s">
        <v>296</v>
      </c>
      <c r="B8138" s="2" t="str">
        <f>"091020059"</f>
        <v>091020059</v>
      </c>
      <c r="C8138" s="2" t="str">
        <f>"091020059"</f>
        <v>091020059</v>
      </c>
      <c r="D8138" s="2" t="s">
        <v>10177</v>
      </c>
      <c r="E8138" s="4">
        <v>61000</v>
      </c>
    </row>
    <row r="8139" spans="1:5">
      <c r="A8139" s="2" t="s">
        <v>359</v>
      </c>
      <c r="B8139" s="2" t="str">
        <f>"0006550"</f>
        <v>0006550</v>
      </c>
      <c r="C8139" s="2" t="str">
        <f>"0006550"</f>
        <v>0006550</v>
      </c>
      <c r="D8139" s="2" t="s">
        <v>10177</v>
      </c>
      <c r="E8139" s="4">
        <v>52000</v>
      </c>
    </row>
    <row r="8140" spans="1:5">
      <c r="A8140" s="2" t="s">
        <v>296</v>
      </c>
      <c r="B8140" s="2" t="str">
        <f>"0012519"</f>
        <v>0012519</v>
      </c>
      <c r="C8140" s="2" t="str">
        <f>"0012519"</f>
        <v>0012519</v>
      </c>
      <c r="D8140" s="2" t="s">
        <v>10178</v>
      </c>
      <c r="E8140" s="4">
        <v>49000</v>
      </c>
    </row>
    <row r="8141" spans="1:5">
      <c r="A8141" s="2" t="s">
        <v>359</v>
      </c>
      <c r="B8141" s="2" t="str">
        <f>"091020060"</f>
        <v>091020060</v>
      </c>
      <c r="C8141" s="2" t="str">
        <f>"091020060"</f>
        <v>091020060</v>
      </c>
      <c r="D8141" s="2" t="s">
        <v>10179</v>
      </c>
      <c r="E8141" s="4">
        <v>39900</v>
      </c>
    </row>
    <row r="8142" spans="1:5">
      <c r="A8142" s="2" t="s">
        <v>296</v>
      </c>
      <c r="B8142" s="2" t="s">
        <v>10180</v>
      </c>
      <c r="C8142" s="2" t="s">
        <v>10181</v>
      </c>
      <c r="D8142" s="2" t="s">
        <v>10182</v>
      </c>
      <c r="E8142" s="4">
        <v>125000</v>
      </c>
    </row>
    <row r="8143" spans="1:5">
      <c r="A8143" s="2" t="s">
        <v>296</v>
      </c>
      <c r="B8143" s="2" t="str">
        <f>"0006554"</f>
        <v>0006554</v>
      </c>
      <c r="C8143" s="2" t="str">
        <f>"0006554"</f>
        <v>0006554</v>
      </c>
      <c r="D8143" s="2" t="s">
        <v>10183</v>
      </c>
      <c r="E8143" s="4">
        <v>89000</v>
      </c>
    </row>
    <row r="8144" spans="1:5">
      <c r="A8144" s="2" t="s">
        <v>296</v>
      </c>
      <c r="B8144" s="2" t="str">
        <f>"001250"</f>
        <v>001250</v>
      </c>
      <c r="C8144" s="2" t="str">
        <f>"001250"</f>
        <v>001250</v>
      </c>
      <c r="D8144" s="2" t="s">
        <v>10184</v>
      </c>
      <c r="E8144" s="4">
        <v>43000</v>
      </c>
    </row>
    <row r="8145" spans="1:5">
      <c r="A8145" s="2" t="s">
        <v>359</v>
      </c>
      <c r="B8145" s="2" t="str">
        <f>"0006551"</f>
        <v>0006551</v>
      </c>
      <c r="C8145" s="2" t="str">
        <f>"001116120-0"</f>
        <v>001116120-0</v>
      </c>
      <c r="D8145" s="2" t="s">
        <v>10184</v>
      </c>
      <c r="E8145" s="4">
        <v>89000</v>
      </c>
    </row>
    <row r="8146" spans="1:5">
      <c r="A8146" s="2" t="s">
        <v>359</v>
      </c>
      <c r="B8146" s="2" t="str">
        <f>"0012520"</f>
        <v>0012520</v>
      </c>
      <c r="C8146" s="2" t="str">
        <f>"0012520"</f>
        <v>0012520</v>
      </c>
      <c r="D8146" s="2" t="s">
        <v>10185</v>
      </c>
      <c r="E8146" s="4">
        <v>52000</v>
      </c>
    </row>
    <row r="8147" spans="1:5">
      <c r="A8147" s="2" t="s">
        <v>296</v>
      </c>
      <c r="B8147" s="2" t="str">
        <f>"0006552"</f>
        <v>0006552</v>
      </c>
      <c r="C8147" s="2" t="str">
        <f>"0006552"</f>
        <v>0006552</v>
      </c>
      <c r="D8147" s="2" t="s">
        <v>10186</v>
      </c>
      <c r="E8147" s="4">
        <v>70000</v>
      </c>
    </row>
    <row r="8148" spans="1:5">
      <c r="A8148" s="2" t="s">
        <v>359</v>
      </c>
      <c r="B8148" s="2" t="str">
        <f>"091020109"</f>
        <v>091020109</v>
      </c>
      <c r="C8148" s="2" t="str">
        <f>"091020109"</f>
        <v>091020109</v>
      </c>
      <c r="D8148" s="2" t="s">
        <v>10186</v>
      </c>
      <c r="E8148" s="4">
        <v>68000</v>
      </c>
    </row>
    <row r="8149" spans="1:5">
      <c r="A8149" s="2" t="s">
        <v>359</v>
      </c>
      <c r="B8149" s="2" t="str">
        <f>"1116116-2"</f>
        <v>1116116-2</v>
      </c>
      <c r="C8149" s="2" t="str">
        <f>"1598714064870"</f>
        <v>1598714064870</v>
      </c>
      <c r="D8149" s="2" t="s">
        <v>10186</v>
      </c>
      <c r="E8149" s="4">
        <v>81000</v>
      </c>
    </row>
    <row r="8150" spans="1:5">
      <c r="A8150" s="2" t="s">
        <v>359</v>
      </c>
      <c r="B8150" s="2" t="str">
        <f>"0012521"</f>
        <v>0012521</v>
      </c>
      <c r="C8150" s="2" t="str">
        <f>"0012521"</f>
        <v>0012521</v>
      </c>
      <c r="D8150" s="2" t="s">
        <v>10187</v>
      </c>
      <c r="E8150" s="4">
        <v>45700</v>
      </c>
    </row>
    <row r="8151" spans="1:5">
      <c r="A8151" s="2" t="s">
        <v>359</v>
      </c>
      <c r="B8151" s="2" t="str">
        <f>"17055"</f>
        <v>17055</v>
      </c>
      <c r="C8151" s="2" t="str">
        <f>"17055"</f>
        <v>17055</v>
      </c>
      <c r="D8151" s="2" t="s">
        <v>10188</v>
      </c>
      <c r="E8151" s="4">
        <v>79000</v>
      </c>
    </row>
    <row r="8152" spans="1:5">
      <c r="A8152" s="2" t="s">
        <v>296</v>
      </c>
      <c r="B8152" s="2" t="str">
        <f>"011736"</f>
        <v>011736</v>
      </c>
      <c r="C8152" s="2" t="str">
        <f>"011736"</f>
        <v>011736</v>
      </c>
      <c r="D8152" s="2" t="s">
        <v>10189</v>
      </c>
      <c r="E8152" s="4">
        <v>187000</v>
      </c>
    </row>
    <row r="8153" spans="1:5">
      <c r="A8153" s="2" t="s">
        <v>359</v>
      </c>
      <c r="B8153" s="2" t="str">
        <f>"0006555"</f>
        <v>0006555</v>
      </c>
      <c r="C8153" s="2" t="str">
        <f>"0006555"</f>
        <v>0006555</v>
      </c>
      <c r="D8153" s="2" t="s">
        <v>10190</v>
      </c>
      <c r="E8153" s="4">
        <v>61000</v>
      </c>
    </row>
    <row r="8154" spans="1:5">
      <c r="A8154" s="2" t="s">
        <v>296</v>
      </c>
      <c r="B8154" s="2" t="str">
        <f>"0011348"</f>
        <v>0011348</v>
      </c>
      <c r="C8154" s="2" t="str">
        <f>"0011348"</f>
        <v>0011348</v>
      </c>
      <c r="D8154" s="2" t="s">
        <v>10191</v>
      </c>
      <c r="E8154" s="4">
        <v>61000</v>
      </c>
    </row>
    <row r="8155" spans="1:5">
      <c r="A8155" s="2" t="s">
        <v>296</v>
      </c>
      <c r="B8155" s="2" t="str">
        <f>"001416130-9"</f>
        <v>001416130-9</v>
      </c>
      <c r="C8155" s="2" t="str">
        <f>"1416130-9"</f>
        <v>1416130-9</v>
      </c>
      <c r="D8155" s="2" t="s">
        <v>10191</v>
      </c>
      <c r="E8155" s="4">
        <v>75000</v>
      </c>
    </row>
    <row r="8156" spans="1:5">
      <c r="A8156" s="2" t="s">
        <v>296</v>
      </c>
      <c r="B8156" s="2" t="str">
        <f>"001416105-8"</f>
        <v>001416105-8</v>
      </c>
      <c r="C8156" s="2" t="str">
        <f>"001416105-8"</f>
        <v>001416105-8</v>
      </c>
      <c r="D8156" s="2" t="s">
        <v>10191</v>
      </c>
      <c r="E8156" s="4">
        <v>70000</v>
      </c>
    </row>
    <row r="8157" spans="1:5">
      <c r="A8157" s="2" t="s">
        <v>359</v>
      </c>
      <c r="B8157" s="2" t="str">
        <f>"160655"</f>
        <v>160655</v>
      </c>
      <c r="C8157" s="2" t="str">
        <f>"160655"</f>
        <v>160655</v>
      </c>
      <c r="D8157" s="2" t="s">
        <v>10192</v>
      </c>
      <c r="E8157" s="4">
        <v>69100</v>
      </c>
    </row>
    <row r="8158" spans="1:5">
      <c r="A8158" s="2" t="s">
        <v>296</v>
      </c>
      <c r="B8158" s="2" t="str">
        <f>"260478"</f>
        <v>260478</v>
      </c>
      <c r="C8158" s="2" t="str">
        <f>"260478"</f>
        <v>260478</v>
      </c>
      <c r="D8158" s="2" t="s">
        <v>10193</v>
      </c>
      <c r="E8158" s="4">
        <v>47000</v>
      </c>
    </row>
    <row r="8159" spans="1:5">
      <c r="A8159" s="2" t="s">
        <v>296</v>
      </c>
      <c r="B8159" s="2" t="s">
        <v>10194</v>
      </c>
      <c r="C8159" s="2" t="s">
        <v>10194</v>
      </c>
      <c r="D8159" s="2" t="s">
        <v>10195</v>
      </c>
      <c r="E8159" s="4">
        <v>190000</v>
      </c>
    </row>
    <row r="8160" spans="1:5">
      <c r="A8160" s="2" t="s">
        <v>296</v>
      </c>
      <c r="B8160" s="2" t="str">
        <f>"8100410"</f>
        <v>8100410</v>
      </c>
      <c r="C8160" s="2" t="str">
        <f>"54000"</f>
        <v>54000</v>
      </c>
      <c r="D8160" s="2" t="s">
        <v>10196</v>
      </c>
      <c r="E8160" s="4">
        <v>38000</v>
      </c>
    </row>
    <row r="8161" spans="1:5">
      <c r="A8161" s="2" t="s">
        <v>359</v>
      </c>
      <c r="B8161" s="2" t="str">
        <f>"060020180"</f>
        <v>060020180</v>
      </c>
      <c r="C8161" s="2" t="str">
        <f>"060020180"</f>
        <v>060020180</v>
      </c>
      <c r="D8161" s="2" t="s">
        <v>10197</v>
      </c>
      <c r="E8161" s="4">
        <v>61000</v>
      </c>
    </row>
    <row r="8162" spans="1:5">
      <c r="A8162" s="2" t="s">
        <v>296</v>
      </c>
      <c r="B8162" s="2" t="str">
        <f>"0006562"</f>
        <v>0006562</v>
      </c>
      <c r="C8162" s="2" t="str">
        <f>"0006562"</f>
        <v>0006562</v>
      </c>
      <c r="D8162" s="2" t="s">
        <v>10198</v>
      </c>
      <c r="E8162" s="4">
        <v>49000</v>
      </c>
    </row>
    <row r="8163" spans="1:5">
      <c r="A8163" s="2" t="s">
        <v>296</v>
      </c>
      <c r="B8163" s="2" t="str">
        <f>"0020558"</f>
        <v>0020558</v>
      </c>
      <c r="C8163" s="2" t="str">
        <f>"160000"</f>
        <v>160000</v>
      </c>
      <c r="D8163" s="2" t="s">
        <v>10199</v>
      </c>
      <c r="E8163" s="4">
        <v>160000</v>
      </c>
    </row>
    <row r="8164" spans="1:5">
      <c r="A8164" s="2" t="s">
        <v>296</v>
      </c>
      <c r="B8164" s="2" t="str">
        <f>"0013426"</f>
        <v>0013426</v>
      </c>
      <c r="C8164" s="2" t="str">
        <f>"0013426"</f>
        <v>0013426</v>
      </c>
      <c r="D8164" s="2" t="s">
        <v>10200</v>
      </c>
      <c r="E8164" s="4">
        <v>43000</v>
      </c>
    </row>
    <row r="8165" spans="1:5">
      <c r="A8165" s="2" t="s">
        <v>296</v>
      </c>
      <c r="B8165" s="2" t="str">
        <f>"092020062"</f>
        <v>092020062</v>
      </c>
      <c r="C8165" s="2" t="str">
        <f>"001235256-5"</f>
        <v>001235256-5</v>
      </c>
      <c r="D8165" s="2" t="s">
        <v>10201</v>
      </c>
      <c r="E8165" s="4">
        <v>97000</v>
      </c>
    </row>
    <row r="8166" spans="1:5">
      <c r="A8166" s="2" t="s">
        <v>296</v>
      </c>
      <c r="B8166" s="2" t="str">
        <f>"091020359"</f>
        <v>091020359</v>
      </c>
      <c r="C8166" s="2" t="str">
        <f>"091020359"</f>
        <v>091020359</v>
      </c>
      <c r="D8166" s="2" t="s">
        <v>10202</v>
      </c>
      <c r="E8166" s="4">
        <v>43000</v>
      </c>
    </row>
    <row r="8167" spans="1:5">
      <c r="A8167" s="2" t="s">
        <v>296</v>
      </c>
      <c r="B8167" s="2" t="str">
        <f>"283643"</f>
        <v>283643</v>
      </c>
      <c r="C8167" s="2" t="str">
        <f>"283643"</f>
        <v>283643</v>
      </c>
      <c r="D8167" s="2" t="s">
        <v>10203</v>
      </c>
      <c r="E8167" s="4">
        <v>78100</v>
      </c>
    </row>
    <row r="8168" spans="1:5">
      <c r="A8168" s="2" t="s">
        <v>296</v>
      </c>
      <c r="B8168" s="2" t="str">
        <f>"0006575"</f>
        <v>0006575</v>
      </c>
      <c r="C8168" s="2" t="str">
        <f>"0006575"</f>
        <v>0006575</v>
      </c>
      <c r="D8168" s="2" t="s">
        <v>10204</v>
      </c>
      <c r="E8168" s="4">
        <v>38000</v>
      </c>
    </row>
    <row r="8169" spans="1:5">
      <c r="A8169" s="2" t="s">
        <v>296</v>
      </c>
      <c r="B8169" s="2" t="str">
        <f>"9952482"</f>
        <v>9952482</v>
      </c>
      <c r="C8169" s="2" t="str">
        <f>"9952482"</f>
        <v>9952482</v>
      </c>
      <c r="D8169" s="2" t="s">
        <v>10205</v>
      </c>
      <c r="E8169" s="4">
        <v>110000</v>
      </c>
    </row>
    <row r="8170" spans="1:5">
      <c r="A8170" s="2" t="s">
        <v>296</v>
      </c>
      <c r="B8170" s="2" t="str">
        <f>"091020075"</f>
        <v>091020075</v>
      </c>
      <c r="C8170" s="2" t="str">
        <f>"091020075"</f>
        <v>091020075</v>
      </c>
      <c r="D8170" s="2" t="s">
        <v>10206</v>
      </c>
      <c r="E8170" s="4">
        <v>47500</v>
      </c>
    </row>
    <row r="8171" spans="1:5">
      <c r="A8171" s="2" t="s">
        <v>359</v>
      </c>
      <c r="B8171" s="2" t="str">
        <f>"011-153"</f>
        <v>011-153</v>
      </c>
      <c r="C8171" s="2" t="str">
        <f>"180489"</f>
        <v>180489</v>
      </c>
      <c r="D8171" s="2" t="s">
        <v>10207</v>
      </c>
      <c r="E8171" s="4">
        <v>49000</v>
      </c>
    </row>
    <row r="8172" spans="1:5">
      <c r="A8172" s="2" t="s">
        <v>359</v>
      </c>
      <c r="B8172" s="2" t="str">
        <f>"011-006"</f>
        <v>011-006</v>
      </c>
      <c r="C8172" s="2" t="str">
        <f>"060020032"</f>
        <v>060020032</v>
      </c>
      <c r="D8172" s="2" t="s">
        <v>10208</v>
      </c>
      <c r="E8172" s="4">
        <v>52600</v>
      </c>
    </row>
    <row r="8173" spans="1:5">
      <c r="A8173" s="2" t="s">
        <v>296</v>
      </c>
      <c r="B8173" s="2" t="str">
        <f>"0014379"</f>
        <v>0014379</v>
      </c>
      <c r="C8173" s="2" t="str">
        <f>"0014379"</f>
        <v>0014379</v>
      </c>
      <c r="D8173" s="2" t="s">
        <v>10209</v>
      </c>
      <c r="E8173" s="4">
        <v>97000</v>
      </c>
    </row>
    <row r="8174" spans="1:5">
      <c r="A8174" s="2" t="s">
        <v>359</v>
      </c>
      <c r="B8174" s="2" t="s">
        <v>10210</v>
      </c>
      <c r="C8174" s="2" t="s">
        <v>10210</v>
      </c>
      <c r="D8174" s="2" t="s">
        <v>10211</v>
      </c>
      <c r="E8174" s="4">
        <v>168000</v>
      </c>
    </row>
    <row r="8175" spans="1:5">
      <c r="A8175" s="2" t="s">
        <v>359</v>
      </c>
      <c r="B8175" s="2" t="str">
        <f>"5 000000 025046"</f>
        <v>5 000000 025046</v>
      </c>
      <c r="C8175" s="2" t="str">
        <f>"170907"</f>
        <v>170907</v>
      </c>
      <c r="D8175" s="2" t="s">
        <v>10212</v>
      </c>
      <c r="E8175" s="4">
        <v>38500</v>
      </c>
    </row>
    <row r="8176" spans="1:5">
      <c r="A8176" s="2" t="s">
        <v>296</v>
      </c>
      <c r="B8176" s="2" t="str">
        <f>"092020059"</f>
        <v>092020059</v>
      </c>
      <c r="C8176" s="2" t="str">
        <f>"1494942979328"</f>
        <v>1494942979328</v>
      </c>
      <c r="D8176" s="2" t="s">
        <v>10213</v>
      </c>
      <c r="E8176" s="4">
        <v>43000</v>
      </c>
    </row>
    <row r="8177" spans="1:5">
      <c r="A8177" s="2" t="s">
        <v>359</v>
      </c>
      <c r="B8177" s="2" t="str">
        <f>"5 000000 02509 1"</f>
        <v>5 000000 02509 1</v>
      </c>
      <c r="C8177" s="2" t="str">
        <f>"170913"</f>
        <v>170913</v>
      </c>
      <c r="D8177" s="2" t="s">
        <v>10214</v>
      </c>
      <c r="E8177" s="4">
        <v>43000</v>
      </c>
    </row>
    <row r="8178" spans="1:5">
      <c r="A8178" s="2" t="s">
        <v>296</v>
      </c>
      <c r="B8178" s="2" t="str">
        <f>"170908"</f>
        <v>170908</v>
      </c>
      <c r="C8178" s="2" t="str">
        <f>"170908"</f>
        <v>170908</v>
      </c>
      <c r="D8178" s="2" t="s">
        <v>10215</v>
      </c>
      <c r="E8178" s="4">
        <v>52800</v>
      </c>
    </row>
    <row r="8179" spans="1:5">
      <c r="A8179" s="2" t="s">
        <v>359</v>
      </c>
      <c r="B8179" s="2" t="str">
        <f>"0004350359"</f>
        <v>0004350359</v>
      </c>
      <c r="C8179" s="2" t="str">
        <f>"000435035-9"</f>
        <v>000435035-9</v>
      </c>
      <c r="D8179" s="2" t="s">
        <v>10216</v>
      </c>
      <c r="E8179" s="4">
        <v>97000</v>
      </c>
    </row>
    <row r="8180" spans="1:5">
      <c r="A8180" s="2" t="s">
        <v>359</v>
      </c>
      <c r="B8180" s="2" t="str">
        <f>"0006587"</f>
        <v>0006587</v>
      </c>
      <c r="C8180" s="2" t="str">
        <f>"0006587"</f>
        <v>0006587</v>
      </c>
      <c r="D8180" s="2" t="s">
        <v>10217</v>
      </c>
      <c r="E8180" s="4">
        <v>110000</v>
      </c>
    </row>
    <row r="8181" spans="1:5">
      <c r="A8181" s="2" t="s">
        <v>359</v>
      </c>
      <c r="B8181" s="2" t="str">
        <f>"011-023"</f>
        <v>011-023</v>
      </c>
      <c r="C8181" s="2" t="str">
        <f>"011-023"</f>
        <v>011-023</v>
      </c>
      <c r="D8181" s="2" t="s">
        <v>10218</v>
      </c>
      <c r="E8181" s="4">
        <v>35500</v>
      </c>
    </row>
    <row r="8182" spans="1:5">
      <c r="A8182" s="2" t="s">
        <v>296</v>
      </c>
      <c r="B8182" s="2" t="str">
        <f>"280619"</f>
        <v>280619</v>
      </c>
      <c r="C8182" s="2" t="str">
        <f>"280619"</f>
        <v>280619</v>
      </c>
      <c r="D8182" s="2" t="s">
        <v>10219</v>
      </c>
      <c r="E8182" s="4">
        <v>55800</v>
      </c>
    </row>
    <row r="8183" spans="1:5">
      <c r="A8183" s="2" t="s">
        <v>296</v>
      </c>
      <c r="B8183" s="2" t="str">
        <f>"180619"</f>
        <v>180619</v>
      </c>
      <c r="C8183" s="2" t="str">
        <f>"180619"</f>
        <v>180619</v>
      </c>
      <c r="D8183" s="2" t="s">
        <v>10219</v>
      </c>
      <c r="E8183" s="4">
        <v>24438</v>
      </c>
    </row>
    <row r="8184" spans="1:5">
      <c r="A8184" s="2" t="s">
        <v>296</v>
      </c>
      <c r="B8184" s="2" t="str">
        <f>"435025-1"</f>
        <v>435025-1</v>
      </c>
      <c r="C8184" s="2" t="str">
        <f>"435025-1"</f>
        <v>435025-1</v>
      </c>
      <c r="D8184" s="2" t="s">
        <v>10220</v>
      </c>
      <c r="E8184" s="4">
        <v>59000</v>
      </c>
    </row>
    <row r="8185" spans="1:5">
      <c r="A8185" s="2" t="s">
        <v>296</v>
      </c>
      <c r="B8185" s="2" t="str">
        <f>"000435006-5"</f>
        <v>000435006-5</v>
      </c>
      <c r="C8185" s="2" t="str">
        <f>"435006-5"</f>
        <v>435006-5</v>
      </c>
      <c r="D8185" s="2" t="s">
        <v>10221</v>
      </c>
      <c r="E8185" s="4">
        <v>78000</v>
      </c>
    </row>
    <row r="8186" spans="1:5">
      <c r="A8186" s="2" t="s">
        <v>296</v>
      </c>
      <c r="B8186" s="2" t="str">
        <f>"0012534"</f>
        <v>0012534</v>
      </c>
      <c r="C8186" s="2" t="str">
        <f>"0012534"</f>
        <v>0012534</v>
      </c>
      <c r="D8186" s="2" t="s">
        <v>10222</v>
      </c>
      <c r="E8186" s="4">
        <v>61000</v>
      </c>
    </row>
    <row r="8187" spans="1:5">
      <c r="A8187" s="2" t="s">
        <v>296</v>
      </c>
      <c r="B8187" s="2" t="str">
        <f>"0006585"</f>
        <v>0006585</v>
      </c>
      <c r="C8187" s="2" t="str">
        <f>"0006585"</f>
        <v>0006585</v>
      </c>
      <c r="D8187" s="2" t="s">
        <v>10223</v>
      </c>
      <c r="E8187" s="4">
        <v>75000</v>
      </c>
    </row>
    <row r="8188" spans="1:5">
      <c r="A8188" s="2" t="s">
        <v>359</v>
      </c>
      <c r="B8188" s="2" t="str">
        <f>"011683"</f>
        <v>011683</v>
      </c>
      <c r="C8188" s="2" t="str">
        <f>"011683"</f>
        <v>011683</v>
      </c>
      <c r="D8188" s="2" t="s">
        <v>10224</v>
      </c>
      <c r="E8188" s="4">
        <v>43000</v>
      </c>
    </row>
    <row r="8189" spans="1:5">
      <c r="A8189" s="2" t="s">
        <v>359</v>
      </c>
      <c r="B8189" s="2" t="s">
        <v>10225</v>
      </c>
      <c r="C8189" s="2" t="s">
        <v>10225</v>
      </c>
      <c r="D8189" s="2" t="s">
        <v>10226</v>
      </c>
      <c r="E8189" s="4">
        <v>187000</v>
      </c>
    </row>
    <row r="8190" spans="1:5">
      <c r="A8190" s="2" t="s">
        <v>296</v>
      </c>
      <c r="B8190" s="2" t="str">
        <f>"000435043-K"</f>
        <v>000435043-K</v>
      </c>
      <c r="C8190" s="2" t="str">
        <f>"435043-K"</f>
        <v>435043-K</v>
      </c>
      <c r="D8190" s="2" t="s">
        <v>10227</v>
      </c>
      <c r="E8190" s="4">
        <v>140000</v>
      </c>
    </row>
    <row r="8191" spans="1:5">
      <c r="A8191" s="2" t="s">
        <v>296</v>
      </c>
      <c r="B8191" s="2" t="str">
        <f>"091020024"</f>
        <v>091020024</v>
      </c>
      <c r="C8191" s="2" t="str">
        <f>"091020024"</f>
        <v>091020024</v>
      </c>
      <c r="D8191" s="2" t="s">
        <v>10228</v>
      </c>
      <c r="E8191" s="4">
        <v>160000</v>
      </c>
    </row>
    <row r="8192" spans="1:5">
      <c r="A8192" s="2" t="s">
        <v>359</v>
      </c>
      <c r="B8192" s="2" t="str">
        <f>"0189350"</f>
        <v>0189350</v>
      </c>
      <c r="C8192" s="2" t="str">
        <f>"0189350"</f>
        <v>0189350</v>
      </c>
      <c r="D8192" s="2" t="s">
        <v>10229</v>
      </c>
      <c r="E8192" s="4">
        <v>133000</v>
      </c>
    </row>
    <row r="8193" spans="1:5">
      <c r="A8193" s="2" t="s">
        <v>359</v>
      </c>
      <c r="B8193" s="2" t="str">
        <f>"0012535"</f>
        <v>0012535</v>
      </c>
      <c r="C8193" s="2" t="str">
        <f>"0012535"</f>
        <v>0012535</v>
      </c>
      <c r="D8193" s="2" t="s">
        <v>10230</v>
      </c>
      <c r="E8193" s="4">
        <v>178000</v>
      </c>
    </row>
    <row r="8194" spans="1:5">
      <c r="A8194" s="2" t="s">
        <v>296</v>
      </c>
      <c r="B8194" s="2" t="str">
        <f>"091020014"</f>
        <v>091020014</v>
      </c>
      <c r="C8194" s="2" t="str">
        <f>"09120014"</f>
        <v>09120014</v>
      </c>
      <c r="D8194" s="2" t="s">
        <v>10231</v>
      </c>
      <c r="E8194" s="4">
        <v>71800</v>
      </c>
    </row>
    <row r="8195" spans="1:5">
      <c r="A8195" s="2" t="s">
        <v>296</v>
      </c>
      <c r="B8195" s="2" t="str">
        <f>"0020579"</f>
        <v>0020579</v>
      </c>
      <c r="C8195" s="2" t="str">
        <f>"0020579"</f>
        <v>0020579</v>
      </c>
      <c r="D8195" s="2" t="s">
        <v>10231</v>
      </c>
      <c r="E8195" s="4">
        <v>75000</v>
      </c>
    </row>
    <row r="8196" spans="1:5">
      <c r="A8196" s="2" t="s">
        <v>359</v>
      </c>
      <c r="B8196" s="2" t="str">
        <f>"5000000025701"</f>
        <v>5000000025701</v>
      </c>
      <c r="C8196" s="2" t="str">
        <f>"283513"</f>
        <v>283513</v>
      </c>
      <c r="D8196" s="2" t="s">
        <v>10232</v>
      </c>
      <c r="E8196" s="4">
        <v>61000</v>
      </c>
    </row>
    <row r="8197" spans="1:5">
      <c r="A8197" s="2" t="s">
        <v>359</v>
      </c>
      <c r="B8197" s="2" t="str">
        <f>"0006591 091020483"</f>
        <v>0006591 091020483</v>
      </c>
      <c r="C8197" s="2" t="str">
        <f>"092020085"</f>
        <v>092020085</v>
      </c>
      <c r="D8197" s="2" t="s">
        <v>10233</v>
      </c>
      <c r="E8197" s="4">
        <v>65000</v>
      </c>
    </row>
    <row r="8198" spans="1:5">
      <c r="A8198" s="2" t="s">
        <v>296</v>
      </c>
      <c r="B8198" s="2" t="str">
        <f>"0020561"</f>
        <v>0020561</v>
      </c>
      <c r="C8198" s="2" t="str">
        <f>"0020561"</f>
        <v>0020561</v>
      </c>
      <c r="D8198" s="2" t="s">
        <v>10234</v>
      </c>
      <c r="E8198" s="4">
        <v>68200</v>
      </c>
    </row>
    <row r="8199" spans="1:5">
      <c r="A8199" s="2" t="s">
        <v>359</v>
      </c>
      <c r="B8199" s="2" t="str">
        <f>"011-028"</f>
        <v>011-028</v>
      </c>
      <c r="C8199" s="2" t="str">
        <f>"011-028"</f>
        <v>011-028</v>
      </c>
      <c r="D8199" s="2" t="s">
        <v>10235</v>
      </c>
      <c r="E8199" s="4">
        <v>38500</v>
      </c>
    </row>
    <row r="8200" spans="1:5">
      <c r="A8200" s="2" t="s">
        <v>359</v>
      </c>
      <c r="B8200" s="2" t="str">
        <f>"0012543"</f>
        <v>0012543</v>
      </c>
      <c r="C8200" s="2" t="str">
        <f>"0012543"</f>
        <v>0012543</v>
      </c>
      <c r="D8200" s="2" t="s">
        <v>10236</v>
      </c>
      <c r="E8200" s="4">
        <v>55000</v>
      </c>
    </row>
    <row r="8201" spans="1:5">
      <c r="A8201" s="2" t="s">
        <v>296</v>
      </c>
      <c r="B8201" s="2" t="str">
        <f>"190638"</f>
        <v>190638</v>
      </c>
      <c r="C8201" s="2" t="str">
        <f>"190638"</f>
        <v>190638</v>
      </c>
      <c r="D8201" s="2" t="s">
        <v>10237</v>
      </c>
      <c r="E8201" s="4">
        <v>58300</v>
      </c>
    </row>
    <row r="8202" spans="1:5">
      <c r="A8202" s="2" t="s">
        <v>359</v>
      </c>
      <c r="B8202" s="2" t="str">
        <f>"011693"</f>
        <v>011693</v>
      </c>
      <c r="C8202" s="2" t="str">
        <f>"011693"</f>
        <v>011693</v>
      </c>
      <c r="D8202" s="2" t="s">
        <v>10238</v>
      </c>
      <c r="E8202" s="4">
        <v>69000</v>
      </c>
    </row>
    <row r="8203" spans="1:5">
      <c r="A8203" s="2" t="s">
        <v>296</v>
      </c>
      <c r="B8203" s="2" t="str">
        <f>"0020581"</f>
        <v>0020581</v>
      </c>
      <c r="C8203" s="2" t="str">
        <f>"0020581"</f>
        <v>0020581</v>
      </c>
      <c r="D8203" s="2" t="s">
        <v>10239</v>
      </c>
      <c r="E8203" s="4">
        <v>58000</v>
      </c>
    </row>
    <row r="8204" spans="1:5">
      <c r="A8204" s="2" t="s">
        <v>296</v>
      </c>
      <c r="B8204" s="2" t="str">
        <f>"0006614"</f>
        <v>0006614</v>
      </c>
      <c r="C8204" s="2" t="str">
        <f>"0012552"</f>
        <v>0012552</v>
      </c>
      <c r="D8204" s="2" t="s">
        <v>10240</v>
      </c>
      <c r="E8204" s="4">
        <v>75000</v>
      </c>
    </row>
    <row r="8205" spans="1:5">
      <c r="A8205" s="2" t="s">
        <v>296</v>
      </c>
      <c r="B8205" s="2" t="str">
        <f>"0006610"</f>
        <v>0006610</v>
      </c>
      <c r="C8205" s="2" t="str">
        <f>"0006610"</f>
        <v>0006610</v>
      </c>
      <c r="D8205" s="2" t="s">
        <v>10241</v>
      </c>
      <c r="E8205" s="4">
        <v>52000</v>
      </c>
    </row>
    <row r="8206" spans="1:5">
      <c r="A8206" s="2" t="s">
        <v>296</v>
      </c>
      <c r="B8206" s="2" t="str">
        <f>"011694"</f>
        <v>011694</v>
      </c>
      <c r="C8206" s="2" t="str">
        <f>"011694"</f>
        <v>011694</v>
      </c>
      <c r="D8206" s="2" t="s">
        <v>10242</v>
      </c>
      <c r="E8206" s="4">
        <v>88000</v>
      </c>
    </row>
    <row r="8207" spans="1:5">
      <c r="A8207" s="2" t="s">
        <v>1478</v>
      </c>
      <c r="B8207" s="2" t="str">
        <f>"00141605-8"</f>
        <v>00141605-8</v>
      </c>
      <c r="C8207" s="2" t="str">
        <f>"00141605-8"</f>
        <v>00141605-8</v>
      </c>
      <c r="D8207" s="2" t="s">
        <v>10243</v>
      </c>
      <c r="E8207" s="4">
        <v>70000</v>
      </c>
    </row>
    <row r="8208" spans="1:5">
      <c r="A8208" s="2" t="s">
        <v>1478</v>
      </c>
      <c r="B8208" s="2" t="s">
        <v>10244</v>
      </c>
      <c r="C8208" s="2" t="str">
        <f>"1735908663615"</f>
        <v>1735908663615</v>
      </c>
      <c r="D8208" s="2" t="s">
        <v>10245</v>
      </c>
      <c r="E8208" s="4">
        <v>128000</v>
      </c>
    </row>
    <row r="8209" spans="1:5">
      <c r="A8209" s="2" t="s">
        <v>1478</v>
      </c>
      <c r="B8209" s="2" t="s">
        <v>10246</v>
      </c>
      <c r="C8209" s="2" t="str">
        <f>"1735908784153"</f>
        <v>1735908784153</v>
      </c>
      <c r="D8209" s="2" t="s">
        <v>10247</v>
      </c>
      <c r="E8209" s="4">
        <v>23000</v>
      </c>
    </row>
    <row r="8210" spans="1:5">
      <c r="A8210" s="2" t="s">
        <v>1478</v>
      </c>
      <c r="B8210" s="2" t="s">
        <v>10248</v>
      </c>
      <c r="C8210" s="2" t="str">
        <f>"1735908694790"</f>
        <v>1735908694790</v>
      </c>
      <c r="D8210" s="2" t="s">
        <v>10249</v>
      </c>
      <c r="E8210" s="4">
        <v>195000</v>
      </c>
    </row>
    <row r="8211" spans="1:5">
      <c r="A8211" s="2" t="s">
        <v>10250</v>
      </c>
      <c r="B8211" s="2" t="str">
        <f>"001425513-3"</f>
        <v>001425513-3</v>
      </c>
      <c r="C8211" s="2" t="str">
        <f>"001425513-3"</f>
        <v>001425513-3</v>
      </c>
      <c r="D8211" s="2" t="s">
        <v>10251</v>
      </c>
      <c r="E8211" s="4">
        <v>38500</v>
      </c>
    </row>
    <row r="8212" spans="1:5">
      <c r="A8212" s="2" t="s">
        <v>10250</v>
      </c>
      <c r="B8212" s="2" t="str">
        <f>"0014426"</f>
        <v>0014426</v>
      </c>
      <c r="C8212" s="2" t="str">
        <f>"0014426"</f>
        <v>0014426</v>
      </c>
      <c r="D8212" s="2" t="s">
        <v>10252</v>
      </c>
      <c r="E8212" s="4">
        <v>92000</v>
      </c>
    </row>
    <row r="8213" spans="1:5">
      <c r="A8213" s="2">
        <v>0</v>
      </c>
      <c r="B8213" s="2" t="str">
        <f>"0011331"</f>
        <v>0011331</v>
      </c>
      <c r="C8213" s="2" t="str">
        <f>"0011331"</f>
        <v>0011331</v>
      </c>
      <c r="D8213" s="2" t="s">
        <v>10253</v>
      </c>
      <c r="E8213" s="4">
        <v>55000</v>
      </c>
    </row>
    <row r="8214" spans="1:5">
      <c r="A8214" s="2" t="s">
        <v>296</v>
      </c>
      <c r="B8214" s="2" t="str">
        <f>"68190"</f>
        <v>68190</v>
      </c>
      <c r="C8214" s="2" t="str">
        <f>"68190"</f>
        <v>68190</v>
      </c>
      <c r="D8214" s="2" t="s">
        <v>10254</v>
      </c>
      <c r="E8214" s="4">
        <v>18700</v>
      </c>
    </row>
    <row r="8215" spans="1:5">
      <c r="A8215" s="2" t="s">
        <v>296</v>
      </c>
      <c r="B8215" s="2" t="str">
        <f>"68189"</f>
        <v>68189</v>
      </c>
      <c r="C8215" s="2" t="str">
        <f>"68189"</f>
        <v>68189</v>
      </c>
      <c r="D8215" s="2" t="s">
        <v>10255</v>
      </c>
      <c r="E8215" s="4">
        <v>18700</v>
      </c>
    </row>
    <row r="8216" spans="1:5">
      <c r="A8216" s="2" t="s">
        <v>296</v>
      </c>
      <c r="B8216" s="2" t="s">
        <v>10256</v>
      </c>
      <c r="C8216" s="2" t="s">
        <v>10256</v>
      </c>
      <c r="D8216" s="2" t="s">
        <v>10257</v>
      </c>
      <c r="E8216" s="4">
        <v>8800</v>
      </c>
    </row>
    <row r="8217" spans="1:5">
      <c r="A8217" s="2" t="s">
        <v>296</v>
      </c>
      <c r="B8217" s="2" t="str">
        <f>"0011362"</f>
        <v>0011362</v>
      </c>
      <c r="C8217" s="2" t="str">
        <f>"0011362"</f>
        <v>0011362</v>
      </c>
      <c r="D8217" s="2" t="s">
        <v>10258</v>
      </c>
      <c r="E8217" s="4">
        <v>9900</v>
      </c>
    </row>
    <row r="8218" spans="1:5">
      <c r="A8218" s="2" t="s">
        <v>296</v>
      </c>
      <c r="B8218" s="2" t="str">
        <f>"1S00627"</f>
        <v>1S00627</v>
      </c>
      <c r="C8218" s="2" t="str">
        <f>"1S00627"</f>
        <v>1S00627</v>
      </c>
      <c r="D8218" s="2" t="s">
        <v>10259</v>
      </c>
      <c r="E8218" s="4">
        <v>19900</v>
      </c>
    </row>
    <row r="8219" spans="1:5">
      <c r="A8219" s="2" t="s">
        <v>296</v>
      </c>
      <c r="B8219" s="2" t="str">
        <f>"1000720"</f>
        <v>1000720</v>
      </c>
      <c r="C8219" s="2" t="str">
        <f>"1000720"</f>
        <v>1000720</v>
      </c>
      <c r="D8219" s="2" t="s">
        <v>10260</v>
      </c>
      <c r="E8219" s="2">
        <v>0</v>
      </c>
    </row>
    <row r="8220" spans="1:5">
      <c r="A8220" s="2" t="s">
        <v>296</v>
      </c>
      <c r="B8220" s="2" t="s">
        <v>10261</v>
      </c>
      <c r="C8220" s="2" t="s">
        <v>10261</v>
      </c>
      <c r="D8220" s="2" t="s">
        <v>10262</v>
      </c>
      <c r="E8220" s="2">
        <v>0</v>
      </c>
    </row>
    <row r="8221" spans="1:5">
      <c r="A8221" s="2" t="s">
        <v>296</v>
      </c>
      <c r="B8221" s="2" t="str">
        <f>"001494050-2"</f>
        <v>001494050-2</v>
      </c>
      <c r="C8221" s="2" t="str">
        <f>"001494050-2"</f>
        <v>001494050-2</v>
      </c>
      <c r="D8221" s="2" t="s">
        <v>10263</v>
      </c>
      <c r="E8221" s="4">
        <v>56000</v>
      </c>
    </row>
    <row r="8222" spans="1:5">
      <c r="A8222" s="2" t="s">
        <v>296</v>
      </c>
      <c r="B8222" s="2" t="str">
        <f>"001895216-5"</f>
        <v>001895216-5</v>
      </c>
      <c r="C8222" s="2" t="str">
        <f>"001895216-5"</f>
        <v>001895216-5</v>
      </c>
      <c r="D8222" s="2" t="s">
        <v>10264</v>
      </c>
      <c r="E8222" s="4">
        <v>25900</v>
      </c>
    </row>
    <row r="8223" spans="1:5">
      <c r="A8223" s="2" t="s">
        <v>296</v>
      </c>
      <c r="B8223" s="2" t="s">
        <v>10265</v>
      </c>
      <c r="C8223" s="2" t="s">
        <v>10265</v>
      </c>
      <c r="D8223" s="2" t="s">
        <v>10266</v>
      </c>
      <c r="E8223" s="4">
        <v>14200</v>
      </c>
    </row>
    <row r="8224" spans="1:5">
      <c r="A8224" s="2" t="s">
        <v>296</v>
      </c>
      <c r="B8224" s="2" t="str">
        <f>"001294321-0"</f>
        <v>001294321-0</v>
      </c>
      <c r="C8224" s="2" t="str">
        <f>"001294321-0"</f>
        <v>001294321-0</v>
      </c>
      <c r="D8224" s="2" t="s">
        <v>10267</v>
      </c>
      <c r="E8224" s="4">
        <v>14500</v>
      </c>
    </row>
    <row r="8225" spans="1:5">
      <c r="A8225" s="2" t="s">
        <v>296</v>
      </c>
      <c r="B8225" s="2" t="str">
        <f>"001294320-2"</f>
        <v>001294320-2</v>
      </c>
      <c r="C8225" s="2" t="str">
        <f>"001294320-2"</f>
        <v>001294320-2</v>
      </c>
      <c r="D8225" s="2" t="s">
        <v>10268</v>
      </c>
      <c r="E8225" s="4">
        <v>14500</v>
      </c>
    </row>
    <row r="8226" spans="1:5">
      <c r="A8226" s="2" t="s">
        <v>296</v>
      </c>
      <c r="B8226" s="2" t="str">
        <f>"0021960497"</f>
        <v>0021960497</v>
      </c>
      <c r="C8226" s="2" t="str">
        <f>"0021960497"</f>
        <v>0021960497</v>
      </c>
      <c r="D8226" s="2" t="s">
        <v>10269</v>
      </c>
      <c r="E8226" s="4">
        <v>58300</v>
      </c>
    </row>
    <row r="8227" spans="1:5">
      <c r="A8227" s="2" t="s">
        <v>296</v>
      </c>
      <c r="B8227" s="2" t="s">
        <v>10270</v>
      </c>
      <c r="C8227" s="2" t="s">
        <v>10270</v>
      </c>
      <c r="D8227" s="2" t="s">
        <v>10271</v>
      </c>
      <c r="E8227" s="4">
        <v>11500</v>
      </c>
    </row>
    <row r="8228" spans="1:5">
      <c r="A8228" s="2" t="s">
        <v>296</v>
      </c>
      <c r="B8228" s="2" t="s">
        <v>10272</v>
      </c>
      <c r="C8228" s="2" t="s">
        <v>10273</v>
      </c>
      <c r="D8228" s="2" t="s">
        <v>10274</v>
      </c>
      <c r="E8228" s="4">
        <v>19000</v>
      </c>
    </row>
    <row r="8229" spans="1:5">
      <c r="A8229" s="2" t="s">
        <v>296</v>
      </c>
      <c r="B8229" s="2" t="str">
        <f>"0012951558"</f>
        <v>0012951558</v>
      </c>
      <c r="C8229" s="2" t="str">
        <f>"0012951558"</f>
        <v>0012951558</v>
      </c>
      <c r="D8229" s="2" t="s">
        <v>10275</v>
      </c>
      <c r="E8229" s="4">
        <v>38500</v>
      </c>
    </row>
    <row r="8230" spans="1:5">
      <c r="A8230" s="2" t="s">
        <v>296</v>
      </c>
      <c r="B8230" s="2" t="s">
        <v>10276</v>
      </c>
      <c r="C8230" s="2" t="s">
        <v>10276</v>
      </c>
      <c r="D8230" s="2" t="s">
        <v>10277</v>
      </c>
      <c r="E8230" s="4">
        <v>41000</v>
      </c>
    </row>
    <row r="8231" spans="1:5">
      <c r="A8231" s="2" t="s">
        <v>296</v>
      </c>
      <c r="B8231" s="2" t="str">
        <f>"002196048-9"</f>
        <v>002196048-9</v>
      </c>
      <c r="C8231" s="2" t="str">
        <f>"002196048-9"</f>
        <v>002196048-9</v>
      </c>
      <c r="D8231" s="2" t="s">
        <v>10278</v>
      </c>
      <c r="E8231" s="4">
        <v>49300</v>
      </c>
    </row>
    <row r="8232" spans="1:5">
      <c r="A8232" s="2" t="s">
        <v>296</v>
      </c>
      <c r="B8232" s="2" t="s">
        <v>10279</v>
      </c>
      <c r="C8232" s="2" t="s">
        <v>10279</v>
      </c>
      <c r="D8232" s="2" t="s">
        <v>10280</v>
      </c>
      <c r="E8232" s="4">
        <v>14200</v>
      </c>
    </row>
    <row r="8233" spans="1:5">
      <c r="A8233" s="2" t="s">
        <v>296</v>
      </c>
      <c r="B8233" s="2" t="str">
        <f>"1895157-6"</f>
        <v>1895157-6</v>
      </c>
      <c r="C8233" s="2" t="str">
        <f>"1895157-6"</f>
        <v>1895157-6</v>
      </c>
      <c r="D8233" s="2" t="s">
        <v>10281</v>
      </c>
      <c r="E8233" s="4">
        <v>12400</v>
      </c>
    </row>
    <row r="8234" spans="1:5">
      <c r="A8234" s="2" t="s">
        <v>296</v>
      </c>
      <c r="B8234" s="2" t="str">
        <f>"1895159-2"</f>
        <v>1895159-2</v>
      </c>
      <c r="C8234" s="2" t="str">
        <f>"1895159-2"</f>
        <v>1895159-2</v>
      </c>
      <c r="D8234" s="2" t="s">
        <v>10282</v>
      </c>
      <c r="E8234" s="4">
        <v>12400</v>
      </c>
    </row>
    <row r="8235" spans="1:5">
      <c r="A8235" s="2" t="s">
        <v>296</v>
      </c>
      <c r="B8235" s="2" t="str">
        <f>"0018985209-2"</f>
        <v>0018985209-2</v>
      </c>
      <c r="C8235" s="2" t="str">
        <f>"0018985209-2"</f>
        <v>0018985209-2</v>
      </c>
      <c r="D8235" s="2" t="s">
        <v>10283</v>
      </c>
      <c r="E8235" s="4">
        <v>25900</v>
      </c>
    </row>
    <row r="8236" spans="1:5">
      <c r="A8236" s="2" t="s">
        <v>296</v>
      </c>
      <c r="B8236" s="2" t="str">
        <f>"2993710"</f>
        <v>2993710</v>
      </c>
      <c r="C8236" s="2" t="str">
        <f>"2993710"</f>
        <v>2993710</v>
      </c>
      <c r="D8236" s="2" t="s">
        <v>10284</v>
      </c>
      <c r="E8236" s="4">
        <v>42500</v>
      </c>
    </row>
    <row r="8237" spans="1:5">
      <c r="A8237" s="2" t="s">
        <v>296</v>
      </c>
      <c r="B8237" s="2" t="s">
        <v>10285</v>
      </c>
      <c r="C8237" s="2" t="s">
        <v>10285</v>
      </c>
      <c r="D8237" s="2" t="s">
        <v>10286</v>
      </c>
      <c r="E8237" s="2">
        <v>0</v>
      </c>
    </row>
    <row r="8238" spans="1:5">
      <c r="A8238" s="2" t="s">
        <v>296</v>
      </c>
      <c r="B8238" s="2" t="str">
        <f>"2034581"</f>
        <v>2034581</v>
      </c>
      <c r="C8238" s="2" t="str">
        <f>"2034581"</f>
        <v>2034581</v>
      </c>
      <c r="D8238" s="2" t="s">
        <v>10287</v>
      </c>
      <c r="E8238" s="4">
        <v>14200</v>
      </c>
    </row>
    <row r="8239" spans="1:5">
      <c r="A8239" s="2" t="s">
        <v>296</v>
      </c>
      <c r="B8239" s="2" t="s">
        <v>10288</v>
      </c>
      <c r="C8239" s="2" t="s">
        <v>10288</v>
      </c>
      <c r="D8239" s="2" t="s">
        <v>10289</v>
      </c>
      <c r="E8239" s="4">
        <v>8800</v>
      </c>
    </row>
    <row r="8240" spans="1:5">
      <c r="A8240" s="2" t="s">
        <v>296</v>
      </c>
      <c r="B8240" s="2" t="str">
        <f>"0600517"</f>
        <v>0600517</v>
      </c>
      <c r="C8240" s="2" t="str">
        <f>"0600517"</f>
        <v>0600517</v>
      </c>
      <c r="D8240" s="2" t="s">
        <v>10290</v>
      </c>
      <c r="E8240" s="4">
        <v>34000</v>
      </c>
    </row>
    <row r="8241" spans="1:5">
      <c r="A8241" s="2" t="s">
        <v>296</v>
      </c>
      <c r="B8241" s="2" t="str">
        <f>"0018272"</f>
        <v>0018272</v>
      </c>
      <c r="C8241" s="2" t="str">
        <f>"0018272"</f>
        <v>0018272</v>
      </c>
      <c r="D8241" s="2" t="s">
        <v>10291</v>
      </c>
      <c r="E8241" s="4">
        <v>28000</v>
      </c>
    </row>
    <row r="8242" spans="1:5">
      <c r="A8242" s="2" t="s">
        <v>296</v>
      </c>
      <c r="B8242" s="2" t="str">
        <f>"021601183"</f>
        <v>021601183</v>
      </c>
      <c r="C8242" s="2" t="str">
        <f>"021601183"</f>
        <v>021601183</v>
      </c>
      <c r="D8242" s="2" t="s">
        <v>10292</v>
      </c>
      <c r="E8242" s="4">
        <v>49000</v>
      </c>
    </row>
    <row r="8243" spans="1:5">
      <c r="A8243" s="2" t="s">
        <v>296</v>
      </c>
      <c r="B8243" s="2" t="str">
        <f>"021601184"</f>
        <v>021601184</v>
      </c>
      <c r="C8243" s="2" t="str">
        <f>"021601184"</f>
        <v>021601184</v>
      </c>
      <c r="D8243" s="2" t="s">
        <v>10293</v>
      </c>
      <c r="E8243" s="4">
        <v>49000</v>
      </c>
    </row>
    <row r="8244" spans="1:5">
      <c r="A8244" s="2" t="s">
        <v>296</v>
      </c>
      <c r="B8244" s="2" t="str">
        <f>"001795115-7"</f>
        <v>001795115-7</v>
      </c>
      <c r="C8244" s="2" t="str">
        <f>"001795115-7"</f>
        <v>001795115-7</v>
      </c>
      <c r="D8244" s="2" t="s">
        <v>10294</v>
      </c>
      <c r="E8244" s="4">
        <v>26800</v>
      </c>
    </row>
    <row r="8245" spans="1:5">
      <c r="A8245" s="2" t="s">
        <v>296</v>
      </c>
      <c r="B8245" s="2" t="str">
        <f>"1795100-9"</f>
        <v>1795100-9</v>
      </c>
      <c r="C8245" s="2" t="str">
        <f>"1795100-9"</f>
        <v>1795100-9</v>
      </c>
      <c r="D8245" s="2" t="s">
        <v>10295</v>
      </c>
      <c r="E8245" s="4">
        <v>32200</v>
      </c>
    </row>
    <row r="8246" spans="1:5">
      <c r="A8246" s="2" t="s">
        <v>296</v>
      </c>
      <c r="B8246" s="2" t="str">
        <f>"1795105-K"</f>
        <v>1795105-K</v>
      </c>
      <c r="C8246" s="2" t="str">
        <f>"1795105-K"</f>
        <v>1795105-K</v>
      </c>
      <c r="D8246" s="2" t="s">
        <v>10296</v>
      </c>
      <c r="E8246" s="4">
        <v>32200</v>
      </c>
    </row>
    <row r="8247" spans="1:5">
      <c r="A8247" s="2" t="s">
        <v>296</v>
      </c>
      <c r="B8247" s="2" t="s">
        <v>10297</v>
      </c>
      <c r="C8247" s="2" t="s">
        <v>10297</v>
      </c>
      <c r="D8247" s="2" t="s">
        <v>10298</v>
      </c>
      <c r="E8247" s="4">
        <v>38500</v>
      </c>
    </row>
    <row r="8248" spans="1:5">
      <c r="A8248" s="2" t="s">
        <v>365</v>
      </c>
      <c r="B8248" s="2" t="str">
        <f>"64330"</f>
        <v>64330</v>
      </c>
      <c r="C8248" s="2" t="str">
        <f>"64330"</f>
        <v>64330</v>
      </c>
      <c r="D8248" s="2" t="s">
        <v>10299</v>
      </c>
      <c r="E8248" s="4">
        <v>22300</v>
      </c>
    </row>
    <row r="8249" spans="1:5">
      <c r="A8249" s="2" t="s">
        <v>296</v>
      </c>
      <c r="B8249" s="2" t="str">
        <f>"280691"</f>
        <v>280691</v>
      </c>
      <c r="C8249" s="2" t="str">
        <f>"280691"</f>
        <v>280691</v>
      </c>
      <c r="D8249" s="2" t="s">
        <v>10300</v>
      </c>
      <c r="E8249" s="4">
        <v>32000</v>
      </c>
    </row>
    <row r="8250" spans="1:5">
      <c r="A8250" s="2" t="s">
        <v>296</v>
      </c>
      <c r="B8250" s="2" t="str">
        <f>"170697"</f>
        <v>170697</v>
      </c>
      <c r="C8250" s="2" t="str">
        <f>"170697"</f>
        <v>170697</v>
      </c>
      <c r="D8250" s="2" t="s">
        <v>10301</v>
      </c>
      <c r="E8250" s="4">
        <v>23000</v>
      </c>
    </row>
    <row r="8251" spans="1:5">
      <c r="A8251" s="2" t="s">
        <v>296</v>
      </c>
      <c r="B8251" s="2" t="s">
        <v>10302</v>
      </c>
      <c r="C8251" s="2" t="s">
        <v>10302</v>
      </c>
      <c r="D8251" s="2" t="s">
        <v>10303</v>
      </c>
      <c r="E8251" s="4">
        <v>135000</v>
      </c>
    </row>
    <row r="8252" spans="1:5">
      <c r="A8252" s="2" t="s">
        <v>1537</v>
      </c>
      <c r="B8252" s="2" t="s">
        <v>10304</v>
      </c>
      <c r="C8252" s="2" t="s">
        <v>10304</v>
      </c>
      <c r="D8252" s="2" t="s">
        <v>10305</v>
      </c>
      <c r="E8252" s="4">
        <v>34000</v>
      </c>
    </row>
    <row r="8253" spans="1:5">
      <c r="A8253" s="2" t="s">
        <v>1537</v>
      </c>
      <c r="B8253" s="2" t="str">
        <f>"53501-3100"</f>
        <v>53501-3100</v>
      </c>
      <c r="C8253" s="2" t="str">
        <f>"53501-3100"</f>
        <v>53501-3100</v>
      </c>
      <c r="D8253" s="2" t="s">
        <v>10306</v>
      </c>
      <c r="E8253" s="4">
        <v>83000</v>
      </c>
    </row>
    <row r="8254" spans="1:5">
      <c r="A8254" s="2" t="s">
        <v>1537</v>
      </c>
      <c r="B8254" s="2" t="str">
        <f>"76998"</f>
        <v>76998</v>
      </c>
      <c r="C8254" s="2" t="str">
        <f>"76998"</f>
        <v>76998</v>
      </c>
      <c r="D8254" s="2" t="s">
        <v>10307</v>
      </c>
      <c r="E8254" s="4">
        <v>27000</v>
      </c>
    </row>
    <row r="8255" spans="1:5">
      <c r="A8255" s="2" t="s">
        <v>2541</v>
      </c>
      <c r="B8255" s="2" t="s">
        <v>10308</v>
      </c>
      <c r="C8255" s="2" t="str">
        <f>"1718631489030"</f>
        <v>1718631489030</v>
      </c>
      <c r="D8255" s="2" t="s">
        <v>10309</v>
      </c>
      <c r="E8255" s="4">
        <v>62000</v>
      </c>
    </row>
    <row r="8256" spans="1:5">
      <c r="A8256" s="2" t="s">
        <v>1537</v>
      </c>
      <c r="B8256" s="2" t="str">
        <f>"1640070"</f>
        <v>1640070</v>
      </c>
      <c r="C8256" s="2" t="str">
        <f>"1640070"</f>
        <v>1640070</v>
      </c>
      <c r="D8256" s="2" t="s">
        <v>10310</v>
      </c>
      <c r="E8256" s="4">
        <v>14500</v>
      </c>
    </row>
    <row r="8257" spans="1:5">
      <c r="A8257" s="2" t="s">
        <v>1537</v>
      </c>
      <c r="B8257" s="2" t="s">
        <v>10311</v>
      </c>
      <c r="C8257" s="2" t="s">
        <v>10311</v>
      </c>
      <c r="D8257" s="2" t="s">
        <v>10312</v>
      </c>
      <c r="E8257" s="4">
        <v>18700</v>
      </c>
    </row>
    <row r="8258" spans="1:5">
      <c r="A8258" s="2" t="s">
        <v>296</v>
      </c>
      <c r="B8258" s="2" t="str">
        <f>"090600114"</f>
        <v>090600114</v>
      </c>
      <c r="C8258" s="2" t="str">
        <f>"090600114"</f>
        <v>090600114</v>
      </c>
      <c r="D8258" s="2" t="s">
        <v>10313</v>
      </c>
      <c r="E8258" s="4">
        <v>38500</v>
      </c>
    </row>
    <row r="8259" spans="1:5">
      <c r="A8259" s="2" t="s">
        <v>1537</v>
      </c>
      <c r="B8259" s="2" t="str">
        <f>"1640120"</f>
        <v>1640120</v>
      </c>
      <c r="C8259" s="2" t="str">
        <f>"1640120"</f>
        <v>1640120</v>
      </c>
      <c r="D8259" s="2" t="s">
        <v>10314</v>
      </c>
      <c r="E8259" s="4">
        <v>15100</v>
      </c>
    </row>
    <row r="8260" spans="1:5">
      <c r="A8260" s="2" t="s">
        <v>296</v>
      </c>
      <c r="B8260" s="2" t="str">
        <f>"1000568"</f>
        <v>1000568</v>
      </c>
      <c r="C8260" s="2" t="str">
        <f>"1000568"</f>
        <v>1000568</v>
      </c>
      <c r="D8260" s="2" t="s">
        <v>10315</v>
      </c>
      <c r="E8260" s="4">
        <v>59000</v>
      </c>
    </row>
    <row r="8261" spans="1:5">
      <c r="A8261" s="2" t="s">
        <v>1537</v>
      </c>
      <c r="B8261" s="2" t="str">
        <f>"01701957"</f>
        <v>01701957</v>
      </c>
      <c r="C8261" s="2" t="str">
        <f>"01701957"</f>
        <v>01701957</v>
      </c>
      <c r="D8261" s="2" t="s">
        <v>10316</v>
      </c>
      <c r="E8261" s="4">
        <v>11500</v>
      </c>
    </row>
    <row r="8262" spans="1:5">
      <c r="A8262" s="2" t="s">
        <v>296</v>
      </c>
      <c r="B8262" s="2" t="str">
        <f>"1596025-6"</f>
        <v>1596025-6</v>
      </c>
      <c r="C8262" s="2" t="str">
        <f>"1596025-6"</f>
        <v>1596025-6</v>
      </c>
      <c r="D8262" s="2" t="s">
        <v>10317</v>
      </c>
      <c r="E8262" s="4">
        <v>14900</v>
      </c>
    </row>
    <row r="8263" spans="1:5">
      <c r="A8263" s="2" t="s">
        <v>1537</v>
      </c>
      <c r="B8263" s="2" t="str">
        <f>"1665875"</f>
        <v>1665875</v>
      </c>
      <c r="C8263" s="2" t="str">
        <f>"1665875"</f>
        <v>1665875</v>
      </c>
      <c r="D8263" s="2" t="s">
        <v>10318</v>
      </c>
      <c r="E8263" s="4">
        <v>25000</v>
      </c>
    </row>
    <row r="8264" spans="1:5">
      <c r="A8264" s="2" t="s">
        <v>1537</v>
      </c>
      <c r="B8264" s="2" t="str">
        <f>"1665975"</f>
        <v>1665975</v>
      </c>
      <c r="C8264" s="2" t="str">
        <f>"1665975"</f>
        <v>1665975</v>
      </c>
      <c r="D8264" s="2" t="s">
        <v>10319</v>
      </c>
      <c r="E8264" s="4">
        <v>25000</v>
      </c>
    </row>
    <row r="8265" spans="1:5">
      <c r="A8265" s="2" t="s">
        <v>1537</v>
      </c>
      <c r="B8265" s="2" t="str">
        <f>"1642395"</f>
        <v>1642395</v>
      </c>
      <c r="C8265" s="2" t="str">
        <f>"1642395"</f>
        <v>1642395</v>
      </c>
      <c r="D8265" s="2" t="s">
        <v>10320</v>
      </c>
      <c r="E8265" s="4">
        <v>22000</v>
      </c>
    </row>
    <row r="8266" spans="1:5">
      <c r="A8266" s="2" t="s">
        <v>1537</v>
      </c>
      <c r="B8266" s="2" t="str">
        <f>"1642385"</f>
        <v>1642385</v>
      </c>
      <c r="C8266" s="2" t="str">
        <f>"1642385"</f>
        <v>1642385</v>
      </c>
      <c r="D8266" s="2" t="s">
        <v>10321</v>
      </c>
      <c r="E8266" s="4">
        <v>22000</v>
      </c>
    </row>
    <row r="8267" spans="1:5">
      <c r="A8267" s="2" t="s">
        <v>1537</v>
      </c>
      <c r="B8267" s="2" t="str">
        <f>"1000578"</f>
        <v>1000578</v>
      </c>
      <c r="C8267" s="2" t="str">
        <f>"1000578"</f>
        <v>1000578</v>
      </c>
      <c r="D8267" s="2" t="s">
        <v>10322</v>
      </c>
      <c r="E8267" s="4">
        <v>59000</v>
      </c>
    </row>
    <row r="8268" spans="1:5">
      <c r="A8268" s="2" t="s">
        <v>296</v>
      </c>
      <c r="B8268" s="2" t="s">
        <v>10323</v>
      </c>
      <c r="C8268" s="2" t="s">
        <v>10323</v>
      </c>
      <c r="D8268" s="2" t="s">
        <v>10324</v>
      </c>
      <c r="E8268" s="4">
        <v>25000</v>
      </c>
    </row>
    <row r="8269" spans="1:5">
      <c r="A8269" s="2" t="s">
        <v>296</v>
      </c>
      <c r="B8269" s="2" t="s">
        <v>10325</v>
      </c>
      <c r="C8269" s="2" t="str">
        <f>"1524494103729"</f>
        <v>1524494103729</v>
      </c>
      <c r="D8269" s="2" t="s">
        <v>10326</v>
      </c>
      <c r="E8269" s="4">
        <v>110348</v>
      </c>
    </row>
    <row r="8270" spans="1:5">
      <c r="A8270" s="2" t="s">
        <v>296</v>
      </c>
      <c r="B8270" s="2" t="str">
        <f>"0024890"</f>
        <v>0024890</v>
      </c>
      <c r="C8270" s="2" t="str">
        <f>"0024890"</f>
        <v>0024890</v>
      </c>
      <c r="D8270" s="2" t="s">
        <v>10327</v>
      </c>
      <c r="E8270" s="4">
        <v>38500</v>
      </c>
    </row>
    <row r="8271" spans="1:5">
      <c r="A8271" s="2" t="s">
        <v>1537</v>
      </c>
      <c r="B8271" s="2" t="str">
        <f>"1604143"</f>
        <v>1604143</v>
      </c>
      <c r="C8271" s="2" t="str">
        <f>"1604143"</f>
        <v>1604143</v>
      </c>
      <c r="D8271" s="2" t="s">
        <v>10328</v>
      </c>
      <c r="E8271" s="4">
        <v>29000</v>
      </c>
    </row>
    <row r="8272" spans="1:5">
      <c r="A8272" s="2" t="s">
        <v>296</v>
      </c>
      <c r="B8272" s="2" t="str">
        <f>"001193029-8"</f>
        <v>001193029-8</v>
      </c>
      <c r="C8272" s="2" t="str">
        <f>"1193029-8"</f>
        <v>1193029-8</v>
      </c>
      <c r="D8272" s="2" t="s">
        <v>10329</v>
      </c>
      <c r="E8272" s="4">
        <v>49000</v>
      </c>
    </row>
    <row r="8273" spans="1:5">
      <c r="A8273" s="2" t="s">
        <v>1537</v>
      </c>
      <c r="B8273" s="2" t="str">
        <f>"1603137"</f>
        <v>1603137</v>
      </c>
      <c r="C8273" s="2" t="str">
        <f>"1603137"</f>
        <v>1603137</v>
      </c>
      <c r="D8273" s="2" t="s">
        <v>10329</v>
      </c>
      <c r="E8273" s="4">
        <v>58000</v>
      </c>
    </row>
    <row r="8274" spans="1:5">
      <c r="A8274" s="2" t="s">
        <v>296</v>
      </c>
      <c r="B8274" s="2" t="str">
        <f>"090600040"</f>
        <v>090600040</v>
      </c>
      <c r="C8274" s="2" t="str">
        <f>"090600040"</f>
        <v>090600040</v>
      </c>
      <c r="D8274" s="2" t="s">
        <v>10330</v>
      </c>
      <c r="E8274" s="4">
        <v>17900</v>
      </c>
    </row>
    <row r="8275" spans="1:5">
      <c r="A8275" s="2" t="s">
        <v>296</v>
      </c>
      <c r="B8275" s="2" t="str">
        <f>"090600039"</f>
        <v>090600039</v>
      </c>
      <c r="C8275" s="2" t="str">
        <f>"090600039"</f>
        <v>090600039</v>
      </c>
      <c r="D8275" s="2" t="s">
        <v>10331</v>
      </c>
      <c r="E8275" s="4">
        <v>17900</v>
      </c>
    </row>
    <row r="8276" spans="1:5">
      <c r="A8276" s="2" t="s">
        <v>296</v>
      </c>
      <c r="B8276" s="2" t="s">
        <v>10332</v>
      </c>
      <c r="C8276" s="2" t="s">
        <v>10332</v>
      </c>
      <c r="D8276" s="2" t="s">
        <v>10333</v>
      </c>
      <c r="E8276" s="4">
        <v>18700</v>
      </c>
    </row>
    <row r="8277" spans="1:5">
      <c r="A8277" s="2" t="s">
        <v>296</v>
      </c>
      <c r="B8277" s="2" t="s">
        <v>10334</v>
      </c>
      <c r="C8277" s="2" t="s">
        <v>10334</v>
      </c>
      <c r="D8277" s="2" t="s">
        <v>10335</v>
      </c>
      <c r="E8277" s="4">
        <v>15200</v>
      </c>
    </row>
    <row r="8278" spans="1:5">
      <c r="A8278" s="2" t="s">
        <v>296</v>
      </c>
      <c r="B8278" s="2" t="s">
        <v>10336</v>
      </c>
      <c r="C8278" s="2" t="s">
        <v>10336</v>
      </c>
      <c r="D8278" s="2" t="s">
        <v>10337</v>
      </c>
      <c r="E8278" s="4">
        <v>28600</v>
      </c>
    </row>
    <row r="8279" spans="1:5">
      <c r="A8279" s="2" t="s">
        <v>296</v>
      </c>
      <c r="B8279" s="2" t="s">
        <v>10338</v>
      </c>
      <c r="C8279" s="2" t="s">
        <v>10338</v>
      </c>
      <c r="D8279" s="2" t="s">
        <v>10339</v>
      </c>
      <c r="E8279" s="4">
        <v>16000</v>
      </c>
    </row>
    <row r="8280" spans="1:5">
      <c r="A8280" s="2" t="s">
        <v>296</v>
      </c>
      <c r="B8280" s="2" t="str">
        <f>"0016717"</f>
        <v>0016717</v>
      </c>
      <c r="C8280" s="2" t="str">
        <f>"0016717"</f>
        <v>0016717</v>
      </c>
      <c r="D8280" s="2" t="s">
        <v>10340</v>
      </c>
      <c r="E8280" s="4">
        <v>43000</v>
      </c>
    </row>
    <row r="8281" spans="1:5">
      <c r="A8281" s="2" t="s">
        <v>296</v>
      </c>
      <c r="B8281" s="2" t="str">
        <f>"0016716"</f>
        <v>0016716</v>
      </c>
      <c r="C8281" s="2" t="str">
        <f>"0016716"</f>
        <v>0016716</v>
      </c>
      <c r="D8281" s="2" t="s">
        <v>10341</v>
      </c>
      <c r="E8281" s="4">
        <v>43000</v>
      </c>
    </row>
    <row r="8282" spans="1:5">
      <c r="A8282" s="2" t="s">
        <v>1537</v>
      </c>
      <c r="B8282" s="2" t="str">
        <f>"0011419"</f>
        <v>0011419</v>
      </c>
      <c r="C8282" s="2" t="str">
        <f>"0011419"</f>
        <v>0011419</v>
      </c>
      <c r="D8282" s="2" t="s">
        <v>10342</v>
      </c>
      <c r="E8282" s="4">
        <v>34000</v>
      </c>
    </row>
    <row r="8283" spans="1:5">
      <c r="A8283" s="2" t="s">
        <v>296</v>
      </c>
      <c r="B8283" s="2" t="str">
        <f>"0016753"</f>
        <v>0016753</v>
      </c>
      <c r="C8283" s="2" t="str">
        <f>"0016753"</f>
        <v>0016753</v>
      </c>
      <c r="D8283" s="2" t="s">
        <v>10343</v>
      </c>
      <c r="E8283" s="4">
        <v>88000</v>
      </c>
    </row>
    <row r="8284" spans="1:5">
      <c r="A8284" s="2" t="s">
        <v>1537</v>
      </c>
      <c r="B8284" s="2" t="str">
        <f>"090601025"</f>
        <v>090601025</v>
      </c>
      <c r="C8284" s="2" t="str">
        <f>"090601025"</f>
        <v>090601025</v>
      </c>
      <c r="D8284" s="2" t="s">
        <v>10344</v>
      </c>
      <c r="E8284" s="4">
        <v>24000</v>
      </c>
    </row>
    <row r="8285" spans="1:5">
      <c r="A8285" s="2" t="s">
        <v>296</v>
      </c>
      <c r="B8285" s="2" t="str">
        <f>"090601024"</f>
        <v>090601024</v>
      </c>
      <c r="C8285" s="2" t="str">
        <f>"0906010124"</f>
        <v>0906010124</v>
      </c>
      <c r="D8285" s="2" t="s">
        <v>10345</v>
      </c>
      <c r="E8285" s="4">
        <v>34000</v>
      </c>
    </row>
    <row r="8286" spans="1:5">
      <c r="A8286" s="2" t="s">
        <v>296</v>
      </c>
      <c r="B8286" s="2" t="s">
        <v>10346</v>
      </c>
      <c r="C8286" s="2" t="s">
        <v>10346</v>
      </c>
      <c r="D8286" s="2" t="s">
        <v>10347</v>
      </c>
      <c r="E8286" s="4">
        <v>38500</v>
      </c>
    </row>
    <row r="8287" spans="1:5">
      <c r="A8287" s="2" t="s">
        <v>296</v>
      </c>
      <c r="B8287" s="2" t="s">
        <v>10348</v>
      </c>
      <c r="C8287" s="2" t="s">
        <v>10348</v>
      </c>
      <c r="D8287" s="2" t="s">
        <v>10349</v>
      </c>
      <c r="E8287" s="4">
        <v>38500</v>
      </c>
    </row>
    <row r="8288" spans="1:5">
      <c r="A8288" s="2" t="s">
        <v>296</v>
      </c>
      <c r="B8288" s="2" t="str">
        <f>"0006931"</f>
        <v>0006931</v>
      </c>
      <c r="C8288" s="2" t="str">
        <f>"0006931"</f>
        <v>0006931</v>
      </c>
      <c r="D8288" s="2" t="s">
        <v>10350</v>
      </c>
      <c r="E8288" s="4">
        <v>38500</v>
      </c>
    </row>
    <row r="8289" spans="1:5">
      <c r="A8289" s="2" t="s">
        <v>296</v>
      </c>
      <c r="B8289" s="2" t="str">
        <f>"0006930"</f>
        <v>0006930</v>
      </c>
      <c r="C8289" s="2" t="str">
        <f>"0006930"</f>
        <v>0006930</v>
      </c>
      <c r="D8289" s="2" t="s">
        <v>10351</v>
      </c>
      <c r="E8289" s="4">
        <v>43000</v>
      </c>
    </row>
    <row r="8290" spans="1:5">
      <c r="A8290" s="2" t="s">
        <v>1537</v>
      </c>
      <c r="B8290" s="2" t="str">
        <f>"1493472-3"</f>
        <v>1493472-3</v>
      </c>
      <c r="C8290" s="2" t="str">
        <f>"1493472-3"</f>
        <v>1493472-3</v>
      </c>
      <c r="D8290" s="2" t="s">
        <v>10352</v>
      </c>
      <c r="E8290" s="4">
        <v>49000</v>
      </c>
    </row>
    <row r="8291" spans="1:5">
      <c r="A8291" s="2" t="s">
        <v>296</v>
      </c>
      <c r="B8291" s="2" t="str">
        <f>"1000970"</f>
        <v>1000970</v>
      </c>
      <c r="C8291" s="2" t="str">
        <f>"1000970"</f>
        <v>1000970</v>
      </c>
      <c r="D8291" s="2" t="s">
        <v>10353</v>
      </c>
      <c r="E8291" s="4">
        <v>38500</v>
      </c>
    </row>
    <row r="8292" spans="1:5">
      <c r="A8292" s="2" t="s">
        <v>296</v>
      </c>
      <c r="B8292" s="2" t="str">
        <f>"1701957"</f>
        <v>1701957</v>
      </c>
      <c r="C8292" s="2" t="str">
        <f>"1701957"</f>
        <v>1701957</v>
      </c>
      <c r="D8292" s="2" t="s">
        <v>10354</v>
      </c>
      <c r="E8292" s="4">
        <v>11500</v>
      </c>
    </row>
    <row r="8293" spans="1:5">
      <c r="A8293" s="2" t="s">
        <v>296</v>
      </c>
      <c r="B8293" s="2" t="str">
        <f>"1604153"</f>
        <v>1604153</v>
      </c>
      <c r="C8293" s="2" t="str">
        <f>"1604153"</f>
        <v>1604153</v>
      </c>
      <c r="D8293" s="2" t="s">
        <v>10355</v>
      </c>
      <c r="E8293" s="2">
        <v>0</v>
      </c>
    </row>
    <row r="8294" spans="1:5">
      <c r="A8294" s="2" t="s">
        <v>296</v>
      </c>
      <c r="B8294" s="2" t="str">
        <f>"090600394"</f>
        <v>090600394</v>
      </c>
      <c r="C8294" s="2" t="str">
        <f>"090600394"</f>
        <v>090600394</v>
      </c>
      <c r="D8294" s="2" t="s">
        <v>10356</v>
      </c>
      <c r="E8294" s="2">
        <v>0</v>
      </c>
    </row>
    <row r="8295" spans="1:5">
      <c r="A8295" s="2" t="s">
        <v>1537</v>
      </c>
      <c r="B8295" s="2" t="str">
        <f>"00027960642"</f>
        <v>00027960642</v>
      </c>
      <c r="C8295" s="2" t="str">
        <f>"0027960642"</f>
        <v>0027960642</v>
      </c>
      <c r="D8295" s="2" t="s">
        <v>10357</v>
      </c>
      <c r="E8295" s="4">
        <v>58300</v>
      </c>
    </row>
    <row r="8296" spans="1:5">
      <c r="A8296" s="2" t="s">
        <v>1537</v>
      </c>
      <c r="B8296" s="2" t="str">
        <f>"0011367"</f>
        <v>0011367</v>
      </c>
      <c r="C8296" s="2" t="str">
        <f>"0011367"</f>
        <v>0011367</v>
      </c>
      <c r="D8296" s="2" t="s">
        <v>10358</v>
      </c>
      <c r="E8296" s="4">
        <v>49000</v>
      </c>
    </row>
    <row r="8297" spans="1:5">
      <c r="A8297" s="2" t="s">
        <v>296</v>
      </c>
      <c r="B8297" s="2" t="str">
        <f>"002796064-2"</f>
        <v>002796064-2</v>
      </c>
      <c r="C8297" s="2" t="str">
        <f>"002796064-2"</f>
        <v>002796064-2</v>
      </c>
      <c r="D8297" s="2" t="s">
        <v>10359</v>
      </c>
      <c r="E8297" s="4">
        <v>58300</v>
      </c>
    </row>
    <row r="8298" spans="1:5">
      <c r="A8298" s="2" t="s">
        <v>296</v>
      </c>
      <c r="B8298" s="2" t="s">
        <v>10360</v>
      </c>
      <c r="C8298" s="2" t="s">
        <v>10360</v>
      </c>
      <c r="D8298" s="2" t="s">
        <v>10361</v>
      </c>
      <c r="E8298" s="4">
        <v>280000</v>
      </c>
    </row>
    <row r="8299" spans="1:5">
      <c r="A8299" s="2" t="s">
        <v>296</v>
      </c>
      <c r="B8299" s="2" t="str">
        <f>"8033118"</f>
        <v>8033118</v>
      </c>
      <c r="C8299" s="2" t="str">
        <f>"8033118"</f>
        <v>8033118</v>
      </c>
      <c r="D8299" s="2" t="s">
        <v>10362</v>
      </c>
      <c r="E8299" s="4">
        <v>14500</v>
      </c>
    </row>
    <row r="8300" spans="1:5">
      <c r="A8300" s="2" t="s">
        <v>296</v>
      </c>
      <c r="B8300" s="2" t="s">
        <v>10363</v>
      </c>
      <c r="C8300" s="2" t="s">
        <v>10363</v>
      </c>
      <c r="D8300" s="2" t="s">
        <v>10364</v>
      </c>
      <c r="E8300" s="4">
        <v>43000</v>
      </c>
    </row>
    <row r="8301" spans="1:5">
      <c r="A8301" s="2" t="s">
        <v>296</v>
      </c>
      <c r="B8301" s="2" t="s">
        <v>10365</v>
      </c>
      <c r="C8301" s="2" t="s">
        <v>10365</v>
      </c>
      <c r="D8301" s="2" t="s">
        <v>10366</v>
      </c>
      <c r="E8301" s="2">
        <v>0</v>
      </c>
    </row>
    <row r="8302" spans="1:5">
      <c r="A8302" s="2" t="s">
        <v>296</v>
      </c>
      <c r="B8302" s="2" t="str">
        <f>"190315TC"</f>
        <v>190315TC</v>
      </c>
      <c r="C8302" s="2" t="str">
        <f>"190315TC"</f>
        <v>190315TC</v>
      </c>
      <c r="D8302" s="2" t="s">
        <v>10367</v>
      </c>
      <c r="E8302" s="4">
        <v>280000</v>
      </c>
    </row>
    <row r="8303" spans="1:5">
      <c r="A8303" s="2" t="s">
        <v>296</v>
      </c>
      <c r="B8303" s="2" t="str">
        <f>"0008443"</f>
        <v>0008443</v>
      </c>
      <c r="C8303" s="2" t="str">
        <f>"0008443"</f>
        <v>0008443</v>
      </c>
      <c r="D8303" s="2" t="s">
        <v>10368</v>
      </c>
      <c r="E8303" s="2">
        <v>0</v>
      </c>
    </row>
    <row r="8304" spans="1:5">
      <c r="A8304" s="2" t="s">
        <v>296</v>
      </c>
      <c r="B8304" s="2" t="s">
        <v>10369</v>
      </c>
      <c r="C8304" s="2" t="s">
        <v>10369</v>
      </c>
      <c r="D8304" s="2" t="s">
        <v>10370</v>
      </c>
      <c r="E8304" s="4">
        <v>24100</v>
      </c>
    </row>
    <row r="8305" spans="1:5">
      <c r="A8305" s="2" t="s">
        <v>296</v>
      </c>
      <c r="B8305" s="2" t="str">
        <f>"002093015-2"</f>
        <v>002093015-2</v>
      </c>
      <c r="C8305" s="2" t="str">
        <f>"002093015-2"</f>
        <v>002093015-2</v>
      </c>
      <c r="D8305" s="2" t="s">
        <v>10371</v>
      </c>
      <c r="E8305" s="4">
        <v>28000</v>
      </c>
    </row>
    <row r="8306" spans="1:5">
      <c r="A8306" s="2" t="s">
        <v>296</v>
      </c>
      <c r="B8306" s="2" t="str">
        <f>"0008452"</f>
        <v>0008452</v>
      </c>
      <c r="C8306" s="2" t="str">
        <f>"0008452"</f>
        <v>0008452</v>
      </c>
      <c r="D8306" s="2" t="s">
        <v>10372</v>
      </c>
      <c r="E8306" s="4">
        <v>34000</v>
      </c>
    </row>
    <row r="8307" spans="1:5">
      <c r="A8307" s="2" t="s">
        <v>296</v>
      </c>
      <c r="B8307" s="2" t="str">
        <f>"4031-2105"</f>
        <v>4031-2105</v>
      </c>
      <c r="C8307" s="2" t="str">
        <f>"4031-2105"</f>
        <v>4031-2105</v>
      </c>
      <c r="D8307" s="2" t="s">
        <v>10373</v>
      </c>
      <c r="E8307" s="2">
        <v>0</v>
      </c>
    </row>
    <row r="8308" spans="1:5">
      <c r="A8308" s="2" t="s">
        <v>296</v>
      </c>
      <c r="B8308" s="2" t="s">
        <v>10374</v>
      </c>
      <c r="C8308" s="2" t="s">
        <v>10374</v>
      </c>
      <c r="D8308" s="2" t="s">
        <v>10375</v>
      </c>
      <c r="E8308" s="2">
        <v>0</v>
      </c>
    </row>
    <row r="8309" spans="1:5">
      <c r="A8309" s="2" t="s">
        <v>296</v>
      </c>
      <c r="B8309" s="2" t="str">
        <f>"1294440-3"</f>
        <v>1294440-3</v>
      </c>
      <c r="C8309" s="2" t="str">
        <f>"1294440-3"</f>
        <v>1294440-3</v>
      </c>
      <c r="D8309" s="2" t="s">
        <v>10376</v>
      </c>
      <c r="E8309" s="2">
        <v>0</v>
      </c>
    </row>
    <row r="8310" spans="1:5">
      <c r="A8310" s="2" t="s">
        <v>296</v>
      </c>
      <c r="B8310" s="2" t="str">
        <f>"1294073-4"</f>
        <v>1294073-4</v>
      </c>
      <c r="C8310" s="2" t="str">
        <f>"1294073-4"</f>
        <v>1294073-4</v>
      </c>
      <c r="D8310" s="2" t="s">
        <v>10377</v>
      </c>
      <c r="E8310" s="4">
        <v>22300</v>
      </c>
    </row>
    <row r="8311" spans="1:5">
      <c r="A8311" s="2" t="s">
        <v>296</v>
      </c>
      <c r="B8311" s="2" t="s">
        <v>10378</v>
      </c>
      <c r="C8311" s="2" t="s">
        <v>10378</v>
      </c>
      <c r="D8311" s="2" t="s">
        <v>10379</v>
      </c>
      <c r="E8311" s="4">
        <v>32400</v>
      </c>
    </row>
    <row r="8312" spans="1:5">
      <c r="A8312" s="2" t="s">
        <v>296</v>
      </c>
      <c r="B8312" s="2" t="str">
        <f>"020501291"</f>
        <v>020501291</v>
      </c>
      <c r="C8312" s="2" t="str">
        <f>"020501291"</f>
        <v>020501291</v>
      </c>
      <c r="D8312" s="2" t="s">
        <v>10380</v>
      </c>
      <c r="E8312" s="2">
        <v>0</v>
      </c>
    </row>
    <row r="8313" spans="1:5">
      <c r="A8313" s="2" t="s">
        <v>296</v>
      </c>
      <c r="B8313" s="2" t="s">
        <v>10303</v>
      </c>
      <c r="C8313" s="2" t="s">
        <v>10303</v>
      </c>
      <c r="D8313" s="2" t="s">
        <v>10381</v>
      </c>
      <c r="E8313" s="4">
        <v>52000</v>
      </c>
    </row>
    <row r="8314" spans="1:5">
      <c r="A8314" s="2" t="s">
        <v>1537</v>
      </c>
      <c r="B8314" s="2" t="s">
        <v>10382</v>
      </c>
      <c r="C8314" s="2" t="s">
        <v>10382</v>
      </c>
      <c r="D8314" s="2" t="s">
        <v>10383</v>
      </c>
      <c r="E8314" s="4">
        <v>18500</v>
      </c>
    </row>
    <row r="8315" spans="1:5">
      <c r="A8315" s="2" t="s">
        <v>296</v>
      </c>
      <c r="B8315" s="2" t="s">
        <v>10384</v>
      </c>
      <c r="C8315" s="2" t="s">
        <v>10384</v>
      </c>
      <c r="D8315" s="2" t="s">
        <v>10385</v>
      </c>
      <c r="E8315" s="4">
        <v>13600</v>
      </c>
    </row>
    <row r="8316" spans="1:5">
      <c r="A8316" s="2" t="s">
        <v>296</v>
      </c>
      <c r="B8316" s="2" t="str">
        <f>"9951031"</f>
        <v>9951031</v>
      </c>
      <c r="C8316" s="2" t="str">
        <f>"9951031"</f>
        <v>9951031</v>
      </c>
      <c r="D8316" s="2" t="s">
        <v>10386</v>
      </c>
      <c r="E8316" s="4">
        <v>52000</v>
      </c>
    </row>
    <row r="8317" spans="1:5">
      <c r="A8317" s="2" t="s">
        <v>296</v>
      </c>
      <c r="B8317" s="2" t="str">
        <f>"9951032"</f>
        <v>9951032</v>
      </c>
      <c r="C8317" s="2" t="str">
        <f>"9951032"</f>
        <v>9951032</v>
      </c>
      <c r="D8317" s="2" t="s">
        <v>10387</v>
      </c>
      <c r="E8317" s="4">
        <v>52000</v>
      </c>
    </row>
    <row r="8318" spans="1:5">
      <c r="A8318" s="2" t="s">
        <v>296</v>
      </c>
      <c r="B8318" s="2" t="s">
        <v>10388</v>
      </c>
      <c r="C8318" s="2" t="str">
        <f>"0000731"</f>
        <v>0000731</v>
      </c>
      <c r="D8318" s="2" t="s">
        <v>10389</v>
      </c>
      <c r="E8318" s="4">
        <v>28000</v>
      </c>
    </row>
    <row r="8319" spans="1:5">
      <c r="A8319" s="2" t="s">
        <v>296</v>
      </c>
      <c r="B8319" s="2" t="str">
        <f>"9951013"</f>
        <v>9951013</v>
      </c>
      <c r="C8319" s="2" t="str">
        <f>"9951013"</f>
        <v>9951013</v>
      </c>
      <c r="D8319" s="2" t="s">
        <v>10390</v>
      </c>
      <c r="E8319" s="4">
        <v>48400</v>
      </c>
    </row>
    <row r="8320" spans="1:5">
      <c r="A8320" s="2" t="s">
        <v>1537</v>
      </c>
      <c r="B8320" s="2" t="s">
        <v>10391</v>
      </c>
      <c r="C8320" s="2" t="s">
        <v>10391</v>
      </c>
      <c r="D8320" s="2" t="s">
        <v>10392</v>
      </c>
      <c r="E8320" s="4">
        <v>28600</v>
      </c>
    </row>
    <row r="8321" spans="1:5">
      <c r="A8321" s="2" t="s">
        <v>1537</v>
      </c>
      <c r="B8321" s="2" t="s">
        <v>10393</v>
      </c>
      <c r="C8321" s="2" t="s">
        <v>10393</v>
      </c>
      <c r="D8321" s="2" t="s">
        <v>10394</v>
      </c>
      <c r="E8321" s="4">
        <v>34000</v>
      </c>
    </row>
    <row r="8322" spans="1:5">
      <c r="A8322" s="2" t="s">
        <v>1537</v>
      </c>
      <c r="B8322" s="2" t="s">
        <v>10395</v>
      </c>
      <c r="C8322" s="2" t="str">
        <f>"18700"</f>
        <v>18700</v>
      </c>
      <c r="D8322" s="2" t="s">
        <v>10396</v>
      </c>
      <c r="E8322" s="4">
        <v>18700</v>
      </c>
    </row>
    <row r="8323" spans="1:5">
      <c r="A8323" s="2" t="s">
        <v>1537</v>
      </c>
      <c r="B8323" s="2" t="s">
        <v>10397</v>
      </c>
      <c r="C8323" s="2" t="s">
        <v>10397</v>
      </c>
      <c r="D8323" s="2" t="s">
        <v>10398</v>
      </c>
      <c r="E8323" s="4">
        <v>69100</v>
      </c>
    </row>
    <row r="8324" spans="1:5">
      <c r="A8324" s="2" t="s">
        <v>296</v>
      </c>
      <c r="B8324" s="2" t="s">
        <v>10399</v>
      </c>
      <c r="C8324" s="2" t="s">
        <v>10399</v>
      </c>
      <c r="D8324" s="2" t="s">
        <v>10400</v>
      </c>
      <c r="E8324" s="4">
        <v>43000</v>
      </c>
    </row>
    <row r="8325" spans="1:5">
      <c r="A8325" s="2" t="s">
        <v>1537</v>
      </c>
      <c r="B8325" s="2" t="str">
        <f>"020601291"</f>
        <v>020601291</v>
      </c>
      <c r="C8325" s="2" t="str">
        <f>"020601291"</f>
        <v>020601291</v>
      </c>
      <c r="D8325" s="2" t="s">
        <v>10401</v>
      </c>
      <c r="E8325" s="4">
        <v>88000</v>
      </c>
    </row>
    <row r="8326" spans="1:5">
      <c r="A8326" s="2" t="s">
        <v>296</v>
      </c>
      <c r="B8326" s="2" t="str">
        <f>"0002355"</f>
        <v>0002355</v>
      </c>
      <c r="C8326" s="2" t="str">
        <f>"0002355"</f>
        <v>0002355</v>
      </c>
      <c r="D8326" s="2" t="s">
        <v>10402</v>
      </c>
      <c r="E8326" s="4">
        <v>79000</v>
      </c>
    </row>
    <row r="8327" spans="1:5">
      <c r="A8327" s="2" t="s">
        <v>296</v>
      </c>
      <c r="B8327" s="2" t="str">
        <f>"0005843"</f>
        <v>0005843</v>
      </c>
      <c r="C8327" s="2" t="str">
        <f>"0005843"</f>
        <v>0005843</v>
      </c>
      <c r="D8327" s="2" t="s">
        <v>10403</v>
      </c>
      <c r="E8327" s="4">
        <v>61000</v>
      </c>
    </row>
    <row r="8328" spans="1:5">
      <c r="A8328" s="2" t="s">
        <v>296</v>
      </c>
      <c r="B8328" s="2" t="str">
        <f>"001294437-3"</f>
        <v>001294437-3</v>
      </c>
      <c r="C8328" s="2" t="str">
        <f>"01294437-3"</f>
        <v>01294437-3</v>
      </c>
      <c r="D8328" s="2" t="s">
        <v>10404</v>
      </c>
      <c r="E8328" s="4">
        <v>35000</v>
      </c>
    </row>
    <row r="8329" spans="1:5">
      <c r="A8329" s="2" t="s">
        <v>1537</v>
      </c>
      <c r="B8329" s="2" t="s">
        <v>10405</v>
      </c>
      <c r="C8329" s="2" t="s">
        <v>10405</v>
      </c>
      <c r="D8329" s="2" t="s">
        <v>10406</v>
      </c>
      <c r="E8329" s="4">
        <v>34000</v>
      </c>
    </row>
    <row r="8330" spans="1:5">
      <c r="A8330" s="2" t="s">
        <v>1537</v>
      </c>
      <c r="B8330" s="2" t="str">
        <f>"0018941260"</f>
        <v>0018941260</v>
      </c>
      <c r="C8330" s="2" t="str">
        <f>"0018941260"</f>
        <v>0018941260</v>
      </c>
      <c r="D8330" s="2" t="s">
        <v>10407</v>
      </c>
      <c r="E8330" s="4">
        <v>64500</v>
      </c>
    </row>
    <row r="8331" spans="1:5">
      <c r="A8331" s="2" t="s">
        <v>1537</v>
      </c>
      <c r="B8331" s="2" t="str">
        <f>"0018941244"</f>
        <v>0018941244</v>
      </c>
      <c r="C8331" s="2" t="str">
        <f>"0018941244"</f>
        <v>0018941244</v>
      </c>
      <c r="D8331" s="2" t="s">
        <v>10408</v>
      </c>
      <c r="E8331" s="4">
        <v>64500</v>
      </c>
    </row>
    <row r="8332" spans="1:5">
      <c r="A8332" s="2" t="s">
        <v>296</v>
      </c>
      <c r="B8332" s="2" t="s">
        <v>10409</v>
      </c>
      <c r="C8332" s="2" t="s">
        <v>10409</v>
      </c>
      <c r="D8332" s="2" t="s">
        <v>10410</v>
      </c>
      <c r="E8332" s="4">
        <v>38500</v>
      </c>
    </row>
    <row r="8333" spans="1:5">
      <c r="A8333" s="2" t="s">
        <v>1537</v>
      </c>
      <c r="B8333" s="2" t="s">
        <v>10411</v>
      </c>
      <c r="C8333" s="2" t="s">
        <v>10411</v>
      </c>
      <c r="D8333" s="2" t="s">
        <v>10412</v>
      </c>
      <c r="E8333" s="4">
        <v>41000</v>
      </c>
    </row>
    <row r="8334" spans="1:5">
      <c r="A8334" s="2" t="s">
        <v>1537</v>
      </c>
      <c r="B8334" s="2" t="str">
        <f>"001894052-3"</f>
        <v>001894052-3</v>
      </c>
      <c r="C8334" s="2" t="str">
        <f>"001894052-3"</f>
        <v>001894052-3</v>
      </c>
      <c r="D8334" s="2" t="s">
        <v>10413</v>
      </c>
      <c r="E8334" s="4">
        <v>91600</v>
      </c>
    </row>
    <row r="8335" spans="1:5">
      <c r="A8335" s="2" t="s">
        <v>296</v>
      </c>
      <c r="B8335" s="2" t="s">
        <v>10414</v>
      </c>
      <c r="C8335" s="2" t="s">
        <v>10414</v>
      </c>
      <c r="D8335" s="2" t="s">
        <v>10415</v>
      </c>
      <c r="E8335" s="4">
        <v>89000</v>
      </c>
    </row>
    <row r="8336" spans="1:5">
      <c r="A8336" s="2" t="s">
        <v>1537</v>
      </c>
      <c r="B8336" s="2" t="str">
        <f>"002196054-3"</f>
        <v>002196054-3</v>
      </c>
      <c r="C8336" s="2" t="str">
        <f>"002196054-3"</f>
        <v>002196054-3</v>
      </c>
      <c r="D8336" s="2" t="s">
        <v>10416</v>
      </c>
      <c r="E8336" s="4">
        <v>88000</v>
      </c>
    </row>
    <row r="8337" spans="1:5">
      <c r="A8337" s="2" t="s">
        <v>296</v>
      </c>
      <c r="B8337" s="2" t="str">
        <f>"2193039-3"</f>
        <v>2193039-3</v>
      </c>
      <c r="C8337" s="2" t="s">
        <v>10417</v>
      </c>
      <c r="D8337" s="2" t="s">
        <v>10418</v>
      </c>
      <c r="E8337" s="4">
        <v>250000</v>
      </c>
    </row>
    <row r="8338" spans="1:5">
      <c r="A8338" s="2" t="s">
        <v>296</v>
      </c>
      <c r="B8338" s="2" t="str">
        <f>"003196005-3"</f>
        <v>003196005-3</v>
      </c>
      <c r="C8338" s="2" t="str">
        <f>"003196005-3"</f>
        <v>003196005-3</v>
      </c>
      <c r="D8338" s="2" t="s">
        <v>10419</v>
      </c>
      <c r="E8338" s="4">
        <v>115000</v>
      </c>
    </row>
    <row r="8339" spans="1:5">
      <c r="A8339" s="2" t="s">
        <v>296</v>
      </c>
      <c r="B8339" s="2" t="str">
        <f>"090230839"</f>
        <v>090230839</v>
      </c>
      <c r="C8339" s="2" t="str">
        <f>"090230839"</f>
        <v>090230839</v>
      </c>
      <c r="D8339" s="2" t="s">
        <v>10420</v>
      </c>
      <c r="E8339" s="4">
        <v>91000</v>
      </c>
    </row>
    <row r="8340" spans="1:5">
      <c r="A8340" s="2" t="s">
        <v>296</v>
      </c>
      <c r="B8340" s="2" t="s">
        <v>10421</v>
      </c>
      <c r="C8340" s="2" t="str">
        <f>"1594413689704"</f>
        <v>1594413689704</v>
      </c>
      <c r="D8340" s="2" t="s">
        <v>10422</v>
      </c>
      <c r="E8340" s="4">
        <v>240000</v>
      </c>
    </row>
    <row r="8341" spans="1:5">
      <c r="A8341" s="2" t="s">
        <v>296</v>
      </c>
      <c r="B8341" s="2" t="str">
        <f>"0000099"</f>
        <v>0000099</v>
      </c>
      <c r="C8341" s="2" t="str">
        <f>"0000099"</f>
        <v>0000099</v>
      </c>
      <c r="D8341" s="2" t="s">
        <v>10423</v>
      </c>
      <c r="E8341" s="4">
        <v>54700</v>
      </c>
    </row>
    <row r="8342" spans="1:5">
      <c r="A8342" s="2" t="s">
        <v>1537</v>
      </c>
      <c r="B8342" s="2" t="str">
        <f>"002993224-7"</f>
        <v>002993224-7</v>
      </c>
      <c r="C8342" s="2" t="str">
        <f>"002993224-7"</f>
        <v>002993224-7</v>
      </c>
      <c r="D8342" s="2" t="s">
        <v>10424</v>
      </c>
      <c r="E8342" s="4">
        <v>24100</v>
      </c>
    </row>
    <row r="8343" spans="1:5">
      <c r="A8343" s="2" t="s">
        <v>1537</v>
      </c>
      <c r="B8343" s="2" t="s">
        <v>10425</v>
      </c>
      <c r="C8343" s="2" t="s">
        <v>10425</v>
      </c>
      <c r="D8343" s="2" t="s">
        <v>10426</v>
      </c>
      <c r="E8343" s="4">
        <v>34000</v>
      </c>
    </row>
    <row r="8344" spans="1:5">
      <c r="A8344" s="2" t="s">
        <v>296</v>
      </c>
      <c r="B8344" s="2" t="s">
        <v>10427</v>
      </c>
      <c r="C8344" s="2" t="s">
        <v>10427</v>
      </c>
      <c r="D8344" s="2" t="s">
        <v>10428</v>
      </c>
      <c r="E8344" s="2">
        <v>0</v>
      </c>
    </row>
    <row r="8345" spans="1:5">
      <c r="A8345" s="2" t="s">
        <v>296</v>
      </c>
      <c r="B8345" s="2" t="s">
        <v>10429</v>
      </c>
      <c r="C8345" s="2" t="s">
        <v>10429</v>
      </c>
      <c r="D8345" s="2" t="s">
        <v>10430</v>
      </c>
      <c r="E8345" s="4">
        <v>58000</v>
      </c>
    </row>
    <row r="8346" spans="1:5">
      <c r="A8346" s="2" t="s">
        <v>296</v>
      </c>
      <c r="B8346" s="2" t="s">
        <v>10431</v>
      </c>
      <c r="C8346" s="2" t="s">
        <v>10432</v>
      </c>
      <c r="D8346" s="2" t="s">
        <v>10433</v>
      </c>
      <c r="E8346" s="4">
        <v>220000</v>
      </c>
    </row>
    <row r="8347" spans="1:5">
      <c r="A8347" s="2" t="s">
        <v>1537</v>
      </c>
      <c r="B8347" s="2" t="str">
        <f>"0106043"</f>
        <v>0106043</v>
      </c>
      <c r="C8347" s="2" t="str">
        <f>"0106043"</f>
        <v>0106043</v>
      </c>
      <c r="D8347" s="2" t="s">
        <v>10434</v>
      </c>
      <c r="E8347" s="4">
        <v>61000</v>
      </c>
    </row>
    <row r="8348" spans="1:5">
      <c r="A8348" s="2" t="s">
        <v>296</v>
      </c>
      <c r="B8348" s="2" t="str">
        <f>"0123943"</f>
        <v>0123943</v>
      </c>
      <c r="C8348" s="2" t="str">
        <f>"0123943"</f>
        <v>0123943</v>
      </c>
      <c r="D8348" s="2" t="s">
        <v>10435</v>
      </c>
      <c r="E8348" s="4">
        <v>18700</v>
      </c>
    </row>
    <row r="8349" spans="1:5">
      <c r="A8349" s="2" t="s">
        <v>1537</v>
      </c>
      <c r="B8349" s="2" t="s">
        <v>10436</v>
      </c>
      <c r="C8349" s="2" t="s">
        <v>10436</v>
      </c>
      <c r="D8349" s="2" t="s">
        <v>10437</v>
      </c>
      <c r="E8349" s="4">
        <v>88000</v>
      </c>
    </row>
    <row r="8350" spans="1:5">
      <c r="A8350" s="2" t="s">
        <v>296</v>
      </c>
      <c r="B8350" s="2" t="s">
        <v>10438</v>
      </c>
      <c r="C8350" s="2" t="s">
        <v>10438</v>
      </c>
      <c r="D8350" s="2" t="s">
        <v>10439</v>
      </c>
      <c r="E8350" s="4">
        <v>88000</v>
      </c>
    </row>
    <row r="8351" spans="1:5">
      <c r="A8351" s="2" t="s">
        <v>1537</v>
      </c>
      <c r="B8351" s="2" t="s">
        <v>10440</v>
      </c>
      <c r="C8351" s="2" t="s">
        <v>10440</v>
      </c>
      <c r="D8351" s="2" t="s">
        <v>10441</v>
      </c>
      <c r="E8351" s="4">
        <v>88000</v>
      </c>
    </row>
    <row r="8352" spans="1:5">
      <c r="A8352" s="2" t="s">
        <v>296</v>
      </c>
      <c r="B8352" s="2" t="s">
        <v>10442</v>
      </c>
      <c r="C8352" s="2" t="s">
        <v>10442</v>
      </c>
      <c r="D8352" s="2" t="s">
        <v>10443</v>
      </c>
      <c r="E8352" s="4">
        <v>88000</v>
      </c>
    </row>
    <row r="8353" spans="1:5">
      <c r="A8353" s="2" t="s">
        <v>296</v>
      </c>
      <c r="B8353" s="2" t="str">
        <f>"0015061"</f>
        <v>0015061</v>
      </c>
      <c r="C8353" s="2" t="s">
        <v>10444</v>
      </c>
      <c r="D8353" s="2" t="s">
        <v>10445</v>
      </c>
      <c r="E8353" s="4">
        <v>61000</v>
      </c>
    </row>
    <row r="8354" spans="1:5">
      <c r="A8354" s="2" t="s">
        <v>296</v>
      </c>
      <c r="B8354" s="2" t="str">
        <f>"0015060"</f>
        <v>0015060</v>
      </c>
      <c r="C8354" s="2" t="str">
        <f>"0015060"</f>
        <v>0015060</v>
      </c>
      <c r="D8354" s="2" t="s">
        <v>10446</v>
      </c>
      <c r="E8354" s="4">
        <v>70000</v>
      </c>
    </row>
    <row r="8355" spans="1:5">
      <c r="A8355" s="2" t="s">
        <v>296</v>
      </c>
      <c r="B8355" s="2" t="str">
        <f>"315-1101"</f>
        <v>315-1101</v>
      </c>
      <c r="C8355" s="2" t="str">
        <f>"315-1101"</f>
        <v>315-1101</v>
      </c>
      <c r="D8355" s="2" t="s">
        <v>10447</v>
      </c>
      <c r="E8355" s="2">
        <v>0</v>
      </c>
    </row>
    <row r="8356" spans="1:5">
      <c r="A8356" s="2" t="s">
        <v>296</v>
      </c>
      <c r="B8356" s="2" t="s">
        <v>10448</v>
      </c>
      <c r="C8356" s="2" t="s">
        <v>10448</v>
      </c>
      <c r="D8356" s="2" t="s">
        <v>10449</v>
      </c>
      <c r="E8356" s="2">
        <v>0</v>
      </c>
    </row>
    <row r="8357" spans="1:5">
      <c r="A8357" s="2" t="s">
        <v>1537</v>
      </c>
      <c r="B8357" s="2" t="str">
        <f>"20-6523-01"</f>
        <v>20-6523-01</v>
      </c>
      <c r="C8357" s="2" t="str">
        <f>"20-6523-01"</f>
        <v>20-6523-01</v>
      </c>
      <c r="D8357" s="2" t="s">
        <v>10450</v>
      </c>
      <c r="E8357" s="4">
        <v>85000</v>
      </c>
    </row>
    <row r="8358" spans="1:5">
      <c r="A8358" s="2" t="s">
        <v>1537</v>
      </c>
      <c r="B8358" s="2" t="str">
        <f>"20-6524-01"</f>
        <v>20-6524-01</v>
      </c>
      <c r="C8358" s="2" t="str">
        <f>"20-6524-01"</f>
        <v>20-6524-01</v>
      </c>
      <c r="D8358" s="2" t="s">
        <v>10451</v>
      </c>
      <c r="E8358" s="4">
        <v>85500</v>
      </c>
    </row>
    <row r="8359" spans="1:5">
      <c r="A8359" s="2" t="s">
        <v>296</v>
      </c>
      <c r="B8359" s="2" t="str">
        <f>"235131"</f>
        <v>235131</v>
      </c>
      <c r="C8359" s="2" t="str">
        <f>"235131"</f>
        <v>235131</v>
      </c>
      <c r="D8359" s="2" t="s">
        <v>10452</v>
      </c>
      <c r="E8359" s="2">
        <v>0</v>
      </c>
    </row>
    <row r="8360" spans="1:5">
      <c r="A8360" s="2" t="s">
        <v>1537</v>
      </c>
      <c r="B8360" s="2" t="str">
        <f>"0906000076"</f>
        <v>0906000076</v>
      </c>
      <c r="C8360" s="2" t="str">
        <f>"090600076"</f>
        <v>090600076</v>
      </c>
      <c r="D8360" s="2" t="s">
        <v>10453</v>
      </c>
      <c r="E8360" s="4">
        <v>43500</v>
      </c>
    </row>
    <row r="8361" spans="1:5">
      <c r="A8361" s="2" t="s">
        <v>296</v>
      </c>
      <c r="B8361" s="2" t="s">
        <v>10454</v>
      </c>
      <c r="C8361" s="2" t="s">
        <v>10454</v>
      </c>
      <c r="D8361" s="2" t="s">
        <v>10455</v>
      </c>
      <c r="E8361" s="4">
        <v>39400</v>
      </c>
    </row>
    <row r="8362" spans="1:5">
      <c r="A8362" s="2" t="s">
        <v>296</v>
      </c>
      <c r="B8362" s="2" t="s">
        <v>10456</v>
      </c>
      <c r="C8362" s="2" t="s">
        <v>10456</v>
      </c>
      <c r="D8362" s="2" t="s">
        <v>10457</v>
      </c>
      <c r="E8362" s="4">
        <v>39000</v>
      </c>
    </row>
    <row r="8363" spans="1:5">
      <c r="A8363" s="2" t="s">
        <v>296</v>
      </c>
      <c r="B8363" s="2" t="str">
        <f>"090230761"</f>
        <v>090230761</v>
      </c>
      <c r="C8363" s="2" t="str">
        <f>"090230761"</f>
        <v>090230761</v>
      </c>
      <c r="D8363" s="2" t="s">
        <v>10458</v>
      </c>
      <c r="E8363" s="4">
        <v>34000</v>
      </c>
    </row>
    <row r="8364" spans="1:5">
      <c r="A8364" s="2" t="s">
        <v>296</v>
      </c>
      <c r="B8364" s="2" t="str">
        <f>"090230762"</f>
        <v>090230762</v>
      </c>
      <c r="C8364" s="2" t="str">
        <f>"090230762"</f>
        <v>090230762</v>
      </c>
      <c r="D8364" s="2" t="s">
        <v>10459</v>
      </c>
      <c r="E8364" s="4">
        <v>34000</v>
      </c>
    </row>
    <row r="8365" spans="1:5">
      <c r="A8365" s="2" t="s">
        <v>1537</v>
      </c>
      <c r="B8365" s="2" t="str">
        <f>"090600364"</f>
        <v>090600364</v>
      </c>
      <c r="C8365" s="2" t="str">
        <f>"090600364"</f>
        <v>090600364</v>
      </c>
      <c r="D8365" s="2" t="s">
        <v>10460</v>
      </c>
      <c r="E8365" s="4">
        <v>34000</v>
      </c>
    </row>
    <row r="8366" spans="1:5">
      <c r="A8366" s="2" t="s">
        <v>1537</v>
      </c>
      <c r="B8366" s="2" t="str">
        <f>"0181510"</f>
        <v>0181510</v>
      </c>
      <c r="C8366" s="2" t="str">
        <f>"0181510"</f>
        <v>0181510</v>
      </c>
      <c r="D8366" s="2" t="s">
        <v>10461</v>
      </c>
      <c r="E8366" s="4">
        <v>43000</v>
      </c>
    </row>
    <row r="8367" spans="1:5">
      <c r="A8367" s="2" t="s">
        <v>296</v>
      </c>
      <c r="B8367" s="2" t="str">
        <f>"0002121"</f>
        <v>0002121</v>
      </c>
      <c r="C8367" s="2" t="str">
        <f>"0002121"</f>
        <v>0002121</v>
      </c>
      <c r="D8367" s="2" t="s">
        <v>10462</v>
      </c>
      <c r="E8367" s="4">
        <v>52000</v>
      </c>
    </row>
    <row r="8368" spans="1:5">
      <c r="A8368" s="2" t="s">
        <v>296</v>
      </c>
      <c r="B8368" s="2" t="str">
        <f>"0002120"</f>
        <v>0002120</v>
      </c>
      <c r="C8368" s="2" t="str">
        <f>"0002120"</f>
        <v>0002120</v>
      </c>
      <c r="D8368" s="2" t="s">
        <v>10463</v>
      </c>
      <c r="E8368" s="4">
        <v>52000</v>
      </c>
    </row>
    <row r="8369" spans="1:5">
      <c r="A8369" s="2" t="s">
        <v>1537</v>
      </c>
      <c r="B8369" s="2" t="str">
        <f>"0181500"</f>
        <v>0181500</v>
      </c>
      <c r="C8369" s="2" t="str">
        <f>"0181500"</f>
        <v>0181500</v>
      </c>
      <c r="D8369" s="2" t="s">
        <v>10463</v>
      </c>
      <c r="E8369" s="4">
        <v>43000</v>
      </c>
    </row>
    <row r="8370" spans="1:5">
      <c r="A8370" s="2" t="s">
        <v>1537</v>
      </c>
      <c r="B8370" s="2" t="str">
        <f>"090600365"</f>
        <v>090600365</v>
      </c>
      <c r="C8370" s="2" t="str">
        <f>"090600365"</f>
        <v>090600365</v>
      </c>
      <c r="D8370" s="2" t="s">
        <v>10464</v>
      </c>
      <c r="E8370" s="4">
        <v>34000</v>
      </c>
    </row>
    <row r="8371" spans="1:5">
      <c r="A8371" s="2" t="s">
        <v>1537</v>
      </c>
      <c r="B8371" s="2" t="str">
        <f>"090600075"</f>
        <v>090600075</v>
      </c>
      <c r="C8371" s="2" t="str">
        <f>"090600075"</f>
        <v>090600075</v>
      </c>
      <c r="D8371" s="2" t="s">
        <v>10465</v>
      </c>
      <c r="E8371" s="4">
        <v>43500</v>
      </c>
    </row>
    <row r="8372" spans="1:5">
      <c r="A8372" s="2" t="s">
        <v>296</v>
      </c>
      <c r="B8372" s="2" t="s">
        <v>10466</v>
      </c>
      <c r="C8372" s="2" t="s">
        <v>10466</v>
      </c>
      <c r="D8372" s="2" t="s">
        <v>10467</v>
      </c>
      <c r="E8372" s="4">
        <v>70000</v>
      </c>
    </row>
    <row r="8373" spans="1:5">
      <c r="A8373" s="2" t="s">
        <v>1537</v>
      </c>
      <c r="B8373" s="2" t="s">
        <v>10468</v>
      </c>
      <c r="C8373" s="2" t="s">
        <v>10468</v>
      </c>
      <c r="D8373" s="2" t="s">
        <v>10469</v>
      </c>
      <c r="E8373" s="4">
        <v>39000</v>
      </c>
    </row>
    <row r="8374" spans="1:5">
      <c r="A8374" s="2" t="s">
        <v>296</v>
      </c>
      <c r="B8374" s="2" t="str">
        <f>"090600495"</f>
        <v>090600495</v>
      </c>
      <c r="C8374" s="2" t="str">
        <f>"090600495"</f>
        <v>090600495</v>
      </c>
      <c r="D8374" s="2" t="s">
        <v>10467</v>
      </c>
      <c r="E8374" s="4">
        <v>79000</v>
      </c>
    </row>
    <row r="8375" spans="1:5">
      <c r="A8375" s="2" t="s">
        <v>296</v>
      </c>
      <c r="B8375" s="2" t="s">
        <v>10470</v>
      </c>
      <c r="C8375" s="2" t="s">
        <v>10470</v>
      </c>
      <c r="D8375" s="2" t="s">
        <v>10471</v>
      </c>
      <c r="E8375" s="4">
        <v>70000</v>
      </c>
    </row>
    <row r="8376" spans="1:5">
      <c r="A8376" s="2" t="s">
        <v>296</v>
      </c>
      <c r="B8376" s="2" t="str">
        <f>"090600494"</f>
        <v>090600494</v>
      </c>
      <c r="C8376" s="2" t="str">
        <f>"090600494"</f>
        <v>090600494</v>
      </c>
      <c r="D8376" s="2" t="s">
        <v>10471</v>
      </c>
      <c r="E8376" s="4">
        <v>79000</v>
      </c>
    </row>
    <row r="8377" spans="1:5">
      <c r="A8377" s="2" t="s">
        <v>1537</v>
      </c>
      <c r="B8377" s="2" t="s">
        <v>10472</v>
      </c>
      <c r="C8377" s="2" t="s">
        <v>10473</v>
      </c>
      <c r="D8377" s="2" t="s">
        <v>10474</v>
      </c>
      <c r="E8377" s="4">
        <v>75000</v>
      </c>
    </row>
    <row r="8378" spans="1:5">
      <c r="A8378" s="2" t="s">
        <v>1537</v>
      </c>
      <c r="B8378" s="2" t="str">
        <f>"0121703"</f>
        <v>0121703</v>
      </c>
      <c r="C8378" s="2" t="str">
        <f>"0121703"</f>
        <v>0121703</v>
      </c>
      <c r="D8378" s="2" t="s">
        <v>10475</v>
      </c>
      <c r="E8378" s="4">
        <v>25000</v>
      </c>
    </row>
    <row r="8379" spans="1:5">
      <c r="A8379" s="2" t="s">
        <v>1537</v>
      </c>
      <c r="B8379" s="2" t="str">
        <f>"090600459"</f>
        <v>090600459</v>
      </c>
      <c r="C8379" s="2" t="str">
        <f>"090600459"</f>
        <v>090600459</v>
      </c>
      <c r="D8379" s="2" t="s">
        <v>10476</v>
      </c>
      <c r="E8379" s="4">
        <v>13900</v>
      </c>
    </row>
    <row r="8380" spans="1:5">
      <c r="A8380" s="2" t="s">
        <v>296</v>
      </c>
      <c r="B8380" s="2" t="s">
        <v>10477</v>
      </c>
      <c r="C8380" s="2" t="s">
        <v>10477</v>
      </c>
      <c r="D8380" s="2" t="s">
        <v>10478</v>
      </c>
      <c r="E8380" s="4">
        <v>25000</v>
      </c>
    </row>
    <row r="8381" spans="1:5">
      <c r="A8381" s="2" t="s">
        <v>1537</v>
      </c>
      <c r="B8381" s="2" t="str">
        <f>"090600458"</f>
        <v>090600458</v>
      </c>
      <c r="C8381" s="2" t="str">
        <f>"090600458"</f>
        <v>090600458</v>
      </c>
      <c r="D8381" s="2" t="s">
        <v>10479</v>
      </c>
      <c r="E8381" s="4">
        <v>13900</v>
      </c>
    </row>
    <row r="8382" spans="1:5">
      <c r="A8382" s="2" t="s">
        <v>1537</v>
      </c>
      <c r="B8382" s="2" t="str">
        <f>"0121713"</f>
        <v>0121713</v>
      </c>
      <c r="C8382" s="2" t="str">
        <f>"0121713"</f>
        <v>0121713</v>
      </c>
      <c r="D8382" s="2" t="s">
        <v>10480</v>
      </c>
      <c r="E8382" s="4">
        <v>25000</v>
      </c>
    </row>
    <row r="8383" spans="1:5">
      <c r="A8383" s="2" t="s">
        <v>1537</v>
      </c>
      <c r="B8383" s="2" t="str">
        <f>"090600463"</f>
        <v>090600463</v>
      </c>
      <c r="C8383" s="2" t="str">
        <f>"090600463"</f>
        <v>090600463</v>
      </c>
      <c r="D8383" s="2" t="s">
        <v>10481</v>
      </c>
      <c r="E8383" s="4">
        <v>13500</v>
      </c>
    </row>
    <row r="8384" spans="1:5">
      <c r="A8384" s="2" t="s">
        <v>296</v>
      </c>
      <c r="B8384" s="2" t="str">
        <f>"0121580"</f>
        <v>0121580</v>
      </c>
      <c r="C8384" s="2" t="str">
        <f>"0121580"</f>
        <v>0121580</v>
      </c>
      <c r="D8384" s="2" t="s">
        <v>10482</v>
      </c>
      <c r="E8384" s="2">
        <v>0</v>
      </c>
    </row>
    <row r="8385" spans="1:5">
      <c r="A8385" s="2" t="s">
        <v>1537</v>
      </c>
      <c r="B8385" s="2" t="str">
        <f>"090600462"</f>
        <v>090600462</v>
      </c>
      <c r="C8385" s="2" t="str">
        <f>"090600462"</f>
        <v>090600462</v>
      </c>
      <c r="D8385" s="2" t="s">
        <v>10483</v>
      </c>
      <c r="E8385" s="4">
        <v>13500</v>
      </c>
    </row>
    <row r="8386" spans="1:5">
      <c r="A8386" s="2" t="s">
        <v>296</v>
      </c>
      <c r="B8386" s="2" t="s">
        <v>10484</v>
      </c>
      <c r="C8386" s="2" t="s">
        <v>10484</v>
      </c>
      <c r="D8386" s="2" t="s">
        <v>10485</v>
      </c>
      <c r="E8386" s="4">
        <v>12400</v>
      </c>
    </row>
    <row r="8387" spans="1:5">
      <c r="A8387" s="2" t="s">
        <v>296</v>
      </c>
      <c r="B8387" s="2" t="s">
        <v>10486</v>
      </c>
      <c r="C8387" s="2" t="s">
        <v>10486</v>
      </c>
      <c r="D8387" s="2" t="s">
        <v>10485</v>
      </c>
      <c r="E8387" s="4">
        <v>12400</v>
      </c>
    </row>
    <row r="8388" spans="1:5">
      <c r="A8388" s="2" t="s">
        <v>296</v>
      </c>
      <c r="B8388" s="2" t="str">
        <f>"493596-9"</f>
        <v>493596-9</v>
      </c>
      <c r="C8388" s="2" t="str">
        <f>"493596-9"</f>
        <v>493596-9</v>
      </c>
      <c r="D8388" s="2" t="s">
        <v>10487</v>
      </c>
      <c r="E8388" s="4">
        <v>12500</v>
      </c>
    </row>
    <row r="8389" spans="1:5">
      <c r="A8389" s="2" t="s">
        <v>296</v>
      </c>
      <c r="B8389" s="2" t="s">
        <v>10488</v>
      </c>
      <c r="C8389" s="2" t="s">
        <v>10488</v>
      </c>
      <c r="D8389" s="2" t="s">
        <v>10489</v>
      </c>
      <c r="E8389" s="4">
        <v>98900</v>
      </c>
    </row>
    <row r="8390" spans="1:5">
      <c r="A8390" s="2" t="s">
        <v>1537</v>
      </c>
      <c r="B8390" s="2" t="str">
        <f>"235133"</f>
        <v>235133</v>
      </c>
      <c r="C8390" s="2" t="str">
        <f>"235133"</f>
        <v>235133</v>
      </c>
      <c r="D8390" s="2" t="s">
        <v>10490</v>
      </c>
      <c r="E8390" s="4">
        <v>79000</v>
      </c>
    </row>
    <row r="8391" spans="1:5">
      <c r="A8391" s="2" t="s">
        <v>296</v>
      </c>
      <c r="B8391" s="2" t="s">
        <v>10491</v>
      </c>
      <c r="C8391" s="2" t="s">
        <v>10492</v>
      </c>
      <c r="D8391" s="2" t="s">
        <v>10493</v>
      </c>
      <c r="E8391" s="4">
        <v>75000</v>
      </c>
    </row>
    <row r="8392" spans="1:5">
      <c r="A8392" s="2" t="s">
        <v>296</v>
      </c>
      <c r="B8392" s="2" t="s">
        <v>10494</v>
      </c>
      <c r="C8392" s="2" t="s">
        <v>10494</v>
      </c>
      <c r="D8392" s="2" t="s">
        <v>10495</v>
      </c>
      <c r="E8392" s="4">
        <v>88000</v>
      </c>
    </row>
    <row r="8393" spans="1:5">
      <c r="A8393" s="2" t="s">
        <v>296</v>
      </c>
      <c r="B8393" s="2" t="str">
        <f>"0007465"</f>
        <v>0007465</v>
      </c>
      <c r="C8393" s="2" t="str">
        <f>"0007465"</f>
        <v>0007465</v>
      </c>
      <c r="D8393" s="2" t="s">
        <v>10496</v>
      </c>
      <c r="E8393" s="4">
        <v>75400</v>
      </c>
    </row>
    <row r="8394" spans="1:5">
      <c r="A8394" s="2" t="s">
        <v>1537</v>
      </c>
      <c r="B8394" s="2" t="str">
        <f>"0106033"</f>
        <v>0106033</v>
      </c>
      <c r="C8394" s="2" t="str">
        <f>"0106033"</f>
        <v>0106033</v>
      </c>
      <c r="D8394" s="2" t="s">
        <v>10497</v>
      </c>
      <c r="E8394" s="4">
        <v>58000</v>
      </c>
    </row>
    <row r="8395" spans="1:5">
      <c r="A8395" s="2" t="s">
        <v>296</v>
      </c>
      <c r="B8395" s="2" t="str">
        <f>"002035588"</f>
        <v>002035588</v>
      </c>
      <c r="C8395" s="2" t="str">
        <f>"002035588"</f>
        <v>002035588</v>
      </c>
      <c r="D8395" s="2" t="s">
        <v>10498</v>
      </c>
      <c r="E8395" s="4">
        <v>38300</v>
      </c>
    </row>
    <row r="8396" spans="1:5">
      <c r="A8396" s="2" t="s">
        <v>296</v>
      </c>
      <c r="B8396" s="2" t="str">
        <f>"000303631-6"</f>
        <v>000303631-6</v>
      </c>
      <c r="C8396" s="2" t="str">
        <f>"000303631-6"</f>
        <v>000303631-6</v>
      </c>
      <c r="D8396" s="2" t="s">
        <v>10499</v>
      </c>
      <c r="E8396" s="4">
        <v>196000</v>
      </c>
    </row>
    <row r="8397" spans="1:5">
      <c r="A8397" s="2" t="s">
        <v>296</v>
      </c>
      <c r="B8397" s="2" t="str">
        <f>"0600487"</f>
        <v>0600487</v>
      </c>
      <c r="C8397" s="2" t="str">
        <f>"0600487"</f>
        <v>0600487</v>
      </c>
      <c r="D8397" s="2" t="s">
        <v>10500</v>
      </c>
      <c r="E8397" s="4">
        <v>48400</v>
      </c>
    </row>
    <row r="8398" spans="1:5">
      <c r="A8398" s="2" t="s">
        <v>1537</v>
      </c>
      <c r="B8398" s="2" t="str">
        <f>"090600490"</f>
        <v>090600490</v>
      </c>
      <c r="C8398" s="2" t="str">
        <f>"090600490"</f>
        <v>090600490</v>
      </c>
      <c r="D8398" s="2" t="s">
        <v>10501</v>
      </c>
      <c r="E8398" s="4">
        <v>70000</v>
      </c>
    </row>
    <row r="8399" spans="1:5">
      <c r="A8399" s="2" t="s">
        <v>1537</v>
      </c>
      <c r="B8399" s="2" t="str">
        <f>"3793100-4"</f>
        <v>3793100-4</v>
      </c>
      <c r="C8399" s="2" t="str">
        <f>"3793100-4"</f>
        <v>3793100-4</v>
      </c>
      <c r="D8399" s="2" t="s">
        <v>10502</v>
      </c>
      <c r="E8399" s="4">
        <v>55000</v>
      </c>
    </row>
    <row r="8400" spans="1:5">
      <c r="A8400" s="2" t="s">
        <v>296</v>
      </c>
      <c r="B8400" s="2" t="str">
        <f>"0024960"</f>
        <v>0024960</v>
      </c>
      <c r="C8400" s="2" t="str">
        <f>"0024960"</f>
        <v>0024960</v>
      </c>
      <c r="D8400" s="2" t="s">
        <v>10503</v>
      </c>
      <c r="E8400" s="4">
        <v>43000</v>
      </c>
    </row>
    <row r="8401" spans="1:5">
      <c r="A8401" s="2" t="s">
        <v>296</v>
      </c>
      <c r="B8401" s="2" t="str">
        <f>"0024961"</f>
        <v>0024961</v>
      </c>
      <c r="C8401" s="2" t="str">
        <f>"0024961"</f>
        <v>0024961</v>
      </c>
      <c r="D8401" s="2" t="s">
        <v>10504</v>
      </c>
      <c r="E8401" s="4">
        <v>43000</v>
      </c>
    </row>
    <row r="8402" spans="1:5">
      <c r="A8402" s="2" t="s">
        <v>296</v>
      </c>
      <c r="B8402" s="2" t="str">
        <f>"090600509"</f>
        <v>090600509</v>
      </c>
      <c r="C8402" s="2" t="str">
        <f>"090600509"</f>
        <v>090600509</v>
      </c>
      <c r="D8402" s="2" t="s">
        <v>10505</v>
      </c>
      <c r="E8402" s="4">
        <v>61000</v>
      </c>
    </row>
    <row r="8403" spans="1:5">
      <c r="A8403" s="2" t="s">
        <v>296</v>
      </c>
      <c r="B8403" s="2" t="s">
        <v>10506</v>
      </c>
      <c r="C8403" s="2" t="s">
        <v>10506</v>
      </c>
      <c r="D8403" s="2" t="s">
        <v>10507</v>
      </c>
      <c r="E8403" s="4">
        <v>65000</v>
      </c>
    </row>
    <row r="8404" spans="1:5">
      <c r="A8404" s="2" t="s">
        <v>296</v>
      </c>
      <c r="B8404" s="2" t="str">
        <f>"2700107"</f>
        <v>2700107</v>
      </c>
      <c r="C8404" s="2" t="str">
        <f>"2700107"</f>
        <v>2700107</v>
      </c>
      <c r="D8404" s="2" t="s">
        <v>10508</v>
      </c>
      <c r="E8404" s="2">
        <v>0</v>
      </c>
    </row>
    <row r="8405" spans="1:5">
      <c r="A8405" s="2" t="s">
        <v>296</v>
      </c>
      <c r="B8405" s="2" t="s">
        <v>10509</v>
      </c>
      <c r="C8405" s="2" t="s">
        <v>10509</v>
      </c>
      <c r="D8405" s="2" t="s">
        <v>10510</v>
      </c>
      <c r="E8405" s="2">
        <v>0</v>
      </c>
    </row>
    <row r="8406" spans="1:5">
      <c r="A8406" s="2" t="s">
        <v>1537</v>
      </c>
      <c r="B8406" s="2" t="s">
        <v>10511</v>
      </c>
      <c r="C8406" s="2" t="s">
        <v>10511</v>
      </c>
      <c r="D8406" s="2" t="s">
        <v>10512</v>
      </c>
      <c r="E8406" s="4">
        <v>38500</v>
      </c>
    </row>
    <row r="8407" spans="1:5">
      <c r="A8407" s="2" t="s">
        <v>296</v>
      </c>
      <c r="B8407" s="2" t="str">
        <f>"001795493-8"</f>
        <v>001795493-8</v>
      </c>
      <c r="C8407" s="2" t="str">
        <f>"00175493-8"</f>
        <v>00175493-8</v>
      </c>
      <c r="D8407" s="2" t="s">
        <v>10513</v>
      </c>
      <c r="E8407" s="4">
        <v>88000</v>
      </c>
    </row>
    <row r="8408" spans="1:5">
      <c r="A8408" s="2" t="s">
        <v>1537</v>
      </c>
      <c r="B8408" s="2" t="str">
        <f>"0009983"</f>
        <v>0009983</v>
      </c>
      <c r="C8408" s="2" t="str">
        <f>"0009983"</f>
        <v>0009983</v>
      </c>
      <c r="D8408" s="2" t="s">
        <v>10514</v>
      </c>
      <c r="E8408" s="4">
        <v>88000</v>
      </c>
    </row>
    <row r="8409" spans="1:5">
      <c r="A8409" s="2" t="s">
        <v>296</v>
      </c>
      <c r="B8409" s="2" t="str">
        <f>"0002111"</f>
        <v>0002111</v>
      </c>
      <c r="C8409" s="2" t="str">
        <f>"0002111"</f>
        <v>0002111</v>
      </c>
      <c r="D8409" s="2" t="s">
        <v>10515</v>
      </c>
      <c r="E8409" s="4">
        <v>58300</v>
      </c>
    </row>
    <row r="8410" spans="1:5">
      <c r="A8410" s="2" t="s">
        <v>296</v>
      </c>
      <c r="B8410" s="2" t="s">
        <v>10516</v>
      </c>
      <c r="C8410" s="2" t="s">
        <v>10516</v>
      </c>
      <c r="D8410" s="2" t="s">
        <v>10517</v>
      </c>
      <c r="E8410" s="4">
        <v>18700</v>
      </c>
    </row>
    <row r="8411" spans="1:5">
      <c r="A8411" s="2" t="s">
        <v>1537</v>
      </c>
      <c r="B8411" s="2" t="s">
        <v>10518</v>
      </c>
      <c r="C8411" s="2" t="s">
        <v>10518</v>
      </c>
      <c r="D8411" s="2" t="s">
        <v>10517</v>
      </c>
      <c r="E8411" s="4">
        <v>18700</v>
      </c>
    </row>
    <row r="8412" spans="1:5">
      <c r="A8412" s="2" t="s">
        <v>1537</v>
      </c>
      <c r="B8412" s="2" t="str">
        <f>"235123"</f>
        <v>235123</v>
      </c>
      <c r="C8412" s="2" t="str">
        <f>"235123"</f>
        <v>235123</v>
      </c>
      <c r="D8412" s="2" t="s">
        <v>10519</v>
      </c>
      <c r="E8412" s="4">
        <v>98800</v>
      </c>
    </row>
    <row r="8413" spans="1:5">
      <c r="A8413" s="2" t="s">
        <v>1537</v>
      </c>
      <c r="B8413" s="2" t="s">
        <v>10520</v>
      </c>
      <c r="C8413" s="2" t="s">
        <v>10520</v>
      </c>
      <c r="D8413" s="2" t="s">
        <v>10521</v>
      </c>
      <c r="E8413" s="4">
        <v>45000</v>
      </c>
    </row>
    <row r="8414" spans="1:5">
      <c r="A8414" s="2" t="s">
        <v>1537</v>
      </c>
      <c r="B8414" s="2" t="s">
        <v>10522</v>
      </c>
      <c r="C8414" s="2" t="s">
        <v>10522</v>
      </c>
      <c r="D8414" s="2" t="s">
        <v>10523</v>
      </c>
      <c r="E8414" s="4">
        <v>75000</v>
      </c>
    </row>
    <row r="8415" spans="1:5">
      <c r="A8415" s="2" t="s">
        <v>296</v>
      </c>
      <c r="B8415" s="2" t="s">
        <v>10524</v>
      </c>
      <c r="C8415" s="2" t="s">
        <v>10524</v>
      </c>
      <c r="D8415" s="2" t="s">
        <v>10525</v>
      </c>
      <c r="E8415" s="2">
        <v>0</v>
      </c>
    </row>
    <row r="8416" spans="1:5">
      <c r="A8416" s="2" t="s">
        <v>1537</v>
      </c>
      <c r="B8416" s="2" t="s">
        <v>10526</v>
      </c>
      <c r="C8416" s="2" t="s">
        <v>10526</v>
      </c>
      <c r="D8416" s="2" t="s">
        <v>10527</v>
      </c>
      <c r="E8416" s="4">
        <v>59000</v>
      </c>
    </row>
    <row r="8417" spans="1:5">
      <c r="A8417" s="2" t="s">
        <v>296</v>
      </c>
      <c r="B8417" s="2" t="str">
        <f>"0001382"</f>
        <v>0001382</v>
      </c>
      <c r="C8417" s="2" t="str">
        <f>"0001382"</f>
        <v>0001382</v>
      </c>
      <c r="D8417" s="2" t="s">
        <v>10528</v>
      </c>
      <c r="E8417" s="4">
        <v>65500</v>
      </c>
    </row>
    <row r="8418" spans="1:5">
      <c r="A8418" s="2" t="s">
        <v>1537</v>
      </c>
      <c r="B8418" s="2" t="s">
        <v>10529</v>
      </c>
      <c r="C8418" s="2" t="s">
        <v>10529</v>
      </c>
      <c r="D8418" s="2" t="s">
        <v>10530</v>
      </c>
      <c r="E8418" s="4">
        <v>22000</v>
      </c>
    </row>
    <row r="8419" spans="1:5">
      <c r="A8419" s="2" t="s">
        <v>296</v>
      </c>
      <c r="B8419" s="2" t="s">
        <v>10531</v>
      </c>
      <c r="C8419" s="2" t="s">
        <v>10531</v>
      </c>
      <c r="D8419" s="2" t="s">
        <v>10532</v>
      </c>
      <c r="E8419" s="2">
        <v>0</v>
      </c>
    </row>
    <row r="8420" spans="1:5">
      <c r="A8420" s="2" t="s">
        <v>1537</v>
      </c>
      <c r="B8420" s="2" t="str">
        <f>"505112"</f>
        <v>505112</v>
      </c>
      <c r="C8420" s="2" t="str">
        <f>"505112"</f>
        <v>505112</v>
      </c>
      <c r="D8420" s="2" t="s">
        <v>10533</v>
      </c>
      <c r="E8420" s="4">
        <v>48400</v>
      </c>
    </row>
    <row r="8421" spans="1:5">
      <c r="A8421" s="2" t="s">
        <v>296</v>
      </c>
      <c r="B8421" s="2" t="str">
        <f>"980345-9"</f>
        <v>980345-9</v>
      </c>
      <c r="C8421" s="2" t="str">
        <f>"980345-9"</f>
        <v>980345-9</v>
      </c>
      <c r="D8421" s="2" t="s">
        <v>10534</v>
      </c>
      <c r="E8421" s="2">
        <v>0</v>
      </c>
    </row>
    <row r="8422" spans="1:5">
      <c r="A8422" s="2" t="s">
        <v>296</v>
      </c>
      <c r="B8422" s="2" t="s">
        <v>10535</v>
      </c>
      <c r="C8422" s="2" t="s">
        <v>10535</v>
      </c>
      <c r="D8422" s="2" t="s">
        <v>10536</v>
      </c>
      <c r="E8422" s="4">
        <v>58000</v>
      </c>
    </row>
    <row r="8423" spans="1:5">
      <c r="A8423" s="2" t="s">
        <v>296</v>
      </c>
      <c r="B8423" s="2" t="s">
        <v>10537</v>
      </c>
      <c r="C8423" s="2" t="s">
        <v>10537</v>
      </c>
      <c r="D8423" s="2" t="s">
        <v>10538</v>
      </c>
      <c r="E8423" s="4">
        <v>90000</v>
      </c>
    </row>
    <row r="8424" spans="1:5">
      <c r="A8424" s="2" t="s">
        <v>296</v>
      </c>
      <c r="B8424" s="2" t="s">
        <v>10539</v>
      </c>
      <c r="C8424" s="2" t="s">
        <v>10539</v>
      </c>
      <c r="D8424" s="2" t="s">
        <v>10540</v>
      </c>
      <c r="E8424" s="4">
        <v>43000</v>
      </c>
    </row>
    <row r="8425" spans="1:5">
      <c r="A8425" s="2" t="s">
        <v>296</v>
      </c>
      <c r="B8425" s="2" t="s">
        <v>10541</v>
      </c>
      <c r="C8425" s="2" t="s">
        <v>10541</v>
      </c>
      <c r="D8425" s="2" t="s">
        <v>10542</v>
      </c>
      <c r="E8425" s="4">
        <v>43000</v>
      </c>
    </row>
    <row r="8426" spans="1:5">
      <c r="A8426" s="2" t="s">
        <v>296</v>
      </c>
      <c r="B8426" s="2" t="s">
        <v>10543</v>
      </c>
      <c r="C8426" s="2" t="s">
        <v>10543</v>
      </c>
      <c r="D8426" s="2" t="s">
        <v>10544</v>
      </c>
      <c r="E8426" s="4">
        <v>72000</v>
      </c>
    </row>
    <row r="8427" spans="1:5">
      <c r="A8427" s="2" t="s">
        <v>296</v>
      </c>
      <c r="B8427" s="2" t="s">
        <v>10545</v>
      </c>
      <c r="C8427" s="2" t="s">
        <v>10545</v>
      </c>
      <c r="D8427" s="2" t="s">
        <v>10546</v>
      </c>
      <c r="E8427" s="4">
        <v>22300</v>
      </c>
    </row>
    <row r="8428" spans="1:5">
      <c r="A8428" s="2" t="s">
        <v>1537</v>
      </c>
      <c r="B8428" s="2" t="str">
        <f>"20601377"</f>
        <v>20601377</v>
      </c>
      <c r="C8428" s="2" t="str">
        <f>"20601377"</f>
        <v>20601377</v>
      </c>
      <c r="D8428" s="2" t="s">
        <v>10546</v>
      </c>
      <c r="E8428" s="4">
        <v>28000</v>
      </c>
    </row>
    <row r="8429" spans="1:5">
      <c r="A8429" s="2" t="s">
        <v>296</v>
      </c>
      <c r="B8429" s="2" t="str">
        <f>"903649-0"</f>
        <v>903649-0</v>
      </c>
      <c r="C8429" s="2" t="str">
        <f>"903649-0"</f>
        <v>903649-0</v>
      </c>
      <c r="D8429" s="2" t="s">
        <v>10547</v>
      </c>
      <c r="E8429" s="4">
        <v>28000</v>
      </c>
    </row>
    <row r="8430" spans="1:5">
      <c r="A8430" s="2" t="s">
        <v>296</v>
      </c>
      <c r="B8430" s="2" t="str">
        <f>"9947915"</f>
        <v>9947915</v>
      </c>
      <c r="C8430" s="2" t="str">
        <f>"9947915"</f>
        <v>9947915</v>
      </c>
      <c r="D8430" s="2" t="s">
        <v>10548</v>
      </c>
      <c r="E8430" s="4">
        <v>79000</v>
      </c>
    </row>
    <row r="8431" spans="1:5">
      <c r="A8431" s="2" t="s">
        <v>296</v>
      </c>
      <c r="B8431" s="2" t="str">
        <f>"021600982"</f>
        <v>021600982</v>
      </c>
      <c r="C8431" s="2" t="s">
        <v>10549</v>
      </c>
      <c r="D8431" s="2" t="s">
        <v>10550</v>
      </c>
      <c r="E8431" s="4">
        <v>69000</v>
      </c>
    </row>
    <row r="8432" spans="1:5">
      <c r="A8432" s="2" t="s">
        <v>296</v>
      </c>
      <c r="B8432" s="2" t="str">
        <f>"021600983"</f>
        <v>021600983</v>
      </c>
      <c r="C8432" s="2" t="str">
        <f>"021600983"</f>
        <v>021600983</v>
      </c>
      <c r="D8432" s="2" t="s">
        <v>10551</v>
      </c>
      <c r="E8432" s="4">
        <v>34000</v>
      </c>
    </row>
    <row r="8433" spans="1:5">
      <c r="A8433" s="2" t="s">
        <v>296</v>
      </c>
      <c r="B8433" s="2" t="s">
        <v>10552</v>
      </c>
      <c r="C8433" s="2" t="s">
        <v>10552</v>
      </c>
      <c r="D8433" s="2" t="s">
        <v>10551</v>
      </c>
      <c r="E8433" s="4">
        <v>69000</v>
      </c>
    </row>
    <row r="8434" spans="1:5">
      <c r="A8434" s="2" t="s">
        <v>296</v>
      </c>
      <c r="B8434" s="2" t="s">
        <v>10553</v>
      </c>
      <c r="C8434" s="2" t="s">
        <v>10553</v>
      </c>
      <c r="D8434" s="2" t="s">
        <v>10554</v>
      </c>
      <c r="E8434" s="4">
        <v>79000</v>
      </c>
    </row>
    <row r="8435" spans="1:5">
      <c r="A8435" s="2" t="s">
        <v>296</v>
      </c>
      <c r="B8435" s="2" t="s">
        <v>10555</v>
      </c>
      <c r="C8435" s="2" t="s">
        <v>10555</v>
      </c>
      <c r="D8435" s="2" t="s">
        <v>10556</v>
      </c>
      <c r="E8435" s="4">
        <v>68200</v>
      </c>
    </row>
    <row r="8436" spans="1:5">
      <c r="A8436" s="2" t="s">
        <v>296</v>
      </c>
      <c r="B8436" s="2" t="s">
        <v>10557</v>
      </c>
      <c r="C8436" s="2" t="s">
        <v>10557</v>
      </c>
      <c r="D8436" s="2" t="s">
        <v>10558</v>
      </c>
      <c r="E8436" s="4">
        <v>68200</v>
      </c>
    </row>
    <row r="8437" spans="1:5">
      <c r="A8437" s="2" t="s">
        <v>296</v>
      </c>
      <c r="B8437" s="2" t="str">
        <f>"9956184"</f>
        <v>9956184</v>
      </c>
      <c r="C8437" s="2" t="str">
        <f>"9956184"</f>
        <v>9956184</v>
      </c>
      <c r="D8437" s="2" t="s">
        <v>10558</v>
      </c>
      <c r="E8437" s="4">
        <v>48000</v>
      </c>
    </row>
    <row r="8438" spans="1:5">
      <c r="A8438" s="2" t="s">
        <v>296</v>
      </c>
      <c r="B8438" s="2" t="s">
        <v>10559</v>
      </c>
      <c r="C8438" s="2" t="s">
        <v>10560</v>
      </c>
      <c r="D8438" s="2" t="s">
        <v>10561</v>
      </c>
      <c r="E8438" s="4">
        <v>34000</v>
      </c>
    </row>
    <row r="8439" spans="1:5">
      <c r="A8439" s="2" t="s">
        <v>296</v>
      </c>
      <c r="B8439" s="2" t="str">
        <f>"9956183"</f>
        <v>9956183</v>
      </c>
      <c r="C8439" s="2" t="str">
        <f>"9956183"</f>
        <v>9956183</v>
      </c>
      <c r="D8439" s="2" t="s">
        <v>10556</v>
      </c>
      <c r="E8439" s="4">
        <v>59000</v>
      </c>
    </row>
    <row r="8440" spans="1:5">
      <c r="A8440" s="2" t="s">
        <v>296</v>
      </c>
      <c r="B8440" s="2" t="str">
        <f>"0014673"</f>
        <v>0014673</v>
      </c>
      <c r="C8440" s="2" t="str">
        <f>"0014673"</f>
        <v>0014673</v>
      </c>
      <c r="D8440" s="2" t="s">
        <v>10562</v>
      </c>
      <c r="E8440" s="4">
        <v>61000</v>
      </c>
    </row>
    <row r="8441" spans="1:5">
      <c r="A8441" s="2" t="s">
        <v>296</v>
      </c>
      <c r="B8441" s="2" t="s">
        <v>10563</v>
      </c>
      <c r="C8441" s="2" t="s">
        <v>10563</v>
      </c>
      <c r="D8441" s="2" t="s">
        <v>10564</v>
      </c>
      <c r="E8441" s="4">
        <v>45000</v>
      </c>
    </row>
    <row r="8442" spans="1:5">
      <c r="A8442" s="2" t="s">
        <v>296</v>
      </c>
      <c r="B8442" s="2" t="s">
        <v>10565</v>
      </c>
      <c r="C8442" s="2" t="s">
        <v>10565</v>
      </c>
      <c r="D8442" s="2" t="s">
        <v>10566</v>
      </c>
      <c r="E8442" s="4">
        <v>45000</v>
      </c>
    </row>
    <row r="8443" spans="1:5">
      <c r="A8443" s="2" t="s">
        <v>296</v>
      </c>
      <c r="B8443" s="2" t="str">
        <f>"000930268-9"</f>
        <v>000930268-9</v>
      </c>
      <c r="C8443" s="2" t="str">
        <f>"000930268-9"</f>
        <v>000930268-9</v>
      </c>
      <c r="D8443" s="2" t="s">
        <v>10567</v>
      </c>
      <c r="E8443" s="4">
        <v>97000</v>
      </c>
    </row>
    <row r="8444" spans="1:5">
      <c r="A8444" s="2" t="s">
        <v>1537</v>
      </c>
      <c r="B8444" s="2" t="s">
        <v>10568</v>
      </c>
      <c r="C8444" s="2" t="s">
        <v>10568</v>
      </c>
      <c r="D8444" s="2" t="s">
        <v>10569</v>
      </c>
      <c r="E8444" s="4">
        <v>70000</v>
      </c>
    </row>
    <row r="8445" spans="1:5">
      <c r="A8445" s="2" t="s">
        <v>1537</v>
      </c>
      <c r="B8445" s="2" t="s">
        <v>10570</v>
      </c>
      <c r="C8445" s="2" t="s">
        <v>10570</v>
      </c>
      <c r="D8445" s="2" t="s">
        <v>10571</v>
      </c>
      <c r="E8445" s="4">
        <v>70000</v>
      </c>
    </row>
    <row r="8446" spans="1:5">
      <c r="A8446" s="2" t="s">
        <v>296</v>
      </c>
      <c r="B8446" s="2" t="str">
        <f>"021600700"</f>
        <v>021600700</v>
      </c>
      <c r="C8446" s="2" t="str">
        <f>"021600700"</f>
        <v>021600700</v>
      </c>
      <c r="D8446" s="2" t="s">
        <v>10572</v>
      </c>
      <c r="E8446" s="4">
        <v>38000</v>
      </c>
    </row>
    <row r="8447" spans="1:5">
      <c r="A8447" s="2" t="s">
        <v>1537</v>
      </c>
      <c r="B8447" s="2" t="str">
        <f>"00980350-5"</f>
        <v>00980350-5</v>
      </c>
      <c r="C8447" s="2" t="str">
        <f>"980350-5"</f>
        <v>980350-5</v>
      </c>
      <c r="D8447" s="2" t="s">
        <v>10573</v>
      </c>
      <c r="E8447" s="4">
        <v>27500</v>
      </c>
    </row>
    <row r="8448" spans="1:5">
      <c r="A8448" s="2" t="s">
        <v>296</v>
      </c>
      <c r="B8448" s="2" t="s">
        <v>10574</v>
      </c>
      <c r="C8448" s="2" t="s">
        <v>10574</v>
      </c>
      <c r="D8448" s="2" t="s">
        <v>10575</v>
      </c>
      <c r="E8448" s="2">
        <v>0</v>
      </c>
    </row>
    <row r="8449" spans="1:5">
      <c r="A8449" s="2" t="s">
        <v>296</v>
      </c>
      <c r="B8449" s="2" t="str">
        <f>"000903632-6"</f>
        <v>000903632-6</v>
      </c>
      <c r="C8449" s="2" t="str">
        <f>"903632-6"</f>
        <v>903632-6</v>
      </c>
      <c r="D8449" s="2" t="s">
        <v>10576</v>
      </c>
      <c r="E8449" s="4">
        <v>39000</v>
      </c>
    </row>
    <row r="8450" spans="1:5">
      <c r="A8450" s="2" t="s">
        <v>296</v>
      </c>
      <c r="B8450" s="2" t="str">
        <f>"000903633-4"</f>
        <v>000903633-4</v>
      </c>
      <c r="C8450" s="2" t="str">
        <f>"903633-4"</f>
        <v>903633-4</v>
      </c>
      <c r="D8450" s="2" t="s">
        <v>10577</v>
      </c>
      <c r="E8450" s="4">
        <v>39000</v>
      </c>
    </row>
    <row r="8451" spans="1:5">
      <c r="A8451" s="2" t="s">
        <v>1537</v>
      </c>
      <c r="B8451" s="2" t="s">
        <v>10578</v>
      </c>
      <c r="C8451" s="2" t="s">
        <v>10578</v>
      </c>
      <c r="D8451" s="2" t="s">
        <v>10579</v>
      </c>
      <c r="E8451" s="4">
        <v>58300</v>
      </c>
    </row>
    <row r="8452" spans="1:5">
      <c r="A8452" s="2" t="s">
        <v>296</v>
      </c>
      <c r="B8452" s="2" t="str">
        <f>"0001582"</f>
        <v>0001582</v>
      </c>
      <c r="C8452" s="2" t="str">
        <f>"0001582"</f>
        <v>0001582</v>
      </c>
      <c r="D8452" s="2" t="s">
        <v>10580</v>
      </c>
      <c r="E8452" s="2">
        <v>0</v>
      </c>
    </row>
    <row r="8453" spans="1:5">
      <c r="A8453" s="2" t="s">
        <v>296</v>
      </c>
      <c r="B8453" s="2" t="str">
        <f>"505111"</f>
        <v>505111</v>
      </c>
      <c r="C8453" s="2" t="str">
        <f>"505111"</f>
        <v>505111</v>
      </c>
      <c r="D8453" s="2" t="s">
        <v>10581</v>
      </c>
      <c r="E8453" s="2">
        <v>0</v>
      </c>
    </row>
    <row r="8454" spans="1:5">
      <c r="A8454" s="2" t="s">
        <v>296</v>
      </c>
      <c r="B8454" s="2" t="str">
        <f>"000930408-8"</f>
        <v>000930408-8</v>
      </c>
      <c r="C8454" s="2" t="str">
        <f>"000930408-8"</f>
        <v>000930408-8</v>
      </c>
      <c r="D8454" s="2" t="s">
        <v>10582</v>
      </c>
      <c r="E8454" s="2">
        <v>0</v>
      </c>
    </row>
    <row r="8455" spans="1:5">
      <c r="A8455" s="2" t="s">
        <v>296</v>
      </c>
      <c r="B8455" s="2" t="s">
        <v>10583</v>
      </c>
      <c r="C8455" s="2" t="str">
        <f>"1684948437326"</f>
        <v>1684948437326</v>
      </c>
      <c r="D8455" s="2" t="s">
        <v>10584</v>
      </c>
      <c r="E8455" s="4">
        <v>95000</v>
      </c>
    </row>
    <row r="8456" spans="1:5">
      <c r="A8456" s="2" t="s">
        <v>2541</v>
      </c>
      <c r="B8456" s="2" t="s">
        <v>10585</v>
      </c>
      <c r="C8456" s="2" t="str">
        <f>"1688399850421"</f>
        <v>1688399850421</v>
      </c>
      <c r="D8456" s="2" t="s">
        <v>10586</v>
      </c>
      <c r="E8456" s="4">
        <v>55000</v>
      </c>
    </row>
    <row r="8457" spans="1:5">
      <c r="A8457" s="2" t="s">
        <v>2541</v>
      </c>
      <c r="B8457" s="2" t="s">
        <v>10587</v>
      </c>
      <c r="C8457" s="2" t="str">
        <f>"1688399910390"</f>
        <v>1688399910390</v>
      </c>
      <c r="D8457" s="2" t="s">
        <v>10588</v>
      </c>
      <c r="E8457" s="4">
        <v>55000</v>
      </c>
    </row>
    <row r="8458" spans="1:5">
      <c r="A8458" s="2" t="s">
        <v>2541</v>
      </c>
      <c r="B8458" s="2" t="s">
        <v>10589</v>
      </c>
      <c r="C8458" s="2" t="str">
        <f>"1697290219642"</f>
        <v>1697290219642</v>
      </c>
      <c r="D8458" s="2" t="s">
        <v>10590</v>
      </c>
      <c r="E8458" s="4">
        <v>70000</v>
      </c>
    </row>
    <row r="8459" spans="1:5">
      <c r="A8459" s="2" t="s">
        <v>1392</v>
      </c>
      <c r="B8459" s="2" t="str">
        <f>"4050641297792"</f>
        <v>4050641297792</v>
      </c>
      <c r="C8459" s="2" t="s">
        <v>10591</v>
      </c>
      <c r="D8459" s="2" t="s">
        <v>10592</v>
      </c>
      <c r="E8459" s="4">
        <v>5900</v>
      </c>
    </row>
    <row r="8460" spans="1:5">
      <c r="A8460" s="2" t="s">
        <v>296</v>
      </c>
      <c r="B8460" s="2" t="s">
        <v>10593</v>
      </c>
      <c r="C8460" s="2" t="str">
        <f>"1497058-4"</f>
        <v>1497058-4</v>
      </c>
      <c r="D8460" s="2" t="s">
        <v>10594</v>
      </c>
      <c r="E8460" s="4">
        <v>42000</v>
      </c>
    </row>
    <row r="8461" spans="1:5">
      <c r="A8461" s="2" t="s">
        <v>296</v>
      </c>
      <c r="B8461" s="2" t="str">
        <f>"090231614"</f>
        <v>090231614</v>
      </c>
      <c r="C8461" s="2" t="str">
        <f>"090231614"</f>
        <v>090231614</v>
      </c>
      <c r="D8461" s="2" t="s">
        <v>10595</v>
      </c>
      <c r="E8461" s="4">
        <v>49400</v>
      </c>
    </row>
    <row r="8462" spans="1:5">
      <c r="A8462" s="2" t="s">
        <v>296</v>
      </c>
      <c r="B8462" s="2" t="str">
        <f>"090231282"</f>
        <v>090231282</v>
      </c>
      <c r="C8462" s="2" t="str">
        <f>"090231282"</f>
        <v>090231282</v>
      </c>
      <c r="D8462" s="2" t="s">
        <v>10596</v>
      </c>
      <c r="E8462" s="4">
        <v>48400</v>
      </c>
    </row>
    <row r="8463" spans="1:5">
      <c r="A8463" s="2" t="s">
        <v>2541</v>
      </c>
      <c r="B8463" s="2" t="s">
        <v>10597</v>
      </c>
      <c r="C8463" s="2" t="s">
        <v>10597</v>
      </c>
      <c r="D8463" s="2" t="s">
        <v>10598</v>
      </c>
      <c r="E8463" s="4">
        <v>42000</v>
      </c>
    </row>
    <row r="8464" spans="1:5">
      <c r="A8464" s="2" t="s">
        <v>296</v>
      </c>
      <c r="B8464" s="2" t="str">
        <f>"1001170"</f>
        <v>1001170</v>
      </c>
      <c r="C8464" s="2" t="str">
        <f>"1001170"</f>
        <v>1001170</v>
      </c>
      <c r="D8464" s="2" t="s">
        <v>10599</v>
      </c>
      <c r="E8464" s="4">
        <v>38500</v>
      </c>
    </row>
    <row r="8465" spans="1:5">
      <c r="A8465" s="2" t="s">
        <v>2541</v>
      </c>
      <c r="B8465" s="2" t="str">
        <f>"1001100"</f>
        <v>1001100</v>
      </c>
      <c r="C8465" s="2" t="str">
        <f>"1001100"</f>
        <v>1001100</v>
      </c>
      <c r="D8465" s="2" t="s">
        <v>10600</v>
      </c>
      <c r="E8465" s="4">
        <v>38500</v>
      </c>
    </row>
    <row r="8466" spans="1:5">
      <c r="A8466" s="2" t="s">
        <v>296</v>
      </c>
      <c r="B8466" s="2" t="str">
        <f>"1000680"</f>
        <v>1000680</v>
      </c>
      <c r="C8466" s="2" t="str">
        <f>"1000680"</f>
        <v>1000680</v>
      </c>
      <c r="D8466" s="2" t="s">
        <v>10601</v>
      </c>
      <c r="E8466" s="4">
        <v>38500</v>
      </c>
    </row>
    <row r="8467" spans="1:5">
      <c r="A8467" s="2" t="s">
        <v>296</v>
      </c>
      <c r="B8467" s="2" t="s">
        <v>10602</v>
      </c>
      <c r="C8467" s="2" t="s">
        <v>10602</v>
      </c>
      <c r="D8467" s="2" t="s">
        <v>10603</v>
      </c>
      <c r="E8467" s="4">
        <v>48000</v>
      </c>
    </row>
    <row r="8468" spans="1:5">
      <c r="A8468" s="2" t="s">
        <v>296</v>
      </c>
      <c r="B8468" s="2" t="str">
        <f>"090600873"</f>
        <v>090600873</v>
      </c>
      <c r="C8468" s="2" t="str">
        <f>"090600873"</f>
        <v>090600873</v>
      </c>
      <c r="D8468" s="2" t="s">
        <v>10604</v>
      </c>
      <c r="E8468" s="4">
        <v>59000</v>
      </c>
    </row>
    <row r="8469" spans="1:5">
      <c r="A8469" s="2" t="s">
        <v>296</v>
      </c>
      <c r="B8469" s="2" t="str">
        <f>"1001110"</f>
        <v>1001110</v>
      </c>
      <c r="C8469" s="2" t="str">
        <f>"1001110"</f>
        <v>1001110</v>
      </c>
      <c r="D8469" s="2" t="s">
        <v>10605</v>
      </c>
      <c r="E8469" s="4">
        <v>35000</v>
      </c>
    </row>
    <row r="8470" spans="1:5">
      <c r="A8470" s="2" t="s">
        <v>296</v>
      </c>
      <c r="B8470" s="2" t="str">
        <f>"1400136"</f>
        <v>1400136</v>
      </c>
      <c r="C8470" s="2" t="str">
        <f>"1400136"</f>
        <v>1400136</v>
      </c>
      <c r="D8470" s="2" t="s">
        <v>10606</v>
      </c>
      <c r="E8470" s="4">
        <v>34000</v>
      </c>
    </row>
    <row r="8471" spans="1:5">
      <c r="A8471" s="2" t="s">
        <v>296</v>
      </c>
      <c r="B8471" s="2" t="str">
        <f>"1701277"</f>
        <v>1701277</v>
      </c>
      <c r="C8471" s="2" t="str">
        <f>"1701277"</f>
        <v>1701277</v>
      </c>
      <c r="D8471" s="2" t="s">
        <v>10607</v>
      </c>
      <c r="E8471" s="4">
        <v>75000</v>
      </c>
    </row>
    <row r="8472" spans="1:5">
      <c r="A8472" s="2" t="s">
        <v>296</v>
      </c>
      <c r="B8472" s="2" t="str">
        <f>"1000770"</f>
        <v>1000770</v>
      </c>
      <c r="C8472" s="2" t="str">
        <f>"1000770"</f>
        <v>1000770</v>
      </c>
      <c r="D8472" s="2" t="s">
        <v>10608</v>
      </c>
      <c r="E8472" s="4">
        <v>68000</v>
      </c>
    </row>
    <row r="8473" spans="1:5">
      <c r="A8473" s="2" t="s">
        <v>2541</v>
      </c>
      <c r="B8473" s="2" t="str">
        <f>"1594500-1"</f>
        <v>1594500-1</v>
      </c>
      <c r="C8473" s="2" t="str">
        <f>"1700350"</f>
        <v>1700350</v>
      </c>
      <c r="D8473" s="2" t="s">
        <v>10609</v>
      </c>
      <c r="E8473" s="4">
        <v>34000</v>
      </c>
    </row>
    <row r="8474" spans="1:5">
      <c r="A8474" s="2" t="s">
        <v>296</v>
      </c>
      <c r="B8474" s="2" t="s">
        <v>10610</v>
      </c>
      <c r="C8474" s="2" t="s">
        <v>10610</v>
      </c>
      <c r="D8474" s="2" t="s">
        <v>10611</v>
      </c>
      <c r="E8474" s="4">
        <v>69000</v>
      </c>
    </row>
    <row r="8475" spans="1:5">
      <c r="A8475" s="2" t="s">
        <v>2541</v>
      </c>
      <c r="B8475" s="2" t="str">
        <f>"93290221"</f>
        <v>93290221</v>
      </c>
      <c r="C8475" s="2" t="str">
        <f>"93290221"</f>
        <v>93290221</v>
      </c>
      <c r="D8475" s="2" t="s">
        <v>10612</v>
      </c>
      <c r="E8475" s="4">
        <v>38000</v>
      </c>
    </row>
    <row r="8476" spans="1:5">
      <c r="A8476" s="2" t="s">
        <v>296</v>
      </c>
      <c r="B8476" s="2" t="str">
        <f>"001596116-3"</f>
        <v>001596116-3</v>
      </c>
      <c r="C8476" s="2" t="str">
        <f>"001596116-3"</f>
        <v>001596116-3</v>
      </c>
      <c r="D8476" s="2" t="s">
        <v>10613</v>
      </c>
      <c r="E8476" s="4">
        <v>61000</v>
      </c>
    </row>
    <row r="8477" spans="1:5">
      <c r="A8477" s="2" t="s">
        <v>296</v>
      </c>
      <c r="B8477" s="2" t="str">
        <f>"001596233-K"</f>
        <v>001596233-K</v>
      </c>
      <c r="C8477" s="2" t="str">
        <f>"001596233-K"</f>
        <v>001596233-K</v>
      </c>
      <c r="D8477" s="2" t="s">
        <v>10614</v>
      </c>
      <c r="E8477" s="4">
        <v>68000</v>
      </c>
    </row>
    <row r="8478" spans="1:5">
      <c r="A8478" s="2" t="s">
        <v>296</v>
      </c>
      <c r="B8478" s="2" t="str">
        <f>"001497068-1"</f>
        <v>001497068-1</v>
      </c>
      <c r="C8478" s="2" t="str">
        <f>"001797068-1"</f>
        <v>001797068-1</v>
      </c>
      <c r="D8478" s="2" t="s">
        <v>10615</v>
      </c>
      <c r="E8478" s="4">
        <v>88000</v>
      </c>
    </row>
    <row r="8479" spans="1:5">
      <c r="A8479" s="2" t="s">
        <v>2541</v>
      </c>
      <c r="B8479" s="2" t="str">
        <f>"0004834"</f>
        <v>0004834</v>
      </c>
      <c r="C8479" s="2" t="str">
        <f>"0004834"</f>
        <v>0004834</v>
      </c>
      <c r="D8479" s="2" t="s">
        <v>10616</v>
      </c>
      <c r="E8479" s="4">
        <v>28600</v>
      </c>
    </row>
    <row r="8480" spans="1:5">
      <c r="A8480" s="2" t="s">
        <v>296</v>
      </c>
      <c r="B8480" s="2" t="str">
        <f>"1196142-8"</f>
        <v>1196142-8</v>
      </c>
      <c r="C8480" s="2" t="s">
        <v>10617</v>
      </c>
      <c r="D8480" s="2" t="s">
        <v>10618</v>
      </c>
      <c r="E8480" s="4">
        <v>43000</v>
      </c>
    </row>
    <row r="8481" spans="1:5">
      <c r="A8481" s="2" t="s">
        <v>296</v>
      </c>
      <c r="B8481" s="2" t="str">
        <f>"1600390"</f>
        <v>1600390</v>
      </c>
      <c r="C8481" s="2" t="str">
        <f>"160390"</f>
        <v>160390</v>
      </c>
      <c r="D8481" s="2" t="s">
        <v>10619</v>
      </c>
      <c r="E8481" s="4">
        <v>59000</v>
      </c>
    </row>
    <row r="8482" spans="1:5">
      <c r="A8482" s="2" t="s">
        <v>296</v>
      </c>
      <c r="B8482" s="2" t="str">
        <f>"090601230"</f>
        <v>090601230</v>
      </c>
      <c r="C8482" s="2" t="str">
        <f>"090601230"</f>
        <v>090601230</v>
      </c>
      <c r="D8482" s="2" t="s">
        <v>10620</v>
      </c>
      <c r="E8482" s="4">
        <v>68000</v>
      </c>
    </row>
    <row r="8483" spans="1:5">
      <c r="A8483" s="2" t="s">
        <v>2541</v>
      </c>
      <c r="B8483" s="2" t="str">
        <f>"016041052"</f>
        <v>016041052</v>
      </c>
      <c r="C8483" s="2" t="str">
        <f>"016041052"</f>
        <v>016041052</v>
      </c>
      <c r="D8483" s="2" t="s">
        <v>10621</v>
      </c>
      <c r="E8483" s="4">
        <v>10872</v>
      </c>
    </row>
    <row r="8484" spans="1:5">
      <c r="A8484" s="2" t="s">
        <v>296</v>
      </c>
      <c r="B8484" s="2" t="s">
        <v>10622</v>
      </c>
      <c r="C8484" s="2" t="s">
        <v>10622</v>
      </c>
      <c r="D8484" s="2" t="s">
        <v>10623</v>
      </c>
      <c r="E8484" s="4">
        <v>34000</v>
      </c>
    </row>
    <row r="8485" spans="1:5">
      <c r="A8485" s="2" t="s">
        <v>2541</v>
      </c>
      <c r="B8485" s="2" t="str">
        <f>"110570"</f>
        <v>110570</v>
      </c>
      <c r="C8485" s="2" t="str">
        <f>"110570"</f>
        <v>110570</v>
      </c>
      <c r="D8485" s="2" t="s">
        <v>10621</v>
      </c>
      <c r="E8485" s="4">
        <v>340000</v>
      </c>
    </row>
    <row r="8486" spans="1:5">
      <c r="A8486" s="2" t="s">
        <v>2541</v>
      </c>
      <c r="B8486" s="2" t="str">
        <f>"1001140"</f>
        <v>1001140</v>
      </c>
      <c r="C8486" s="2" t="str">
        <f>"1001140"</f>
        <v>1001140</v>
      </c>
      <c r="D8486" s="2" t="s">
        <v>10624</v>
      </c>
      <c r="E8486" s="4">
        <v>65000</v>
      </c>
    </row>
    <row r="8487" spans="1:5">
      <c r="A8487" s="2" t="s">
        <v>296</v>
      </c>
      <c r="B8487" s="2" t="str">
        <f>"090600884"</f>
        <v>090600884</v>
      </c>
      <c r="C8487" s="2" t="str">
        <f>"1001160"</f>
        <v>1001160</v>
      </c>
      <c r="D8487" s="2" t="s">
        <v>10625</v>
      </c>
      <c r="E8487" s="4">
        <v>43000</v>
      </c>
    </row>
    <row r="8488" spans="1:5">
      <c r="A8488" s="2" t="s">
        <v>296</v>
      </c>
      <c r="B8488" s="2" t="s">
        <v>10626</v>
      </c>
      <c r="C8488" s="2" t="s">
        <v>10626</v>
      </c>
      <c r="D8488" s="2" t="s">
        <v>10627</v>
      </c>
      <c r="E8488" s="4">
        <v>68000</v>
      </c>
    </row>
    <row r="8489" spans="1:5">
      <c r="A8489" s="2" t="s">
        <v>2541</v>
      </c>
      <c r="B8489" s="2" t="str">
        <f>"9942970"</f>
        <v>9942970</v>
      </c>
      <c r="C8489" s="2" t="str">
        <f>"9942970"</f>
        <v>9942970</v>
      </c>
      <c r="D8489" s="2" t="s">
        <v>10628</v>
      </c>
      <c r="E8489" s="4">
        <v>59000</v>
      </c>
    </row>
    <row r="8490" spans="1:5">
      <c r="A8490" s="2" t="s">
        <v>296</v>
      </c>
      <c r="B8490" s="2" t="str">
        <f>"090231239"</f>
        <v>090231239</v>
      </c>
      <c r="C8490" s="2" t="str">
        <f>"090231239"</f>
        <v>090231239</v>
      </c>
      <c r="D8490" s="2" t="s">
        <v>10629</v>
      </c>
      <c r="E8490" s="4">
        <v>61000</v>
      </c>
    </row>
    <row r="8491" spans="1:5">
      <c r="A8491" s="2" t="s">
        <v>296</v>
      </c>
      <c r="B8491" s="2" t="s">
        <v>10630</v>
      </c>
      <c r="C8491" s="2" t="s">
        <v>10630</v>
      </c>
      <c r="D8491" s="2" t="s">
        <v>10631</v>
      </c>
      <c r="E8491" s="4">
        <v>61000</v>
      </c>
    </row>
    <row r="8492" spans="1:5">
      <c r="A8492" s="2" t="s">
        <v>296</v>
      </c>
      <c r="B8492" s="2" t="s">
        <v>10632</v>
      </c>
      <c r="C8492" s="2" t="s">
        <v>10632</v>
      </c>
      <c r="D8492" s="2" t="s">
        <v>10633</v>
      </c>
      <c r="E8492" s="4">
        <v>65000</v>
      </c>
    </row>
    <row r="8493" spans="1:5">
      <c r="A8493" s="2" t="s">
        <v>296</v>
      </c>
      <c r="B8493" s="2" t="str">
        <f>"090231619"</f>
        <v>090231619</v>
      </c>
      <c r="C8493" s="2" t="str">
        <f>"09231619"</f>
        <v>09231619</v>
      </c>
      <c r="D8493" s="2" t="s">
        <v>10634</v>
      </c>
      <c r="E8493" s="4">
        <v>65000</v>
      </c>
    </row>
    <row r="8494" spans="1:5">
      <c r="A8494" s="2" t="s">
        <v>296</v>
      </c>
      <c r="B8494" s="2" t="str">
        <f>"0011364"</f>
        <v>0011364</v>
      </c>
      <c r="C8494" s="2" t="str">
        <f>"0011364"</f>
        <v>0011364</v>
      </c>
      <c r="D8494" s="2" t="s">
        <v>10635</v>
      </c>
      <c r="E8494" s="4">
        <v>52000</v>
      </c>
    </row>
    <row r="8495" spans="1:5">
      <c r="A8495" s="2" t="s">
        <v>296</v>
      </c>
      <c r="B8495" s="2" t="str">
        <f>"090231217"</f>
        <v>090231217</v>
      </c>
      <c r="C8495" s="2" t="str">
        <f>"090231217"</f>
        <v>090231217</v>
      </c>
      <c r="D8495" s="2" t="s">
        <v>10636</v>
      </c>
      <c r="E8495" s="4">
        <v>61000</v>
      </c>
    </row>
    <row r="8496" spans="1:5">
      <c r="A8496" s="2" t="s">
        <v>296</v>
      </c>
      <c r="B8496" s="2" t="str">
        <f>"96951900"</f>
        <v>96951900</v>
      </c>
      <c r="C8496" s="2" t="str">
        <f>"96951900"</f>
        <v>96951900</v>
      </c>
      <c r="D8496" s="2" t="s">
        <v>10637</v>
      </c>
      <c r="E8496" s="4">
        <v>26000</v>
      </c>
    </row>
    <row r="8497" spans="1:5">
      <c r="A8497" s="2" t="s">
        <v>296</v>
      </c>
      <c r="B8497" s="2" t="str">
        <f>"090600883"</f>
        <v>090600883</v>
      </c>
      <c r="C8497" s="2" t="str">
        <f>"090600883"</f>
        <v>090600883</v>
      </c>
      <c r="D8497" s="2" t="s">
        <v>10638</v>
      </c>
      <c r="E8497" s="4">
        <v>59000</v>
      </c>
    </row>
    <row r="8498" spans="1:5">
      <c r="A8498" s="2" t="s">
        <v>296</v>
      </c>
      <c r="B8498" s="2" t="str">
        <f>"001497014-2"</f>
        <v>001497014-2</v>
      </c>
      <c r="C8498" s="2" t="str">
        <f>"001497014-2"</f>
        <v>001497014-2</v>
      </c>
      <c r="D8498" s="2" t="s">
        <v>10639</v>
      </c>
      <c r="E8498" s="4">
        <v>97000</v>
      </c>
    </row>
    <row r="8499" spans="1:5">
      <c r="A8499" s="2" t="s">
        <v>296</v>
      </c>
      <c r="B8499" s="2" t="s">
        <v>10640</v>
      </c>
      <c r="C8499" s="2" t="s">
        <v>10640</v>
      </c>
      <c r="D8499" s="2" t="s">
        <v>10641</v>
      </c>
      <c r="E8499" s="4">
        <v>75000</v>
      </c>
    </row>
    <row r="8500" spans="1:5">
      <c r="A8500" s="2" t="s">
        <v>2541</v>
      </c>
      <c r="B8500" s="2" t="str">
        <f>"501211"</f>
        <v>501211</v>
      </c>
      <c r="C8500" s="2" t="str">
        <f>"501211"</f>
        <v>501211</v>
      </c>
      <c r="D8500" s="2" t="s">
        <v>10642</v>
      </c>
      <c r="E8500" s="4">
        <v>54700</v>
      </c>
    </row>
    <row r="8501" spans="1:5">
      <c r="A8501" s="2" t="s">
        <v>296</v>
      </c>
      <c r="B8501" s="2" t="str">
        <f>"001196134-7"</f>
        <v>001196134-7</v>
      </c>
      <c r="C8501" s="2" t="str">
        <f>"001196134-7"</f>
        <v>001196134-7</v>
      </c>
      <c r="D8501" s="2" t="s">
        <v>10643</v>
      </c>
      <c r="E8501" s="4">
        <v>68200</v>
      </c>
    </row>
    <row r="8502" spans="1:5">
      <c r="A8502" s="2" t="s">
        <v>2541</v>
      </c>
      <c r="B8502" s="2" t="str">
        <f>"8698708"</f>
        <v>8698708</v>
      </c>
      <c r="C8502" s="2" t="str">
        <f>"8698708"</f>
        <v>8698708</v>
      </c>
      <c r="D8502" s="2" t="s">
        <v>10644</v>
      </c>
      <c r="E8502" s="4">
        <v>38000</v>
      </c>
    </row>
    <row r="8503" spans="1:5">
      <c r="A8503" s="2" t="s">
        <v>296</v>
      </c>
      <c r="B8503" s="2" t="s">
        <v>10645</v>
      </c>
      <c r="C8503" s="2" t="s">
        <v>10645</v>
      </c>
      <c r="D8503" s="2" t="s">
        <v>10646</v>
      </c>
      <c r="E8503" s="4">
        <v>38500</v>
      </c>
    </row>
    <row r="8504" spans="1:5">
      <c r="A8504" s="2" t="s">
        <v>296</v>
      </c>
      <c r="B8504" s="2" t="str">
        <f>"1196123-1"</f>
        <v>1196123-1</v>
      </c>
      <c r="C8504" s="2" t="str">
        <f>"1196123-1"</f>
        <v>1196123-1</v>
      </c>
      <c r="D8504" s="2" t="s">
        <v>10647</v>
      </c>
      <c r="E8504" s="4">
        <v>34000</v>
      </c>
    </row>
    <row r="8505" spans="1:5">
      <c r="A8505" s="2" t="s">
        <v>296</v>
      </c>
      <c r="B8505" s="2" t="str">
        <f>"090601032"</f>
        <v>090601032</v>
      </c>
      <c r="C8505" s="2" t="str">
        <f>"090601032"</f>
        <v>090601032</v>
      </c>
      <c r="D8505" s="2" t="s">
        <v>10648</v>
      </c>
      <c r="E8505" s="4">
        <v>52000</v>
      </c>
    </row>
    <row r="8506" spans="1:5">
      <c r="A8506" s="2" t="s">
        <v>296</v>
      </c>
      <c r="B8506" s="2" t="s">
        <v>10649</v>
      </c>
      <c r="C8506" s="2" t="s">
        <v>10649</v>
      </c>
      <c r="D8506" s="2" t="s">
        <v>10650</v>
      </c>
      <c r="E8506" s="4">
        <v>43000</v>
      </c>
    </row>
    <row r="8507" spans="1:5">
      <c r="A8507" s="2" t="s">
        <v>2541</v>
      </c>
      <c r="B8507" s="2" t="s">
        <v>10651</v>
      </c>
      <c r="C8507" s="2" t="s">
        <v>10651</v>
      </c>
      <c r="D8507" s="2" t="s">
        <v>10652</v>
      </c>
      <c r="E8507" s="4">
        <v>240000</v>
      </c>
    </row>
    <row r="8508" spans="1:5">
      <c r="A8508" s="2" t="s">
        <v>296</v>
      </c>
      <c r="B8508" s="2" t="s">
        <v>10653</v>
      </c>
      <c r="C8508" s="2" t="s">
        <v>10653</v>
      </c>
      <c r="D8508" s="2" t="s">
        <v>10654</v>
      </c>
      <c r="E8508" s="4">
        <v>49500</v>
      </c>
    </row>
    <row r="8509" spans="1:5">
      <c r="A8509" s="2" t="s">
        <v>296</v>
      </c>
      <c r="B8509" s="2" t="str">
        <f>"001296246-0"</f>
        <v>001296246-0</v>
      </c>
      <c r="C8509" s="2" t="str">
        <f>"001296246-0"</f>
        <v>001296246-0</v>
      </c>
      <c r="D8509" s="2" t="s">
        <v>10655</v>
      </c>
      <c r="E8509" s="4">
        <v>48400</v>
      </c>
    </row>
    <row r="8510" spans="1:5">
      <c r="A8510" s="2" t="s">
        <v>296</v>
      </c>
      <c r="B8510" s="2" t="str">
        <f>"001296109-K"</f>
        <v>001296109-K</v>
      </c>
      <c r="C8510" s="2" t="str">
        <f>"1296109-K"</f>
        <v>1296109-K</v>
      </c>
      <c r="D8510" s="2" t="s">
        <v>10656</v>
      </c>
      <c r="E8510" s="4">
        <v>52000</v>
      </c>
    </row>
    <row r="8511" spans="1:5">
      <c r="A8511" s="2" t="s">
        <v>2541</v>
      </c>
      <c r="B8511" s="2" t="s">
        <v>10657</v>
      </c>
      <c r="C8511" s="2" t="s">
        <v>10657</v>
      </c>
      <c r="D8511" s="2" t="s">
        <v>10658</v>
      </c>
      <c r="E8511" s="4">
        <v>35000</v>
      </c>
    </row>
    <row r="8512" spans="1:5">
      <c r="A8512" s="2" t="s">
        <v>296</v>
      </c>
      <c r="B8512" s="2" t="s">
        <v>10659</v>
      </c>
      <c r="C8512" s="2" t="s">
        <v>10659</v>
      </c>
      <c r="D8512" s="2" t="s">
        <v>10660</v>
      </c>
      <c r="E8512" s="4">
        <v>59000</v>
      </c>
    </row>
    <row r="8513" spans="1:5">
      <c r="A8513" s="2" t="s">
        <v>296</v>
      </c>
      <c r="B8513" s="2" t="str">
        <f>"001896008-7"</f>
        <v>001896008-7</v>
      </c>
      <c r="C8513" s="2" t="str">
        <f>"001896008-7"</f>
        <v>001896008-7</v>
      </c>
      <c r="D8513" s="2" t="s">
        <v>10661</v>
      </c>
      <c r="E8513" s="4">
        <v>61000</v>
      </c>
    </row>
    <row r="8514" spans="1:5">
      <c r="A8514" s="2" t="s">
        <v>296</v>
      </c>
      <c r="B8514" s="2" t="str">
        <f>"090601229"</f>
        <v>090601229</v>
      </c>
      <c r="C8514" s="2" t="str">
        <f>"090601229"</f>
        <v>090601229</v>
      </c>
      <c r="D8514" s="2" t="s">
        <v>10662</v>
      </c>
      <c r="E8514" s="4">
        <v>97000</v>
      </c>
    </row>
    <row r="8515" spans="1:5">
      <c r="A8515" s="2">
        <v>0</v>
      </c>
      <c r="B8515" s="2" t="s">
        <v>10663</v>
      </c>
      <c r="C8515" s="2" t="s">
        <v>10664</v>
      </c>
      <c r="D8515" s="2" t="s">
        <v>10665</v>
      </c>
      <c r="E8515" s="4">
        <v>140000</v>
      </c>
    </row>
    <row r="8516" spans="1:5">
      <c r="A8516" s="2" t="s">
        <v>296</v>
      </c>
      <c r="B8516" s="2" t="str">
        <f>"002196155-8"</f>
        <v>002196155-8</v>
      </c>
      <c r="C8516" s="2" t="str">
        <f>"002196155-8"</f>
        <v>002196155-8</v>
      </c>
      <c r="D8516" s="2" t="s">
        <v>10666</v>
      </c>
      <c r="E8516" s="4">
        <v>115000</v>
      </c>
    </row>
    <row r="8517" spans="1:5">
      <c r="A8517" s="2" t="s">
        <v>2541</v>
      </c>
      <c r="B8517" s="2" t="str">
        <f>"000496067-K"</f>
        <v>000496067-K</v>
      </c>
      <c r="C8517" s="2" t="str">
        <f>"496067-K"</f>
        <v>496067-K</v>
      </c>
      <c r="D8517" s="2" t="s">
        <v>10667</v>
      </c>
      <c r="E8517" s="4">
        <v>65000</v>
      </c>
    </row>
    <row r="8518" spans="1:5">
      <c r="A8518" s="2" t="s">
        <v>296</v>
      </c>
      <c r="B8518" s="2" t="s">
        <v>10668</v>
      </c>
      <c r="C8518" s="2" t="s">
        <v>10668</v>
      </c>
      <c r="D8518" s="2" t="s">
        <v>10669</v>
      </c>
      <c r="E8518" s="4">
        <v>70000</v>
      </c>
    </row>
    <row r="8519" spans="1:5">
      <c r="A8519" s="2" t="s">
        <v>2541</v>
      </c>
      <c r="B8519" s="2" t="str">
        <f>"020601417"</f>
        <v>020601417</v>
      </c>
      <c r="C8519" s="2" t="str">
        <f>"020601417"</f>
        <v>020601417</v>
      </c>
      <c r="D8519" s="2" t="s">
        <v>10670</v>
      </c>
      <c r="E8519" s="4">
        <v>19900</v>
      </c>
    </row>
    <row r="8520" spans="1:5">
      <c r="A8520" s="2" t="s">
        <v>296</v>
      </c>
      <c r="B8520" s="2" t="s">
        <v>10671</v>
      </c>
      <c r="C8520" s="2" t="s">
        <v>10671</v>
      </c>
      <c r="D8520" s="2" t="s">
        <v>10672</v>
      </c>
      <c r="E8520" s="4">
        <v>70000</v>
      </c>
    </row>
    <row r="8521" spans="1:5">
      <c r="A8521" s="2" t="s">
        <v>296</v>
      </c>
      <c r="B8521" s="2" t="s">
        <v>10673</v>
      </c>
      <c r="C8521" s="2" t="s">
        <v>10673</v>
      </c>
      <c r="D8521" s="2" t="s">
        <v>10674</v>
      </c>
      <c r="E8521" s="4">
        <v>78000</v>
      </c>
    </row>
    <row r="8522" spans="1:5">
      <c r="A8522" s="2" t="s">
        <v>296</v>
      </c>
      <c r="B8522" s="2" t="s">
        <v>10675</v>
      </c>
      <c r="C8522" s="2" t="s">
        <v>10675</v>
      </c>
      <c r="D8522" s="2" t="s">
        <v>10676</v>
      </c>
      <c r="E8522" s="4">
        <v>55000</v>
      </c>
    </row>
    <row r="8523" spans="1:5">
      <c r="A8523" s="2" t="s">
        <v>2541</v>
      </c>
      <c r="B8523" s="2" t="s">
        <v>10677</v>
      </c>
      <c r="C8523" s="2" t="s">
        <v>10678</v>
      </c>
      <c r="D8523" s="2" t="s">
        <v>10679</v>
      </c>
      <c r="E8523" s="4">
        <v>48000</v>
      </c>
    </row>
    <row r="8524" spans="1:5">
      <c r="A8524" s="2" t="s">
        <v>296</v>
      </c>
      <c r="B8524" s="2" t="str">
        <f>"090600876"</f>
        <v>090600876</v>
      </c>
      <c r="C8524" s="2" t="str">
        <f>"090600876"</f>
        <v>090600876</v>
      </c>
      <c r="D8524" s="2" t="s">
        <v>10680</v>
      </c>
      <c r="E8524" s="4">
        <v>38000</v>
      </c>
    </row>
    <row r="8525" spans="1:5">
      <c r="A8525" s="2" t="s">
        <v>2541</v>
      </c>
      <c r="B8525" s="2" t="str">
        <f>"001295701-7"</f>
        <v>001295701-7</v>
      </c>
      <c r="C8525" s="2" t="str">
        <f>"001295701-7"</f>
        <v>001295701-7</v>
      </c>
      <c r="D8525" s="2" t="s">
        <v>10681</v>
      </c>
      <c r="E8525" s="4">
        <v>35000</v>
      </c>
    </row>
    <row r="8526" spans="1:5">
      <c r="A8526" s="2" t="s">
        <v>296</v>
      </c>
      <c r="B8526" s="2" t="str">
        <f>"090600907"</f>
        <v>090600907</v>
      </c>
      <c r="C8526" s="2" t="str">
        <f>"090600907"</f>
        <v>090600907</v>
      </c>
      <c r="D8526" s="2" t="s">
        <v>10682</v>
      </c>
      <c r="E8526" s="4">
        <v>38500</v>
      </c>
    </row>
    <row r="8527" spans="1:5">
      <c r="A8527" s="2" t="s">
        <v>2541</v>
      </c>
      <c r="B8527" s="2" t="s">
        <v>10683</v>
      </c>
      <c r="C8527" s="2" t="s">
        <v>10683</v>
      </c>
      <c r="D8527" s="2" t="s">
        <v>10684</v>
      </c>
      <c r="E8527" s="4">
        <v>38500</v>
      </c>
    </row>
    <row r="8528" spans="1:5">
      <c r="A8528" s="2" t="s">
        <v>296</v>
      </c>
      <c r="B8528" s="2" t="str">
        <f>"001296105-7"</f>
        <v>001296105-7</v>
      </c>
      <c r="C8528" s="2" t="str">
        <f>"001296105-7"</f>
        <v>001296105-7</v>
      </c>
      <c r="D8528" s="2" t="s">
        <v>10685</v>
      </c>
      <c r="E8528" s="4">
        <v>49000</v>
      </c>
    </row>
    <row r="8529" spans="1:5">
      <c r="A8529" s="2" t="s">
        <v>296</v>
      </c>
      <c r="B8529" s="2" t="str">
        <f>"001295745-9"</f>
        <v>001295745-9</v>
      </c>
      <c r="C8529" s="2" t="str">
        <f>"001295745-9"</f>
        <v>001295745-9</v>
      </c>
      <c r="D8529" s="2" t="s">
        <v>10686</v>
      </c>
      <c r="E8529" s="4">
        <v>68000</v>
      </c>
    </row>
    <row r="8530" spans="1:5">
      <c r="A8530" s="2" t="s">
        <v>2541</v>
      </c>
      <c r="B8530" s="2" t="str">
        <f>"0000799"</f>
        <v>0000799</v>
      </c>
      <c r="C8530" s="2" t="str">
        <f>"001295589-8"</f>
        <v>001295589-8</v>
      </c>
      <c r="D8530" s="2" t="s">
        <v>10687</v>
      </c>
      <c r="E8530" s="4">
        <v>75000</v>
      </c>
    </row>
    <row r="8531" spans="1:5">
      <c r="A8531" s="2" t="s">
        <v>296</v>
      </c>
      <c r="B8531" s="2" t="s">
        <v>10688</v>
      </c>
      <c r="C8531" s="2" t="str">
        <f>"011291"</f>
        <v>011291</v>
      </c>
      <c r="D8531" s="2" t="s">
        <v>10689</v>
      </c>
      <c r="E8531" s="4">
        <v>52000</v>
      </c>
    </row>
    <row r="8532" spans="1:5">
      <c r="A8532" s="2" t="s">
        <v>296</v>
      </c>
      <c r="B8532" s="2" t="str">
        <f>"1296246-0"</f>
        <v>1296246-0</v>
      </c>
      <c r="C8532" s="2" t="str">
        <f>"1296246-0"</f>
        <v>1296246-0</v>
      </c>
      <c r="D8532" s="2" t="s">
        <v>10690</v>
      </c>
      <c r="E8532" s="4">
        <v>43000</v>
      </c>
    </row>
    <row r="8533" spans="1:5">
      <c r="A8533" s="2" t="s">
        <v>296</v>
      </c>
      <c r="B8533" s="2" t="str">
        <f>"001295572-3"</f>
        <v>001295572-3</v>
      </c>
      <c r="C8533" s="2" t="str">
        <f>"001295572-3"</f>
        <v>001295572-3</v>
      </c>
      <c r="D8533" s="2" t="s">
        <v>10691</v>
      </c>
      <c r="E8533" s="4">
        <v>65000</v>
      </c>
    </row>
    <row r="8534" spans="1:5">
      <c r="A8534" s="2" t="s">
        <v>296</v>
      </c>
      <c r="B8534" s="2" t="str">
        <f>"090600913"</f>
        <v>090600913</v>
      </c>
      <c r="C8534" s="2" t="str">
        <f>"0900913"</f>
        <v>0900913</v>
      </c>
      <c r="D8534" s="2" t="s">
        <v>10692</v>
      </c>
      <c r="E8534" s="4">
        <v>65000</v>
      </c>
    </row>
    <row r="8535" spans="1:5">
      <c r="A8535" s="2" t="s">
        <v>296</v>
      </c>
      <c r="B8535" s="2" t="str">
        <f>"001296198-7"</f>
        <v>001296198-7</v>
      </c>
      <c r="C8535" s="2" t="str">
        <f>"001296198-7"</f>
        <v>001296198-7</v>
      </c>
      <c r="D8535" s="2" t="s">
        <v>10693</v>
      </c>
      <c r="E8535" s="4">
        <v>148000</v>
      </c>
    </row>
    <row r="8536" spans="1:5">
      <c r="A8536" s="2" t="s">
        <v>296</v>
      </c>
      <c r="B8536" s="2" t="s">
        <v>10694</v>
      </c>
      <c r="C8536" s="2" t="s">
        <v>10694</v>
      </c>
      <c r="D8536" s="2" t="s">
        <v>10695</v>
      </c>
      <c r="E8536" s="4">
        <v>365068</v>
      </c>
    </row>
    <row r="8537" spans="1:5">
      <c r="A8537" s="2" t="s">
        <v>296</v>
      </c>
      <c r="B8537" s="2" t="str">
        <f>"001296301-7"</f>
        <v>001296301-7</v>
      </c>
      <c r="C8537" s="2" t="str">
        <f>"001296301-7"</f>
        <v>001296301-7</v>
      </c>
      <c r="D8537" s="2" t="s">
        <v>10696</v>
      </c>
      <c r="E8537" s="4">
        <v>142000</v>
      </c>
    </row>
    <row r="8538" spans="1:5">
      <c r="A8538" s="2" t="s">
        <v>296</v>
      </c>
      <c r="B8538" s="2" t="str">
        <f>"090231299"</f>
        <v>090231299</v>
      </c>
      <c r="C8538" s="2" t="str">
        <f>"090231299"</f>
        <v>090231299</v>
      </c>
      <c r="D8538" s="2" t="s">
        <v>10697</v>
      </c>
      <c r="E8538" s="4">
        <v>160000</v>
      </c>
    </row>
    <row r="8539" spans="1:5">
      <c r="A8539" s="2" t="s">
        <v>2541</v>
      </c>
      <c r="B8539" s="2" t="str">
        <f>"1896106-7"</f>
        <v>1896106-7</v>
      </c>
      <c r="C8539" s="2" t="str">
        <f>"001896106-7"</f>
        <v>001896106-7</v>
      </c>
      <c r="D8539" s="2" t="s">
        <v>10698</v>
      </c>
      <c r="E8539" s="4">
        <v>53000</v>
      </c>
    </row>
    <row r="8540" spans="1:5">
      <c r="A8540" s="2" t="s">
        <v>296</v>
      </c>
      <c r="B8540" s="2" t="str">
        <f>"090601179"</f>
        <v>090601179</v>
      </c>
      <c r="C8540" s="2" t="str">
        <f>"090601179"</f>
        <v>090601179</v>
      </c>
      <c r="D8540" s="2" t="s">
        <v>10699</v>
      </c>
      <c r="E8540" s="4">
        <v>75000</v>
      </c>
    </row>
    <row r="8541" spans="1:5">
      <c r="A8541" s="2" t="s">
        <v>2541</v>
      </c>
      <c r="B8541" s="2" t="str">
        <f>"0005038"</f>
        <v>0005038</v>
      </c>
      <c r="C8541" s="2" t="str">
        <f>"0005038"</f>
        <v>0005038</v>
      </c>
      <c r="D8541" s="2" t="s">
        <v>10700</v>
      </c>
      <c r="E8541" s="4">
        <v>52239</v>
      </c>
    </row>
    <row r="8542" spans="1:5">
      <c r="A8542" s="2" t="s">
        <v>2541</v>
      </c>
      <c r="B8542" s="2" t="str">
        <f>"090601052"</f>
        <v>090601052</v>
      </c>
      <c r="C8542" s="2" t="str">
        <f>"090601052"</f>
        <v>090601052</v>
      </c>
      <c r="D8542" s="2" t="s">
        <v>10701</v>
      </c>
      <c r="E8542" s="4">
        <v>52000</v>
      </c>
    </row>
    <row r="8543" spans="1:5">
      <c r="A8543" s="2" t="s">
        <v>296</v>
      </c>
      <c r="B8543" s="2" t="s">
        <v>10702</v>
      </c>
      <c r="C8543" s="2" t="s">
        <v>10702</v>
      </c>
      <c r="D8543" s="2" t="s">
        <v>10703</v>
      </c>
      <c r="E8543" s="4">
        <v>78000</v>
      </c>
    </row>
    <row r="8544" spans="1:5">
      <c r="A8544" s="2" t="s">
        <v>2541</v>
      </c>
      <c r="B8544" s="2" t="str">
        <f>"5038"</f>
        <v>5038</v>
      </c>
      <c r="C8544" s="2" t="str">
        <f>"5038"</f>
        <v>5038</v>
      </c>
      <c r="D8544" s="2" t="s">
        <v>10704</v>
      </c>
      <c r="E8544" s="4">
        <v>52866</v>
      </c>
    </row>
    <row r="8545" spans="1:5">
      <c r="A8545" s="2" t="s">
        <v>296</v>
      </c>
      <c r="B8545" s="2" t="str">
        <f>"0018960060-5"</f>
        <v>0018960060-5</v>
      </c>
      <c r="C8545" s="2" t="str">
        <f>"001896060-5"</f>
        <v>001896060-5</v>
      </c>
      <c r="D8545" s="2" t="s">
        <v>10705</v>
      </c>
      <c r="E8545" s="4">
        <v>69000</v>
      </c>
    </row>
    <row r="8546" spans="1:5">
      <c r="A8546" s="2" t="s">
        <v>296</v>
      </c>
      <c r="B8546" s="2" t="str">
        <f>"001896267-5"</f>
        <v>001896267-5</v>
      </c>
      <c r="C8546" s="2" t="str">
        <f>"001896267-5"</f>
        <v>001896267-5</v>
      </c>
      <c r="D8546" s="2" t="s">
        <v>10706</v>
      </c>
      <c r="E8546" s="4">
        <v>82000</v>
      </c>
    </row>
    <row r="8547" spans="1:5">
      <c r="A8547" s="2" t="s">
        <v>296</v>
      </c>
      <c r="B8547" s="2" t="str">
        <f>"0000824"</f>
        <v>0000824</v>
      </c>
      <c r="C8547" s="2" t="str">
        <f>"0000824"</f>
        <v>0000824</v>
      </c>
      <c r="D8547" s="2" t="s">
        <v>10707</v>
      </c>
      <c r="E8547" s="4">
        <v>43000</v>
      </c>
    </row>
    <row r="8548" spans="1:5">
      <c r="A8548" s="2" t="s">
        <v>296</v>
      </c>
      <c r="B8548" s="2" t="str">
        <f>"090230175"</f>
        <v>090230175</v>
      </c>
      <c r="C8548" s="2" t="str">
        <f>"090230175"</f>
        <v>090230175</v>
      </c>
      <c r="D8548" s="2" t="s">
        <v>10708</v>
      </c>
      <c r="E8548" s="4">
        <v>65000</v>
      </c>
    </row>
    <row r="8549" spans="1:5">
      <c r="A8549" s="2" t="s">
        <v>296</v>
      </c>
      <c r="B8549" s="2" t="str">
        <f>"001896064-8"</f>
        <v>001896064-8</v>
      </c>
      <c r="C8549" s="2" t="str">
        <f>"001896064-8"</f>
        <v>001896064-8</v>
      </c>
      <c r="D8549" s="2" t="s">
        <v>10709</v>
      </c>
      <c r="E8549" s="4">
        <v>68200</v>
      </c>
    </row>
    <row r="8550" spans="1:5">
      <c r="A8550" s="2" t="s">
        <v>2541</v>
      </c>
      <c r="B8550" s="2" t="s">
        <v>10710</v>
      </c>
      <c r="C8550" s="2" t="s">
        <v>10710</v>
      </c>
      <c r="D8550" s="2" t="s">
        <v>10711</v>
      </c>
      <c r="E8550" s="4">
        <v>45000</v>
      </c>
    </row>
    <row r="8551" spans="1:5">
      <c r="A8551" s="2" t="s">
        <v>296</v>
      </c>
      <c r="B8551" s="2" t="str">
        <f>"40668"</f>
        <v>40668</v>
      </c>
      <c r="C8551" s="2" t="str">
        <f>"40668"</f>
        <v>40668</v>
      </c>
      <c r="D8551" s="2" t="s">
        <v>10712</v>
      </c>
      <c r="E8551" s="2">
        <v>0</v>
      </c>
    </row>
    <row r="8552" spans="1:5">
      <c r="A8552" s="2" t="s">
        <v>2541</v>
      </c>
      <c r="B8552" s="2" t="str">
        <f>"0005041"</f>
        <v>0005041</v>
      </c>
      <c r="C8552" s="2" t="str">
        <f>"0005041"</f>
        <v>0005041</v>
      </c>
      <c r="D8552" s="2" t="s">
        <v>10713</v>
      </c>
      <c r="E8552" s="4">
        <v>69000</v>
      </c>
    </row>
    <row r="8553" spans="1:5">
      <c r="A8553" s="2" t="s">
        <v>296</v>
      </c>
      <c r="B8553" s="2" t="str">
        <f>"090601043"</f>
        <v>090601043</v>
      </c>
      <c r="C8553" s="2" t="str">
        <f>"090601043"</f>
        <v>090601043</v>
      </c>
      <c r="D8553" s="2" t="s">
        <v>10714</v>
      </c>
      <c r="E8553" s="4">
        <v>75000</v>
      </c>
    </row>
    <row r="8554" spans="1:5">
      <c r="A8554" s="2" t="s">
        <v>296</v>
      </c>
      <c r="B8554" s="2" t="str">
        <f>"090230582"</f>
        <v>090230582</v>
      </c>
      <c r="C8554" s="2" t="str">
        <f>"090230582"</f>
        <v>090230582</v>
      </c>
      <c r="D8554" s="2" t="s">
        <v>10715</v>
      </c>
      <c r="E8554" s="4">
        <v>97000</v>
      </c>
    </row>
    <row r="8555" spans="1:5">
      <c r="A8555" s="2" t="s">
        <v>296</v>
      </c>
      <c r="B8555" s="2" t="str">
        <f>"001896063-K"</f>
        <v>001896063-K</v>
      </c>
      <c r="C8555" s="2" t="str">
        <f>"001896063-K"</f>
        <v>001896063-K</v>
      </c>
      <c r="D8555" s="2" t="s">
        <v>10716</v>
      </c>
      <c r="E8555" s="4">
        <v>88000</v>
      </c>
    </row>
    <row r="8556" spans="1:5">
      <c r="A8556" s="2" t="s">
        <v>296</v>
      </c>
      <c r="B8556" s="2" t="s">
        <v>10717</v>
      </c>
      <c r="C8556" s="2" t="s">
        <v>10717</v>
      </c>
      <c r="D8556" s="2" t="s">
        <v>10718</v>
      </c>
      <c r="E8556" s="4">
        <v>200000</v>
      </c>
    </row>
    <row r="8557" spans="1:5">
      <c r="A8557" s="2" t="s">
        <v>296</v>
      </c>
      <c r="B8557" s="2" t="str">
        <f>"002196136-1"</f>
        <v>002196136-1</v>
      </c>
      <c r="C8557" s="2" t="str">
        <f>"002196136-1"</f>
        <v>002196136-1</v>
      </c>
      <c r="D8557" s="2" t="s">
        <v>10719</v>
      </c>
      <c r="E8557" s="4">
        <v>88000</v>
      </c>
    </row>
    <row r="8558" spans="1:5">
      <c r="A8558" s="2" t="s">
        <v>296</v>
      </c>
      <c r="B8558" s="2" t="s">
        <v>10720</v>
      </c>
      <c r="C8558" s="2" t="s">
        <v>10720</v>
      </c>
      <c r="D8558" s="2" t="s">
        <v>10721</v>
      </c>
      <c r="E8558" s="4">
        <v>69000</v>
      </c>
    </row>
    <row r="8559" spans="1:5">
      <c r="A8559" s="2" t="s">
        <v>2541</v>
      </c>
      <c r="B8559" s="2" t="str">
        <f>"002996173-5"</f>
        <v>002996173-5</v>
      </c>
      <c r="C8559" s="2" t="str">
        <f>"00299617-5"</f>
        <v>00299617-5</v>
      </c>
      <c r="D8559" s="2" t="s">
        <v>10722</v>
      </c>
      <c r="E8559" s="4">
        <v>52000</v>
      </c>
    </row>
    <row r="8560" spans="1:5">
      <c r="A8560" s="2" t="s">
        <v>296</v>
      </c>
      <c r="B8560" s="2" t="str">
        <f>"00296171-9"</f>
        <v>00296171-9</v>
      </c>
      <c r="C8560" s="2" t="str">
        <f>"00296171-9"</f>
        <v>00296171-9</v>
      </c>
      <c r="D8560" s="2" t="s">
        <v>10723</v>
      </c>
      <c r="E8560" s="4">
        <v>48000</v>
      </c>
    </row>
    <row r="8561" spans="1:5">
      <c r="A8561" s="2" t="s">
        <v>296</v>
      </c>
      <c r="B8561" s="2" t="str">
        <f>"2996522-6"</f>
        <v>2996522-6</v>
      </c>
      <c r="C8561" s="2" t="str">
        <f>"2996522-6"</f>
        <v>2996522-6</v>
      </c>
      <c r="D8561" s="2" t="s">
        <v>10724</v>
      </c>
      <c r="E8561" s="4">
        <v>78000</v>
      </c>
    </row>
    <row r="8562" spans="1:5">
      <c r="A8562" s="2" t="s">
        <v>296</v>
      </c>
      <c r="B8562" s="2" t="str">
        <f>"002996684-2"</f>
        <v>002996684-2</v>
      </c>
      <c r="C8562" s="2" t="str">
        <f>"002996684-2"</f>
        <v>002996684-2</v>
      </c>
      <c r="D8562" s="2" t="s">
        <v>10725</v>
      </c>
      <c r="E8562" s="4">
        <v>125000</v>
      </c>
    </row>
    <row r="8563" spans="1:5">
      <c r="A8563" s="2" t="s">
        <v>296</v>
      </c>
      <c r="B8563" s="2" t="s">
        <v>10726</v>
      </c>
      <c r="C8563" s="2" t="s">
        <v>10727</v>
      </c>
      <c r="D8563" s="2" t="s">
        <v>10728</v>
      </c>
      <c r="E8563" s="4">
        <v>130000</v>
      </c>
    </row>
    <row r="8564" spans="1:5">
      <c r="A8564" s="2" t="s">
        <v>296</v>
      </c>
      <c r="B8564" s="2" t="s">
        <v>10729</v>
      </c>
      <c r="C8564" s="2" t="s">
        <v>10730</v>
      </c>
      <c r="D8564" s="2" t="s">
        <v>10731</v>
      </c>
      <c r="E8564" s="4">
        <v>49000</v>
      </c>
    </row>
    <row r="8565" spans="1:5">
      <c r="A8565" s="2" t="s">
        <v>2541</v>
      </c>
      <c r="B8565" s="2" t="str">
        <f>"0001639"</f>
        <v>0001639</v>
      </c>
      <c r="C8565" s="2" t="str">
        <f>"0001639"</f>
        <v>0001639</v>
      </c>
      <c r="D8565" s="2" t="s">
        <v>10732</v>
      </c>
      <c r="E8565" s="4">
        <v>48000</v>
      </c>
    </row>
    <row r="8566" spans="1:5">
      <c r="A8566" s="2" t="s">
        <v>2541</v>
      </c>
      <c r="B8566" s="2" t="str">
        <f>"000496043-2"</f>
        <v>000496043-2</v>
      </c>
      <c r="C8566" s="2" t="str">
        <f>"000496043-2"</f>
        <v>000496043-2</v>
      </c>
      <c r="D8566" s="2" t="s">
        <v>10733</v>
      </c>
      <c r="E8566" s="4">
        <v>115000</v>
      </c>
    </row>
    <row r="8567" spans="1:5">
      <c r="A8567" s="2" t="s">
        <v>296</v>
      </c>
      <c r="B8567" s="2" t="s">
        <v>10734</v>
      </c>
      <c r="C8567" s="2" t="s">
        <v>10734</v>
      </c>
      <c r="D8567" s="2" t="s">
        <v>10735</v>
      </c>
      <c r="E8567" s="2">
        <v>0</v>
      </c>
    </row>
    <row r="8568" spans="1:5">
      <c r="A8568" s="2" t="s">
        <v>296</v>
      </c>
      <c r="B8568" s="2" t="str">
        <f>"600080"</f>
        <v>600080</v>
      </c>
      <c r="C8568" s="2" t="str">
        <f>"600080"</f>
        <v>600080</v>
      </c>
      <c r="D8568" s="2" t="s">
        <v>10736</v>
      </c>
      <c r="E8568" s="2">
        <v>0</v>
      </c>
    </row>
    <row r="8569" spans="1:5">
      <c r="A8569" s="2">
        <v>0</v>
      </c>
      <c r="B8569" s="2" t="str">
        <f>"000496057-2"</f>
        <v>000496057-2</v>
      </c>
      <c r="C8569" s="2" t="str">
        <f>"000496057-2"</f>
        <v>000496057-2</v>
      </c>
      <c r="D8569" s="2" t="s">
        <v>10737</v>
      </c>
      <c r="E8569" s="4">
        <v>67000</v>
      </c>
    </row>
    <row r="8570" spans="1:5">
      <c r="A8570" s="2" t="s">
        <v>296</v>
      </c>
      <c r="B8570" s="2" t="s">
        <v>10738</v>
      </c>
      <c r="C8570" s="2" t="s">
        <v>10738</v>
      </c>
      <c r="D8570" s="2" t="s">
        <v>10739</v>
      </c>
      <c r="E8570" s="2">
        <v>0</v>
      </c>
    </row>
    <row r="8571" spans="1:5">
      <c r="A8571" s="2" t="s">
        <v>296</v>
      </c>
      <c r="B8571" s="2" t="str">
        <f>"0105987"</f>
        <v>0105987</v>
      </c>
      <c r="C8571" s="2" t="str">
        <f>"0105987"</f>
        <v>0105987</v>
      </c>
      <c r="D8571" s="2" t="s">
        <v>10740</v>
      </c>
      <c r="E8571" s="4">
        <v>20482</v>
      </c>
    </row>
    <row r="8572" spans="1:5">
      <c r="A8572" s="2" t="s">
        <v>296</v>
      </c>
      <c r="B8572" s="2" t="str">
        <f>"0105967"</f>
        <v>0105967</v>
      </c>
      <c r="C8572" s="2" t="str">
        <f>"0105967"</f>
        <v>0105967</v>
      </c>
      <c r="D8572" s="2" t="s">
        <v>10741</v>
      </c>
      <c r="E8572" s="4">
        <v>252268</v>
      </c>
    </row>
    <row r="8573" spans="1:5">
      <c r="A8573" s="2" t="s">
        <v>2541</v>
      </c>
      <c r="B8573" s="2" t="str">
        <f>"610-2010020 204"</f>
        <v>610-2010020 204</v>
      </c>
      <c r="C8573" s="2" t="str">
        <f>"610-2010020 204"</f>
        <v>610-2010020 204</v>
      </c>
      <c r="D8573" s="2" t="s">
        <v>10742</v>
      </c>
      <c r="E8573" s="2">
        <v>0</v>
      </c>
    </row>
    <row r="8574" spans="1:5">
      <c r="A8574" s="2" t="s">
        <v>2541</v>
      </c>
      <c r="B8574" s="2" t="str">
        <f>"0700090"</f>
        <v>0700090</v>
      </c>
      <c r="C8574" s="2" t="str">
        <f>"0700090"</f>
        <v>0700090</v>
      </c>
      <c r="D8574" s="2" t="s">
        <v>10743</v>
      </c>
      <c r="E8574" s="4">
        <v>26700</v>
      </c>
    </row>
    <row r="8575" spans="1:5">
      <c r="A8575" s="2" t="s">
        <v>2541</v>
      </c>
      <c r="B8575" s="2" t="str">
        <f>"2008060254"</f>
        <v>2008060254</v>
      </c>
      <c r="C8575" s="2" t="str">
        <f>"2008060254"</f>
        <v>2008060254</v>
      </c>
      <c r="D8575" s="2" t="s">
        <v>10744</v>
      </c>
      <c r="E8575" s="2">
        <v>0</v>
      </c>
    </row>
    <row r="8576" spans="1:5">
      <c r="A8576" s="2" t="s">
        <v>2541</v>
      </c>
      <c r="B8576" s="2" t="str">
        <f>"2011070270"</f>
        <v>2011070270</v>
      </c>
      <c r="C8576" s="2" t="str">
        <f>"2011070270"</f>
        <v>2011070270</v>
      </c>
      <c r="D8576" s="2" t="s">
        <v>10745</v>
      </c>
      <c r="E8576" s="4">
        <v>32000</v>
      </c>
    </row>
    <row r="8577" spans="1:5">
      <c r="A8577" s="2" t="s">
        <v>2541</v>
      </c>
      <c r="B8577" s="2" t="s">
        <v>10746</v>
      </c>
      <c r="C8577" s="2" t="s">
        <v>10746</v>
      </c>
      <c r="D8577" s="2" t="s">
        <v>10747</v>
      </c>
      <c r="E8577" s="2">
        <v>0</v>
      </c>
    </row>
    <row r="8578" spans="1:5">
      <c r="A8578" s="2" t="s">
        <v>296</v>
      </c>
      <c r="B8578" s="2" t="str">
        <f>"0109667"</f>
        <v>0109667</v>
      </c>
      <c r="C8578" s="2" t="str">
        <f>"0109667"</f>
        <v>0109667</v>
      </c>
      <c r="D8578" s="2" t="s">
        <v>10748</v>
      </c>
      <c r="E8578" s="4">
        <v>174918</v>
      </c>
    </row>
    <row r="8579" spans="1:5">
      <c r="A8579" s="2" t="s">
        <v>296</v>
      </c>
      <c r="B8579" s="2" t="s">
        <v>10749</v>
      </c>
      <c r="C8579" s="2" t="s">
        <v>10749</v>
      </c>
      <c r="D8579" s="2" t="s">
        <v>10750</v>
      </c>
      <c r="E8579" s="4">
        <v>59000</v>
      </c>
    </row>
    <row r="8580" spans="1:5">
      <c r="A8580" s="2" t="s">
        <v>296</v>
      </c>
      <c r="B8580" s="2" t="str">
        <f>"000496048-3"</f>
        <v>000496048-3</v>
      </c>
      <c r="C8580" s="2" t="str">
        <f>"000496048-3"</f>
        <v>000496048-3</v>
      </c>
      <c r="D8580" s="2" t="s">
        <v>10751</v>
      </c>
      <c r="E8580" s="4">
        <v>68000</v>
      </c>
    </row>
    <row r="8581" spans="1:5">
      <c r="A8581" s="2" t="s">
        <v>2541</v>
      </c>
      <c r="B8581" s="2" t="str">
        <f>"0161010"</f>
        <v>0161010</v>
      </c>
      <c r="C8581" s="2" t="s">
        <v>10752</v>
      </c>
      <c r="D8581" s="2" t="s">
        <v>10753</v>
      </c>
      <c r="E8581" s="4">
        <v>59000</v>
      </c>
    </row>
    <row r="8582" spans="1:5">
      <c r="A8582" s="2" t="s">
        <v>2541</v>
      </c>
      <c r="B8582" s="2" t="str">
        <f>"0181570"</f>
        <v>0181570</v>
      </c>
      <c r="C8582" s="2" t="str">
        <f>"0181570"</f>
        <v>0181570</v>
      </c>
      <c r="D8582" s="2" t="s">
        <v>10754</v>
      </c>
      <c r="E8582" s="4">
        <v>65000</v>
      </c>
    </row>
    <row r="8583" spans="1:5">
      <c r="A8583" s="2" t="s">
        <v>2541</v>
      </c>
      <c r="B8583" s="2" t="str">
        <f>"601201"</f>
        <v>601201</v>
      </c>
      <c r="C8583" s="2" t="str">
        <f>"601201"</f>
        <v>601201</v>
      </c>
      <c r="D8583" s="2" t="s">
        <v>10754</v>
      </c>
      <c r="E8583" s="4">
        <v>42000</v>
      </c>
    </row>
    <row r="8584" spans="1:5">
      <c r="A8584" s="2">
        <v>0</v>
      </c>
      <c r="B8584" s="2" t="str">
        <f>"018570"</f>
        <v>018570</v>
      </c>
      <c r="C8584" s="2" t="str">
        <f>"018570"</f>
        <v>018570</v>
      </c>
      <c r="D8584" s="2" t="s">
        <v>10754</v>
      </c>
      <c r="E8584" s="4">
        <v>42000</v>
      </c>
    </row>
    <row r="8585" spans="1:5">
      <c r="A8585" s="2" t="s">
        <v>2541</v>
      </c>
      <c r="B8585" s="2" t="str">
        <f>"0121810"</f>
        <v>0121810</v>
      </c>
      <c r="C8585" s="2" t="str">
        <f>"0121810"</f>
        <v>0121810</v>
      </c>
      <c r="D8585" s="2" t="s">
        <v>10755</v>
      </c>
      <c r="E8585" s="4">
        <v>70000</v>
      </c>
    </row>
    <row r="8586" spans="1:5">
      <c r="A8586" s="2" t="s">
        <v>2541</v>
      </c>
      <c r="B8586" s="2" t="str">
        <f>"016041051"</f>
        <v>016041051</v>
      </c>
      <c r="C8586" s="2" t="str">
        <f>"016041051"</f>
        <v>016041051</v>
      </c>
      <c r="D8586" s="2" t="s">
        <v>10756</v>
      </c>
      <c r="E8586" s="4">
        <v>48000</v>
      </c>
    </row>
    <row r="8587" spans="1:5">
      <c r="A8587" s="2" t="s">
        <v>2541</v>
      </c>
      <c r="B8587" s="2" t="str">
        <f>"0002868"</f>
        <v>0002868</v>
      </c>
      <c r="C8587" s="2" t="str">
        <f>"000499702-6"</f>
        <v>000499702-6</v>
      </c>
      <c r="D8587" s="2" t="s">
        <v>10757</v>
      </c>
      <c r="E8587" s="4">
        <v>85000</v>
      </c>
    </row>
    <row r="8588" spans="1:5">
      <c r="A8588" s="2" t="s">
        <v>296</v>
      </c>
      <c r="B8588" s="2" t="str">
        <f>"53A392"</f>
        <v>53A392</v>
      </c>
      <c r="C8588" s="2" t="str">
        <f>"53A392"</f>
        <v>53A392</v>
      </c>
      <c r="D8588" s="2" t="s">
        <v>10758</v>
      </c>
      <c r="E8588" s="4">
        <v>52000</v>
      </c>
    </row>
    <row r="8589" spans="1:5">
      <c r="A8589" s="2" t="s">
        <v>2541</v>
      </c>
      <c r="B8589" s="2" t="s">
        <v>10759</v>
      </c>
      <c r="C8589" s="2" t="s">
        <v>10759</v>
      </c>
      <c r="D8589" s="2" t="s">
        <v>10760</v>
      </c>
      <c r="E8589" s="4">
        <v>38000</v>
      </c>
    </row>
    <row r="8590" spans="1:5">
      <c r="A8590" s="2" t="s">
        <v>2541</v>
      </c>
      <c r="B8590" s="2" t="str">
        <f>"0002867"</f>
        <v>0002867</v>
      </c>
      <c r="C8590" s="2" t="str">
        <f>"0002867"</f>
        <v>0002867</v>
      </c>
      <c r="D8590" s="2" t="s">
        <v>10761</v>
      </c>
      <c r="E8590" s="4">
        <v>48000</v>
      </c>
    </row>
    <row r="8591" spans="1:5">
      <c r="A8591" s="2" t="s">
        <v>296</v>
      </c>
      <c r="B8591" s="2" t="str">
        <f>"0002899"</f>
        <v>0002899</v>
      </c>
      <c r="C8591" s="2" t="str">
        <f>"000496038-6"</f>
        <v>000496038-6</v>
      </c>
      <c r="D8591" s="2" t="s">
        <v>10762</v>
      </c>
      <c r="E8591" s="4">
        <v>75000</v>
      </c>
    </row>
    <row r="8592" spans="1:5">
      <c r="A8592" s="2" t="s">
        <v>296</v>
      </c>
      <c r="B8592" s="2" t="str">
        <f>"000496034-3"</f>
        <v>000496034-3</v>
      </c>
      <c r="C8592" s="2" t="str">
        <f>"000496034-3"</f>
        <v>000496034-3</v>
      </c>
      <c r="D8592" s="2" t="s">
        <v>10763</v>
      </c>
      <c r="E8592" s="4">
        <v>68000</v>
      </c>
    </row>
    <row r="8593" spans="1:5">
      <c r="A8593" s="2" t="s">
        <v>296</v>
      </c>
      <c r="B8593" s="2" t="s">
        <v>10764</v>
      </c>
      <c r="C8593" s="2" t="s">
        <v>10764</v>
      </c>
      <c r="D8593" s="2" t="s">
        <v>10765</v>
      </c>
      <c r="E8593" s="4">
        <v>59000</v>
      </c>
    </row>
    <row r="8594" spans="1:5">
      <c r="A8594" s="2" t="s">
        <v>2541</v>
      </c>
      <c r="B8594" s="2" t="str">
        <f>"0146377"</f>
        <v>0146377</v>
      </c>
      <c r="C8594" s="2" t="str">
        <f>"0146377"</f>
        <v>0146377</v>
      </c>
      <c r="D8594" s="2" t="s">
        <v>10766</v>
      </c>
      <c r="E8594" s="4">
        <v>25000</v>
      </c>
    </row>
    <row r="8595" spans="1:5">
      <c r="A8595" s="2" t="s">
        <v>296</v>
      </c>
      <c r="B8595" s="2" t="str">
        <f>"000496621-K"</f>
        <v>000496621-K</v>
      </c>
      <c r="C8595" s="2" t="s">
        <v>10767</v>
      </c>
      <c r="D8595" s="2" t="s">
        <v>10768</v>
      </c>
      <c r="E8595" s="4">
        <v>38000</v>
      </c>
    </row>
    <row r="8596" spans="1:5">
      <c r="A8596" s="2" t="s">
        <v>2541</v>
      </c>
      <c r="B8596" s="2" t="str">
        <f>"0121600"</f>
        <v>0121600</v>
      </c>
      <c r="C8596" s="2" t="str">
        <f>"0121600"</f>
        <v>0121600</v>
      </c>
      <c r="D8596" s="2" t="s">
        <v>10769</v>
      </c>
      <c r="E8596" s="4">
        <v>38000</v>
      </c>
    </row>
    <row r="8597" spans="1:5">
      <c r="A8597" s="2" t="s">
        <v>2541</v>
      </c>
      <c r="B8597" s="2" t="s">
        <v>10770</v>
      </c>
      <c r="C8597" s="2" t="s">
        <v>10770</v>
      </c>
      <c r="D8597" s="2" t="s">
        <v>10771</v>
      </c>
      <c r="E8597" s="4">
        <v>38500</v>
      </c>
    </row>
    <row r="8598" spans="1:5">
      <c r="A8598" s="2" t="s">
        <v>296</v>
      </c>
      <c r="B8598" s="2" t="str">
        <f>"000496303-2"</f>
        <v>000496303-2</v>
      </c>
      <c r="C8598" s="2" t="s">
        <v>10772</v>
      </c>
      <c r="D8598" s="2" t="s">
        <v>10773</v>
      </c>
      <c r="E8598" s="4">
        <v>38500</v>
      </c>
    </row>
    <row r="8599" spans="1:5">
      <c r="A8599" s="2" t="s">
        <v>296</v>
      </c>
      <c r="B8599" s="2" t="s">
        <v>10774</v>
      </c>
      <c r="C8599" s="2" t="s">
        <v>10774</v>
      </c>
      <c r="D8599" s="2" t="s">
        <v>10775</v>
      </c>
      <c r="E8599" s="4">
        <v>68000</v>
      </c>
    </row>
    <row r="8600" spans="1:5">
      <c r="A8600" s="2" t="s">
        <v>296</v>
      </c>
      <c r="B8600" s="2" t="s">
        <v>10776</v>
      </c>
      <c r="C8600" s="2" t="s">
        <v>10777</v>
      </c>
      <c r="D8600" s="2" t="s">
        <v>10778</v>
      </c>
      <c r="E8600" s="4">
        <v>88000</v>
      </c>
    </row>
    <row r="8601" spans="1:5">
      <c r="A8601" s="2" t="s">
        <v>2541</v>
      </c>
      <c r="B8601" s="2" t="str">
        <f>"209587-4"</f>
        <v>209587-4</v>
      </c>
      <c r="C8601" s="2" t="str">
        <f>"209587-4"</f>
        <v>209587-4</v>
      </c>
      <c r="D8601" s="2" t="s">
        <v>10779</v>
      </c>
      <c r="E8601" s="4">
        <v>36500</v>
      </c>
    </row>
    <row r="8602" spans="1:5">
      <c r="A8602" s="2" t="s">
        <v>296</v>
      </c>
      <c r="B8602" s="2" t="str">
        <f>"0010261"</f>
        <v>0010261</v>
      </c>
      <c r="C8602" s="2" t="str">
        <f>"0010261"</f>
        <v>0010261</v>
      </c>
      <c r="D8602" s="2" t="s">
        <v>10780</v>
      </c>
      <c r="E8602" s="4">
        <v>88000</v>
      </c>
    </row>
    <row r="8603" spans="1:5">
      <c r="A8603" s="2" t="s">
        <v>296</v>
      </c>
      <c r="B8603" s="2" t="str">
        <f>"010255"</f>
        <v>010255</v>
      </c>
      <c r="C8603" s="2" t="str">
        <f>"010255"</f>
        <v>010255</v>
      </c>
      <c r="D8603" s="2" t="s">
        <v>10781</v>
      </c>
      <c r="E8603" s="4">
        <v>607209</v>
      </c>
    </row>
    <row r="8604" spans="1:5">
      <c r="A8604" s="2" t="s">
        <v>2541</v>
      </c>
      <c r="B8604" s="2" t="str">
        <f>"306 XR."</f>
        <v>306 XR.</v>
      </c>
      <c r="C8604" s="2" t="str">
        <f>"306 XR."</f>
        <v>306 XR.</v>
      </c>
      <c r="D8604" s="2" t="s">
        <v>10782</v>
      </c>
      <c r="E8604" s="2">
        <v>0</v>
      </c>
    </row>
    <row r="8605" spans="1:5">
      <c r="A8605" s="2" t="s">
        <v>296</v>
      </c>
      <c r="B8605" s="2" t="str">
        <f>"000209470-3"</f>
        <v>000209470-3</v>
      </c>
      <c r="C8605" s="2" t="str">
        <f>"000209470-3"</f>
        <v>000209470-3</v>
      </c>
      <c r="D8605" s="2" t="s">
        <v>10783</v>
      </c>
      <c r="E8605" s="4">
        <v>65000</v>
      </c>
    </row>
    <row r="8606" spans="1:5">
      <c r="A8606" s="2" t="s">
        <v>296</v>
      </c>
      <c r="B8606" s="2" t="str">
        <f>"003794894-2"</f>
        <v>003794894-2</v>
      </c>
      <c r="C8606" s="2" t="str">
        <f>"003794894-2"</f>
        <v>003794894-2</v>
      </c>
      <c r="D8606" s="2" t="s">
        <v>10784</v>
      </c>
      <c r="E8606" s="4">
        <v>59200</v>
      </c>
    </row>
    <row r="8607" spans="1:5">
      <c r="A8607" s="2" t="s">
        <v>296</v>
      </c>
      <c r="B8607" s="2" t="str">
        <f>"3794900-0"</f>
        <v>3794900-0</v>
      </c>
      <c r="C8607" s="2" t="str">
        <f>"3794900-0"</f>
        <v>3794900-0</v>
      </c>
      <c r="D8607" s="2" t="s">
        <v>10785</v>
      </c>
      <c r="E8607" s="2">
        <v>0</v>
      </c>
    </row>
    <row r="8608" spans="1:5">
      <c r="A8608" s="2" t="s">
        <v>2541</v>
      </c>
      <c r="B8608" s="2" t="str">
        <f>"020601418"</f>
        <v>020601418</v>
      </c>
      <c r="C8608" s="2" t="str">
        <f>"020601418"</f>
        <v>020601418</v>
      </c>
      <c r="D8608" s="2" t="s">
        <v>10784</v>
      </c>
      <c r="E8608" s="4">
        <v>97000</v>
      </c>
    </row>
    <row r="8609" spans="1:5">
      <c r="A8609" s="2" t="s">
        <v>296</v>
      </c>
      <c r="B8609" s="2" t="s">
        <v>10786</v>
      </c>
      <c r="C8609" s="2" t="s">
        <v>10786</v>
      </c>
      <c r="D8609" s="2" t="s">
        <v>10787</v>
      </c>
      <c r="E8609" s="4">
        <v>61000</v>
      </c>
    </row>
    <row r="8610" spans="1:5">
      <c r="A8610" s="2" t="s">
        <v>296</v>
      </c>
      <c r="B8610" s="2" t="s">
        <v>10788</v>
      </c>
      <c r="C8610" s="2" t="s">
        <v>10788</v>
      </c>
      <c r="D8610" s="2" t="s">
        <v>10789</v>
      </c>
      <c r="E8610" s="4">
        <v>59000</v>
      </c>
    </row>
    <row r="8611" spans="1:5">
      <c r="A8611" s="2" t="s">
        <v>296</v>
      </c>
      <c r="B8611" s="2" t="s">
        <v>10790</v>
      </c>
      <c r="C8611" s="2" t="s">
        <v>10790</v>
      </c>
      <c r="D8611" s="2" t="s">
        <v>10791</v>
      </c>
      <c r="E8611" s="4">
        <v>59000</v>
      </c>
    </row>
    <row r="8612" spans="1:5">
      <c r="A8612" s="2" t="s">
        <v>2541</v>
      </c>
      <c r="B8612" s="2" t="str">
        <f>"1296149-9"</f>
        <v>1296149-9</v>
      </c>
      <c r="C8612" s="2" t="str">
        <f>"1296149-9"</f>
        <v>1296149-9</v>
      </c>
      <c r="D8612" s="2" t="s">
        <v>10792</v>
      </c>
      <c r="E8612" s="4">
        <v>51170</v>
      </c>
    </row>
    <row r="8613" spans="1:5">
      <c r="A8613" s="2" t="s">
        <v>2541</v>
      </c>
      <c r="B8613" s="2" t="str">
        <f>"001796114-4"</f>
        <v>001796114-4</v>
      </c>
      <c r="C8613" s="2" t="str">
        <f>"1796114-4"</f>
        <v>1796114-4</v>
      </c>
      <c r="D8613" s="2" t="s">
        <v>10793</v>
      </c>
      <c r="E8613" s="4">
        <v>76000</v>
      </c>
    </row>
    <row r="8614" spans="1:5">
      <c r="A8614" s="2" t="s">
        <v>2541</v>
      </c>
      <c r="B8614" s="2" t="s">
        <v>10794</v>
      </c>
      <c r="C8614" s="2" t="s">
        <v>10794</v>
      </c>
      <c r="D8614" s="2" t="s">
        <v>10795</v>
      </c>
      <c r="E8614" s="4">
        <v>88000</v>
      </c>
    </row>
    <row r="8615" spans="1:5">
      <c r="A8615" s="2" t="s">
        <v>296</v>
      </c>
      <c r="B8615" s="2" t="s">
        <v>10796</v>
      </c>
      <c r="C8615" s="2" t="s">
        <v>10796</v>
      </c>
      <c r="D8615" s="2" t="s">
        <v>10797</v>
      </c>
      <c r="E8615" s="4">
        <v>284410</v>
      </c>
    </row>
    <row r="8616" spans="1:5">
      <c r="A8616" s="2" t="s">
        <v>2541</v>
      </c>
      <c r="B8616" s="2" t="str">
        <f>"0000030"</f>
        <v>0000030</v>
      </c>
      <c r="C8616" s="2" t="str">
        <f>"0000030"</f>
        <v>0000030</v>
      </c>
      <c r="D8616" s="2" t="s">
        <v>10798</v>
      </c>
      <c r="E8616" s="4">
        <v>105000</v>
      </c>
    </row>
    <row r="8617" spans="1:5">
      <c r="A8617" s="2" t="s">
        <v>296</v>
      </c>
      <c r="B8617" s="2" t="s">
        <v>10799</v>
      </c>
      <c r="C8617" s="2" t="s">
        <v>10799</v>
      </c>
      <c r="D8617" s="2" t="s">
        <v>10800</v>
      </c>
      <c r="E8617" s="4">
        <v>25000</v>
      </c>
    </row>
    <row r="8618" spans="1:5">
      <c r="A8618" s="2" t="s">
        <v>296</v>
      </c>
      <c r="B8618" s="2" t="str">
        <f>"0004604"</f>
        <v>0004604</v>
      </c>
      <c r="C8618" s="2" t="str">
        <f>"0004604"</f>
        <v>0004604</v>
      </c>
      <c r="D8618" s="2" t="s">
        <v>10801</v>
      </c>
      <c r="E8618" s="4">
        <v>285469</v>
      </c>
    </row>
    <row r="8619" spans="1:5">
      <c r="A8619" s="2" t="s">
        <v>2541</v>
      </c>
      <c r="B8619" s="2" t="str">
        <f>"020601423"</f>
        <v>020601423</v>
      </c>
      <c r="C8619" s="2" t="str">
        <f>"1445700600"</f>
        <v>1445700600</v>
      </c>
      <c r="D8619" s="2" t="s">
        <v>10802</v>
      </c>
      <c r="E8619" s="4">
        <v>61000</v>
      </c>
    </row>
    <row r="8620" spans="1:5">
      <c r="A8620" s="2">
        <v>0</v>
      </c>
      <c r="B8620" s="2" t="str">
        <f>"0014200"</f>
        <v>0014200</v>
      </c>
      <c r="C8620" s="2" t="str">
        <f>"0014200"</f>
        <v>0014200</v>
      </c>
      <c r="D8620" s="2" t="s">
        <v>10803</v>
      </c>
      <c r="E8620" s="4">
        <v>58000</v>
      </c>
    </row>
    <row r="8621" spans="1:5">
      <c r="A8621" s="2" t="s">
        <v>296</v>
      </c>
      <c r="B8621" s="2" t="s">
        <v>10804</v>
      </c>
      <c r="C8621" s="2" t="s">
        <v>10804</v>
      </c>
      <c r="D8621" s="2" t="s">
        <v>10805</v>
      </c>
      <c r="E8621" s="4">
        <v>54835</v>
      </c>
    </row>
    <row r="8622" spans="1:5">
      <c r="A8622" s="2" t="s">
        <v>296</v>
      </c>
      <c r="B8622" s="2" t="s">
        <v>10806</v>
      </c>
      <c r="C8622" s="2" t="s">
        <v>10806</v>
      </c>
      <c r="D8622" s="2" t="s">
        <v>10807</v>
      </c>
      <c r="E8622" s="4">
        <v>187000</v>
      </c>
    </row>
    <row r="8623" spans="1:5">
      <c r="A8623" s="2" t="s">
        <v>296</v>
      </c>
      <c r="B8623" s="2" t="str">
        <f>"0006940"</f>
        <v>0006940</v>
      </c>
      <c r="C8623" s="2" t="str">
        <f>"0006940"</f>
        <v>0006940</v>
      </c>
      <c r="D8623" s="2" t="s">
        <v>10808</v>
      </c>
      <c r="E8623" s="4">
        <v>61000</v>
      </c>
    </row>
    <row r="8624" spans="1:5">
      <c r="A8624" s="2" t="s">
        <v>296</v>
      </c>
      <c r="B8624" s="2" t="str">
        <f>"090230169"</f>
        <v>090230169</v>
      </c>
      <c r="C8624" s="2" t="str">
        <f>"09230169"</f>
        <v>09230169</v>
      </c>
      <c r="D8624" s="2" t="s">
        <v>10809</v>
      </c>
      <c r="E8624" s="4">
        <v>68200</v>
      </c>
    </row>
    <row r="8625" spans="1:5">
      <c r="A8625" s="2" t="s">
        <v>2541</v>
      </c>
      <c r="B8625" s="2" t="str">
        <f>"020601434"</f>
        <v>020601434</v>
      </c>
      <c r="C8625" s="2" t="str">
        <f>"020601434"</f>
        <v>020601434</v>
      </c>
      <c r="D8625" s="2" t="s">
        <v>10810</v>
      </c>
      <c r="E8625" s="4">
        <v>49000</v>
      </c>
    </row>
    <row r="8626" spans="1:5">
      <c r="A8626" s="2" t="s">
        <v>296</v>
      </c>
      <c r="B8626" s="2" t="str">
        <f>"000496083-1"</f>
        <v>000496083-1</v>
      </c>
      <c r="C8626" s="2" t="str">
        <f>"000496083-1"</f>
        <v>000496083-1</v>
      </c>
      <c r="D8626" s="2" t="s">
        <v>10811</v>
      </c>
      <c r="E8626" s="4">
        <v>69100</v>
      </c>
    </row>
    <row r="8627" spans="1:5">
      <c r="A8627" s="2" t="s">
        <v>296</v>
      </c>
      <c r="B8627" s="2" t="s">
        <v>10812</v>
      </c>
      <c r="C8627" s="2" t="s">
        <v>10812</v>
      </c>
      <c r="D8627" s="2" t="s">
        <v>10813</v>
      </c>
      <c r="E8627" s="4">
        <v>61000</v>
      </c>
    </row>
    <row r="8628" spans="1:5">
      <c r="A8628" s="2" t="s">
        <v>296</v>
      </c>
      <c r="B8628" s="2" t="s">
        <v>10814</v>
      </c>
      <c r="C8628" s="2" t="s">
        <v>10814</v>
      </c>
      <c r="D8628" s="2" t="s">
        <v>10815</v>
      </c>
      <c r="E8628" s="4">
        <v>125000</v>
      </c>
    </row>
    <row r="8629" spans="1:5">
      <c r="A8629" s="2" t="s">
        <v>296</v>
      </c>
      <c r="B8629" s="2" t="s">
        <v>10816</v>
      </c>
      <c r="C8629" s="2" t="s">
        <v>10816</v>
      </c>
      <c r="D8629" s="2" t="s">
        <v>10817</v>
      </c>
      <c r="E8629" s="4">
        <v>29655</v>
      </c>
    </row>
    <row r="8630" spans="1:5">
      <c r="A8630" s="2" t="s">
        <v>296</v>
      </c>
      <c r="B8630" s="2" t="s">
        <v>10818</v>
      </c>
      <c r="C8630" s="2" t="s">
        <v>10819</v>
      </c>
      <c r="D8630" s="2" t="s">
        <v>10820</v>
      </c>
      <c r="E8630" s="4">
        <v>48000</v>
      </c>
    </row>
    <row r="8631" spans="1:5">
      <c r="A8631" s="2" t="s">
        <v>2541</v>
      </c>
      <c r="B8631" s="2" t="str">
        <f>"00980112-K"</f>
        <v>00980112-K</v>
      </c>
      <c r="C8631" s="2" t="str">
        <f>"00980112-K"</f>
        <v>00980112-K</v>
      </c>
      <c r="D8631" s="2" t="s">
        <v>10821</v>
      </c>
      <c r="E8631" s="4">
        <v>58000</v>
      </c>
    </row>
    <row r="8632" spans="1:5">
      <c r="A8632" s="2" t="s">
        <v>2541</v>
      </c>
      <c r="B8632" s="2" t="str">
        <f>"000980201-0"</f>
        <v>000980201-0</v>
      </c>
      <c r="C8632" s="2" t="str">
        <f>"0009802010-0"</f>
        <v>0009802010-0</v>
      </c>
      <c r="D8632" s="2" t="s">
        <v>10822</v>
      </c>
      <c r="E8632" s="4">
        <v>58000</v>
      </c>
    </row>
    <row r="8633" spans="1:5">
      <c r="A8633" s="2" t="s">
        <v>296</v>
      </c>
      <c r="B8633" s="2" t="str">
        <f>"000980102-2"</f>
        <v>000980102-2</v>
      </c>
      <c r="C8633" s="2" t="str">
        <f>"000980102-2"</f>
        <v>000980102-2</v>
      </c>
      <c r="D8633" s="2" t="s">
        <v>10823</v>
      </c>
      <c r="E8633" s="4">
        <v>88000</v>
      </c>
    </row>
    <row r="8634" spans="1:5">
      <c r="A8634" s="2" t="s">
        <v>2541</v>
      </c>
      <c r="B8634" s="2" t="str">
        <f>"000909825-9"</f>
        <v>000909825-9</v>
      </c>
      <c r="C8634" s="2" t="str">
        <f>"000909825-9"</f>
        <v>000909825-9</v>
      </c>
      <c r="D8634" s="2" t="s">
        <v>10824</v>
      </c>
      <c r="E8634" s="4">
        <v>105000</v>
      </c>
    </row>
    <row r="8635" spans="1:5">
      <c r="A8635" s="2" t="s">
        <v>296</v>
      </c>
      <c r="B8635" s="2" t="s">
        <v>10825</v>
      </c>
      <c r="C8635" s="2" t="s">
        <v>10825</v>
      </c>
      <c r="D8635" s="2" t="s">
        <v>10826</v>
      </c>
      <c r="E8635" s="4">
        <v>88000</v>
      </c>
    </row>
    <row r="8636" spans="1:5">
      <c r="A8636" s="2" t="s">
        <v>296</v>
      </c>
      <c r="B8636" s="2" t="str">
        <f>"00909740-6"</f>
        <v>00909740-6</v>
      </c>
      <c r="C8636" s="2" t="str">
        <f>"00909740-6"</f>
        <v>00909740-6</v>
      </c>
      <c r="D8636" s="2" t="s">
        <v>10827</v>
      </c>
      <c r="E8636" s="2">
        <v>0</v>
      </c>
    </row>
    <row r="8637" spans="1:5">
      <c r="A8637" s="2" t="s">
        <v>296</v>
      </c>
      <c r="B8637" s="2" t="str">
        <f>"02601424"</f>
        <v>02601424</v>
      </c>
      <c r="C8637" s="2" t="str">
        <f>"02601424"</f>
        <v>02601424</v>
      </c>
      <c r="D8637" s="2" t="s">
        <v>10828</v>
      </c>
      <c r="E8637" s="4">
        <v>65000</v>
      </c>
    </row>
    <row r="8638" spans="1:5">
      <c r="A8638" s="2" t="s">
        <v>296</v>
      </c>
      <c r="B8638" s="2" t="str">
        <f>"980890-6"</f>
        <v>980890-6</v>
      </c>
      <c r="C8638" s="2" t="str">
        <f>"980890-6"</f>
        <v>980890-6</v>
      </c>
      <c r="D8638" s="2" t="s">
        <v>10829</v>
      </c>
      <c r="E8638" s="4">
        <v>52000</v>
      </c>
    </row>
    <row r="8639" spans="1:5">
      <c r="A8639" s="2" t="s">
        <v>296</v>
      </c>
      <c r="B8639" s="2" t="s">
        <v>10830</v>
      </c>
      <c r="C8639" s="2" t="s">
        <v>10831</v>
      </c>
      <c r="D8639" s="2" t="s">
        <v>10832</v>
      </c>
      <c r="E8639" s="4">
        <v>95000</v>
      </c>
    </row>
    <row r="8640" spans="1:5">
      <c r="A8640" s="2" t="s">
        <v>296</v>
      </c>
      <c r="B8640" s="2" t="str">
        <f>"020601426"</f>
        <v>020601426</v>
      </c>
      <c r="C8640" s="2" t="str">
        <f>"020601426"</f>
        <v>020601426</v>
      </c>
      <c r="D8640" s="2" t="s">
        <v>10833</v>
      </c>
      <c r="E8640" s="4">
        <v>39000</v>
      </c>
    </row>
    <row r="8641" spans="1:5">
      <c r="A8641" s="2" t="s">
        <v>2541</v>
      </c>
      <c r="B8641" s="2" t="s">
        <v>10834</v>
      </c>
      <c r="C8641" s="2" t="s">
        <v>10834</v>
      </c>
      <c r="D8641" s="2" t="s">
        <v>10833</v>
      </c>
      <c r="E8641" s="4">
        <v>38000</v>
      </c>
    </row>
    <row r="8642" spans="1:5">
      <c r="A8642" s="2" t="s">
        <v>296</v>
      </c>
      <c r="B8642" s="2" t="s">
        <v>10835</v>
      </c>
      <c r="C8642" s="2" t="s">
        <v>10835</v>
      </c>
      <c r="D8642" s="2" t="s">
        <v>10836</v>
      </c>
      <c r="E8642" s="4">
        <v>253518</v>
      </c>
    </row>
    <row r="8643" spans="1:5">
      <c r="A8643" s="2" t="s">
        <v>296</v>
      </c>
      <c r="B8643" s="2" t="s">
        <v>10837</v>
      </c>
      <c r="C8643" s="2" t="s">
        <v>10837</v>
      </c>
      <c r="D8643" s="2" t="s">
        <v>10838</v>
      </c>
      <c r="E8643" s="2">
        <v>0</v>
      </c>
    </row>
    <row r="8644" spans="1:5">
      <c r="A8644" s="2" t="s">
        <v>296</v>
      </c>
      <c r="B8644" s="2" t="s">
        <v>10839</v>
      </c>
      <c r="C8644" s="2" t="s">
        <v>10839</v>
      </c>
      <c r="D8644" s="2" t="s">
        <v>10840</v>
      </c>
      <c r="E8644" s="4">
        <v>38500</v>
      </c>
    </row>
    <row r="8645" spans="1:5">
      <c r="A8645" s="2" t="s">
        <v>296</v>
      </c>
      <c r="B8645" s="2" t="s">
        <v>10841</v>
      </c>
      <c r="C8645" s="2" t="s">
        <v>10841</v>
      </c>
      <c r="D8645" s="2" t="s">
        <v>10842</v>
      </c>
      <c r="E8645" s="4">
        <v>49000</v>
      </c>
    </row>
    <row r="8646" spans="1:5">
      <c r="A8646" s="2" t="s">
        <v>296</v>
      </c>
      <c r="B8646" s="2" t="str">
        <f>"020601425"</f>
        <v>020601425</v>
      </c>
      <c r="C8646" s="2" t="str">
        <f>"020601425"</f>
        <v>020601425</v>
      </c>
      <c r="D8646" s="2" t="s">
        <v>10843</v>
      </c>
      <c r="E8646" s="4">
        <v>34000</v>
      </c>
    </row>
    <row r="8647" spans="1:5">
      <c r="A8647" s="2" t="s">
        <v>296</v>
      </c>
      <c r="B8647" s="2" t="s">
        <v>10844</v>
      </c>
      <c r="C8647" s="2" t="s">
        <v>10844</v>
      </c>
      <c r="D8647" s="2" t="s">
        <v>10845</v>
      </c>
      <c r="E8647" s="4">
        <v>45000</v>
      </c>
    </row>
    <row r="8648" spans="1:5">
      <c r="A8648" s="2" t="s">
        <v>2541</v>
      </c>
      <c r="B8648" s="2" t="str">
        <f>"52119-52220"</f>
        <v>52119-52220</v>
      </c>
      <c r="C8648" s="2" t="str">
        <f>"52119-52220"</f>
        <v>52119-52220</v>
      </c>
      <c r="D8648" s="2" t="s">
        <v>10845</v>
      </c>
      <c r="E8648" s="4">
        <v>58000</v>
      </c>
    </row>
    <row r="8649" spans="1:5">
      <c r="A8649" s="2" t="s">
        <v>2541</v>
      </c>
      <c r="B8649" s="2" t="str">
        <f>"52159-52340"</f>
        <v>52159-52340</v>
      </c>
      <c r="C8649" s="2" t="str">
        <f>"52159-52340"</f>
        <v>52159-52340</v>
      </c>
      <c r="D8649" s="2" t="s">
        <v>10846</v>
      </c>
      <c r="E8649" s="4">
        <v>59900</v>
      </c>
    </row>
    <row r="8650" spans="1:5">
      <c r="A8650" s="2" t="s">
        <v>296</v>
      </c>
      <c r="B8650" s="2" t="s">
        <v>10847</v>
      </c>
      <c r="C8650" s="2" t="s">
        <v>10848</v>
      </c>
      <c r="D8650" s="2" t="s">
        <v>10845</v>
      </c>
      <c r="E8650" s="4">
        <v>59000</v>
      </c>
    </row>
    <row r="8651" spans="1:5">
      <c r="A8651" s="2" t="s">
        <v>296</v>
      </c>
      <c r="B8651" s="2" t="s">
        <v>10849</v>
      </c>
      <c r="C8651" s="2" t="s">
        <v>10849</v>
      </c>
      <c r="D8651" s="2" t="s">
        <v>10850</v>
      </c>
      <c r="E8651" s="4">
        <v>65000</v>
      </c>
    </row>
    <row r="8652" spans="1:5">
      <c r="A8652" s="2" t="s">
        <v>296</v>
      </c>
      <c r="B8652" s="2" t="str">
        <f>"000990249-K"</f>
        <v>000990249-K</v>
      </c>
      <c r="C8652" s="2" t="str">
        <f>"000990249-K"</f>
        <v>000990249-K</v>
      </c>
      <c r="D8652" s="2" t="s">
        <v>10851</v>
      </c>
      <c r="E8652" s="4">
        <v>88000</v>
      </c>
    </row>
    <row r="8653" spans="1:5">
      <c r="A8653" s="2" t="s">
        <v>296</v>
      </c>
      <c r="B8653" s="2" t="s">
        <v>10852</v>
      </c>
      <c r="C8653" s="2" t="s">
        <v>10852</v>
      </c>
      <c r="D8653" s="2" t="s">
        <v>10853</v>
      </c>
      <c r="E8653" s="4">
        <v>69000</v>
      </c>
    </row>
    <row r="8654" spans="1:5">
      <c r="A8654" s="2" t="s">
        <v>296</v>
      </c>
      <c r="B8654" s="2" t="str">
        <f>"909726-0"</f>
        <v>909726-0</v>
      </c>
      <c r="C8654" s="2" t="str">
        <f>"000909726-0"</f>
        <v>000909726-0</v>
      </c>
      <c r="D8654" s="2" t="s">
        <v>10854</v>
      </c>
      <c r="E8654" s="4">
        <v>68000</v>
      </c>
    </row>
    <row r="8655" spans="1:5">
      <c r="A8655" s="2" t="s">
        <v>296</v>
      </c>
      <c r="B8655" s="2" t="str">
        <f>"020601440"</f>
        <v>020601440</v>
      </c>
      <c r="C8655" s="2" t="str">
        <f>"020601440"</f>
        <v>020601440</v>
      </c>
      <c r="D8655" s="2" t="s">
        <v>10855</v>
      </c>
      <c r="E8655" s="4">
        <v>74300</v>
      </c>
    </row>
    <row r="8656" spans="1:5">
      <c r="A8656" s="2" t="s">
        <v>2541</v>
      </c>
      <c r="B8656" s="2" t="s">
        <v>10856</v>
      </c>
      <c r="C8656" s="2" t="s">
        <v>10856</v>
      </c>
      <c r="D8656" s="2" t="s">
        <v>10857</v>
      </c>
      <c r="E8656" s="4">
        <v>75000</v>
      </c>
    </row>
    <row r="8657" spans="1:5">
      <c r="A8657" s="2" t="s">
        <v>296</v>
      </c>
      <c r="B8657" s="2" t="str">
        <f>"000909887-9"</f>
        <v>000909887-9</v>
      </c>
      <c r="C8657" s="2" t="str">
        <f>"000909887-9"</f>
        <v>000909887-9</v>
      </c>
      <c r="D8657" s="2" t="s">
        <v>10858</v>
      </c>
      <c r="E8657" s="4">
        <v>48400</v>
      </c>
    </row>
    <row r="8658" spans="1:5">
      <c r="A8658" s="2" t="s">
        <v>296</v>
      </c>
      <c r="B8658" s="2" t="s">
        <v>10859</v>
      </c>
      <c r="C8658" s="2" t="s">
        <v>10859</v>
      </c>
      <c r="D8658" s="2" t="s">
        <v>10860</v>
      </c>
      <c r="E8658" s="4">
        <v>61000</v>
      </c>
    </row>
    <row r="8659" spans="1:5">
      <c r="A8659" s="2" t="s">
        <v>296</v>
      </c>
      <c r="B8659" s="2" t="str">
        <f>"000990306-2"</f>
        <v>000990306-2</v>
      </c>
      <c r="C8659" s="2" t="str">
        <f>"000990306-2"</f>
        <v>000990306-2</v>
      </c>
      <c r="D8659" s="2" t="s">
        <v>10861</v>
      </c>
      <c r="E8659" s="4">
        <v>71000</v>
      </c>
    </row>
    <row r="8660" spans="1:5">
      <c r="A8660" s="2" t="s">
        <v>296</v>
      </c>
      <c r="B8660" s="2" t="s">
        <v>10862</v>
      </c>
      <c r="C8660" s="2" t="s">
        <v>10863</v>
      </c>
      <c r="D8660" s="2" t="s">
        <v>10864</v>
      </c>
      <c r="E8660" s="4">
        <v>65000</v>
      </c>
    </row>
    <row r="8661" spans="1:5">
      <c r="A8661" s="2" t="s">
        <v>296</v>
      </c>
      <c r="B8661" s="2" t="s">
        <v>10865</v>
      </c>
      <c r="C8661" s="2" t="s">
        <v>10865</v>
      </c>
      <c r="D8661" s="2" t="s">
        <v>10866</v>
      </c>
      <c r="E8661" s="4">
        <v>70000</v>
      </c>
    </row>
    <row r="8662" spans="1:5">
      <c r="A8662" s="2" t="s">
        <v>296</v>
      </c>
      <c r="B8662" s="2" t="str">
        <f>"9807876-1"</f>
        <v>9807876-1</v>
      </c>
      <c r="C8662" s="2" t="str">
        <f>"000980786-1"</f>
        <v>000980786-1</v>
      </c>
      <c r="D8662" s="2" t="s">
        <v>10867</v>
      </c>
      <c r="E8662" s="4">
        <v>97000</v>
      </c>
    </row>
    <row r="8663" spans="1:5">
      <c r="A8663" s="2" t="s">
        <v>296</v>
      </c>
      <c r="B8663" s="2" t="str">
        <f>"00980788-8"</f>
        <v>00980788-8</v>
      </c>
      <c r="C8663" s="2" t="str">
        <f>"00980788-8"</f>
        <v>00980788-8</v>
      </c>
      <c r="D8663" s="2" t="s">
        <v>10868</v>
      </c>
      <c r="E8663" s="4">
        <v>97000</v>
      </c>
    </row>
    <row r="8664" spans="1:5">
      <c r="A8664" s="2" t="s">
        <v>296</v>
      </c>
      <c r="B8664" s="2" t="s">
        <v>10869</v>
      </c>
      <c r="C8664" s="2" t="s">
        <v>10869</v>
      </c>
      <c r="D8664" s="2" t="s">
        <v>10870</v>
      </c>
      <c r="E8664" s="4">
        <v>97000</v>
      </c>
    </row>
    <row r="8665" spans="1:5">
      <c r="A8665" s="2" t="s">
        <v>2541</v>
      </c>
      <c r="B8665" s="2" t="str">
        <f>"990753-K"</f>
        <v>990753-K</v>
      </c>
      <c r="C8665" s="2" t="str">
        <f>"990753-K"</f>
        <v>990753-K</v>
      </c>
      <c r="D8665" s="2" t="s">
        <v>10871</v>
      </c>
      <c r="E8665" s="4">
        <v>59900</v>
      </c>
    </row>
    <row r="8666" spans="1:5">
      <c r="A8666" s="2" t="s">
        <v>2541</v>
      </c>
      <c r="B8666" s="2" t="str">
        <f>"980475-7"</f>
        <v>980475-7</v>
      </c>
      <c r="C8666" s="2" t="str">
        <f>"980475-7"</f>
        <v>980475-7</v>
      </c>
      <c r="D8666" s="2" t="s">
        <v>10872</v>
      </c>
      <c r="E8666" s="4">
        <v>269000</v>
      </c>
    </row>
    <row r="8667" spans="1:5">
      <c r="A8667" s="2" t="s">
        <v>296</v>
      </c>
      <c r="B8667" s="2" t="str">
        <f>"990495-6"</f>
        <v>990495-6</v>
      </c>
      <c r="C8667" s="2" t="str">
        <f>"990495-6"</f>
        <v>990495-6</v>
      </c>
      <c r="D8667" s="2" t="s">
        <v>10873</v>
      </c>
      <c r="E8667" s="2">
        <v>0</v>
      </c>
    </row>
    <row r="8668" spans="1:5">
      <c r="A8668" s="2" t="s">
        <v>2541</v>
      </c>
      <c r="B8668" s="2" t="s">
        <v>10874</v>
      </c>
      <c r="C8668" s="2" t="s">
        <v>10874</v>
      </c>
      <c r="D8668" s="2" t="s">
        <v>10875</v>
      </c>
      <c r="E8668" s="4">
        <v>58500</v>
      </c>
    </row>
    <row r="8669" spans="1:5">
      <c r="A8669" s="2" t="s">
        <v>296</v>
      </c>
      <c r="B8669" s="2" t="s">
        <v>10876</v>
      </c>
      <c r="C8669" s="2" t="s">
        <v>10876</v>
      </c>
      <c r="D8669" s="2" t="s">
        <v>10877</v>
      </c>
      <c r="E8669" s="4">
        <v>88000</v>
      </c>
    </row>
    <row r="8670" spans="1:5">
      <c r="A8670" s="2" t="s">
        <v>296</v>
      </c>
      <c r="B8670" s="2" t="s">
        <v>10878</v>
      </c>
      <c r="C8670" s="2" t="s">
        <v>10878</v>
      </c>
      <c r="D8670" s="2" t="s">
        <v>10879</v>
      </c>
      <c r="E8670" s="4">
        <v>85000</v>
      </c>
    </row>
    <row r="8671" spans="1:5">
      <c r="A8671" s="2" t="s">
        <v>296</v>
      </c>
      <c r="B8671" s="2" t="s">
        <v>10880</v>
      </c>
      <c r="C8671" s="2" t="s">
        <v>10880</v>
      </c>
      <c r="D8671" s="2" t="s">
        <v>10881</v>
      </c>
      <c r="E8671" s="4">
        <v>115000</v>
      </c>
    </row>
    <row r="8672" spans="1:5">
      <c r="A8672" s="2" t="s">
        <v>296</v>
      </c>
      <c r="B8672" s="2" t="s">
        <v>10882</v>
      </c>
      <c r="C8672" s="2" t="s">
        <v>10882</v>
      </c>
      <c r="D8672" s="2" t="s">
        <v>10883</v>
      </c>
      <c r="E8672" s="4">
        <v>20075</v>
      </c>
    </row>
    <row r="8673" spans="1:5">
      <c r="A8673" s="2" t="s">
        <v>296</v>
      </c>
      <c r="B8673" s="2" t="s">
        <v>10884</v>
      </c>
      <c r="C8673" s="2" t="s">
        <v>10884</v>
      </c>
      <c r="D8673" s="2" t="s">
        <v>10885</v>
      </c>
      <c r="E8673" s="4">
        <v>228171</v>
      </c>
    </row>
    <row r="8674" spans="1:5">
      <c r="A8674" s="2" t="s">
        <v>296</v>
      </c>
      <c r="B8674" s="2" t="s">
        <v>10886</v>
      </c>
      <c r="C8674" s="2" t="s">
        <v>10886</v>
      </c>
      <c r="D8674" s="2" t="s">
        <v>10887</v>
      </c>
      <c r="E8674" s="4">
        <v>58000</v>
      </c>
    </row>
    <row r="8675" spans="1:5">
      <c r="A8675" s="2" t="s">
        <v>2541</v>
      </c>
      <c r="B8675" s="2" t="s">
        <v>10888</v>
      </c>
      <c r="C8675" s="2" t="str">
        <f>"1688574248257"</f>
        <v>1688574248257</v>
      </c>
      <c r="D8675" s="2" t="s">
        <v>10889</v>
      </c>
      <c r="E8675" s="4">
        <v>65000</v>
      </c>
    </row>
    <row r="8676" spans="1:5">
      <c r="A8676" s="2" t="s">
        <v>2541</v>
      </c>
      <c r="B8676" s="2" t="s">
        <v>10890</v>
      </c>
      <c r="C8676" s="2" t="s">
        <v>10890</v>
      </c>
      <c r="D8676" s="2" t="s">
        <v>10891</v>
      </c>
      <c r="E8676" s="4">
        <v>88000</v>
      </c>
    </row>
    <row r="8677" spans="1:5">
      <c r="A8677" s="2" t="s">
        <v>2541</v>
      </c>
      <c r="B8677" s="2" t="s">
        <v>10892</v>
      </c>
      <c r="C8677" s="2" t="str">
        <f>"1709300928665"</f>
        <v>1709300928665</v>
      </c>
      <c r="D8677" s="2" t="s">
        <v>10893</v>
      </c>
      <c r="E8677" s="4">
        <v>197000</v>
      </c>
    </row>
    <row r="8678" spans="1:5">
      <c r="A8678" s="2" t="s">
        <v>2541</v>
      </c>
      <c r="B8678" s="2" t="s">
        <v>10894</v>
      </c>
      <c r="C8678" s="2" t="s">
        <v>10894</v>
      </c>
      <c r="D8678" s="2" t="s">
        <v>10895</v>
      </c>
      <c r="E8678" s="4">
        <v>70000</v>
      </c>
    </row>
    <row r="8679" spans="1:5">
      <c r="A8679" s="2" t="s">
        <v>2541</v>
      </c>
      <c r="B8679" s="2" t="s">
        <v>10896</v>
      </c>
      <c r="C8679" s="2" t="str">
        <f>"1684948371772"</f>
        <v>1684948371772</v>
      </c>
      <c r="D8679" s="2" t="s">
        <v>10897</v>
      </c>
      <c r="E8679" s="4">
        <v>95000</v>
      </c>
    </row>
    <row r="8680" spans="1:5">
      <c r="A8680" s="2" t="s">
        <v>2541</v>
      </c>
      <c r="B8680" s="2" t="str">
        <f>"1212"</f>
        <v>1212</v>
      </c>
      <c r="C8680" s="2" t="str">
        <f>"1212"</f>
        <v>1212</v>
      </c>
      <c r="D8680" s="2" t="s">
        <v>10898</v>
      </c>
      <c r="E8680" s="4">
        <v>50000</v>
      </c>
    </row>
    <row r="8681" spans="1:5">
      <c r="A8681" s="2" t="s">
        <v>2541</v>
      </c>
      <c r="B8681" s="2" t="str">
        <f>"1313"</f>
        <v>1313</v>
      </c>
      <c r="C8681" s="2" t="str">
        <f>"1313"</f>
        <v>1313</v>
      </c>
      <c r="D8681" s="2" t="s">
        <v>10899</v>
      </c>
      <c r="E8681" s="4">
        <v>59000</v>
      </c>
    </row>
    <row r="8682" spans="1:5">
      <c r="A8682" s="2" t="s">
        <v>2541</v>
      </c>
      <c r="B8682" s="2" t="s">
        <v>10900</v>
      </c>
      <c r="C8682" s="2" t="str">
        <f>"1718631369143"</f>
        <v>1718631369143</v>
      </c>
      <c r="D8682" s="2" t="s">
        <v>10901</v>
      </c>
      <c r="E8682" s="4">
        <v>60000</v>
      </c>
    </row>
    <row r="8683" spans="1:5">
      <c r="A8683" s="2" t="s">
        <v>165</v>
      </c>
      <c r="B8683" s="2" t="str">
        <f>"089269001003"</f>
        <v>089269001003</v>
      </c>
      <c r="C8683" s="2" t="str">
        <f>"040210019"</f>
        <v>040210019</v>
      </c>
      <c r="D8683" s="2" t="s">
        <v>10902</v>
      </c>
      <c r="E8683" s="4">
        <v>3900</v>
      </c>
    </row>
    <row r="8684" spans="1:5">
      <c r="A8684" s="2" t="s">
        <v>165</v>
      </c>
      <c r="B8684" s="2" t="str">
        <f>"089269000990"</f>
        <v>089269000990</v>
      </c>
      <c r="C8684" s="2" t="str">
        <f>"040210044"</f>
        <v>040210044</v>
      </c>
      <c r="D8684" s="2" t="s">
        <v>10903</v>
      </c>
      <c r="E8684" s="4">
        <v>4300</v>
      </c>
    </row>
    <row r="8685" spans="1:5">
      <c r="A8685" s="2" t="s">
        <v>165</v>
      </c>
      <c r="B8685" s="2" t="str">
        <f>"797496871381"</f>
        <v>797496871381</v>
      </c>
      <c r="C8685" s="2" t="str">
        <f>"02209M312"</f>
        <v>02209M312</v>
      </c>
      <c r="D8685" s="2" t="s">
        <v>10904</v>
      </c>
      <c r="E8685" s="4">
        <v>4300</v>
      </c>
    </row>
    <row r="8686" spans="1:5">
      <c r="A8686" s="2" t="s">
        <v>165</v>
      </c>
      <c r="B8686" s="2" t="str">
        <f>"8028687372007"</f>
        <v>8028687372007</v>
      </c>
      <c r="C8686" s="2" t="s">
        <v>10905</v>
      </c>
      <c r="D8686" s="2" t="s">
        <v>10906</v>
      </c>
      <c r="E8686" s="4">
        <v>4300</v>
      </c>
    </row>
    <row r="8687" spans="1:5">
      <c r="A8687" s="2" t="s">
        <v>165</v>
      </c>
      <c r="B8687" s="2" t="str">
        <f>"4056807563138"</f>
        <v>4056807563138</v>
      </c>
      <c r="C8687" s="2" t="str">
        <f>"0890"</f>
        <v>0890</v>
      </c>
      <c r="D8687" s="2" t="s">
        <v>10907</v>
      </c>
      <c r="E8687" s="4">
        <v>11500</v>
      </c>
    </row>
    <row r="8688" spans="1:5">
      <c r="A8688" s="2" t="s">
        <v>165</v>
      </c>
      <c r="B8688" s="2" t="s">
        <v>10908</v>
      </c>
      <c r="C8688" s="2" t="s">
        <v>10908</v>
      </c>
      <c r="D8688" s="2" t="s">
        <v>10909</v>
      </c>
      <c r="E8688" s="4">
        <v>3400</v>
      </c>
    </row>
    <row r="8689" spans="1:5">
      <c r="A8689" s="2" t="s">
        <v>165</v>
      </c>
      <c r="B8689" s="2" t="str">
        <f>"02220"</f>
        <v>02220</v>
      </c>
      <c r="C8689" s="2" t="str">
        <f>"02220"</f>
        <v>02220</v>
      </c>
      <c r="D8689" s="2" t="s">
        <v>10910</v>
      </c>
      <c r="E8689" s="4">
        <v>6100</v>
      </c>
    </row>
    <row r="8690" spans="1:5">
      <c r="A8690" s="2" t="s">
        <v>296</v>
      </c>
      <c r="B8690" s="2" t="str">
        <f>"02217CR"</f>
        <v>02217CR</v>
      </c>
      <c r="C8690" s="2" t="str">
        <f>"02217CR"</f>
        <v>02217CR</v>
      </c>
      <c r="D8690" s="2" t="s">
        <v>10911</v>
      </c>
      <c r="E8690" s="4">
        <v>5900</v>
      </c>
    </row>
    <row r="8691" spans="1:5">
      <c r="A8691" s="2" t="s">
        <v>1478</v>
      </c>
      <c r="B8691" s="2" t="str">
        <f>"186570815"</f>
        <v>186570815</v>
      </c>
      <c r="C8691" s="2" t="str">
        <f>"100000"</f>
        <v>100000</v>
      </c>
      <c r="D8691" s="2" t="s">
        <v>10912</v>
      </c>
      <c r="E8691" s="4">
        <v>3000</v>
      </c>
    </row>
    <row r="8692" spans="1:5">
      <c r="A8692" s="2" t="s">
        <v>1478</v>
      </c>
      <c r="B8692" s="2" t="str">
        <f>"247707"</f>
        <v>247707</v>
      </c>
      <c r="C8692" s="2" t="str">
        <f>"247707"</f>
        <v>247707</v>
      </c>
      <c r="D8692" s="2" t="s">
        <v>10913</v>
      </c>
      <c r="E8692" s="4">
        <v>13500</v>
      </c>
    </row>
    <row r="8693" spans="1:5">
      <c r="A8693" s="2" t="s">
        <v>1478</v>
      </c>
      <c r="B8693" s="2" t="s">
        <v>10914</v>
      </c>
      <c r="C8693" s="2" t="s">
        <v>10914</v>
      </c>
      <c r="D8693" s="2" t="s">
        <v>10915</v>
      </c>
      <c r="E8693" s="4">
        <v>25900</v>
      </c>
    </row>
    <row r="8694" spans="1:5">
      <c r="A8694" s="2" t="s">
        <v>1478</v>
      </c>
      <c r="B8694" s="2" t="str">
        <f>"030001P"</f>
        <v>030001P</v>
      </c>
      <c r="C8694" s="2" t="str">
        <f>"030001P"</f>
        <v>030001P</v>
      </c>
      <c r="D8694" s="2" t="s">
        <v>10916</v>
      </c>
      <c r="E8694" s="4">
        <v>16000</v>
      </c>
    </row>
    <row r="8695" spans="1:5">
      <c r="A8695" s="2" t="s">
        <v>296</v>
      </c>
      <c r="B8695" s="2" t="s">
        <v>10917</v>
      </c>
      <c r="C8695" s="2" t="s">
        <v>10918</v>
      </c>
      <c r="D8695" s="2" t="s">
        <v>10919</v>
      </c>
      <c r="E8695" s="4">
        <v>25000</v>
      </c>
    </row>
    <row r="8696" spans="1:5">
      <c r="A8696" s="2" t="s">
        <v>296</v>
      </c>
      <c r="B8696" s="2" t="s">
        <v>10920</v>
      </c>
      <c r="C8696" s="2" t="s">
        <v>10920</v>
      </c>
      <c r="D8696" s="2" t="s">
        <v>10921</v>
      </c>
      <c r="E8696" s="4">
        <v>16000</v>
      </c>
    </row>
    <row r="8697" spans="1:5">
      <c r="A8697" s="2" t="s">
        <v>296</v>
      </c>
      <c r="B8697" s="2" t="s">
        <v>10922</v>
      </c>
      <c r="C8697" s="2" t="s">
        <v>10923</v>
      </c>
      <c r="D8697" s="2" t="s">
        <v>10924</v>
      </c>
      <c r="E8697" s="4">
        <v>16000</v>
      </c>
    </row>
    <row r="8698" spans="1:5">
      <c r="A8698" s="2" t="s">
        <v>4493</v>
      </c>
      <c r="B8698" s="2" t="str">
        <f>"284666"</f>
        <v>284666</v>
      </c>
      <c r="C8698" s="2" t="str">
        <f>"284666"</f>
        <v>284666</v>
      </c>
      <c r="D8698" s="2" t="s">
        <v>10925</v>
      </c>
      <c r="E8698" s="4">
        <v>12800</v>
      </c>
    </row>
    <row r="8699" spans="1:5">
      <c r="A8699" s="2" t="s">
        <v>296</v>
      </c>
      <c r="B8699" s="2" t="str">
        <f>"284139"</f>
        <v>284139</v>
      </c>
      <c r="C8699" s="2" t="str">
        <f>"284139"</f>
        <v>284139</v>
      </c>
      <c r="D8699" s="2" t="s">
        <v>10926</v>
      </c>
      <c r="E8699" s="4">
        <v>8500</v>
      </c>
    </row>
    <row r="8700" spans="1:5">
      <c r="A8700" s="2" t="s">
        <v>4493</v>
      </c>
      <c r="B8700" s="2" t="s">
        <v>10927</v>
      </c>
      <c r="C8700" s="2" t="s">
        <v>10927</v>
      </c>
      <c r="D8700" s="2" t="s">
        <v>10928</v>
      </c>
      <c r="E8700" s="4">
        <v>7000</v>
      </c>
    </row>
    <row r="8701" spans="1:5">
      <c r="A8701" s="2" t="s">
        <v>4493</v>
      </c>
      <c r="B8701" s="2" t="s">
        <v>10929</v>
      </c>
      <c r="C8701" s="2" t="s">
        <v>10929</v>
      </c>
      <c r="D8701" s="2" t="s">
        <v>10930</v>
      </c>
      <c r="E8701" s="4">
        <v>7900</v>
      </c>
    </row>
    <row r="8702" spans="1:5">
      <c r="A8702" s="2" t="s">
        <v>296</v>
      </c>
      <c r="B8702" s="2" t="s">
        <v>10931</v>
      </c>
      <c r="C8702" s="2" t="s">
        <v>10931</v>
      </c>
      <c r="D8702" s="2" t="s">
        <v>10932</v>
      </c>
      <c r="E8702" s="4">
        <v>16000</v>
      </c>
    </row>
    <row r="8703" spans="1:5">
      <c r="A8703" s="2" t="s">
        <v>296</v>
      </c>
      <c r="B8703" s="2" t="str">
        <f>"0033697"</f>
        <v>0033697</v>
      </c>
      <c r="C8703" s="2" t="str">
        <f>"0033697"</f>
        <v>0033697</v>
      </c>
      <c r="D8703" s="2" t="s">
        <v>10933</v>
      </c>
      <c r="E8703" s="4">
        <v>16000</v>
      </c>
    </row>
    <row r="8704" spans="1:5">
      <c r="A8704" s="2" t="s">
        <v>296</v>
      </c>
      <c r="B8704" s="2" t="s">
        <v>10934</v>
      </c>
      <c r="C8704" s="2" t="s">
        <v>10934</v>
      </c>
      <c r="D8704" s="2" t="s">
        <v>10935</v>
      </c>
      <c r="E8704" s="4">
        <v>18500</v>
      </c>
    </row>
    <row r="8705" spans="1:5">
      <c r="A8705" s="2" t="s">
        <v>296</v>
      </c>
      <c r="B8705" s="2" t="s">
        <v>10936</v>
      </c>
      <c r="C8705" s="2" t="s">
        <v>10936</v>
      </c>
      <c r="D8705" s="2" t="s">
        <v>10937</v>
      </c>
      <c r="E8705" s="4">
        <v>25000</v>
      </c>
    </row>
    <row r="8706" spans="1:5">
      <c r="A8706" s="2" t="s">
        <v>296</v>
      </c>
      <c r="B8706" s="2" t="s">
        <v>10938</v>
      </c>
      <c r="C8706" s="2" t="s">
        <v>10938</v>
      </c>
      <c r="D8706" s="2" t="s">
        <v>10939</v>
      </c>
      <c r="E8706" s="4">
        <v>12400</v>
      </c>
    </row>
    <row r="8707" spans="1:5">
      <c r="A8707" s="2" t="s">
        <v>296</v>
      </c>
      <c r="B8707" s="2" t="s">
        <v>10940</v>
      </c>
      <c r="C8707" s="2" t="s">
        <v>10940</v>
      </c>
      <c r="D8707" s="2" t="s">
        <v>10941</v>
      </c>
      <c r="E8707" s="4">
        <v>14200</v>
      </c>
    </row>
    <row r="8708" spans="1:5">
      <c r="A8708" s="2" t="s">
        <v>296</v>
      </c>
      <c r="B8708" s="2" t="str">
        <f>"090630321"</f>
        <v>090630321</v>
      </c>
      <c r="C8708" s="2" t="str">
        <f>"090630321"</f>
        <v>090630321</v>
      </c>
      <c r="D8708" s="2" t="s">
        <v>10942</v>
      </c>
      <c r="E8708" s="4">
        <v>8800</v>
      </c>
    </row>
    <row r="8709" spans="1:5">
      <c r="A8709" s="2" t="s">
        <v>296</v>
      </c>
      <c r="B8709" s="2" t="str">
        <f>"190023P"</f>
        <v>190023P</v>
      </c>
      <c r="C8709" s="2" t="str">
        <f>"190023P"</f>
        <v>190023P</v>
      </c>
      <c r="D8709" s="2" t="s">
        <v>10943</v>
      </c>
      <c r="E8709" s="4">
        <v>16000</v>
      </c>
    </row>
    <row r="8710" spans="1:5">
      <c r="A8710" s="2" t="s">
        <v>4493</v>
      </c>
      <c r="B8710" s="2" t="str">
        <f>"190023M"</f>
        <v>190023M</v>
      </c>
      <c r="C8710" s="2" t="str">
        <f>"190023M"</f>
        <v>190023M</v>
      </c>
      <c r="D8710" s="2" t="s">
        <v>10944</v>
      </c>
      <c r="E8710" s="4">
        <v>11500</v>
      </c>
    </row>
    <row r="8711" spans="1:5">
      <c r="A8711" s="2" t="s">
        <v>4493</v>
      </c>
      <c r="B8711" s="2" t="str">
        <f>"190023G"</f>
        <v>190023G</v>
      </c>
      <c r="C8711" s="2" t="str">
        <f>"190023G"</f>
        <v>190023G</v>
      </c>
      <c r="D8711" s="2" t="s">
        <v>10945</v>
      </c>
      <c r="E8711" s="4">
        <v>10600</v>
      </c>
    </row>
    <row r="8712" spans="1:5">
      <c r="A8712" s="2" t="s">
        <v>296</v>
      </c>
      <c r="B8712" s="2" t="str">
        <f>"1541418"</f>
        <v>1541418</v>
      </c>
      <c r="C8712" s="2" t="str">
        <f>"1541418"</f>
        <v>1541418</v>
      </c>
      <c r="D8712" s="2" t="s">
        <v>10946</v>
      </c>
      <c r="E8712" s="4">
        <v>6800</v>
      </c>
    </row>
    <row r="8713" spans="1:5">
      <c r="A8713" s="2" t="s">
        <v>296</v>
      </c>
      <c r="B8713" s="2" t="s">
        <v>10947</v>
      </c>
      <c r="C8713" s="2" t="s">
        <v>10947</v>
      </c>
      <c r="D8713" s="2" t="s">
        <v>10948</v>
      </c>
      <c r="E8713" s="4">
        <v>8500</v>
      </c>
    </row>
    <row r="8714" spans="1:5">
      <c r="A8714" s="2" t="s">
        <v>296</v>
      </c>
      <c r="B8714" s="2" t="str">
        <f>"165417P"</f>
        <v>165417P</v>
      </c>
      <c r="C8714" s="2" t="str">
        <f>"1488617103209"</f>
        <v>1488617103209</v>
      </c>
      <c r="D8714" s="2" t="s">
        <v>10949</v>
      </c>
      <c r="E8714" s="4">
        <v>14200</v>
      </c>
    </row>
    <row r="8715" spans="1:5">
      <c r="A8715" s="2" t="s">
        <v>4493</v>
      </c>
      <c r="B8715" s="2" t="str">
        <f>"090630246"</f>
        <v>090630246</v>
      </c>
      <c r="C8715" s="2" t="str">
        <f>"090630246"</f>
        <v>090630246</v>
      </c>
      <c r="D8715" s="2" t="s">
        <v>10950</v>
      </c>
      <c r="E8715" s="4">
        <v>7000</v>
      </c>
    </row>
    <row r="8716" spans="1:5">
      <c r="A8716" s="2" t="s">
        <v>296</v>
      </c>
      <c r="B8716" s="2" t="s">
        <v>10951</v>
      </c>
      <c r="C8716" s="2" t="s">
        <v>10951</v>
      </c>
      <c r="D8716" s="2" t="s">
        <v>10952</v>
      </c>
      <c r="E8716" s="4">
        <v>12400</v>
      </c>
    </row>
    <row r="8717" spans="1:5">
      <c r="A8717" s="2" t="s">
        <v>296</v>
      </c>
      <c r="B8717" s="2" t="s">
        <v>10953</v>
      </c>
      <c r="C8717" s="2" t="s">
        <v>10953</v>
      </c>
      <c r="D8717" s="2" t="s">
        <v>10954</v>
      </c>
      <c r="E8717" s="4">
        <v>10500</v>
      </c>
    </row>
    <row r="8718" spans="1:5">
      <c r="A8718" s="2" t="s">
        <v>296</v>
      </c>
      <c r="B8718" s="2" t="str">
        <f>"160035M"</f>
        <v>160035M</v>
      </c>
      <c r="C8718" s="2" t="str">
        <f>"160035M"</f>
        <v>160035M</v>
      </c>
      <c r="D8718" s="2" t="s">
        <v>10955</v>
      </c>
      <c r="E8718" s="4">
        <v>18700</v>
      </c>
    </row>
    <row r="8719" spans="1:5">
      <c r="A8719" s="2" t="s">
        <v>296</v>
      </c>
      <c r="B8719" s="2" t="str">
        <f>"085400P"</f>
        <v>085400P</v>
      </c>
      <c r="C8719" s="2" t="s">
        <v>10956</v>
      </c>
      <c r="D8719" s="2" t="s">
        <v>10957</v>
      </c>
      <c r="E8719" s="4">
        <v>16000</v>
      </c>
    </row>
    <row r="8720" spans="1:5">
      <c r="A8720" s="2" t="s">
        <v>4493</v>
      </c>
      <c r="B8720" s="2" t="s">
        <v>10958</v>
      </c>
      <c r="C8720" s="2" t="s">
        <v>10958</v>
      </c>
      <c r="D8720" s="2" t="s">
        <v>10959</v>
      </c>
      <c r="E8720" s="4">
        <v>17000</v>
      </c>
    </row>
    <row r="8721" spans="1:5">
      <c r="A8721" s="2" t="s">
        <v>296</v>
      </c>
      <c r="B8721" s="2" t="s">
        <v>10960</v>
      </c>
      <c r="C8721" s="2" t="s">
        <v>10960</v>
      </c>
      <c r="D8721" s="2" t="s">
        <v>10961</v>
      </c>
      <c r="E8721" s="4">
        <v>18800</v>
      </c>
    </row>
    <row r="8722" spans="1:5">
      <c r="A8722" s="2" t="s">
        <v>296</v>
      </c>
      <c r="B8722" s="2" t="str">
        <f>"119233P"</f>
        <v>119233P</v>
      </c>
      <c r="C8722" s="2" t="str">
        <f>"119233P"</f>
        <v>119233P</v>
      </c>
      <c r="D8722" s="2" t="s">
        <v>10962</v>
      </c>
      <c r="E8722" s="4">
        <v>16000</v>
      </c>
    </row>
    <row r="8723" spans="1:5">
      <c r="A8723" s="2" t="s">
        <v>4493</v>
      </c>
      <c r="B8723" s="2" t="str">
        <f>"1442696785"</f>
        <v>1442696785</v>
      </c>
      <c r="C8723" s="2" t="s">
        <v>10963</v>
      </c>
      <c r="D8723" s="2" t="s">
        <v>10964</v>
      </c>
      <c r="E8723" s="4">
        <v>12400</v>
      </c>
    </row>
    <row r="8724" spans="1:5">
      <c r="A8724" s="2" t="s">
        <v>4493</v>
      </c>
      <c r="B8724" s="2" t="str">
        <f>"160002M"</f>
        <v>160002M</v>
      </c>
      <c r="C8724" s="2" t="str">
        <f>"160002M"</f>
        <v>160002M</v>
      </c>
      <c r="D8724" s="2" t="s">
        <v>10965</v>
      </c>
      <c r="E8724" s="4">
        <v>22900</v>
      </c>
    </row>
    <row r="8725" spans="1:5">
      <c r="A8725" s="2" t="s">
        <v>296</v>
      </c>
      <c r="B8725" s="2" t="s">
        <v>10966</v>
      </c>
      <c r="C8725" s="2" t="s">
        <v>10966</v>
      </c>
      <c r="D8725" s="2" t="s">
        <v>10967</v>
      </c>
      <c r="E8725" s="4">
        <v>27000</v>
      </c>
    </row>
    <row r="8726" spans="1:5">
      <c r="A8726" s="2" t="s">
        <v>296</v>
      </c>
      <c r="B8726" s="2" t="str">
        <f>"284811"</f>
        <v>284811</v>
      </c>
      <c r="C8726" s="2" t="str">
        <f>"284811"</f>
        <v>284811</v>
      </c>
      <c r="D8726" s="2" t="s">
        <v>10968</v>
      </c>
      <c r="E8726" s="4">
        <v>5100</v>
      </c>
    </row>
    <row r="8727" spans="1:5">
      <c r="A8727" s="2" t="s">
        <v>296</v>
      </c>
      <c r="B8727" s="2" t="str">
        <f>"282548"</f>
        <v>282548</v>
      </c>
      <c r="C8727" s="2" t="str">
        <f>"282548"</f>
        <v>282548</v>
      </c>
      <c r="D8727" s="2" t="s">
        <v>10969</v>
      </c>
      <c r="E8727" s="4">
        <v>23000</v>
      </c>
    </row>
    <row r="8728" spans="1:5">
      <c r="A8728" s="2" t="s">
        <v>296</v>
      </c>
      <c r="B8728" s="2" t="s">
        <v>10970</v>
      </c>
      <c r="C8728" s="2" t="s">
        <v>10970</v>
      </c>
      <c r="D8728" s="2" t="s">
        <v>10971</v>
      </c>
      <c r="E8728" s="4">
        <v>8800</v>
      </c>
    </row>
    <row r="8729" spans="1:5">
      <c r="A8729" s="2" t="s">
        <v>296</v>
      </c>
      <c r="B8729" s="2" t="s">
        <v>10972</v>
      </c>
      <c r="C8729" s="2" t="s">
        <v>10972</v>
      </c>
      <c r="D8729" s="2" t="s">
        <v>10973</v>
      </c>
      <c r="E8729" s="4">
        <v>14200</v>
      </c>
    </row>
    <row r="8730" spans="1:5">
      <c r="A8730" s="2" t="s">
        <v>296</v>
      </c>
      <c r="B8730" s="2" t="s">
        <v>10974</v>
      </c>
      <c r="C8730" s="2" t="s">
        <v>10975</v>
      </c>
      <c r="D8730" s="2" t="s">
        <v>10976</v>
      </c>
      <c r="E8730" s="4">
        <v>7900</v>
      </c>
    </row>
    <row r="8731" spans="1:5">
      <c r="A8731" s="2" t="s">
        <v>4493</v>
      </c>
      <c r="B8731" s="2" t="str">
        <f>"090630200"</f>
        <v>090630200</v>
      </c>
      <c r="C8731" s="2" t="str">
        <f>"090630200"</f>
        <v>090630200</v>
      </c>
      <c r="D8731" s="2" t="s">
        <v>10977</v>
      </c>
      <c r="E8731" s="4">
        <v>7000</v>
      </c>
    </row>
    <row r="8732" spans="1:5">
      <c r="A8732" s="2" t="s">
        <v>296</v>
      </c>
      <c r="B8732" s="2" t="s">
        <v>10978</v>
      </c>
      <c r="C8732" s="2" t="s">
        <v>10978</v>
      </c>
      <c r="D8732" s="2" t="s">
        <v>10979</v>
      </c>
      <c r="E8732" s="4">
        <v>5100</v>
      </c>
    </row>
    <row r="8733" spans="1:5">
      <c r="A8733" s="2" t="s">
        <v>296</v>
      </c>
      <c r="B8733" s="2" t="s">
        <v>10980</v>
      </c>
      <c r="C8733" s="2" t="s">
        <v>10980</v>
      </c>
      <c r="D8733" s="2" t="s">
        <v>10981</v>
      </c>
      <c r="E8733" s="4">
        <v>6500</v>
      </c>
    </row>
    <row r="8734" spans="1:5">
      <c r="A8734" s="2" t="s">
        <v>296</v>
      </c>
      <c r="B8734" s="2" t="str">
        <f>"0019408"</f>
        <v>0019408</v>
      </c>
      <c r="C8734" s="2" t="str">
        <f>"0019408"</f>
        <v>0019408</v>
      </c>
      <c r="D8734" s="2" t="s">
        <v>10982</v>
      </c>
      <c r="E8734" s="4">
        <v>16000</v>
      </c>
    </row>
    <row r="8735" spans="1:5">
      <c r="A8735" s="2" t="s">
        <v>296</v>
      </c>
      <c r="B8735" s="2" t="s">
        <v>10983</v>
      </c>
      <c r="C8735" s="2" t="s">
        <v>10983</v>
      </c>
      <c r="D8735" s="2" t="s">
        <v>10984</v>
      </c>
      <c r="E8735" s="4">
        <v>19800</v>
      </c>
    </row>
    <row r="8736" spans="1:5">
      <c r="A8736" s="2" t="s">
        <v>296</v>
      </c>
      <c r="B8736" s="2" t="s">
        <v>10985</v>
      </c>
      <c r="C8736" s="2" t="s">
        <v>10985</v>
      </c>
      <c r="D8736" s="2" t="s">
        <v>10986</v>
      </c>
      <c r="E8736" s="4">
        <v>11900</v>
      </c>
    </row>
    <row r="8737" spans="1:5">
      <c r="A8737" s="2" t="s">
        <v>296</v>
      </c>
      <c r="B8737" s="2" t="s">
        <v>10987</v>
      </c>
      <c r="C8737" s="2" t="str">
        <f>"1483560959662"</f>
        <v>1483560959662</v>
      </c>
      <c r="D8737" s="2" t="s">
        <v>10988</v>
      </c>
      <c r="E8737" s="4">
        <v>8800</v>
      </c>
    </row>
    <row r="8738" spans="1:5">
      <c r="A8738" s="2" t="s">
        <v>296</v>
      </c>
      <c r="B8738" s="2" t="s">
        <v>10989</v>
      </c>
      <c r="C8738" s="2" t="s">
        <v>10990</v>
      </c>
      <c r="D8738" s="2" t="s">
        <v>10988</v>
      </c>
      <c r="E8738" s="4">
        <v>8800</v>
      </c>
    </row>
    <row r="8739" spans="1:5">
      <c r="A8739" s="2" t="s">
        <v>4493</v>
      </c>
      <c r="B8739" s="2" t="str">
        <f>"119232G"</f>
        <v>119232G</v>
      </c>
      <c r="C8739" s="2" t="str">
        <f>"119232G"</f>
        <v>119232G</v>
      </c>
      <c r="D8739" s="2" t="s">
        <v>10986</v>
      </c>
      <c r="E8739" s="4">
        <v>12400</v>
      </c>
    </row>
    <row r="8740" spans="1:5">
      <c r="A8740" s="2" t="s">
        <v>4493</v>
      </c>
      <c r="B8740" s="2" t="str">
        <f>"070630090"</f>
        <v>070630090</v>
      </c>
      <c r="C8740" s="2" t="str">
        <f>"070630090"</f>
        <v>070630090</v>
      </c>
      <c r="D8740" s="2" t="s">
        <v>10986</v>
      </c>
      <c r="E8740" s="4">
        <v>11500</v>
      </c>
    </row>
    <row r="8741" spans="1:5">
      <c r="A8741" s="2" t="s">
        <v>296</v>
      </c>
      <c r="B8741" s="2" t="s">
        <v>10991</v>
      </c>
      <c r="C8741" s="2" t="s">
        <v>10991</v>
      </c>
      <c r="D8741" s="2" t="s">
        <v>10992</v>
      </c>
      <c r="E8741" s="4">
        <v>12400</v>
      </c>
    </row>
    <row r="8742" spans="1:5">
      <c r="A8742" s="2" t="s">
        <v>296</v>
      </c>
      <c r="B8742" s="2" t="str">
        <f>"0033635"</f>
        <v>0033635</v>
      </c>
      <c r="C8742" s="2" t="str">
        <f>"0033635"</f>
        <v>0033635</v>
      </c>
      <c r="D8742" s="2" t="s">
        <v>10993</v>
      </c>
      <c r="E8742" s="4">
        <v>16000</v>
      </c>
    </row>
    <row r="8743" spans="1:5">
      <c r="A8743" s="2" t="s">
        <v>296</v>
      </c>
      <c r="B8743" s="2" t="str">
        <f>"9947591"</f>
        <v>9947591</v>
      </c>
      <c r="C8743" s="2" t="str">
        <f>"9947591"</f>
        <v>9947591</v>
      </c>
      <c r="D8743" s="2" t="s">
        <v>10994</v>
      </c>
      <c r="E8743" s="4">
        <v>18700</v>
      </c>
    </row>
    <row r="8744" spans="1:5">
      <c r="A8744" s="2" t="s">
        <v>296</v>
      </c>
      <c r="B8744" s="2" t="str">
        <f>"119232P"</f>
        <v>119232P</v>
      </c>
      <c r="C8744" s="2" t="str">
        <f>"119232P"</f>
        <v>119232P</v>
      </c>
      <c r="D8744" s="2" t="s">
        <v>10995</v>
      </c>
      <c r="E8744" s="4">
        <v>12400</v>
      </c>
    </row>
    <row r="8745" spans="1:5">
      <c r="A8745" s="2" t="s">
        <v>4493</v>
      </c>
      <c r="B8745" s="2" t="s">
        <v>10996</v>
      </c>
      <c r="C8745" s="2" t="s">
        <v>10996</v>
      </c>
      <c r="D8745" s="2" t="s">
        <v>10997</v>
      </c>
      <c r="E8745" s="4">
        <v>22500</v>
      </c>
    </row>
    <row r="8746" spans="1:5">
      <c r="A8746" s="2" t="s">
        <v>296</v>
      </c>
      <c r="B8746" s="2" t="str">
        <f>"119231P"</f>
        <v>119231P</v>
      </c>
      <c r="C8746" s="2" t="str">
        <f>"119231P"</f>
        <v>119231P</v>
      </c>
      <c r="D8746" s="2" t="s">
        <v>10998</v>
      </c>
      <c r="E8746" s="4">
        <v>9700</v>
      </c>
    </row>
    <row r="8747" spans="1:5">
      <c r="A8747" s="2" t="s">
        <v>296</v>
      </c>
      <c r="B8747" s="2" t="str">
        <f>"869898P"</f>
        <v>869898P</v>
      </c>
      <c r="C8747" s="2" t="str">
        <f>"86989P"</f>
        <v>86989P</v>
      </c>
      <c r="D8747" s="2" t="s">
        <v>10999</v>
      </c>
      <c r="E8747" s="4">
        <v>14200</v>
      </c>
    </row>
    <row r="8748" spans="1:5">
      <c r="A8748" s="2" t="s">
        <v>296</v>
      </c>
      <c r="B8748" s="2" t="str">
        <f>"869898M"</f>
        <v>869898M</v>
      </c>
      <c r="C8748" s="2" t="str">
        <f>"869898M"</f>
        <v>869898M</v>
      </c>
      <c r="D8748" s="2" t="s">
        <v>11000</v>
      </c>
      <c r="E8748" s="4">
        <v>12400</v>
      </c>
    </row>
    <row r="8749" spans="1:5">
      <c r="A8749" s="2" t="s">
        <v>296</v>
      </c>
      <c r="B8749" s="2" t="str">
        <f>"071630009"</f>
        <v>071630009</v>
      </c>
      <c r="C8749" s="2" t="str">
        <f>"071630009"</f>
        <v>071630009</v>
      </c>
      <c r="D8749" s="2" t="s">
        <v>11001</v>
      </c>
      <c r="E8749" s="4">
        <v>11500</v>
      </c>
    </row>
    <row r="8750" spans="1:5">
      <c r="A8750" s="2" t="s">
        <v>296</v>
      </c>
      <c r="B8750" s="2" t="str">
        <f>"015447"</f>
        <v>015447</v>
      </c>
      <c r="C8750" s="2" t="str">
        <f>"015447"</f>
        <v>015447</v>
      </c>
      <c r="D8750" s="2" t="s">
        <v>11002</v>
      </c>
      <c r="E8750" s="4">
        <v>19600</v>
      </c>
    </row>
    <row r="8751" spans="1:5">
      <c r="A8751" s="2" t="s">
        <v>296</v>
      </c>
      <c r="B8751" s="2" t="s">
        <v>11003</v>
      </c>
      <c r="C8751" s="2" t="s">
        <v>11004</v>
      </c>
      <c r="D8751" s="2" t="s">
        <v>11005</v>
      </c>
      <c r="E8751" s="4">
        <v>11500</v>
      </c>
    </row>
    <row r="8752" spans="1:5">
      <c r="A8752" s="2" t="s">
        <v>4493</v>
      </c>
      <c r="B8752" s="2" t="s">
        <v>11006</v>
      </c>
      <c r="C8752" s="2" t="s">
        <v>11006</v>
      </c>
      <c r="D8752" s="2" t="s">
        <v>11007</v>
      </c>
      <c r="E8752" s="4">
        <v>15500</v>
      </c>
    </row>
    <row r="8753" spans="1:5">
      <c r="A8753" s="2" t="s">
        <v>296</v>
      </c>
      <c r="B8753" s="2" t="str">
        <f>"070743"</f>
        <v>070743</v>
      </c>
      <c r="C8753" s="2" t="str">
        <f>"070743"</f>
        <v>070743</v>
      </c>
      <c r="D8753" s="2" t="s">
        <v>11008</v>
      </c>
      <c r="E8753" s="4">
        <v>9420</v>
      </c>
    </row>
    <row r="8754" spans="1:5">
      <c r="A8754" s="2" t="s">
        <v>296</v>
      </c>
      <c r="B8754" s="2" t="str">
        <f>"810741M"</f>
        <v>810741M</v>
      </c>
      <c r="C8754" s="2" t="str">
        <f>"810741M"</f>
        <v>810741M</v>
      </c>
      <c r="D8754" s="2" t="s">
        <v>11008</v>
      </c>
      <c r="E8754" s="4">
        <v>8800</v>
      </c>
    </row>
    <row r="8755" spans="1:5">
      <c r="A8755" s="2" t="s">
        <v>296</v>
      </c>
      <c r="B8755" s="2" t="str">
        <f>"070748"</f>
        <v>070748</v>
      </c>
      <c r="C8755" s="2" t="str">
        <f>"070748"</f>
        <v>070748</v>
      </c>
      <c r="D8755" s="2" t="s">
        <v>11008</v>
      </c>
      <c r="E8755" s="4">
        <v>5800</v>
      </c>
    </row>
    <row r="8756" spans="1:5">
      <c r="A8756" s="2" t="s">
        <v>4493</v>
      </c>
      <c r="B8756" s="2" t="str">
        <f>"04491-87704"</f>
        <v>04491-87704</v>
      </c>
      <c r="C8756" s="2" t="str">
        <f>"04491-87704"</f>
        <v>04491-87704</v>
      </c>
      <c r="D8756" s="2" t="s">
        <v>11009</v>
      </c>
      <c r="E8756" s="4">
        <v>6500</v>
      </c>
    </row>
    <row r="8757" spans="1:5">
      <c r="A8757" s="2" t="s">
        <v>296</v>
      </c>
      <c r="B8757" s="2" t="s">
        <v>11010</v>
      </c>
      <c r="C8757" s="2" t="s">
        <v>11010</v>
      </c>
      <c r="D8757" s="2" t="s">
        <v>11011</v>
      </c>
      <c r="E8757" s="4">
        <v>18700</v>
      </c>
    </row>
    <row r="8758" spans="1:5">
      <c r="A8758" s="2" t="s">
        <v>296</v>
      </c>
      <c r="B8758" s="2" t="str">
        <f>"282549"</f>
        <v>282549</v>
      </c>
      <c r="C8758" s="2" t="str">
        <f>"282549"</f>
        <v>282549</v>
      </c>
      <c r="D8758" s="2" t="s">
        <v>11012</v>
      </c>
      <c r="E8758" s="4">
        <v>11500</v>
      </c>
    </row>
    <row r="8759" spans="1:5">
      <c r="A8759" s="2" t="s">
        <v>296</v>
      </c>
      <c r="B8759" s="2" t="s">
        <v>11013</v>
      </c>
      <c r="C8759" s="2" t="s">
        <v>11013</v>
      </c>
      <c r="D8759" s="2" t="s">
        <v>11014</v>
      </c>
      <c r="E8759" s="4">
        <v>7200</v>
      </c>
    </row>
    <row r="8760" spans="1:5">
      <c r="A8760" s="2" t="s">
        <v>4493</v>
      </c>
      <c r="B8760" s="2" t="str">
        <f>"090630206"</f>
        <v>090630206</v>
      </c>
      <c r="C8760" s="2" t="str">
        <f>"090630206"</f>
        <v>090630206</v>
      </c>
      <c r="D8760" s="2" t="s">
        <v>11015</v>
      </c>
      <c r="E8760" s="4">
        <v>9900</v>
      </c>
    </row>
    <row r="8761" spans="1:5">
      <c r="A8761" s="2" t="s">
        <v>4493</v>
      </c>
      <c r="B8761" s="2" t="s">
        <v>11016</v>
      </c>
      <c r="C8761" s="2" t="s">
        <v>11016</v>
      </c>
      <c r="D8761" s="2" t="s">
        <v>11017</v>
      </c>
      <c r="E8761" s="4">
        <v>16000</v>
      </c>
    </row>
    <row r="8762" spans="1:5">
      <c r="A8762" s="2" t="s">
        <v>296</v>
      </c>
      <c r="B8762" s="2" t="s">
        <v>11018</v>
      </c>
      <c r="C8762" s="2" t="s">
        <v>11018</v>
      </c>
      <c r="D8762" s="2" t="s">
        <v>11019</v>
      </c>
      <c r="E8762" s="4">
        <v>28600</v>
      </c>
    </row>
    <row r="8763" spans="1:5">
      <c r="A8763" s="2" t="s">
        <v>296</v>
      </c>
      <c r="B8763" s="2" t="str">
        <f>"017415"</f>
        <v>017415</v>
      </c>
      <c r="C8763" s="2" t="str">
        <f>"017415"</f>
        <v>017415</v>
      </c>
      <c r="D8763" s="2" t="s">
        <v>11020</v>
      </c>
      <c r="E8763" s="4">
        <v>38500</v>
      </c>
    </row>
    <row r="8764" spans="1:5">
      <c r="A8764" s="2" t="s">
        <v>296</v>
      </c>
      <c r="B8764" s="2" t="str">
        <f>"015456"</f>
        <v>015456</v>
      </c>
      <c r="C8764" s="2" t="str">
        <f>"015456"</f>
        <v>015456</v>
      </c>
      <c r="D8764" s="2" t="s">
        <v>11021</v>
      </c>
      <c r="E8764" s="4">
        <v>34000</v>
      </c>
    </row>
    <row r="8765" spans="1:5">
      <c r="A8765" s="2" t="s">
        <v>296</v>
      </c>
      <c r="B8765" s="2" t="s">
        <v>11022</v>
      </c>
      <c r="C8765" s="2" t="s">
        <v>11022</v>
      </c>
      <c r="D8765" s="2" t="s">
        <v>11023</v>
      </c>
      <c r="E8765" s="4">
        <v>38500</v>
      </c>
    </row>
    <row r="8766" spans="1:5">
      <c r="A8766" s="2" t="s">
        <v>296</v>
      </c>
      <c r="B8766" s="2" t="s">
        <v>11024</v>
      </c>
      <c r="C8766" s="2" t="s">
        <v>11024</v>
      </c>
      <c r="D8766" s="2" t="s">
        <v>11025</v>
      </c>
      <c r="E8766" s="4">
        <v>18000</v>
      </c>
    </row>
    <row r="8767" spans="1:5">
      <c r="A8767" s="2" t="s">
        <v>296</v>
      </c>
      <c r="B8767" s="2" t="str">
        <f>"7666D796"</f>
        <v>7666D796</v>
      </c>
      <c r="C8767" s="2" t="str">
        <f>"7666D796"</f>
        <v>7666D796</v>
      </c>
      <c r="D8767" s="2" t="s">
        <v>11026</v>
      </c>
      <c r="E8767" s="4">
        <v>14200</v>
      </c>
    </row>
    <row r="8768" spans="1:5">
      <c r="A8768" s="2" t="s">
        <v>296</v>
      </c>
      <c r="B8768" s="2" t="s">
        <v>11027</v>
      </c>
      <c r="C8768" s="2" t="s">
        <v>11027</v>
      </c>
      <c r="D8768" s="2" t="s">
        <v>11028</v>
      </c>
      <c r="E8768" s="4">
        <v>18700</v>
      </c>
    </row>
    <row r="8769" spans="1:5">
      <c r="A8769" s="2" t="s">
        <v>296</v>
      </c>
      <c r="B8769" s="2" t="s">
        <v>11029</v>
      </c>
      <c r="C8769" s="2" t="s">
        <v>11029</v>
      </c>
      <c r="D8769" s="2" t="s">
        <v>11030</v>
      </c>
      <c r="E8769" s="4">
        <v>18700</v>
      </c>
    </row>
    <row r="8770" spans="1:5">
      <c r="A8770" s="2" t="s">
        <v>296</v>
      </c>
      <c r="B8770" s="2" t="s">
        <v>11031</v>
      </c>
      <c r="C8770" s="2" t="s">
        <v>11031</v>
      </c>
      <c r="D8770" s="2" t="s">
        <v>11030</v>
      </c>
      <c r="E8770" s="4">
        <v>18700</v>
      </c>
    </row>
    <row r="8771" spans="1:5">
      <c r="A8771" s="2" t="s">
        <v>296</v>
      </c>
      <c r="B8771" s="2" t="s">
        <v>11032</v>
      </c>
      <c r="C8771" s="2" t="s">
        <v>11032</v>
      </c>
      <c r="D8771" s="2" t="s">
        <v>11030</v>
      </c>
      <c r="E8771" s="4">
        <v>12400</v>
      </c>
    </row>
    <row r="8772" spans="1:5">
      <c r="A8772" s="2" t="s">
        <v>296</v>
      </c>
      <c r="B8772" s="2" t="s">
        <v>11033</v>
      </c>
      <c r="C8772" s="2" t="s">
        <v>11034</v>
      </c>
      <c r="D8772" s="2" t="s">
        <v>11035</v>
      </c>
      <c r="E8772" s="4">
        <v>14000</v>
      </c>
    </row>
    <row r="8773" spans="1:5">
      <c r="A8773" s="2" t="s">
        <v>296</v>
      </c>
      <c r="B8773" s="2" t="s">
        <v>11036</v>
      </c>
      <c r="C8773" s="2" t="s">
        <v>11036</v>
      </c>
      <c r="D8773" s="2" t="s">
        <v>11037</v>
      </c>
      <c r="E8773" s="4">
        <v>9700</v>
      </c>
    </row>
    <row r="8774" spans="1:5">
      <c r="A8774" s="2" t="s">
        <v>296</v>
      </c>
      <c r="B8774" s="2" t="s">
        <v>11038</v>
      </c>
      <c r="C8774" s="2" t="s">
        <v>11038</v>
      </c>
      <c r="D8774" s="2" t="s">
        <v>11039</v>
      </c>
      <c r="E8774" s="4">
        <v>16000</v>
      </c>
    </row>
    <row r="8775" spans="1:5">
      <c r="A8775" s="2" t="s">
        <v>296</v>
      </c>
      <c r="B8775" s="2" t="str">
        <f>"43A00"</f>
        <v>43A00</v>
      </c>
      <c r="C8775" s="2" t="str">
        <f>"43A00"</f>
        <v>43A00</v>
      </c>
      <c r="D8775" s="2" t="s">
        <v>11040</v>
      </c>
      <c r="E8775" s="4">
        <v>12500</v>
      </c>
    </row>
    <row r="8776" spans="1:5">
      <c r="A8776" s="2" t="s">
        <v>296</v>
      </c>
      <c r="B8776" s="2" t="s">
        <v>11041</v>
      </c>
      <c r="C8776" s="2" t="s">
        <v>11041</v>
      </c>
      <c r="D8776" s="2" t="s">
        <v>11042</v>
      </c>
      <c r="E8776" s="4">
        <v>11500</v>
      </c>
    </row>
    <row r="8777" spans="1:5">
      <c r="A8777" s="2" t="s">
        <v>296</v>
      </c>
      <c r="B8777" s="2" t="s">
        <v>11043</v>
      </c>
      <c r="C8777" s="2" t="s">
        <v>11043</v>
      </c>
      <c r="D8777" s="2" t="s">
        <v>11044</v>
      </c>
      <c r="E8777" s="4">
        <v>16000</v>
      </c>
    </row>
    <row r="8778" spans="1:5">
      <c r="A8778" s="2" t="s">
        <v>296</v>
      </c>
      <c r="B8778" s="2" t="s">
        <v>11045</v>
      </c>
      <c r="C8778" s="2" t="s">
        <v>11045</v>
      </c>
      <c r="D8778" s="2" t="s">
        <v>11046</v>
      </c>
      <c r="E8778" s="4">
        <v>16000</v>
      </c>
    </row>
    <row r="8779" spans="1:5">
      <c r="A8779" s="2" t="s">
        <v>296</v>
      </c>
      <c r="B8779" s="2" t="str">
        <f>"283096"</f>
        <v>283096</v>
      </c>
      <c r="C8779" s="2" t="str">
        <f>"283096"</f>
        <v>283096</v>
      </c>
      <c r="D8779" s="2" t="s">
        <v>11047</v>
      </c>
      <c r="E8779" s="4">
        <v>14500</v>
      </c>
    </row>
    <row r="8780" spans="1:5">
      <c r="A8780" s="2" t="s">
        <v>296</v>
      </c>
      <c r="B8780" s="2" t="s">
        <v>11048</v>
      </c>
      <c r="C8780" s="2" t="s">
        <v>11048</v>
      </c>
      <c r="D8780" s="2" t="s">
        <v>11049</v>
      </c>
      <c r="E8780" s="4">
        <v>19600</v>
      </c>
    </row>
    <row r="8781" spans="1:5">
      <c r="A8781" s="2" t="s">
        <v>296</v>
      </c>
      <c r="B8781" s="2" t="s">
        <v>11050</v>
      </c>
      <c r="C8781" s="2" t="s">
        <v>11050</v>
      </c>
      <c r="D8781" s="2" t="s">
        <v>11051</v>
      </c>
      <c r="E8781" s="4">
        <v>14500</v>
      </c>
    </row>
    <row r="8782" spans="1:5">
      <c r="A8782" s="2" t="s">
        <v>296</v>
      </c>
      <c r="B8782" s="2" t="s">
        <v>11052</v>
      </c>
      <c r="C8782" s="2" t="s">
        <v>11052</v>
      </c>
      <c r="D8782" s="2" t="s">
        <v>11053</v>
      </c>
      <c r="E8782" s="4">
        <v>19600</v>
      </c>
    </row>
    <row r="8783" spans="1:5">
      <c r="A8783" s="2" t="s">
        <v>4493</v>
      </c>
      <c r="B8783" s="2" t="str">
        <f>"071630012"</f>
        <v>071630012</v>
      </c>
      <c r="C8783" s="2" t="str">
        <f>"071630012"</f>
        <v>071630012</v>
      </c>
      <c r="D8783" s="2" t="s">
        <v>11054</v>
      </c>
      <c r="E8783" s="4">
        <v>9900</v>
      </c>
    </row>
    <row r="8784" spans="1:5">
      <c r="A8784" s="2" t="s">
        <v>296</v>
      </c>
      <c r="B8784" s="2" t="str">
        <f>"090630353"</f>
        <v>090630353</v>
      </c>
      <c r="C8784" s="2" t="str">
        <f>"090630353"</f>
        <v>090630353</v>
      </c>
      <c r="D8784" s="2" t="s">
        <v>11055</v>
      </c>
      <c r="E8784" s="4">
        <v>7000</v>
      </c>
    </row>
    <row r="8785" spans="1:5">
      <c r="A8785" s="2" t="s">
        <v>296</v>
      </c>
      <c r="B8785" s="2" t="s">
        <v>11056</v>
      </c>
      <c r="C8785" s="2" t="s">
        <v>11056</v>
      </c>
      <c r="D8785" s="2" t="s">
        <v>11057</v>
      </c>
      <c r="E8785" s="4">
        <v>12400</v>
      </c>
    </row>
    <row r="8786" spans="1:5">
      <c r="A8786" s="2" t="s">
        <v>296</v>
      </c>
      <c r="B8786" s="2" t="s">
        <v>11058</v>
      </c>
      <c r="C8786" s="2" t="s">
        <v>11058</v>
      </c>
      <c r="D8786" s="2" t="s">
        <v>11059</v>
      </c>
      <c r="E8786" s="4">
        <v>10000</v>
      </c>
    </row>
    <row r="8787" spans="1:5">
      <c r="A8787" s="2" t="s">
        <v>296</v>
      </c>
      <c r="B8787" s="2" t="s">
        <v>11060</v>
      </c>
      <c r="C8787" s="2" t="s">
        <v>11060</v>
      </c>
      <c r="D8787" s="2" t="s">
        <v>11061</v>
      </c>
      <c r="E8787" s="4">
        <v>18700</v>
      </c>
    </row>
    <row r="8788" spans="1:5">
      <c r="A8788" s="2" t="s">
        <v>296</v>
      </c>
      <c r="B8788" s="2" t="str">
        <f>"0000864"</f>
        <v>0000864</v>
      </c>
      <c r="C8788" s="2" t="str">
        <f>"0000866 000086P"</f>
        <v>0000866 000086P</v>
      </c>
      <c r="D8788" s="2" t="s">
        <v>11062</v>
      </c>
      <c r="E8788" s="4">
        <v>19600</v>
      </c>
    </row>
    <row r="8789" spans="1:5">
      <c r="A8789" s="2" t="s">
        <v>296</v>
      </c>
      <c r="B8789" s="2" t="s">
        <v>11063</v>
      </c>
      <c r="C8789" s="2" t="s">
        <v>11063</v>
      </c>
      <c r="D8789" s="2" t="s">
        <v>11064</v>
      </c>
      <c r="E8789" s="4">
        <v>22300</v>
      </c>
    </row>
    <row r="8790" spans="1:5">
      <c r="A8790" s="2" t="s">
        <v>296</v>
      </c>
      <c r="B8790" s="2" t="str">
        <f>"031183"</f>
        <v>031183</v>
      </c>
      <c r="C8790" s="2" t="str">
        <f>"031183"</f>
        <v>031183</v>
      </c>
      <c r="D8790" s="2" t="s">
        <v>11065</v>
      </c>
      <c r="E8790" s="4">
        <v>14200</v>
      </c>
    </row>
    <row r="8791" spans="1:5">
      <c r="A8791" s="2" t="s">
        <v>296</v>
      </c>
      <c r="B8791" s="2" t="str">
        <f>"070400193"</f>
        <v>070400193</v>
      </c>
      <c r="C8791" s="2" t="str">
        <f>"070400193"</f>
        <v>070400193</v>
      </c>
      <c r="D8791" s="2" t="s">
        <v>11066</v>
      </c>
      <c r="E8791" s="4">
        <v>18700</v>
      </c>
    </row>
    <row r="8792" spans="1:5">
      <c r="A8792" s="2" t="s">
        <v>4493</v>
      </c>
      <c r="B8792" s="2" t="s">
        <v>11067</v>
      </c>
      <c r="C8792" s="2" t="s">
        <v>11067</v>
      </c>
      <c r="D8792" s="2" t="s">
        <v>11068</v>
      </c>
      <c r="E8792" s="4">
        <v>9700</v>
      </c>
    </row>
    <row r="8793" spans="1:5">
      <c r="A8793" s="2" t="s">
        <v>296</v>
      </c>
      <c r="B8793" s="2" t="s">
        <v>11069</v>
      </c>
      <c r="C8793" s="2" t="s">
        <v>11069</v>
      </c>
      <c r="D8793" s="2" t="s">
        <v>11070</v>
      </c>
      <c r="E8793" s="4">
        <v>11500</v>
      </c>
    </row>
    <row r="8794" spans="1:5">
      <c r="A8794" s="2" t="s">
        <v>296</v>
      </c>
      <c r="B8794" s="2" t="s">
        <v>11071</v>
      </c>
      <c r="C8794" s="2" t="s">
        <v>11071</v>
      </c>
      <c r="D8794" s="2" t="s">
        <v>11072</v>
      </c>
      <c r="E8794" s="4">
        <v>12800</v>
      </c>
    </row>
    <row r="8795" spans="1:5">
      <c r="A8795" s="2" t="s">
        <v>296</v>
      </c>
      <c r="B8795" s="2" t="s">
        <v>11073</v>
      </c>
      <c r="C8795" s="2" t="s">
        <v>11073</v>
      </c>
      <c r="D8795" s="2" t="s">
        <v>11074</v>
      </c>
      <c r="E8795" s="4">
        <v>19900</v>
      </c>
    </row>
    <row r="8796" spans="1:5">
      <c r="A8796" s="2" t="s">
        <v>296</v>
      </c>
      <c r="B8796" s="2" t="s">
        <v>11075</v>
      </c>
      <c r="C8796" s="2" t="s">
        <v>11075</v>
      </c>
      <c r="D8796" s="2" t="s">
        <v>11076</v>
      </c>
      <c r="E8796" s="4">
        <v>1180</v>
      </c>
    </row>
    <row r="8797" spans="1:5">
      <c r="A8797" s="2" t="s">
        <v>296</v>
      </c>
      <c r="B8797" s="2" t="str">
        <f>"070710020"</f>
        <v>070710020</v>
      </c>
      <c r="C8797" s="2" t="str">
        <f>"58101-22A00"</f>
        <v>58101-22A00</v>
      </c>
      <c r="D8797" s="2" t="s">
        <v>11077</v>
      </c>
      <c r="E8797" s="4">
        <v>8800</v>
      </c>
    </row>
    <row r="8798" spans="1:5">
      <c r="A8798" s="2" t="s">
        <v>296</v>
      </c>
      <c r="B8798" s="2" t="s">
        <v>11078</v>
      </c>
      <c r="C8798" s="2" t="s">
        <v>11078</v>
      </c>
      <c r="D8798" s="2" t="s">
        <v>11079</v>
      </c>
      <c r="E8798" s="4">
        <v>14200</v>
      </c>
    </row>
    <row r="8799" spans="1:5">
      <c r="A8799" s="2" t="s">
        <v>296</v>
      </c>
      <c r="B8799" s="2" t="s">
        <v>11080</v>
      </c>
      <c r="C8799" s="2" t="s">
        <v>11080</v>
      </c>
      <c r="D8799" s="2" t="s">
        <v>11081</v>
      </c>
      <c r="E8799" s="4">
        <v>18900</v>
      </c>
    </row>
    <row r="8800" spans="1:5">
      <c r="A8800" s="2" t="s">
        <v>296</v>
      </c>
      <c r="B8800" s="2" t="s">
        <v>11082</v>
      </c>
      <c r="C8800" s="2" t="s">
        <v>11082</v>
      </c>
      <c r="D8800" s="2" t="s">
        <v>11083</v>
      </c>
      <c r="E8800" s="4">
        <v>9700</v>
      </c>
    </row>
    <row r="8801" spans="1:5">
      <c r="A8801" s="2" t="s">
        <v>296</v>
      </c>
      <c r="B8801" s="2" t="s">
        <v>11084</v>
      </c>
      <c r="C8801" s="2" t="s">
        <v>11084</v>
      </c>
      <c r="D8801" s="2" t="s">
        <v>11085</v>
      </c>
      <c r="E8801" s="4">
        <v>9700</v>
      </c>
    </row>
    <row r="8802" spans="1:5">
      <c r="A8802" s="2" t="s">
        <v>4493</v>
      </c>
      <c r="B8802" s="2" t="str">
        <f>"283132"</f>
        <v>283132</v>
      </c>
      <c r="C8802" s="2" t="str">
        <f>"283132"</f>
        <v>283132</v>
      </c>
      <c r="D8802" s="2" t="s">
        <v>11086</v>
      </c>
      <c r="E8802" s="4">
        <v>18900</v>
      </c>
    </row>
    <row r="8803" spans="1:5">
      <c r="A8803" s="2" t="s">
        <v>296</v>
      </c>
      <c r="B8803" s="2" t="s">
        <v>11087</v>
      </c>
      <c r="C8803" s="2" t="s">
        <v>11087</v>
      </c>
      <c r="D8803" s="2" t="s">
        <v>11088</v>
      </c>
      <c r="E8803" s="4">
        <v>16000</v>
      </c>
    </row>
    <row r="8804" spans="1:5">
      <c r="A8804" s="2" t="s">
        <v>4493</v>
      </c>
      <c r="B8804" s="2" t="s">
        <v>11089</v>
      </c>
      <c r="C8804" s="2" t="s">
        <v>11089</v>
      </c>
      <c r="D8804" s="2" t="s">
        <v>11090</v>
      </c>
      <c r="E8804" s="4">
        <v>24000</v>
      </c>
    </row>
    <row r="8805" spans="1:5">
      <c r="A8805" s="2" t="s">
        <v>4493</v>
      </c>
      <c r="B8805" s="2" t="str">
        <f>"247463"</f>
        <v>247463</v>
      </c>
      <c r="C8805" s="2" t="str">
        <f>"247463"</f>
        <v>247463</v>
      </c>
      <c r="D8805" s="2" t="s">
        <v>11091</v>
      </c>
      <c r="E8805" s="4">
        <v>9500</v>
      </c>
    </row>
    <row r="8806" spans="1:5">
      <c r="A8806" s="2" t="s">
        <v>296</v>
      </c>
      <c r="B8806" s="2" t="s">
        <v>11092</v>
      </c>
      <c r="C8806" s="2" t="s">
        <v>11092</v>
      </c>
      <c r="D8806" s="2" t="s">
        <v>11093</v>
      </c>
      <c r="E8806" s="4">
        <v>6400</v>
      </c>
    </row>
    <row r="8807" spans="1:5">
      <c r="A8807" s="2" t="s">
        <v>4493</v>
      </c>
      <c r="B8807" s="2" t="s">
        <v>11094</v>
      </c>
      <c r="C8807" s="2" t="s">
        <v>11094</v>
      </c>
      <c r="D8807" s="2" t="s">
        <v>11095</v>
      </c>
      <c r="E8807" s="4">
        <v>18700</v>
      </c>
    </row>
    <row r="8808" spans="1:5">
      <c r="A8808" s="2" t="s">
        <v>4493</v>
      </c>
      <c r="B8808" s="2" t="s">
        <v>11096</v>
      </c>
      <c r="C8808" s="2" t="s">
        <v>11096</v>
      </c>
      <c r="D8808" s="2" t="s">
        <v>11097</v>
      </c>
      <c r="E8808" s="4">
        <v>14500</v>
      </c>
    </row>
    <row r="8809" spans="1:5">
      <c r="A8809" s="2" t="s">
        <v>296</v>
      </c>
      <c r="B8809" s="2" t="s">
        <v>11098</v>
      </c>
      <c r="C8809" s="2" t="s">
        <v>11098</v>
      </c>
      <c r="D8809" s="2" t="s">
        <v>11099</v>
      </c>
      <c r="E8809" s="4">
        <v>11500</v>
      </c>
    </row>
    <row r="8810" spans="1:5">
      <c r="A8810" s="2" t="s">
        <v>296</v>
      </c>
      <c r="B8810" s="2" t="s">
        <v>11100</v>
      </c>
      <c r="C8810" s="2" t="s">
        <v>11100</v>
      </c>
      <c r="D8810" s="2" t="s">
        <v>11101</v>
      </c>
      <c r="E8810" s="4">
        <v>7500</v>
      </c>
    </row>
    <row r="8811" spans="1:5">
      <c r="A8811" s="2" t="s">
        <v>296</v>
      </c>
      <c r="B8811" s="2" t="s">
        <v>11102</v>
      </c>
      <c r="C8811" s="2" t="s">
        <v>11102</v>
      </c>
      <c r="D8811" s="2" t="s">
        <v>11103</v>
      </c>
      <c r="E8811" s="4">
        <v>11000</v>
      </c>
    </row>
    <row r="8812" spans="1:5">
      <c r="A8812" s="2" t="s">
        <v>296</v>
      </c>
      <c r="B8812" s="2" t="s">
        <v>11104</v>
      </c>
      <c r="C8812" s="2" t="s">
        <v>11104</v>
      </c>
      <c r="D8812" s="2" t="s">
        <v>11105</v>
      </c>
      <c r="E8812" s="4">
        <v>12400</v>
      </c>
    </row>
    <row r="8813" spans="1:5">
      <c r="A8813" s="2" t="s">
        <v>296</v>
      </c>
      <c r="B8813" s="2" t="str">
        <f>"8212"</f>
        <v>8212</v>
      </c>
      <c r="C8813" s="2" t="str">
        <f>"8212"</f>
        <v>8212</v>
      </c>
      <c r="D8813" s="2" t="s">
        <v>11106</v>
      </c>
      <c r="E8813" s="4">
        <v>11800</v>
      </c>
    </row>
    <row r="8814" spans="1:5">
      <c r="A8814" s="2" t="s">
        <v>296</v>
      </c>
      <c r="B8814" s="2" t="str">
        <f>"090630351"</f>
        <v>090630351</v>
      </c>
      <c r="C8814" s="2" t="s">
        <v>11107</v>
      </c>
      <c r="D8814" s="2" t="s">
        <v>11108</v>
      </c>
      <c r="E8814" s="4">
        <v>8800</v>
      </c>
    </row>
    <row r="8815" spans="1:5">
      <c r="A8815" s="2" t="s">
        <v>4493</v>
      </c>
      <c r="B8815" s="2" t="s">
        <v>11109</v>
      </c>
      <c r="C8815" s="2" t="s">
        <v>11109</v>
      </c>
      <c r="D8815" s="2" t="s">
        <v>11110</v>
      </c>
      <c r="E8815" s="4">
        <v>12400</v>
      </c>
    </row>
    <row r="8816" spans="1:5">
      <c r="A8816" s="2" t="s">
        <v>296</v>
      </c>
      <c r="B8816" s="2" t="s">
        <v>11111</v>
      </c>
      <c r="C8816" s="2" t="s">
        <v>11111</v>
      </c>
      <c r="D8816" s="2" t="s">
        <v>11112</v>
      </c>
      <c r="E8816" s="4">
        <v>25000</v>
      </c>
    </row>
    <row r="8817" spans="1:5">
      <c r="A8817" s="2" t="s">
        <v>296</v>
      </c>
      <c r="B8817" s="2" t="str">
        <f>"008010003"</f>
        <v>008010003</v>
      </c>
      <c r="C8817" s="2" t="str">
        <f>"008010003"</f>
        <v>008010003</v>
      </c>
      <c r="D8817" s="2" t="s">
        <v>11113</v>
      </c>
      <c r="E8817" s="4">
        <v>15800</v>
      </c>
    </row>
    <row r="8818" spans="1:5">
      <c r="A8818" s="2" t="s">
        <v>296</v>
      </c>
      <c r="B8818" s="2" t="s">
        <v>11114</v>
      </c>
      <c r="C8818" s="2" t="s">
        <v>11114</v>
      </c>
      <c r="D8818" s="2" t="s">
        <v>11115</v>
      </c>
      <c r="E8818" s="4">
        <v>13500</v>
      </c>
    </row>
    <row r="8819" spans="1:5">
      <c r="A8819" s="2" t="s">
        <v>296</v>
      </c>
      <c r="B8819" s="2" t="s">
        <v>11116</v>
      </c>
      <c r="C8819" s="2" t="s">
        <v>11116</v>
      </c>
      <c r="D8819" s="2" t="s">
        <v>11117</v>
      </c>
      <c r="E8819" s="4">
        <v>22800</v>
      </c>
    </row>
    <row r="8820" spans="1:5">
      <c r="A8820" s="2" t="s">
        <v>4493</v>
      </c>
      <c r="B8820" s="2" t="str">
        <f>"016514"</f>
        <v>016514</v>
      </c>
      <c r="C8820" s="2" t="str">
        <f>"016514"</f>
        <v>016514</v>
      </c>
      <c r="D8820" s="2" t="s">
        <v>11118</v>
      </c>
      <c r="E8820" s="4">
        <v>29500</v>
      </c>
    </row>
    <row r="8821" spans="1:5">
      <c r="A8821" s="2" t="s">
        <v>296</v>
      </c>
      <c r="B8821" s="2" t="s">
        <v>11119</v>
      </c>
      <c r="C8821" s="2" t="s">
        <v>11119</v>
      </c>
      <c r="D8821" s="2" t="s">
        <v>11120</v>
      </c>
      <c r="E8821" s="4">
        <v>18000</v>
      </c>
    </row>
    <row r="8822" spans="1:5">
      <c r="A8822" s="2" t="s">
        <v>296</v>
      </c>
      <c r="B8822" s="2" t="s">
        <v>11121</v>
      </c>
      <c r="C8822" s="2" t="s">
        <v>11121</v>
      </c>
      <c r="D8822" s="2" t="s">
        <v>11122</v>
      </c>
      <c r="E8822" s="4">
        <v>28600</v>
      </c>
    </row>
    <row r="8823" spans="1:5">
      <c r="A8823" s="2" t="s">
        <v>296</v>
      </c>
      <c r="B8823" s="2" t="s">
        <v>11123</v>
      </c>
      <c r="C8823" s="2" t="s">
        <v>11123</v>
      </c>
      <c r="D8823" s="2" t="s">
        <v>11124</v>
      </c>
      <c r="E8823" s="4">
        <v>14200</v>
      </c>
    </row>
    <row r="8824" spans="1:5">
      <c r="A8824" s="2" t="s">
        <v>4493</v>
      </c>
      <c r="B8824" s="2" t="str">
        <f>"284825"</f>
        <v>284825</v>
      </c>
      <c r="C8824" s="2" t="str">
        <f>"284825"</f>
        <v>284825</v>
      </c>
      <c r="D8824" s="2" t="s">
        <v>11125</v>
      </c>
      <c r="E8824" s="4">
        <v>12500</v>
      </c>
    </row>
    <row r="8825" spans="1:5">
      <c r="A8825" s="2" t="s">
        <v>296</v>
      </c>
      <c r="B8825" s="2" t="str">
        <f>"282558"</f>
        <v>282558</v>
      </c>
      <c r="C8825" s="2" t="str">
        <f>"282558"</f>
        <v>282558</v>
      </c>
      <c r="D8825" s="2" t="s">
        <v>11126</v>
      </c>
      <c r="E8825" s="4">
        <v>11500</v>
      </c>
    </row>
    <row r="8826" spans="1:5">
      <c r="A8826" s="2" t="s">
        <v>4493</v>
      </c>
      <c r="B8826" s="2" t="s">
        <v>11127</v>
      </c>
      <c r="C8826" s="2" t="s">
        <v>11127</v>
      </c>
      <c r="D8826" s="2" t="s">
        <v>11128</v>
      </c>
      <c r="E8826" s="4">
        <v>14500</v>
      </c>
    </row>
    <row r="8827" spans="1:5">
      <c r="A8827" s="2" t="s">
        <v>4493</v>
      </c>
      <c r="B8827" s="2" t="str">
        <f>"071630041"</f>
        <v>071630041</v>
      </c>
      <c r="C8827" s="2" t="str">
        <f>"071630041"</f>
        <v>071630041</v>
      </c>
      <c r="D8827" s="2" t="s">
        <v>11129</v>
      </c>
      <c r="E8827" s="4">
        <v>15900</v>
      </c>
    </row>
    <row r="8828" spans="1:5">
      <c r="A8828" s="2" t="s">
        <v>296</v>
      </c>
      <c r="B8828" s="2" t="str">
        <f>"282854"</f>
        <v>282854</v>
      </c>
      <c r="C8828" s="2" t="str">
        <f>"282854"</f>
        <v>282854</v>
      </c>
      <c r="D8828" s="2" t="s">
        <v>11130</v>
      </c>
      <c r="E8828" s="4">
        <v>7500</v>
      </c>
    </row>
    <row r="8829" spans="1:5">
      <c r="A8829" s="2" t="s">
        <v>296</v>
      </c>
      <c r="B8829" s="2" t="s">
        <v>11131</v>
      </c>
      <c r="C8829" s="2" t="s">
        <v>11131</v>
      </c>
      <c r="D8829" s="2" t="s">
        <v>11132</v>
      </c>
      <c r="E8829" s="4">
        <v>18700</v>
      </c>
    </row>
    <row r="8830" spans="1:5">
      <c r="A8830" s="2" t="s">
        <v>296</v>
      </c>
      <c r="B8830" s="2" t="s">
        <v>11133</v>
      </c>
      <c r="C8830" s="2" t="s">
        <v>11133</v>
      </c>
      <c r="D8830" s="2" t="s">
        <v>11134</v>
      </c>
      <c r="E8830" s="4">
        <v>14200</v>
      </c>
    </row>
    <row r="8831" spans="1:5">
      <c r="A8831" s="2" t="s">
        <v>296</v>
      </c>
      <c r="B8831" s="2" t="s">
        <v>11135</v>
      </c>
      <c r="C8831" s="2" t="s">
        <v>11136</v>
      </c>
      <c r="D8831" s="2" t="s">
        <v>11137</v>
      </c>
      <c r="E8831" s="4">
        <v>16000</v>
      </c>
    </row>
    <row r="8832" spans="1:5">
      <c r="A8832" s="2" t="s">
        <v>296</v>
      </c>
      <c r="B8832" s="2" t="str">
        <f>"071630042"</f>
        <v>071630042</v>
      </c>
      <c r="C8832" s="2" t="str">
        <f>"071630042"</f>
        <v>071630042</v>
      </c>
      <c r="D8832" s="2" t="s">
        <v>11138</v>
      </c>
      <c r="E8832" s="4">
        <v>15100</v>
      </c>
    </row>
    <row r="8833" spans="1:5">
      <c r="A8833" s="2" t="s">
        <v>296</v>
      </c>
      <c r="B8833" s="2" t="s">
        <v>11139</v>
      </c>
      <c r="C8833" s="2" t="s">
        <v>11139</v>
      </c>
      <c r="D8833" s="2" t="s">
        <v>11140</v>
      </c>
      <c r="E8833" s="4">
        <v>17800</v>
      </c>
    </row>
    <row r="8834" spans="1:5">
      <c r="A8834" s="2" t="s">
        <v>296</v>
      </c>
      <c r="B8834" s="2" t="s">
        <v>11141</v>
      </c>
      <c r="C8834" s="2" t="s">
        <v>11141</v>
      </c>
      <c r="D8834" s="2" t="s">
        <v>11142</v>
      </c>
      <c r="E8834" s="4">
        <v>14200</v>
      </c>
    </row>
    <row r="8835" spans="1:5">
      <c r="A8835" s="2" t="s">
        <v>4493</v>
      </c>
      <c r="B8835" s="2" t="s">
        <v>11143</v>
      </c>
      <c r="C8835" s="2" t="s">
        <v>11143</v>
      </c>
      <c r="D8835" s="2" t="s">
        <v>11144</v>
      </c>
      <c r="E8835" s="4">
        <v>21400</v>
      </c>
    </row>
    <row r="8836" spans="1:5">
      <c r="A8836" s="2" t="s">
        <v>296</v>
      </c>
      <c r="B8836" s="2" t="s">
        <v>11145</v>
      </c>
      <c r="C8836" s="2" t="s">
        <v>11146</v>
      </c>
      <c r="D8836" s="2" t="s">
        <v>11147</v>
      </c>
      <c r="E8836" s="4">
        <v>12400</v>
      </c>
    </row>
    <row r="8837" spans="1:5">
      <c r="A8837" s="2" t="s">
        <v>296</v>
      </c>
      <c r="B8837" s="2" t="s">
        <v>11148</v>
      </c>
      <c r="C8837" s="2" t="s">
        <v>11148</v>
      </c>
      <c r="D8837" s="2" t="s">
        <v>11149</v>
      </c>
      <c r="E8837" s="4">
        <v>16000</v>
      </c>
    </row>
    <row r="8838" spans="1:5">
      <c r="A8838" s="2" t="s">
        <v>296</v>
      </c>
      <c r="B8838" s="2" t="s">
        <v>11150</v>
      </c>
      <c r="C8838" s="2" t="s">
        <v>11150</v>
      </c>
      <c r="D8838" s="2" t="s">
        <v>11151</v>
      </c>
      <c r="E8838" s="4">
        <v>12000</v>
      </c>
    </row>
    <row r="8839" spans="1:5">
      <c r="A8839" s="2" t="s">
        <v>296</v>
      </c>
      <c r="B8839" s="2" t="str">
        <f>"283085"</f>
        <v>283085</v>
      </c>
      <c r="C8839" s="2" t="str">
        <f>"283085"</f>
        <v>283085</v>
      </c>
      <c r="D8839" s="2" t="s">
        <v>11152</v>
      </c>
      <c r="E8839" s="4">
        <v>19600</v>
      </c>
    </row>
    <row r="8840" spans="1:5">
      <c r="A8840" s="2" t="s">
        <v>296</v>
      </c>
      <c r="B8840" s="2" t="s">
        <v>11153</v>
      </c>
      <c r="C8840" s="2" t="s">
        <v>11153</v>
      </c>
      <c r="D8840" s="2" t="s">
        <v>11154</v>
      </c>
      <c r="E8840" s="4">
        <v>19600</v>
      </c>
    </row>
    <row r="8841" spans="1:5">
      <c r="A8841" s="2" t="s">
        <v>4493</v>
      </c>
      <c r="B8841" s="2" t="str">
        <f>"282557"</f>
        <v>282557</v>
      </c>
      <c r="C8841" s="2" t="str">
        <f>"282557"</f>
        <v>282557</v>
      </c>
      <c r="D8841" s="2" t="s">
        <v>11155</v>
      </c>
      <c r="E8841" s="4">
        <v>8900</v>
      </c>
    </row>
    <row r="8842" spans="1:5">
      <c r="A8842" s="2" t="s">
        <v>4493</v>
      </c>
      <c r="B8842" s="2" t="str">
        <f>"013080"</f>
        <v>013080</v>
      </c>
      <c r="C8842" s="2" t="str">
        <f>"013080"</f>
        <v>013080</v>
      </c>
      <c r="D8842" s="2" t="s">
        <v>11156</v>
      </c>
      <c r="E8842" s="4">
        <v>38500</v>
      </c>
    </row>
    <row r="8843" spans="1:5">
      <c r="A8843" s="2" t="s">
        <v>4493</v>
      </c>
      <c r="B8843" s="2" t="str">
        <f>"090630236"</f>
        <v>090630236</v>
      </c>
      <c r="C8843" s="2" t="s">
        <v>11157</v>
      </c>
      <c r="D8843" s="2" t="s">
        <v>11158</v>
      </c>
      <c r="E8843" s="4">
        <v>7900</v>
      </c>
    </row>
    <row r="8844" spans="1:5">
      <c r="A8844" s="2" t="s">
        <v>4493</v>
      </c>
      <c r="B8844" s="2" t="s">
        <v>11159</v>
      </c>
      <c r="C8844" s="2" t="s">
        <v>11159</v>
      </c>
      <c r="D8844" s="2" t="s">
        <v>11160</v>
      </c>
      <c r="E8844" s="4">
        <v>35000</v>
      </c>
    </row>
    <row r="8845" spans="1:5">
      <c r="A8845" s="2" t="s">
        <v>296</v>
      </c>
      <c r="B8845" s="2" t="s">
        <v>11161</v>
      </c>
      <c r="C8845" s="2" t="s">
        <v>11161</v>
      </c>
      <c r="D8845" s="2" t="s">
        <v>11162</v>
      </c>
      <c r="E8845" s="4">
        <v>8500</v>
      </c>
    </row>
    <row r="8846" spans="1:5">
      <c r="A8846" s="2" t="s">
        <v>296</v>
      </c>
      <c r="B8846" s="2" t="str">
        <f>"02118184M"</f>
        <v>02118184M</v>
      </c>
      <c r="C8846" s="2" t="str">
        <f>"02118184M"</f>
        <v>02118184M</v>
      </c>
      <c r="D8846" s="2" t="s">
        <v>11163</v>
      </c>
      <c r="E8846" s="4">
        <v>11500</v>
      </c>
    </row>
    <row r="8847" spans="1:5">
      <c r="A8847" s="2" t="s">
        <v>4493</v>
      </c>
      <c r="B8847" s="2" t="str">
        <f>"0211847"</f>
        <v>0211847</v>
      </c>
      <c r="C8847" s="2" t="str">
        <f>"0211847"</f>
        <v>0211847</v>
      </c>
      <c r="D8847" s="2" t="s">
        <v>11164</v>
      </c>
      <c r="E8847" s="4">
        <v>4900</v>
      </c>
    </row>
    <row r="8848" spans="1:5">
      <c r="A8848" s="2" t="s">
        <v>4493</v>
      </c>
      <c r="B8848" s="2" t="str">
        <f>"090630244"</f>
        <v>090630244</v>
      </c>
      <c r="C8848" s="2" t="s">
        <v>11165</v>
      </c>
      <c r="D8848" s="2" t="s">
        <v>11166</v>
      </c>
      <c r="E8848" s="4">
        <v>4900</v>
      </c>
    </row>
    <row r="8849" spans="1:5">
      <c r="A8849" s="2" t="s">
        <v>296</v>
      </c>
      <c r="B8849" s="2" t="str">
        <f>"090630235"</f>
        <v>090630235</v>
      </c>
      <c r="C8849" s="2" t="s">
        <v>11167</v>
      </c>
      <c r="D8849" s="2" t="s">
        <v>11168</v>
      </c>
      <c r="E8849" s="4">
        <v>8800</v>
      </c>
    </row>
    <row r="8850" spans="1:5">
      <c r="A8850" s="2" t="s">
        <v>296</v>
      </c>
      <c r="B8850" s="2" t="s">
        <v>11169</v>
      </c>
      <c r="C8850" s="2" t="s">
        <v>11169</v>
      </c>
      <c r="D8850" s="2" t="s">
        <v>11170</v>
      </c>
      <c r="E8850" s="4">
        <v>12400</v>
      </c>
    </row>
    <row r="8851" spans="1:5">
      <c r="A8851" s="2" t="s">
        <v>296</v>
      </c>
      <c r="B8851" s="2" t="str">
        <f>"282521"</f>
        <v>282521</v>
      </c>
      <c r="C8851" s="2" t="str">
        <f>"282521"</f>
        <v>282521</v>
      </c>
      <c r="D8851" s="2" t="s">
        <v>11171</v>
      </c>
      <c r="E8851" s="4">
        <v>9700</v>
      </c>
    </row>
    <row r="8852" spans="1:5">
      <c r="A8852" s="2" t="s">
        <v>4493</v>
      </c>
      <c r="B8852" s="2" t="s">
        <v>11172</v>
      </c>
      <c r="C8852" s="2" t="s">
        <v>11172</v>
      </c>
      <c r="D8852" s="2" t="s">
        <v>11173</v>
      </c>
      <c r="E8852" s="4">
        <v>14500</v>
      </c>
    </row>
    <row r="8853" spans="1:5">
      <c r="A8853" s="2" t="s">
        <v>4493</v>
      </c>
      <c r="B8853" s="2" t="s">
        <v>11174</v>
      </c>
      <c r="C8853" s="2" t="s">
        <v>11174</v>
      </c>
      <c r="D8853" s="2" t="s">
        <v>11175</v>
      </c>
      <c r="E8853" s="4">
        <v>9700</v>
      </c>
    </row>
    <row r="8854" spans="1:5">
      <c r="A8854" s="2" t="s">
        <v>296</v>
      </c>
      <c r="B8854" s="2" t="str">
        <f>"9949294"</f>
        <v>9949294</v>
      </c>
      <c r="C8854" s="2" t="str">
        <f>"9949294"</f>
        <v>9949294</v>
      </c>
      <c r="D8854" s="2" t="s">
        <v>11176</v>
      </c>
      <c r="E8854" s="4">
        <v>19600</v>
      </c>
    </row>
    <row r="8855" spans="1:5">
      <c r="A8855" s="2" t="s">
        <v>4493</v>
      </c>
      <c r="B8855" s="2" t="s">
        <v>11177</v>
      </c>
      <c r="C8855" s="2" t="s">
        <v>11177</v>
      </c>
      <c r="D8855" s="2" t="s">
        <v>11178</v>
      </c>
      <c r="E8855" s="4">
        <v>12400</v>
      </c>
    </row>
    <row r="8856" spans="1:5">
      <c r="A8856" s="2" t="s">
        <v>296</v>
      </c>
      <c r="B8856" s="2" t="str">
        <f>"011406G"</f>
        <v>011406G</v>
      </c>
      <c r="C8856" s="2" t="str">
        <f>"011406G"</f>
        <v>011406G</v>
      </c>
      <c r="D8856" s="2" t="s">
        <v>11179</v>
      </c>
      <c r="E8856" s="4">
        <v>12400</v>
      </c>
    </row>
    <row r="8857" spans="1:5">
      <c r="A8857" s="2" t="s">
        <v>4493</v>
      </c>
      <c r="B8857" s="2" t="s">
        <v>11180</v>
      </c>
      <c r="C8857" s="2" t="s">
        <v>11180</v>
      </c>
      <c r="D8857" s="2" t="s">
        <v>11181</v>
      </c>
      <c r="E8857" s="4">
        <v>14000</v>
      </c>
    </row>
    <row r="8858" spans="1:5">
      <c r="A8858" s="2" t="s">
        <v>296</v>
      </c>
      <c r="B8858" s="2" t="s">
        <v>11182</v>
      </c>
      <c r="C8858" s="2" t="str">
        <f>"146003"</f>
        <v>146003</v>
      </c>
      <c r="D8858" s="2" t="s">
        <v>11183</v>
      </c>
      <c r="E8858" s="4">
        <v>9800</v>
      </c>
    </row>
    <row r="8859" spans="1:5">
      <c r="A8859" s="2" t="s">
        <v>296</v>
      </c>
      <c r="B8859" s="2" t="str">
        <f>"0033743"</f>
        <v>0033743</v>
      </c>
      <c r="C8859" s="2" t="str">
        <f>"0033743"</f>
        <v>0033743</v>
      </c>
      <c r="D8859" s="2" t="s">
        <v>11184</v>
      </c>
      <c r="E8859" s="4">
        <v>18700</v>
      </c>
    </row>
    <row r="8860" spans="1:5">
      <c r="A8860" s="2" t="s">
        <v>296</v>
      </c>
      <c r="B8860" s="2" t="str">
        <f>"030017P"</f>
        <v>030017P</v>
      </c>
      <c r="C8860" s="2" t="str">
        <f>"030017P"</f>
        <v>030017P</v>
      </c>
      <c r="D8860" s="2" t="s">
        <v>11185</v>
      </c>
      <c r="E8860" s="4">
        <v>11500</v>
      </c>
    </row>
    <row r="8861" spans="1:5">
      <c r="A8861" s="2" t="s">
        <v>4493</v>
      </c>
      <c r="B8861" s="2" t="str">
        <f>"090630238"</f>
        <v>090630238</v>
      </c>
      <c r="C8861" s="2" t="str">
        <f>"090630238"</f>
        <v>090630238</v>
      </c>
      <c r="D8861" s="2" t="s">
        <v>11186</v>
      </c>
      <c r="E8861" s="4">
        <v>6500</v>
      </c>
    </row>
    <row r="8862" spans="1:5">
      <c r="A8862" s="2" t="s">
        <v>4493</v>
      </c>
      <c r="B8862" s="2" t="str">
        <f>"282553"</f>
        <v>282553</v>
      </c>
      <c r="C8862" s="2" t="str">
        <f>"282553"</f>
        <v>282553</v>
      </c>
      <c r="D8862" s="2" t="s">
        <v>11187</v>
      </c>
      <c r="E8862" s="4">
        <v>11500</v>
      </c>
    </row>
    <row r="8863" spans="1:5">
      <c r="A8863" s="2" t="s">
        <v>296</v>
      </c>
      <c r="B8863" s="2" t="str">
        <f>"004265"</f>
        <v>004265</v>
      </c>
      <c r="C8863" s="2" t="str">
        <f>"406644-8"</f>
        <v>406644-8</v>
      </c>
      <c r="D8863" s="2" t="s">
        <v>11188</v>
      </c>
      <c r="E8863" s="4">
        <v>19800</v>
      </c>
    </row>
    <row r="8864" spans="1:5">
      <c r="A8864" s="2" t="s">
        <v>296</v>
      </c>
      <c r="B8864" s="2" t="str">
        <f>"090630286"</f>
        <v>090630286</v>
      </c>
      <c r="C8864" s="2" t="str">
        <f>"090630286"</f>
        <v>090630286</v>
      </c>
      <c r="D8864" s="2" t="s">
        <v>11188</v>
      </c>
      <c r="E8864" s="4">
        <v>10600</v>
      </c>
    </row>
    <row r="8865" spans="1:5">
      <c r="A8865" s="2" t="s">
        <v>296</v>
      </c>
      <c r="B8865" s="2" t="str">
        <f>"011416P"</f>
        <v>011416P</v>
      </c>
      <c r="C8865" s="2" t="str">
        <f>"011416P"</f>
        <v>011416P</v>
      </c>
      <c r="D8865" s="2" t="s">
        <v>11189</v>
      </c>
      <c r="E8865" s="4">
        <v>14500</v>
      </c>
    </row>
    <row r="8866" spans="1:5">
      <c r="A8866" s="2" t="s">
        <v>296</v>
      </c>
      <c r="B8866" s="2" t="str">
        <f>"9950447"</f>
        <v>9950447</v>
      </c>
      <c r="C8866" s="2" t="str">
        <f>"9950447"</f>
        <v>9950447</v>
      </c>
      <c r="D8866" s="2" t="s">
        <v>11190</v>
      </c>
      <c r="E8866" s="4">
        <v>11500</v>
      </c>
    </row>
    <row r="8867" spans="1:5">
      <c r="A8867" s="2" t="s">
        <v>296</v>
      </c>
      <c r="B8867" s="2" t="s">
        <v>11191</v>
      </c>
      <c r="C8867" s="2" t="s">
        <v>11191</v>
      </c>
      <c r="D8867" s="2" t="s">
        <v>11192</v>
      </c>
      <c r="E8867" s="4">
        <v>19500</v>
      </c>
    </row>
    <row r="8868" spans="1:5">
      <c r="A8868" s="2" t="s">
        <v>296</v>
      </c>
      <c r="B8868" s="2" t="str">
        <f>"0033746"</f>
        <v>0033746</v>
      </c>
      <c r="C8868" s="2" t="str">
        <f>"0033746"</f>
        <v>0033746</v>
      </c>
      <c r="D8868" s="2" t="s">
        <v>11193</v>
      </c>
      <c r="E8868" s="4">
        <v>18700</v>
      </c>
    </row>
    <row r="8869" spans="1:5">
      <c r="A8869" s="2" t="s">
        <v>296</v>
      </c>
      <c r="B8869" s="2" t="s">
        <v>11194</v>
      </c>
      <c r="C8869" s="2" t="s">
        <v>11194</v>
      </c>
      <c r="D8869" s="2" t="s">
        <v>11195</v>
      </c>
      <c r="E8869" s="4">
        <v>10800</v>
      </c>
    </row>
    <row r="8870" spans="1:5">
      <c r="A8870" s="2" t="s">
        <v>296</v>
      </c>
      <c r="B8870" s="2" t="s">
        <v>11196</v>
      </c>
      <c r="C8870" s="2" t="s">
        <v>11196</v>
      </c>
      <c r="D8870" s="2" t="s">
        <v>11195</v>
      </c>
      <c r="E8870" s="4">
        <v>10800</v>
      </c>
    </row>
    <row r="8871" spans="1:5">
      <c r="A8871" s="2" t="s">
        <v>296</v>
      </c>
      <c r="B8871" s="2" t="str">
        <f>"283841"</f>
        <v>283841</v>
      </c>
      <c r="C8871" s="2" t="str">
        <f>"283841"</f>
        <v>283841</v>
      </c>
      <c r="D8871" s="2" t="s">
        <v>11195</v>
      </c>
      <c r="E8871" s="4">
        <v>28600</v>
      </c>
    </row>
    <row r="8872" spans="1:5">
      <c r="A8872" s="2" t="s">
        <v>296</v>
      </c>
      <c r="B8872" s="2" t="str">
        <f>"0114160"</f>
        <v>0114160</v>
      </c>
      <c r="C8872" s="2" t="str">
        <f>"0114160"</f>
        <v>0114160</v>
      </c>
      <c r="D8872" s="2" t="s">
        <v>11197</v>
      </c>
      <c r="E8872" s="4">
        <v>10600</v>
      </c>
    </row>
    <row r="8873" spans="1:5">
      <c r="A8873" s="2" t="s">
        <v>4493</v>
      </c>
      <c r="B8873" s="2" t="s">
        <v>11198</v>
      </c>
      <c r="C8873" s="2" t="s">
        <v>11198</v>
      </c>
      <c r="D8873" s="2" t="s">
        <v>11199</v>
      </c>
      <c r="E8873" s="4">
        <v>18500</v>
      </c>
    </row>
    <row r="8874" spans="1:5">
      <c r="A8874" s="2" t="s">
        <v>296</v>
      </c>
      <c r="B8874" s="2" t="s">
        <v>11200</v>
      </c>
      <c r="C8874" s="2" t="s">
        <v>11200</v>
      </c>
      <c r="D8874" s="2" t="s">
        <v>11201</v>
      </c>
      <c r="E8874" s="4">
        <v>18500</v>
      </c>
    </row>
    <row r="8875" spans="1:5">
      <c r="A8875" s="2" t="s">
        <v>4493</v>
      </c>
      <c r="B8875" s="2" t="str">
        <f>"090001P"</f>
        <v>090001P</v>
      </c>
      <c r="C8875" s="2" t="str">
        <f>"090001P"</f>
        <v>090001P</v>
      </c>
      <c r="D8875" s="2" t="s">
        <v>11202</v>
      </c>
      <c r="E8875" s="4">
        <v>18000</v>
      </c>
    </row>
    <row r="8876" spans="1:5">
      <c r="A8876" s="2" t="s">
        <v>296</v>
      </c>
      <c r="B8876" s="2" t="s">
        <v>11203</v>
      </c>
      <c r="C8876" s="2" t="s">
        <v>11203</v>
      </c>
      <c r="D8876" s="2" t="s">
        <v>11204</v>
      </c>
      <c r="E8876" s="4">
        <v>17800</v>
      </c>
    </row>
    <row r="8877" spans="1:5">
      <c r="A8877" s="2" t="s">
        <v>296</v>
      </c>
      <c r="B8877" s="2" t="s">
        <v>11205</v>
      </c>
      <c r="C8877" s="2" t="s">
        <v>11205</v>
      </c>
      <c r="D8877" s="2" t="s">
        <v>11206</v>
      </c>
      <c r="E8877" s="4">
        <v>18700</v>
      </c>
    </row>
    <row r="8878" spans="1:5">
      <c r="A8878" s="2" t="s">
        <v>296</v>
      </c>
      <c r="B8878" s="2" t="s">
        <v>11207</v>
      </c>
      <c r="C8878" s="2" t="s">
        <v>11207</v>
      </c>
      <c r="D8878" s="2" t="s">
        <v>11206</v>
      </c>
      <c r="E8878" s="4">
        <v>11500</v>
      </c>
    </row>
    <row r="8879" spans="1:5">
      <c r="A8879" s="2" t="s">
        <v>4493</v>
      </c>
      <c r="B8879" s="2" t="s">
        <v>11208</v>
      </c>
      <c r="C8879" s="2" t="s">
        <v>11208</v>
      </c>
      <c r="D8879" s="2" t="s">
        <v>11206</v>
      </c>
      <c r="E8879" s="4">
        <v>10600</v>
      </c>
    </row>
    <row r="8880" spans="1:5">
      <c r="A8880" s="2" t="s">
        <v>296</v>
      </c>
      <c r="B8880" s="2" t="s">
        <v>11209</v>
      </c>
      <c r="C8880" s="2" t="s">
        <v>11209</v>
      </c>
      <c r="D8880" s="2" t="s">
        <v>11210</v>
      </c>
      <c r="E8880" s="4">
        <v>12400</v>
      </c>
    </row>
    <row r="8881" spans="1:5">
      <c r="A8881" s="2" t="s">
        <v>296</v>
      </c>
      <c r="B8881" s="2" t="str">
        <f>"090630372"</f>
        <v>090630372</v>
      </c>
      <c r="C8881" s="2" t="str">
        <f>"090630372"</f>
        <v>090630372</v>
      </c>
      <c r="D8881" s="2" t="s">
        <v>11211</v>
      </c>
      <c r="E8881" s="4">
        <v>7000</v>
      </c>
    </row>
    <row r="8882" spans="1:5">
      <c r="A8882" s="2" t="s">
        <v>296</v>
      </c>
      <c r="B8882" s="2" t="str">
        <f>"456003"</f>
        <v>456003</v>
      </c>
      <c r="C8882" s="2" t="s">
        <v>11212</v>
      </c>
      <c r="D8882" s="2" t="s">
        <v>11213</v>
      </c>
      <c r="E8882" s="4">
        <v>8500</v>
      </c>
    </row>
    <row r="8883" spans="1:5">
      <c r="A8883" s="2" t="s">
        <v>296</v>
      </c>
      <c r="B8883" s="2" t="s">
        <v>11214</v>
      </c>
      <c r="C8883" s="2" t="s">
        <v>11214</v>
      </c>
      <c r="D8883" s="2" t="s">
        <v>11215</v>
      </c>
      <c r="E8883" s="4">
        <v>15800</v>
      </c>
    </row>
    <row r="8884" spans="1:5">
      <c r="A8884" s="2" t="s">
        <v>4493</v>
      </c>
      <c r="B8884" s="2" t="s">
        <v>11216</v>
      </c>
      <c r="C8884" s="2" t="s">
        <v>11216</v>
      </c>
      <c r="D8884" s="2" t="s">
        <v>11217</v>
      </c>
      <c r="E8884" s="4">
        <v>9700</v>
      </c>
    </row>
    <row r="8885" spans="1:5">
      <c r="A8885" s="2" t="s">
        <v>296</v>
      </c>
      <c r="B8885" s="2" t="s">
        <v>11218</v>
      </c>
      <c r="C8885" s="2" t="s">
        <v>11219</v>
      </c>
      <c r="D8885" s="2" t="s">
        <v>11220</v>
      </c>
      <c r="E8885" s="4">
        <v>9700</v>
      </c>
    </row>
    <row r="8886" spans="1:5">
      <c r="A8886" s="2" t="s">
        <v>296</v>
      </c>
      <c r="B8886" s="2" t="str">
        <f>"021184P"</f>
        <v>021184P</v>
      </c>
      <c r="C8886" s="2" t="str">
        <f>"021184P"</f>
        <v>021184P</v>
      </c>
      <c r="D8886" s="2" t="s">
        <v>11221</v>
      </c>
      <c r="E8886" s="4">
        <v>12400</v>
      </c>
    </row>
    <row r="8887" spans="1:5">
      <c r="A8887" s="2" t="s">
        <v>296</v>
      </c>
      <c r="B8887" s="2" t="s">
        <v>11222</v>
      </c>
      <c r="C8887" s="2" t="s">
        <v>11222</v>
      </c>
      <c r="D8887" s="2" t="s">
        <v>11223</v>
      </c>
      <c r="E8887" s="4">
        <v>7000</v>
      </c>
    </row>
    <row r="8888" spans="1:5">
      <c r="A8888" s="2" t="s">
        <v>296</v>
      </c>
      <c r="B8888" s="2" t="s">
        <v>11224</v>
      </c>
      <c r="C8888" s="2" t="s">
        <v>11224</v>
      </c>
      <c r="D8888" s="2" t="s">
        <v>11225</v>
      </c>
      <c r="E8888" s="4">
        <v>16000</v>
      </c>
    </row>
    <row r="8889" spans="1:5">
      <c r="A8889" s="2" t="s">
        <v>296</v>
      </c>
      <c r="B8889" s="2" t="s">
        <v>11226</v>
      </c>
      <c r="C8889" s="2" t="str">
        <f>"085200P"</f>
        <v>085200P</v>
      </c>
      <c r="D8889" s="2" t="s">
        <v>11227</v>
      </c>
      <c r="E8889" s="4">
        <v>18700</v>
      </c>
    </row>
    <row r="8890" spans="1:5">
      <c r="A8890" s="2" t="s">
        <v>296</v>
      </c>
      <c r="B8890" s="2" t="str">
        <f>"090630642"</f>
        <v>090630642</v>
      </c>
      <c r="C8890" s="2" t="str">
        <f>"09030642"</f>
        <v>09030642</v>
      </c>
      <c r="D8890" s="2" t="s">
        <v>11228</v>
      </c>
      <c r="E8890" s="4">
        <v>17800</v>
      </c>
    </row>
    <row r="8891" spans="1:5">
      <c r="A8891" s="2" t="s">
        <v>296</v>
      </c>
      <c r="B8891" s="2" t="str">
        <f>"283842"</f>
        <v>283842</v>
      </c>
      <c r="C8891" s="2" t="str">
        <f>"283842"</f>
        <v>283842</v>
      </c>
      <c r="D8891" s="2" t="s">
        <v>11229</v>
      </c>
      <c r="E8891" s="4">
        <v>39000</v>
      </c>
    </row>
    <row r="8892" spans="1:5">
      <c r="A8892" s="2" t="s">
        <v>296</v>
      </c>
      <c r="B8892" s="2" t="s">
        <v>11230</v>
      </c>
      <c r="C8892" s="2" t="s">
        <v>11230</v>
      </c>
      <c r="D8892" s="2" t="s">
        <v>11231</v>
      </c>
      <c r="E8892" s="4">
        <v>11500</v>
      </c>
    </row>
    <row r="8893" spans="1:5">
      <c r="A8893" s="2" t="s">
        <v>296</v>
      </c>
      <c r="B8893" s="2" t="s">
        <v>11232</v>
      </c>
      <c r="C8893" s="2" t="s">
        <v>11232</v>
      </c>
      <c r="D8893" s="2" t="s">
        <v>11233</v>
      </c>
      <c r="E8893" s="4">
        <v>10500</v>
      </c>
    </row>
    <row r="8894" spans="1:5">
      <c r="A8894" s="2" t="s">
        <v>296</v>
      </c>
      <c r="B8894" s="2" t="s">
        <v>11234</v>
      </c>
      <c r="C8894" s="2" t="s">
        <v>11234</v>
      </c>
      <c r="D8894" s="2" t="s">
        <v>11235</v>
      </c>
      <c r="E8894" s="4">
        <v>8500</v>
      </c>
    </row>
    <row r="8895" spans="1:5">
      <c r="A8895" s="2" t="s">
        <v>296</v>
      </c>
      <c r="B8895" s="2" t="s">
        <v>11236</v>
      </c>
      <c r="C8895" s="2" t="s">
        <v>11236</v>
      </c>
      <c r="D8895" s="2" t="s">
        <v>11237</v>
      </c>
      <c r="E8895" s="4">
        <v>15100</v>
      </c>
    </row>
    <row r="8896" spans="1:5">
      <c r="A8896" s="2" t="s">
        <v>4493</v>
      </c>
      <c r="B8896" s="2" t="s">
        <v>11238</v>
      </c>
      <c r="C8896" s="2" t="s">
        <v>11238</v>
      </c>
      <c r="D8896" s="2" t="s">
        <v>11237</v>
      </c>
      <c r="E8896" s="4">
        <v>8800</v>
      </c>
    </row>
    <row r="8897" spans="1:5">
      <c r="A8897" s="2" t="s">
        <v>4493</v>
      </c>
      <c r="B8897" s="2" t="str">
        <f>"071630043"</f>
        <v>071630043</v>
      </c>
      <c r="C8897" s="2" t="str">
        <f>"071630043"</f>
        <v>071630043</v>
      </c>
      <c r="D8897" s="2" t="s">
        <v>11239</v>
      </c>
      <c r="E8897" s="4">
        <v>11900</v>
      </c>
    </row>
    <row r="8898" spans="1:5">
      <c r="A8898" s="2" t="s">
        <v>296</v>
      </c>
      <c r="B8898" s="2" t="s">
        <v>11240</v>
      </c>
      <c r="C8898" s="2" t="s">
        <v>11240</v>
      </c>
      <c r="D8898" s="2" t="s">
        <v>11241</v>
      </c>
      <c r="E8898" s="4">
        <v>10000</v>
      </c>
    </row>
    <row r="8899" spans="1:5">
      <c r="A8899" s="2" t="s">
        <v>296</v>
      </c>
      <c r="B8899" s="2" t="s">
        <v>11242</v>
      </c>
      <c r="C8899" s="2" t="s">
        <v>11242</v>
      </c>
      <c r="D8899" s="2" t="s">
        <v>11243</v>
      </c>
      <c r="E8899" s="4">
        <v>18700</v>
      </c>
    </row>
    <row r="8900" spans="1:5">
      <c r="A8900" s="2" t="s">
        <v>296</v>
      </c>
      <c r="B8900" s="2" t="s">
        <v>11244</v>
      </c>
      <c r="C8900" s="2" t="s">
        <v>11244</v>
      </c>
      <c r="D8900" s="2" t="s">
        <v>11245</v>
      </c>
      <c r="E8900" s="4">
        <v>9800</v>
      </c>
    </row>
    <row r="8901" spans="1:5">
      <c r="A8901" s="2" t="s">
        <v>4493</v>
      </c>
      <c r="B8901" s="2" t="str">
        <f>"090630418"</f>
        <v>090630418</v>
      </c>
      <c r="C8901" s="2" t="s">
        <v>11246</v>
      </c>
      <c r="D8901" s="2" t="s">
        <v>11245</v>
      </c>
      <c r="E8901" s="4">
        <v>8900</v>
      </c>
    </row>
    <row r="8902" spans="1:5">
      <c r="A8902" s="2" t="s">
        <v>296</v>
      </c>
      <c r="B8902" s="2" t="s">
        <v>11247</v>
      </c>
      <c r="C8902" s="2" t="s">
        <v>11247</v>
      </c>
      <c r="D8902" s="2" t="s">
        <v>11248</v>
      </c>
      <c r="E8902" s="4">
        <v>12400</v>
      </c>
    </row>
    <row r="8903" spans="1:5">
      <c r="A8903" s="2" t="s">
        <v>296</v>
      </c>
      <c r="B8903" s="2" t="s">
        <v>11249</v>
      </c>
      <c r="C8903" s="2" t="s">
        <v>11249</v>
      </c>
      <c r="D8903" s="2" t="s">
        <v>11250</v>
      </c>
      <c r="E8903" s="4">
        <v>16000</v>
      </c>
    </row>
    <row r="8904" spans="1:5">
      <c r="A8904" s="2" t="s">
        <v>296</v>
      </c>
      <c r="B8904" s="2" t="s">
        <v>11251</v>
      </c>
      <c r="C8904" s="2" t="s">
        <v>11251</v>
      </c>
      <c r="D8904" s="2" t="s">
        <v>11252</v>
      </c>
      <c r="E8904" s="4">
        <v>10500</v>
      </c>
    </row>
    <row r="8905" spans="1:5">
      <c r="A8905" s="2" t="s">
        <v>4493</v>
      </c>
      <c r="B8905" s="2" t="s">
        <v>11253</v>
      </c>
      <c r="C8905" s="2" t="s">
        <v>11253</v>
      </c>
      <c r="D8905" s="2" t="s">
        <v>11254</v>
      </c>
      <c r="E8905" s="4">
        <v>13900</v>
      </c>
    </row>
    <row r="8906" spans="1:5">
      <c r="A8906" s="2" t="s">
        <v>296</v>
      </c>
      <c r="B8906" s="2" t="str">
        <f>"283072"</f>
        <v>283072</v>
      </c>
      <c r="C8906" s="2" t="str">
        <f>"283072"</f>
        <v>283072</v>
      </c>
      <c r="D8906" s="2" t="s">
        <v>11255</v>
      </c>
      <c r="E8906" s="4">
        <v>17800</v>
      </c>
    </row>
    <row r="8907" spans="1:5">
      <c r="A8907" s="2" t="s">
        <v>296</v>
      </c>
      <c r="B8907" s="2" t="str">
        <f>"284831"</f>
        <v>284831</v>
      </c>
      <c r="C8907" s="2" t="str">
        <f>"284831"</f>
        <v>284831</v>
      </c>
      <c r="D8907" s="2" t="s">
        <v>11256</v>
      </c>
      <c r="E8907" s="4">
        <v>9900</v>
      </c>
    </row>
    <row r="8908" spans="1:5">
      <c r="A8908" s="2" t="s">
        <v>296</v>
      </c>
      <c r="B8908" s="2" t="str">
        <f>"020630137"</f>
        <v>020630137</v>
      </c>
      <c r="C8908" s="2" t="s">
        <v>11257</v>
      </c>
      <c r="D8908" s="2" t="s">
        <v>11258</v>
      </c>
      <c r="E8908" s="4">
        <v>4900</v>
      </c>
    </row>
    <row r="8909" spans="1:5">
      <c r="A8909" s="2" t="s">
        <v>296</v>
      </c>
      <c r="B8909" s="2" t="s">
        <v>11259</v>
      </c>
      <c r="C8909" s="2" t="s">
        <v>11259</v>
      </c>
      <c r="D8909" s="2" t="s">
        <v>11260</v>
      </c>
      <c r="E8909" s="4">
        <v>8800</v>
      </c>
    </row>
    <row r="8910" spans="1:5">
      <c r="A8910" s="2" t="s">
        <v>296</v>
      </c>
      <c r="B8910" s="2" t="s">
        <v>11261</v>
      </c>
      <c r="C8910" s="2" t="s">
        <v>11261</v>
      </c>
      <c r="D8910" s="2" t="s">
        <v>11262</v>
      </c>
      <c r="E8910" s="4">
        <v>9900</v>
      </c>
    </row>
    <row r="8911" spans="1:5">
      <c r="A8911" s="2" t="s">
        <v>296</v>
      </c>
      <c r="B8911" s="2" t="str">
        <f>"282860"</f>
        <v>282860</v>
      </c>
      <c r="C8911" s="2" t="str">
        <f>"282860"</f>
        <v>282860</v>
      </c>
      <c r="D8911" s="2" t="s">
        <v>11263</v>
      </c>
      <c r="E8911" s="4">
        <v>10600</v>
      </c>
    </row>
    <row r="8912" spans="1:5">
      <c r="A8912" s="2" t="s">
        <v>4493</v>
      </c>
      <c r="B8912" s="2" t="s">
        <v>11264</v>
      </c>
      <c r="C8912" s="2" t="s">
        <v>11264</v>
      </c>
      <c r="D8912" s="2" t="s">
        <v>11265</v>
      </c>
      <c r="E8912" s="4">
        <v>9700</v>
      </c>
    </row>
    <row r="8913" spans="1:5">
      <c r="A8913" s="2" t="s">
        <v>296</v>
      </c>
      <c r="B8913" s="2" t="str">
        <f>"0033760"</f>
        <v>0033760</v>
      </c>
      <c r="C8913" s="2" t="str">
        <f>"0033760"</f>
        <v>0033760</v>
      </c>
      <c r="D8913" s="2" t="s">
        <v>11266</v>
      </c>
      <c r="E8913" s="4">
        <v>18700</v>
      </c>
    </row>
    <row r="8914" spans="1:5">
      <c r="A8914" s="2" t="s">
        <v>296</v>
      </c>
      <c r="B8914" s="2" t="str">
        <f>"76A01"</f>
        <v>76A01</v>
      </c>
      <c r="C8914" s="2" t="str">
        <f>"76A01"</f>
        <v>76A01</v>
      </c>
      <c r="D8914" s="2" t="s">
        <v>11267</v>
      </c>
      <c r="E8914" s="4">
        <v>4800</v>
      </c>
    </row>
    <row r="8915" spans="1:5">
      <c r="A8915" s="2" t="s">
        <v>296</v>
      </c>
      <c r="B8915" s="2" t="str">
        <f>"015486"</f>
        <v>015486</v>
      </c>
      <c r="C8915" s="2" t="str">
        <f>"015486"</f>
        <v>015486</v>
      </c>
      <c r="D8915" s="2" t="s">
        <v>11268</v>
      </c>
      <c r="E8915" s="4">
        <v>29500</v>
      </c>
    </row>
    <row r="8916" spans="1:5">
      <c r="A8916" s="2" t="s">
        <v>296</v>
      </c>
      <c r="B8916" s="2" t="s">
        <v>11269</v>
      </c>
      <c r="C8916" s="2" t="s">
        <v>11269</v>
      </c>
      <c r="D8916" s="2" t="s">
        <v>11270</v>
      </c>
      <c r="E8916" s="4">
        <v>10600</v>
      </c>
    </row>
    <row r="8917" spans="1:5">
      <c r="A8917" s="2" t="s">
        <v>296</v>
      </c>
      <c r="B8917" s="2" t="s">
        <v>11271</v>
      </c>
      <c r="C8917" s="2" t="s">
        <v>11271</v>
      </c>
      <c r="D8917" s="2" t="s">
        <v>11272</v>
      </c>
      <c r="E8917" s="4">
        <v>8800</v>
      </c>
    </row>
    <row r="8918" spans="1:5">
      <c r="A8918" s="2" t="s">
        <v>296</v>
      </c>
      <c r="B8918" s="2" t="s">
        <v>11273</v>
      </c>
      <c r="C8918" s="2" t="s">
        <v>11273</v>
      </c>
      <c r="D8918" s="2" t="s">
        <v>11272</v>
      </c>
      <c r="E8918" s="4">
        <v>15800</v>
      </c>
    </row>
    <row r="8919" spans="1:5">
      <c r="A8919" s="2" t="s">
        <v>4493</v>
      </c>
      <c r="B8919" s="2" t="s">
        <v>11274</v>
      </c>
      <c r="C8919" s="2" t="s">
        <v>11274</v>
      </c>
      <c r="D8919" s="2" t="s">
        <v>11275</v>
      </c>
      <c r="E8919" s="4">
        <v>14900</v>
      </c>
    </row>
    <row r="8920" spans="1:5">
      <c r="A8920" s="2" t="s">
        <v>296</v>
      </c>
      <c r="B8920" s="2" t="s">
        <v>11276</v>
      </c>
      <c r="C8920" s="2" t="s">
        <v>11276</v>
      </c>
      <c r="D8920" s="2" t="s">
        <v>11277</v>
      </c>
      <c r="E8920" s="4">
        <v>42500</v>
      </c>
    </row>
    <row r="8921" spans="1:5">
      <c r="A8921" s="2" t="s">
        <v>296</v>
      </c>
      <c r="B8921" s="2" t="str">
        <f>"015468"</f>
        <v>015468</v>
      </c>
      <c r="C8921" s="2" t="str">
        <f>"015468"</f>
        <v>015468</v>
      </c>
      <c r="D8921" s="2" t="s">
        <v>11278</v>
      </c>
      <c r="E8921" s="4">
        <v>32200</v>
      </c>
    </row>
    <row r="8922" spans="1:5">
      <c r="A8922" s="2" t="s">
        <v>296</v>
      </c>
      <c r="B8922" s="2" t="str">
        <f>"283068"</f>
        <v>283068</v>
      </c>
      <c r="C8922" s="2" t="str">
        <f>"283068"</f>
        <v>283068</v>
      </c>
      <c r="D8922" s="2" t="s">
        <v>11279</v>
      </c>
      <c r="E8922" s="4">
        <v>18500</v>
      </c>
    </row>
    <row r="8923" spans="1:5">
      <c r="A8923" s="2" t="s">
        <v>296</v>
      </c>
      <c r="B8923" s="2" t="s">
        <v>11280</v>
      </c>
      <c r="C8923" s="2" t="s">
        <v>11280</v>
      </c>
      <c r="D8923" s="2" t="s">
        <v>11281</v>
      </c>
      <c r="E8923" s="4">
        <v>12400</v>
      </c>
    </row>
    <row r="8924" spans="1:5">
      <c r="A8924" s="2" t="s">
        <v>296</v>
      </c>
      <c r="B8924" s="2" t="str">
        <f>"282861"</f>
        <v>282861</v>
      </c>
      <c r="C8924" s="2" t="str">
        <f>"282861"</f>
        <v>282861</v>
      </c>
      <c r="D8924" s="2" t="s">
        <v>11282</v>
      </c>
      <c r="E8924" s="4">
        <v>9700</v>
      </c>
    </row>
    <row r="8925" spans="1:5">
      <c r="A8925" s="2" t="s">
        <v>4493</v>
      </c>
      <c r="B8925" s="2" t="str">
        <f>"090630271"</f>
        <v>090630271</v>
      </c>
      <c r="C8925" s="2" t="str">
        <f>"090630271"</f>
        <v>090630271</v>
      </c>
      <c r="D8925" s="2" t="s">
        <v>11283</v>
      </c>
      <c r="E8925" s="4">
        <v>11900</v>
      </c>
    </row>
    <row r="8926" spans="1:5">
      <c r="A8926" s="2" t="s">
        <v>296</v>
      </c>
      <c r="B8926" s="2" t="s">
        <v>11284</v>
      </c>
      <c r="C8926" s="2" t="s">
        <v>11284</v>
      </c>
      <c r="D8926" s="2" t="s">
        <v>11285</v>
      </c>
      <c r="E8926" s="4">
        <v>18700</v>
      </c>
    </row>
    <row r="8927" spans="1:5">
      <c r="A8927" s="2" t="s">
        <v>296</v>
      </c>
      <c r="B8927" s="2" t="s">
        <v>11286</v>
      </c>
      <c r="C8927" s="2" t="s">
        <v>11286</v>
      </c>
      <c r="D8927" s="2" t="s">
        <v>11287</v>
      </c>
      <c r="E8927" s="4">
        <v>15500</v>
      </c>
    </row>
    <row r="8928" spans="1:5">
      <c r="A8928" s="2" t="s">
        <v>296</v>
      </c>
      <c r="B8928" s="2" t="s">
        <v>11288</v>
      </c>
      <c r="C8928" s="2" t="s">
        <v>11288</v>
      </c>
      <c r="D8928" s="2" t="s">
        <v>11287</v>
      </c>
      <c r="E8928" s="4">
        <v>12400</v>
      </c>
    </row>
    <row r="8929" spans="1:5">
      <c r="A8929" s="2" t="s">
        <v>296</v>
      </c>
      <c r="B8929" s="2" t="s">
        <v>11289</v>
      </c>
      <c r="C8929" s="2" t="s">
        <v>11289</v>
      </c>
      <c r="D8929" s="2" t="s">
        <v>11290</v>
      </c>
      <c r="E8929" s="4">
        <v>14900</v>
      </c>
    </row>
    <row r="8930" spans="1:5">
      <c r="A8930" s="2" t="s">
        <v>296</v>
      </c>
      <c r="B8930" s="2" t="s">
        <v>11291</v>
      </c>
      <c r="C8930" s="2" t="s">
        <v>11291</v>
      </c>
      <c r="D8930" s="2" t="s">
        <v>11292</v>
      </c>
      <c r="E8930" s="4">
        <v>8500</v>
      </c>
    </row>
    <row r="8931" spans="1:5">
      <c r="A8931" s="2" t="s">
        <v>296</v>
      </c>
      <c r="B8931" s="2" t="str">
        <f>"5000000377961"</f>
        <v>5000000377961</v>
      </c>
      <c r="C8931" s="2" t="str">
        <f>"017245"</f>
        <v>017245</v>
      </c>
      <c r="D8931" s="2" t="s">
        <v>11293</v>
      </c>
      <c r="E8931" s="4">
        <v>17800</v>
      </c>
    </row>
    <row r="8932" spans="1:5">
      <c r="A8932" s="2" t="s">
        <v>296</v>
      </c>
      <c r="B8932" s="2" t="s">
        <v>11294</v>
      </c>
      <c r="C8932" s="2" t="s">
        <v>11294</v>
      </c>
      <c r="D8932" s="2" t="s">
        <v>11295</v>
      </c>
      <c r="E8932" s="4">
        <v>11500</v>
      </c>
    </row>
    <row r="8933" spans="1:5">
      <c r="A8933" s="2" t="s">
        <v>296</v>
      </c>
      <c r="B8933" s="2" t="s">
        <v>11296</v>
      </c>
      <c r="C8933" s="2" t="s">
        <v>11296</v>
      </c>
      <c r="D8933" s="2" t="s">
        <v>11297</v>
      </c>
      <c r="E8933" s="4">
        <v>9800</v>
      </c>
    </row>
    <row r="8934" spans="1:5">
      <c r="A8934" s="2" t="s">
        <v>296</v>
      </c>
      <c r="B8934" s="2" t="s">
        <v>11298</v>
      </c>
      <c r="C8934" s="2" t="s">
        <v>11299</v>
      </c>
      <c r="D8934" s="2" t="s">
        <v>11300</v>
      </c>
      <c r="E8934" s="4">
        <v>9800</v>
      </c>
    </row>
    <row r="8935" spans="1:5">
      <c r="A8935" s="2" t="s">
        <v>296</v>
      </c>
      <c r="B8935" s="2" t="s">
        <v>11301</v>
      </c>
      <c r="C8935" s="2" t="s">
        <v>11301</v>
      </c>
      <c r="D8935" s="2" t="s">
        <v>11302</v>
      </c>
      <c r="E8935" s="4">
        <v>25500</v>
      </c>
    </row>
    <row r="8936" spans="1:5">
      <c r="A8936" s="2" t="s">
        <v>296</v>
      </c>
      <c r="B8936" s="2" t="s">
        <v>11303</v>
      </c>
      <c r="C8936" s="2" t="s">
        <v>11304</v>
      </c>
      <c r="D8936" s="2" t="s">
        <v>11305</v>
      </c>
      <c r="E8936" s="4">
        <v>34000</v>
      </c>
    </row>
    <row r="8937" spans="1:5">
      <c r="A8937" s="2" t="s">
        <v>296</v>
      </c>
      <c r="B8937" s="2" t="str">
        <f>"071630045"</f>
        <v>071630045</v>
      </c>
      <c r="C8937" s="2" t="str">
        <f>"071630045"</f>
        <v>071630045</v>
      </c>
      <c r="D8937" s="2" t="s">
        <v>11306</v>
      </c>
      <c r="E8937" s="4">
        <v>18000</v>
      </c>
    </row>
    <row r="8938" spans="1:5">
      <c r="A8938" s="2" t="s">
        <v>4493</v>
      </c>
      <c r="B8938" s="2" t="s">
        <v>11307</v>
      </c>
      <c r="C8938" s="2" t="s">
        <v>11307</v>
      </c>
      <c r="D8938" s="2" t="s">
        <v>11308</v>
      </c>
      <c r="E8938" s="4">
        <v>7000</v>
      </c>
    </row>
    <row r="8939" spans="1:5">
      <c r="A8939" s="2" t="s">
        <v>4493</v>
      </c>
      <c r="B8939" s="2" t="s">
        <v>11309</v>
      </c>
      <c r="C8939" s="2" t="str">
        <f>"506013"</f>
        <v>506013</v>
      </c>
      <c r="D8939" s="2" t="s">
        <v>11310</v>
      </c>
      <c r="E8939" s="4">
        <v>9800</v>
      </c>
    </row>
    <row r="8940" spans="1:5">
      <c r="A8940" s="2" t="s">
        <v>4493</v>
      </c>
      <c r="B8940" s="2" t="s">
        <v>11311</v>
      </c>
      <c r="C8940" s="2" t="s">
        <v>11311</v>
      </c>
      <c r="D8940" s="2" t="s">
        <v>11312</v>
      </c>
      <c r="E8940" s="4">
        <v>34000</v>
      </c>
    </row>
    <row r="8941" spans="1:5">
      <c r="A8941" s="2" t="s">
        <v>4493</v>
      </c>
      <c r="B8941" s="2" t="s">
        <v>11313</v>
      </c>
      <c r="C8941" s="2" t="s">
        <v>11313</v>
      </c>
      <c r="D8941" s="2" t="s">
        <v>11312</v>
      </c>
      <c r="E8941" s="4">
        <v>19000</v>
      </c>
    </row>
    <row r="8942" spans="1:5">
      <c r="A8942" s="2" t="s">
        <v>296</v>
      </c>
      <c r="B8942" s="2" t="str">
        <f>"090630273"</f>
        <v>090630273</v>
      </c>
      <c r="C8942" s="2" t="s">
        <v>11314</v>
      </c>
      <c r="D8942" s="2" t="s">
        <v>11315</v>
      </c>
      <c r="E8942" s="4">
        <v>7000</v>
      </c>
    </row>
    <row r="8943" spans="1:5">
      <c r="A8943" s="2" t="s">
        <v>4493</v>
      </c>
      <c r="B8943" s="2" t="s">
        <v>11316</v>
      </c>
      <c r="C8943" s="2" t="s">
        <v>11316</v>
      </c>
      <c r="D8943" s="2" t="s">
        <v>11315</v>
      </c>
      <c r="E8943" s="4">
        <v>10600</v>
      </c>
    </row>
    <row r="8944" spans="1:5">
      <c r="A8944" s="2" t="s">
        <v>296</v>
      </c>
      <c r="B8944" s="2" t="s">
        <v>11317</v>
      </c>
      <c r="C8944" s="2" t="s">
        <v>11317</v>
      </c>
      <c r="D8944" s="2" t="s">
        <v>11318</v>
      </c>
      <c r="E8944" s="4">
        <v>9700</v>
      </c>
    </row>
    <row r="8945" spans="1:5">
      <c r="A8945" s="2" t="s">
        <v>296</v>
      </c>
      <c r="B8945" s="2" t="s">
        <v>11319</v>
      </c>
      <c r="C8945" s="2" t="s">
        <v>11319</v>
      </c>
      <c r="D8945" s="2" t="s">
        <v>11320</v>
      </c>
      <c r="E8945" s="4">
        <v>8700</v>
      </c>
    </row>
    <row r="8946" spans="1:5">
      <c r="A8946" s="2" t="s">
        <v>4493</v>
      </c>
      <c r="B8946" s="2" t="str">
        <f>"090630297"</f>
        <v>090630297</v>
      </c>
      <c r="C8946" s="2" t="str">
        <f>"090630297"</f>
        <v>090630297</v>
      </c>
      <c r="D8946" s="2" t="s">
        <v>11321</v>
      </c>
      <c r="E8946" s="4">
        <v>8800</v>
      </c>
    </row>
    <row r="8947" spans="1:5">
      <c r="A8947" s="2" t="s">
        <v>296</v>
      </c>
      <c r="B8947" s="2" t="s">
        <v>11322</v>
      </c>
      <c r="C8947" s="2" t="s">
        <v>11322</v>
      </c>
      <c r="D8947" s="2" t="s">
        <v>11323</v>
      </c>
      <c r="E8947" s="4">
        <v>16000</v>
      </c>
    </row>
    <row r="8948" spans="1:5">
      <c r="A8948" s="2" t="s">
        <v>296</v>
      </c>
      <c r="B8948" s="2" t="str">
        <f>"000906414-1"</f>
        <v>000906414-1</v>
      </c>
      <c r="C8948" s="2" t="str">
        <f>"000906414-1"</f>
        <v>000906414-1</v>
      </c>
      <c r="D8948" s="2" t="s">
        <v>11324</v>
      </c>
      <c r="E8948" s="4">
        <v>18700</v>
      </c>
    </row>
    <row r="8949" spans="1:5">
      <c r="A8949" s="2" t="s">
        <v>296</v>
      </c>
      <c r="B8949" s="2" t="s">
        <v>11325</v>
      </c>
      <c r="C8949" s="2" t="s">
        <v>11325</v>
      </c>
      <c r="D8949" s="2" t="s">
        <v>11326</v>
      </c>
      <c r="E8949" s="4">
        <v>8900</v>
      </c>
    </row>
    <row r="8950" spans="1:5">
      <c r="A8950" s="2" t="s">
        <v>296</v>
      </c>
      <c r="B8950" s="2" t="s">
        <v>11327</v>
      </c>
      <c r="C8950" s="2" t="s">
        <v>11327</v>
      </c>
      <c r="D8950" s="2" t="s">
        <v>11328</v>
      </c>
      <c r="E8950" s="4">
        <v>14200</v>
      </c>
    </row>
    <row r="8951" spans="1:5">
      <c r="A8951" s="2" t="s">
        <v>296</v>
      </c>
      <c r="B8951" s="2" t="s">
        <v>11329</v>
      </c>
      <c r="C8951" s="2" t="s">
        <v>11329</v>
      </c>
      <c r="D8951" s="2" t="s">
        <v>11330</v>
      </c>
      <c r="E8951" s="4">
        <v>14200</v>
      </c>
    </row>
    <row r="8952" spans="1:5">
      <c r="A8952" s="2" t="s">
        <v>296</v>
      </c>
      <c r="B8952" s="2" t="s">
        <v>11331</v>
      </c>
      <c r="C8952" s="2" t="s">
        <v>11331</v>
      </c>
      <c r="D8952" s="2" t="s">
        <v>11332</v>
      </c>
      <c r="E8952" s="4">
        <v>16000</v>
      </c>
    </row>
    <row r="8953" spans="1:5">
      <c r="A8953" s="2" t="s">
        <v>4493</v>
      </c>
      <c r="B8953" s="2" t="str">
        <f>"090630274"</f>
        <v>090630274</v>
      </c>
      <c r="C8953" s="2" t="str">
        <f>"090630274"</f>
        <v>090630274</v>
      </c>
      <c r="D8953" s="2" t="s">
        <v>11333</v>
      </c>
      <c r="E8953" s="4">
        <v>6500</v>
      </c>
    </row>
    <row r="8954" spans="1:5">
      <c r="A8954" s="2" t="s">
        <v>4493</v>
      </c>
      <c r="B8954" s="2" t="s">
        <v>11334</v>
      </c>
      <c r="C8954" s="2" t="s">
        <v>11334</v>
      </c>
      <c r="D8954" s="2" t="s">
        <v>11335</v>
      </c>
      <c r="E8954" s="4">
        <v>7500</v>
      </c>
    </row>
    <row r="8955" spans="1:5">
      <c r="A8955" s="2" t="s">
        <v>296</v>
      </c>
      <c r="B8955" s="2" t="s">
        <v>11336</v>
      </c>
      <c r="C8955" s="2" t="s">
        <v>11337</v>
      </c>
      <c r="D8955" s="2" t="s">
        <v>11338</v>
      </c>
      <c r="E8955" s="4">
        <v>8800</v>
      </c>
    </row>
    <row r="8956" spans="1:5">
      <c r="A8956" s="2" t="s">
        <v>296</v>
      </c>
      <c r="B8956" s="2" t="s">
        <v>11339</v>
      </c>
      <c r="C8956" s="2" t="s">
        <v>11339</v>
      </c>
      <c r="D8956" s="2" t="s">
        <v>11340</v>
      </c>
      <c r="E8956" s="4">
        <v>8900</v>
      </c>
    </row>
    <row r="8957" spans="1:5">
      <c r="A8957" s="2" t="s">
        <v>296</v>
      </c>
      <c r="B8957" s="2" t="str">
        <f>"283065"</f>
        <v>283065</v>
      </c>
      <c r="C8957" s="2" t="str">
        <f>"283065"</f>
        <v>283065</v>
      </c>
      <c r="D8957" s="2" t="s">
        <v>11341</v>
      </c>
      <c r="E8957" s="4">
        <v>9100</v>
      </c>
    </row>
    <row r="8958" spans="1:5">
      <c r="A8958" s="2" t="s">
        <v>296</v>
      </c>
      <c r="B8958" s="2" t="s">
        <v>11342</v>
      </c>
      <c r="C8958" s="2" t="s">
        <v>11343</v>
      </c>
      <c r="D8958" s="2" t="s">
        <v>11344</v>
      </c>
      <c r="E8958" s="4">
        <v>9700</v>
      </c>
    </row>
    <row r="8959" spans="1:5">
      <c r="A8959" s="2" t="s">
        <v>4493</v>
      </c>
      <c r="B8959" s="2" t="s">
        <v>11345</v>
      </c>
      <c r="C8959" s="2" t="s">
        <v>11345</v>
      </c>
      <c r="D8959" s="2" t="s">
        <v>11346</v>
      </c>
      <c r="E8959" s="4">
        <v>9700</v>
      </c>
    </row>
    <row r="8960" spans="1:5">
      <c r="A8960" s="2" t="s">
        <v>296</v>
      </c>
      <c r="B8960" s="2" t="str">
        <f>"440004P"</f>
        <v>440004P</v>
      </c>
      <c r="C8960" s="2" t="str">
        <f>"440004P"</f>
        <v>440004P</v>
      </c>
      <c r="D8960" s="2" t="s">
        <v>11347</v>
      </c>
      <c r="E8960" s="4">
        <v>18700</v>
      </c>
    </row>
    <row r="8961" spans="1:5">
      <c r="A8961" s="2" t="s">
        <v>296</v>
      </c>
      <c r="B8961" s="2" t="str">
        <f>"282846"</f>
        <v>282846</v>
      </c>
      <c r="C8961" s="2" t="str">
        <f>"282846"</f>
        <v>282846</v>
      </c>
      <c r="D8961" s="2" t="s">
        <v>11348</v>
      </c>
      <c r="E8961" s="4">
        <v>3689</v>
      </c>
    </row>
    <row r="8962" spans="1:5">
      <c r="A8962" s="2" t="s">
        <v>4493</v>
      </c>
      <c r="B8962" s="2" t="str">
        <f>"66508573450547"</f>
        <v>66508573450547</v>
      </c>
      <c r="C8962" s="2" t="str">
        <f>"66508573450549"</f>
        <v>66508573450549</v>
      </c>
      <c r="D8962" s="2" t="s">
        <v>11349</v>
      </c>
      <c r="E8962" s="2">
        <v>0</v>
      </c>
    </row>
    <row r="8963" spans="1:5">
      <c r="A8963" s="2" t="s">
        <v>165</v>
      </c>
      <c r="B8963" s="2" t="str">
        <f>"1013319598"</f>
        <v>1013319598</v>
      </c>
      <c r="C8963" s="2" t="str">
        <f>"1013319598"</f>
        <v>1013319598</v>
      </c>
      <c r="D8963" s="2" t="s">
        <v>11350</v>
      </c>
      <c r="E8963" s="4">
        <v>2800</v>
      </c>
    </row>
    <row r="8964" spans="1:5">
      <c r="A8964" s="2" t="s">
        <v>165</v>
      </c>
      <c r="B8964" s="2" t="str">
        <f>"4058794432251"</f>
        <v>4058794432251</v>
      </c>
      <c r="C8964" s="2" t="str">
        <f>"0893090002"</f>
        <v>0893090002</v>
      </c>
      <c r="D8964" s="2" t="s">
        <v>11351</v>
      </c>
      <c r="E8964" s="4">
        <v>1500</v>
      </c>
    </row>
    <row r="8965" spans="1:5">
      <c r="A8965" s="2" t="s">
        <v>165</v>
      </c>
      <c r="B8965" s="2" t="str">
        <f>"245573495"</f>
        <v>245573495</v>
      </c>
      <c r="C8965" s="2" t="str">
        <f>"245573495"</f>
        <v>245573495</v>
      </c>
      <c r="D8965" s="2" t="s">
        <v>11352</v>
      </c>
      <c r="E8965" s="4">
        <v>11500</v>
      </c>
    </row>
    <row r="8966" spans="1:5">
      <c r="A8966" s="2" t="s">
        <v>165</v>
      </c>
      <c r="B8966" s="2" t="str">
        <f>"7862117300021"</f>
        <v>7862117300021</v>
      </c>
      <c r="C8966" s="2" t="s">
        <v>11353</v>
      </c>
      <c r="D8966" s="2" t="s">
        <v>11354</v>
      </c>
      <c r="E8966" s="4">
        <v>9700</v>
      </c>
    </row>
    <row r="8967" spans="1:5">
      <c r="A8967" s="2" t="s">
        <v>165</v>
      </c>
      <c r="B8967" s="2" t="str">
        <f>"7891200313846"</f>
        <v>7891200313846</v>
      </c>
      <c r="C8967" s="2" t="str">
        <f>"1628821"</f>
        <v>1628821</v>
      </c>
      <c r="D8967" s="2" t="s">
        <v>11355</v>
      </c>
      <c r="E8967" s="4">
        <v>1900</v>
      </c>
    </row>
    <row r="8968" spans="1:5">
      <c r="A8968" s="2" t="s">
        <v>165</v>
      </c>
      <c r="B8968" s="2" t="str">
        <f>"768970"</f>
        <v>768970</v>
      </c>
      <c r="C8968" s="2" t="str">
        <f>"768970"</f>
        <v>768970</v>
      </c>
      <c r="D8968" s="2" t="s">
        <v>11356</v>
      </c>
      <c r="E8968" s="4">
        <v>1500</v>
      </c>
    </row>
    <row r="8969" spans="1:5">
      <c r="A8969" s="2" t="s">
        <v>165</v>
      </c>
      <c r="B8969" s="2" t="str">
        <f>"82190"</f>
        <v>82190</v>
      </c>
      <c r="C8969" s="2" t="str">
        <f>"82190"</f>
        <v>82190</v>
      </c>
      <c r="D8969" s="2" t="s">
        <v>11357</v>
      </c>
      <c r="E8969" s="4">
        <v>1900</v>
      </c>
    </row>
    <row r="8970" spans="1:5">
      <c r="A8970" s="2" t="s">
        <v>165</v>
      </c>
      <c r="B8970" s="2" t="str">
        <f>"0893090020"</f>
        <v>0893090020</v>
      </c>
      <c r="C8970" s="2" t="str">
        <f>"0893090020"</f>
        <v>0893090020</v>
      </c>
      <c r="D8970" s="2" t="s">
        <v>11358</v>
      </c>
      <c r="E8970" s="4">
        <v>7500</v>
      </c>
    </row>
    <row r="8971" spans="1:5">
      <c r="A8971" s="2" t="s">
        <v>1392</v>
      </c>
      <c r="B8971" s="2" t="s">
        <v>11359</v>
      </c>
      <c r="C8971" s="2" t="s">
        <v>11359</v>
      </c>
      <c r="D8971" s="2" t="s">
        <v>11360</v>
      </c>
      <c r="E8971" s="4">
        <v>7000</v>
      </c>
    </row>
    <row r="8972" spans="1:5">
      <c r="A8972" s="2" t="s">
        <v>1392</v>
      </c>
      <c r="B8972" s="2" t="s">
        <v>11361</v>
      </c>
      <c r="C8972" s="2" t="s">
        <v>11361</v>
      </c>
      <c r="D8972" s="2" t="s">
        <v>11362</v>
      </c>
      <c r="E8972" s="4">
        <v>2500</v>
      </c>
    </row>
    <row r="8973" spans="1:5">
      <c r="A8973" s="2" t="s">
        <v>1392</v>
      </c>
      <c r="B8973" s="2" t="str">
        <f>"2914891-0"</f>
        <v>2914891-0</v>
      </c>
      <c r="C8973" s="2" t="str">
        <f>"2914891-0"</f>
        <v>2914891-0</v>
      </c>
      <c r="D8973" s="2" t="s">
        <v>11363</v>
      </c>
      <c r="E8973" s="4">
        <v>3400</v>
      </c>
    </row>
    <row r="8974" spans="1:5">
      <c r="A8974" s="2" t="s">
        <v>1392</v>
      </c>
      <c r="B8974" s="2" t="s">
        <v>11364</v>
      </c>
      <c r="C8974" s="2" t="s">
        <v>11364</v>
      </c>
      <c r="D8974" s="2" t="s">
        <v>11365</v>
      </c>
      <c r="E8974" s="4">
        <v>1000</v>
      </c>
    </row>
    <row r="8975" spans="1:5">
      <c r="A8975" s="2" t="s">
        <v>1478</v>
      </c>
      <c r="B8975" s="2" t="str">
        <f>"71328255033031"</f>
        <v>71328255033031</v>
      </c>
      <c r="C8975" s="2" t="str">
        <f>"71328255033031"</f>
        <v>71328255033031</v>
      </c>
      <c r="D8975" s="2" t="s">
        <v>11366</v>
      </c>
      <c r="E8975" s="2">
        <v>0</v>
      </c>
    </row>
    <row r="8976" spans="1:5">
      <c r="A8976" s="2" t="s">
        <v>296</v>
      </c>
      <c r="B8976" s="2" t="str">
        <f>"090430004"</f>
        <v>090430004</v>
      </c>
      <c r="C8976" s="2" t="str">
        <f>"090430004"</f>
        <v>090430004</v>
      </c>
      <c r="D8976" s="2" t="s">
        <v>11367</v>
      </c>
      <c r="E8976" s="4">
        <v>61000</v>
      </c>
    </row>
    <row r="8977" spans="1:5">
      <c r="A8977" s="2" t="s">
        <v>2541</v>
      </c>
      <c r="B8977" s="2" t="str">
        <f>"01601810"</f>
        <v>01601810</v>
      </c>
      <c r="C8977" s="2" t="str">
        <f>"01601810"</f>
        <v>01601810</v>
      </c>
      <c r="D8977" s="2" t="s">
        <v>11368</v>
      </c>
      <c r="E8977" s="4">
        <v>61000</v>
      </c>
    </row>
    <row r="8978" spans="1:5">
      <c r="A8978" s="2" t="s">
        <v>296</v>
      </c>
      <c r="B8978" s="2" t="s">
        <v>11369</v>
      </c>
      <c r="C8978" s="2" t="s">
        <v>11369</v>
      </c>
      <c r="D8978" s="2" t="s">
        <v>11370</v>
      </c>
      <c r="E8978" s="4">
        <v>61000</v>
      </c>
    </row>
    <row r="8979" spans="1:5">
      <c r="A8979" s="2" t="s">
        <v>296</v>
      </c>
      <c r="B8979" s="2" t="s">
        <v>11371</v>
      </c>
      <c r="C8979" s="2" t="s">
        <v>11371</v>
      </c>
      <c r="D8979" s="2" t="s">
        <v>11372</v>
      </c>
      <c r="E8979" s="4">
        <v>68200</v>
      </c>
    </row>
    <row r="8980" spans="1:5">
      <c r="A8980" s="2" t="s">
        <v>296</v>
      </c>
      <c r="B8980" s="2" t="str">
        <f>"090430003"</f>
        <v>090430003</v>
      </c>
      <c r="C8980" s="2" t="str">
        <f>"090430003"</f>
        <v>090430003</v>
      </c>
      <c r="D8980" s="2" t="s">
        <v>11373</v>
      </c>
      <c r="E8980" s="4">
        <v>59000</v>
      </c>
    </row>
    <row r="8981" spans="1:5">
      <c r="A8981" s="2" t="s">
        <v>296</v>
      </c>
      <c r="B8981" s="2" t="s">
        <v>11374</v>
      </c>
      <c r="C8981" s="2" t="s">
        <v>11374</v>
      </c>
      <c r="D8981" s="2" t="s">
        <v>11373</v>
      </c>
      <c r="E8981" s="4">
        <v>59000</v>
      </c>
    </row>
    <row r="8982" spans="1:5">
      <c r="A8982" s="2" t="s">
        <v>2541</v>
      </c>
      <c r="B8982" s="2" t="str">
        <f>"090430001"</f>
        <v>090430001</v>
      </c>
      <c r="C8982" s="2" t="str">
        <f>"090430001"</f>
        <v>090430001</v>
      </c>
      <c r="D8982" s="2" t="s">
        <v>11373</v>
      </c>
      <c r="E8982" s="4">
        <v>59000</v>
      </c>
    </row>
    <row r="8983" spans="1:5">
      <c r="A8983" s="2" t="s">
        <v>365</v>
      </c>
      <c r="B8983" s="2" t="str">
        <f>"4052703442225"</f>
        <v>4052703442225</v>
      </c>
      <c r="C8983" s="2" t="s">
        <v>11375</v>
      </c>
      <c r="D8983" s="2" t="s">
        <v>11376</v>
      </c>
      <c r="E8983" s="2">
        <v>500</v>
      </c>
    </row>
    <row r="8984" spans="1:5">
      <c r="A8984" s="2" t="s">
        <v>365</v>
      </c>
      <c r="B8984" s="2" t="str">
        <f>"4052703442072"</f>
        <v>4052703442072</v>
      </c>
      <c r="C8984" s="2" t="s">
        <v>11377</v>
      </c>
      <c r="D8984" s="2" t="s">
        <v>11378</v>
      </c>
      <c r="E8984" s="2">
        <v>500</v>
      </c>
    </row>
    <row r="8985" spans="1:5">
      <c r="A8985" s="2" t="s">
        <v>165</v>
      </c>
      <c r="B8985" s="2" t="s">
        <v>11379</v>
      </c>
      <c r="C8985" s="2" t="s">
        <v>11379</v>
      </c>
      <c r="D8985" s="2" t="s">
        <v>11380</v>
      </c>
      <c r="E8985" s="4">
        <v>1200</v>
      </c>
    </row>
    <row r="8986" spans="1:5">
      <c r="A8986" s="2" t="s">
        <v>165</v>
      </c>
      <c r="B8986" s="2" t="str">
        <f>"02213PA"</f>
        <v>02213PA</v>
      </c>
      <c r="C8986" s="2" t="str">
        <f>"02213PA"</f>
        <v>02213PA</v>
      </c>
      <c r="D8986" s="2" t="s">
        <v>11381</v>
      </c>
      <c r="E8986" s="4">
        <v>1200</v>
      </c>
    </row>
    <row r="8987" spans="1:5">
      <c r="A8987" s="2" t="s">
        <v>296</v>
      </c>
      <c r="B8987" s="2" t="str">
        <f>"281987"</f>
        <v>281987</v>
      </c>
      <c r="C8987" s="2" t="str">
        <f>"281987"</f>
        <v>281987</v>
      </c>
      <c r="D8987" s="2" t="s">
        <v>11382</v>
      </c>
      <c r="E8987" s="4">
        <v>12900</v>
      </c>
    </row>
    <row r="8988" spans="1:5">
      <c r="A8988" s="2" t="s">
        <v>296</v>
      </c>
      <c r="B8988" s="2" t="str">
        <f>"170522"</f>
        <v>170522</v>
      </c>
      <c r="C8988" s="2" t="str">
        <f>"170522"</f>
        <v>170522</v>
      </c>
      <c r="D8988" s="2" t="s">
        <v>11383</v>
      </c>
      <c r="E8988" s="4">
        <v>12900</v>
      </c>
    </row>
    <row r="8989" spans="1:5">
      <c r="A8989" s="2" t="s">
        <v>296</v>
      </c>
      <c r="B8989" s="2" t="str">
        <f>"0728-046"</f>
        <v>0728-046</v>
      </c>
      <c r="C8989" s="2" t="str">
        <f>"0728-046"</f>
        <v>0728-046</v>
      </c>
      <c r="D8989" s="2" t="s">
        <v>11384</v>
      </c>
      <c r="E8989" s="4">
        <v>8500</v>
      </c>
    </row>
    <row r="8990" spans="1:5">
      <c r="A8990" s="2" t="s">
        <v>296</v>
      </c>
      <c r="B8990" s="2" t="str">
        <f>"160043"</f>
        <v>160043</v>
      </c>
      <c r="C8990" s="2" t="str">
        <f>"160043"</f>
        <v>160043</v>
      </c>
      <c r="D8990" s="2" t="s">
        <v>11385</v>
      </c>
      <c r="E8990" s="4">
        <v>34000</v>
      </c>
    </row>
    <row r="8991" spans="1:5">
      <c r="A8991" s="2" t="s">
        <v>296</v>
      </c>
      <c r="B8991" s="2" t="str">
        <f>"1168330"</f>
        <v>1168330</v>
      </c>
      <c r="C8991" s="2" t="str">
        <f>"1168330"</f>
        <v>1168330</v>
      </c>
      <c r="D8991" s="2" t="s">
        <v>11386</v>
      </c>
      <c r="E8991" s="4">
        <v>12500</v>
      </c>
    </row>
    <row r="8992" spans="1:5">
      <c r="A8992" s="2" t="s">
        <v>296</v>
      </c>
      <c r="B8992" s="2" t="str">
        <f>"001424613-4"</f>
        <v>001424613-4</v>
      </c>
      <c r="C8992" s="2" t="str">
        <f>"001424613-4"</f>
        <v>001424613-4</v>
      </c>
      <c r="D8992" s="2" t="s">
        <v>11387</v>
      </c>
      <c r="E8992" s="4">
        <v>9700</v>
      </c>
    </row>
    <row r="8993" spans="1:5">
      <c r="A8993" s="2" t="s">
        <v>296</v>
      </c>
      <c r="B8993" s="2" t="s">
        <v>11388</v>
      </c>
      <c r="C8993" s="2" t="s">
        <v>11388</v>
      </c>
      <c r="D8993" s="2" t="s">
        <v>11389</v>
      </c>
      <c r="E8993" s="4">
        <v>18500</v>
      </c>
    </row>
    <row r="8994" spans="1:5">
      <c r="A8994" s="2" t="s">
        <v>296</v>
      </c>
      <c r="B8994" s="2" t="str">
        <f>"13122012774 6"</f>
        <v>13122012774 6</v>
      </c>
      <c r="C8994" s="2" t="str">
        <f>"0736-046"</f>
        <v>0736-046</v>
      </c>
      <c r="D8994" s="2" t="s">
        <v>11390</v>
      </c>
      <c r="E8994" s="4">
        <v>13500</v>
      </c>
    </row>
    <row r="8995" spans="1:5">
      <c r="A8995" s="2" t="s">
        <v>296</v>
      </c>
      <c r="B8995" s="2" t="str">
        <f>"283588"</f>
        <v>283588</v>
      </c>
      <c r="C8995" s="2" t="str">
        <f>"283588"</f>
        <v>283588</v>
      </c>
      <c r="D8995" s="2" t="s">
        <v>11391</v>
      </c>
      <c r="E8995" s="4">
        <v>17000</v>
      </c>
    </row>
    <row r="8996" spans="1:5">
      <c r="A8996" s="2" t="s">
        <v>296</v>
      </c>
      <c r="B8996" s="2" t="str">
        <f>"170526"</f>
        <v>170526</v>
      </c>
      <c r="C8996" s="2" t="str">
        <f>"170526"</f>
        <v>170526</v>
      </c>
      <c r="D8996" s="2" t="s">
        <v>11392</v>
      </c>
      <c r="E8996" s="4">
        <v>24500</v>
      </c>
    </row>
    <row r="8997" spans="1:5">
      <c r="A8997" s="2" t="s">
        <v>296</v>
      </c>
      <c r="B8997" s="2" t="str">
        <f>"5 000000 108176"</f>
        <v>5 000000 108176</v>
      </c>
      <c r="C8997" s="2" t="str">
        <f>"170524"</f>
        <v>170524</v>
      </c>
      <c r="D8997" s="2" t="s">
        <v>11393</v>
      </c>
      <c r="E8997" s="4">
        <v>19900</v>
      </c>
    </row>
    <row r="8998" spans="1:5">
      <c r="A8998" s="2" t="s">
        <v>296</v>
      </c>
      <c r="B8998" s="2" t="str">
        <f>"283586"</f>
        <v>283586</v>
      </c>
      <c r="C8998" s="2" t="str">
        <f>"283586"</f>
        <v>283586</v>
      </c>
      <c r="D8998" s="2" t="s">
        <v>11394</v>
      </c>
      <c r="E8998" s="4">
        <v>17000</v>
      </c>
    </row>
    <row r="8999" spans="1:5">
      <c r="A8999" s="2" t="s">
        <v>296</v>
      </c>
      <c r="B8999" s="2" t="str">
        <f>"281986"</f>
        <v>281986</v>
      </c>
      <c r="C8999" s="2" t="str">
        <f>"281986"</f>
        <v>281986</v>
      </c>
      <c r="D8999" s="2" t="s">
        <v>11395</v>
      </c>
      <c r="E8999" s="4">
        <v>19700</v>
      </c>
    </row>
    <row r="9000" spans="1:5">
      <c r="A9000" s="2" t="s">
        <v>296</v>
      </c>
      <c r="B9000" s="2" t="str">
        <f>"90411765"</f>
        <v>90411765</v>
      </c>
      <c r="C9000" s="2" t="str">
        <f>"90411765"</f>
        <v>90411765</v>
      </c>
      <c r="D9000" s="2" t="s">
        <v>11396</v>
      </c>
      <c r="E9000" s="4">
        <v>15500</v>
      </c>
    </row>
    <row r="9001" spans="1:5">
      <c r="A9001" s="2" t="s">
        <v>296</v>
      </c>
      <c r="B9001" s="2" t="str">
        <f>"913928-1"</f>
        <v>913928-1</v>
      </c>
      <c r="C9001" s="2" t="str">
        <f>"34000"</f>
        <v>34000</v>
      </c>
      <c r="D9001" s="2" t="s">
        <v>11397</v>
      </c>
      <c r="E9001" s="4">
        <v>9139281</v>
      </c>
    </row>
    <row r="9002" spans="1:5">
      <c r="A9002" s="2" t="s">
        <v>296</v>
      </c>
      <c r="B9002" s="2" t="s">
        <v>11398</v>
      </c>
      <c r="C9002" s="2" t="s">
        <v>11398</v>
      </c>
      <c r="D9002" s="2" t="s">
        <v>11399</v>
      </c>
      <c r="E9002" s="4">
        <v>73000</v>
      </c>
    </row>
    <row r="9003" spans="1:5">
      <c r="A9003" s="2" t="s">
        <v>1478</v>
      </c>
      <c r="B9003" s="2" t="str">
        <f>"232323"</f>
        <v>232323</v>
      </c>
      <c r="C9003" s="2" t="str">
        <f>"232323"</f>
        <v>232323</v>
      </c>
      <c r="D9003" s="2" t="s">
        <v>11400</v>
      </c>
      <c r="E9003" s="4">
        <v>40000</v>
      </c>
    </row>
    <row r="9004" spans="1:5">
      <c r="A9004" s="2" t="s">
        <v>46</v>
      </c>
      <c r="B9004" s="2" t="str">
        <f>"4056807091013"</f>
        <v>4056807091013</v>
      </c>
      <c r="C9004" s="2" t="str">
        <f>"4056807091013"</f>
        <v>4056807091013</v>
      </c>
      <c r="D9004" s="2" t="s">
        <v>11401</v>
      </c>
      <c r="E9004" s="4">
        <v>3000</v>
      </c>
    </row>
    <row r="9005" spans="1:5">
      <c r="A9005" s="2" t="s">
        <v>46</v>
      </c>
      <c r="B9005" s="2" t="str">
        <f>"4056807090771"</f>
        <v>4056807090771</v>
      </c>
      <c r="C9005" s="2" t="str">
        <f>"4056807090771"</f>
        <v>4056807090771</v>
      </c>
      <c r="D9005" s="2" t="s">
        <v>11402</v>
      </c>
      <c r="E9005" s="4">
        <v>3000</v>
      </c>
    </row>
    <row r="9006" spans="1:5">
      <c r="A9006" s="2" t="s">
        <v>365</v>
      </c>
      <c r="B9006" s="2" t="str">
        <f>"1467303910"</f>
        <v>1467303910</v>
      </c>
      <c r="C9006" s="2" t="str">
        <f>"1467303910"</f>
        <v>1467303910</v>
      </c>
      <c r="D9006" s="2" t="s">
        <v>11403</v>
      </c>
      <c r="E9006" s="2">
        <v>1</v>
      </c>
    </row>
    <row r="9007" spans="1:5">
      <c r="A9007" s="2" t="s">
        <v>365</v>
      </c>
      <c r="B9007" s="2" t="str">
        <f>"18200-13W00"</f>
        <v>18200-13W00</v>
      </c>
      <c r="C9007" s="2" t="str">
        <f>"13W00"</f>
        <v>13W00</v>
      </c>
      <c r="D9007" s="2" t="s">
        <v>11404</v>
      </c>
      <c r="E9007" s="4">
        <v>3800</v>
      </c>
    </row>
    <row r="9008" spans="1:5">
      <c r="A9008" s="2" t="s">
        <v>365</v>
      </c>
      <c r="B9008" s="2" t="str">
        <f>"1467303904"</f>
        <v>1467303904</v>
      </c>
      <c r="C9008" s="2" t="str">
        <f>"1467303904"</f>
        <v>1467303904</v>
      </c>
      <c r="D9008" s="2" t="s">
        <v>11405</v>
      </c>
      <c r="E9008" s="2">
        <v>1</v>
      </c>
    </row>
    <row r="9009" spans="1:5">
      <c r="A9009" s="2" t="s">
        <v>365</v>
      </c>
      <c r="B9009" s="2" t="str">
        <f>"0005568"</f>
        <v>0005568</v>
      </c>
      <c r="C9009" s="2" t="str">
        <f>"0005568"</f>
        <v>0005568</v>
      </c>
      <c r="D9009" s="2" t="s">
        <v>11406</v>
      </c>
      <c r="E9009" s="4">
        <v>7000</v>
      </c>
    </row>
    <row r="9010" spans="1:5">
      <c r="A9010" s="2" t="s">
        <v>365</v>
      </c>
      <c r="B9010" s="2" t="str">
        <f>"0016056"</f>
        <v>0016056</v>
      </c>
      <c r="C9010" s="2" t="str">
        <f>"0016056"</f>
        <v>0016056</v>
      </c>
      <c r="D9010" s="2" t="s">
        <v>11407</v>
      </c>
      <c r="E9010" s="4">
        <v>6900</v>
      </c>
    </row>
    <row r="9011" spans="1:5">
      <c r="A9011" s="2" t="s">
        <v>365</v>
      </c>
      <c r="B9011" s="2" t="str">
        <f>"9943566"</f>
        <v>9943566</v>
      </c>
      <c r="C9011" s="2" t="str">
        <f>"9943566"</f>
        <v>9943566</v>
      </c>
      <c r="D9011" s="2" t="s">
        <v>11408</v>
      </c>
      <c r="E9011" s="4">
        <v>7000</v>
      </c>
    </row>
    <row r="9012" spans="1:5">
      <c r="A9012" s="2" t="s">
        <v>365</v>
      </c>
      <c r="B9012" s="2" t="str">
        <f>"30770f4203"</f>
        <v>30770f4203</v>
      </c>
      <c r="C9012" s="2" t="str">
        <f>"0014913"</f>
        <v>0014913</v>
      </c>
      <c r="D9012" s="2" t="s">
        <v>11409</v>
      </c>
      <c r="E9012" s="4">
        <v>18500</v>
      </c>
    </row>
    <row r="9013" spans="1:5">
      <c r="A9013" s="2" t="s">
        <v>365</v>
      </c>
      <c r="B9013" s="2" t="str">
        <f>"001466543-9"</f>
        <v>001466543-9</v>
      </c>
      <c r="C9013" s="2" t="str">
        <f>"001466543-9"</f>
        <v>001466543-9</v>
      </c>
      <c r="D9013" s="2" t="s">
        <v>11410</v>
      </c>
      <c r="E9013" s="4">
        <v>10600</v>
      </c>
    </row>
    <row r="9014" spans="1:5">
      <c r="A9014" s="2" t="s">
        <v>365</v>
      </c>
      <c r="B9014" s="2" t="str">
        <f>"001466553-6"</f>
        <v>001466553-6</v>
      </c>
      <c r="C9014" s="2" t="str">
        <f>"001466553-6"</f>
        <v>001466553-6</v>
      </c>
      <c r="D9014" s="2" t="s">
        <v>11411</v>
      </c>
      <c r="E9014" s="4">
        <v>11500</v>
      </c>
    </row>
    <row r="9015" spans="1:5">
      <c r="A9015" s="2" t="s">
        <v>365</v>
      </c>
      <c r="B9015" s="2" t="str">
        <f>"0017978"</f>
        <v>0017978</v>
      </c>
      <c r="C9015" s="2" t="str">
        <f>"0017978"</f>
        <v>0017978</v>
      </c>
      <c r="D9015" s="2" t="s">
        <v>11412</v>
      </c>
      <c r="E9015" s="4">
        <v>4300</v>
      </c>
    </row>
    <row r="9016" spans="1:5">
      <c r="A9016" s="2" t="s">
        <v>296</v>
      </c>
      <c r="B9016" s="2" t="s">
        <v>11413</v>
      </c>
      <c r="C9016" s="2" t="s">
        <v>11413</v>
      </c>
      <c r="D9016" s="2" t="s">
        <v>11414</v>
      </c>
      <c r="E9016" s="4">
        <v>28000</v>
      </c>
    </row>
    <row r="9017" spans="1:5">
      <c r="A9017" s="2" t="s">
        <v>296</v>
      </c>
      <c r="B9017" s="2" t="str">
        <f>"0001174"</f>
        <v>0001174</v>
      </c>
      <c r="C9017" s="2" t="str">
        <f>"0001174"</f>
        <v>0001174</v>
      </c>
      <c r="D9017" s="2" t="s">
        <v>11415</v>
      </c>
      <c r="E9017" s="4">
        <v>45700</v>
      </c>
    </row>
    <row r="9018" spans="1:5">
      <c r="A9018" s="2" t="s">
        <v>296</v>
      </c>
      <c r="B9018" s="2" t="str">
        <f>"001225212-9"</f>
        <v>001225212-9</v>
      </c>
      <c r="C9018" s="2" t="str">
        <f>"1225212-9"</f>
        <v>1225212-9</v>
      </c>
      <c r="D9018" s="2" t="s">
        <v>11416</v>
      </c>
      <c r="E9018" s="4">
        <v>38500</v>
      </c>
    </row>
    <row r="9019" spans="1:5">
      <c r="A9019" s="2" t="s">
        <v>296</v>
      </c>
      <c r="B9019" s="2" t="str">
        <f>"070740613"</f>
        <v>070740613</v>
      </c>
      <c r="C9019" s="2" t="str">
        <f>"070740613"</f>
        <v>070740613</v>
      </c>
      <c r="D9019" s="2" t="s">
        <v>11417</v>
      </c>
      <c r="E9019" s="4">
        <v>28000</v>
      </c>
    </row>
    <row r="9020" spans="1:5">
      <c r="A9020" s="2" t="s">
        <v>296</v>
      </c>
      <c r="B9020" s="2" t="str">
        <f>"287325"</f>
        <v>287325</v>
      </c>
      <c r="C9020" s="2" t="str">
        <f>"287325"</f>
        <v>287325</v>
      </c>
      <c r="D9020" s="2" t="s">
        <v>11418</v>
      </c>
      <c r="E9020" s="4">
        <v>58300</v>
      </c>
    </row>
    <row r="9021" spans="1:5">
      <c r="A9021" s="2" t="s">
        <v>1478</v>
      </c>
      <c r="B9021" s="2" t="s">
        <v>11419</v>
      </c>
      <c r="C9021" s="2" t="str">
        <f>"1698504852029"</f>
        <v>1698504852029</v>
      </c>
      <c r="D9021" s="2" t="s">
        <v>11420</v>
      </c>
      <c r="E9021" s="4">
        <v>350000</v>
      </c>
    </row>
    <row r="9022" spans="1:5">
      <c r="A9022" s="2" t="s">
        <v>296</v>
      </c>
      <c r="B9022" s="2" t="str">
        <f>"030870117"</f>
        <v>030870117</v>
      </c>
      <c r="C9022" s="2" t="str">
        <f>"030870117"</f>
        <v>030870117</v>
      </c>
      <c r="D9022" s="2" t="s">
        <v>11421</v>
      </c>
      <c r="E9022" s="4">
        <v>2800</v>
      </c>
    </row>
    <row r="9023" spans="1:5">
      <c r="A9023" s="2" t="s">
        <v>296</v>
      </c>
      <c r="B9023" s="2" t="str">
        <f>"011955"</f>
        <v>011955</v>
      </c>
      <c r="C9023" s="2" t="str">
        <f>"011955"</f>
        <v>011955</v>
      </c>
      <c r="D9023" s="2" t="s">
        <v>11422</v>
      </c>
      <c r="E9023" s="4">
        <v>2800</v>
      </c>
    </row>
    <row r="9024" spans="1:5">
      <c r="A9024" s="2" t="s">
        <v>296</v>
      </c>
      <c r="B9024" s="2" t="str">
        <f>"012085"</f>
        <v>012085</v>
      </c>
      <c r="C9024" s="2" t="str">
        <f>"012085"</f>
        <v>012085</v>
      </c>
      <c r="D9024" s="2" t="s">
        <v>11423</v>
      </c>
      <c r="E9024" s="4">
        <v>2700</v>
      </c>
    </row>
    <row r="9025" spans="1:5">
      <c r="A9025" s="2" t="s">
        <v>296</v>
      </c>
      <c r="B9025" s="2" t="str">
        <f>"012027"</f>
        <v>012027</v>
      </c>
      <c r="C9025" s="2" t="str">
        <f>"012027"</f>
        <v>012027</v>
      </c>
      <c r="D9025" s="2" t="s">
        <v>11423</v>
      </c>
      <c r="E9025" s="4">
        <v>2800</v>
      </c>
    </row>
    <row r="9026" spans="1:5">
      <c r="A9026" s="2" t="s">
        <v>296</v>
      </c>
      <c r="B9026" s="2" t="s">
        <v>11424</v>
      </c>
      <c r="C9026" s="2" t="s">
        <v>11424</v>
      </c>
      <c r="D9026" s="2" t="s">
        <v>11423</v>
      </c>
      <c r="E9026" s="4">
        <v>2700</v>
      </c>
    </row>
    <row r="9027" spans="1:5">
      <c r="A9027" s="2" t="s">
        <v>296</v>
      </c>
      <c r="B9027" s="2" t="str">
        <f>"011961"</f>
        <v>011961</v>
      </c>
      <c r="C9027" s="2" t="str">
        <f>"011961"</f>
        <v>011961</v>
      </c>
      <c r="D9027" s="2" t="s">
        <v>11425</v>
      </c>
      <c r="E9027" s="4">
        <v>2800</v>
      </c>
    </row>
    <row r="9028" spans="1:5">
      <c r="A9028" s="2" t="s">
        <v>296</v>
      </c>
      <c r="B9028" s="2" t="str">
        <f>"2384-209"</f>
        <v>2384-209</v>
      </c>
      <c r="C9028" s="2" t="str">
        <f>"2384 209"</f>
        <v>2384 209</v>
      </c>
      <c r="D9028" s="2" t="s">
        <v>11426</v>
      </c>
      <c r="E9028" s="4">
        <v>3400</v>
      </c>
    </row>
    <row r="9029" spans="1:5">
      <c r="A9029" s="2" t="s">
        <v>296</v>
      </c>
      <c r="B9029" s="2" t="str">
        <f>"23-862"</f>
        <v>23-862</v>
      </c>
      <c r="C9029" s="2" t="str">
        <f>"23 862"</f>
        <v>23 862</v>
      </c>
      <c r="D9029" s="2" t="s">
        <v>11427</v>
      </c>
      <c r="E9029" s="4">
        <v>2900</v>
      </c>
    </row>
    <row r="9030" spans="1:5">
      <c r="A9030" s="2" t="s">
        <v>296</v>
      </c>
      <c r="B9030" s="2" t="str">
        <f>"011994"</f>
        <v>011994</v>
      </c>
      <c r="C9030" s="2" t="str">
        <f>"011994"</f>
        <v>011994</v>
      </c>
      <c r="D9030" s="2" t="s">
        <v>11428</v>
      </c>
      <c r="E9030" s="4">
        <v>2000</v>
      </c>
    </row>
    <row r="9031" spans="1:5">
      <c r="A9031" s="2" t="s">
        <v>296</v>
      </c>
      <c r="B9031" s="2" t="str">
        <f>"2384001"</f>
        <v>2384001</v>
      </c>
      <c r="C9031" s="2" t="str">
        <f>"2384 001"</f>
        <v>2384 001</v>
      </c>
      <c r="D9031" s="2" t="s">
        <v>11429</v>
      </c>
      <c r="E9031" s="4">
        <v>2000</v>
      </c>
    </row>
    <row r="9032" spans="1:5">
      <c r="A9032" s="2" t="s">
        <v>296</v>
      </c>
      <c r="B9032" s="2" t="str">
        <f>"010660010"</f>
        <v>010660010</v>
      </c>
      <c r="C9032" s="2" t="s">
        <v>11430</v>
      </c>
      <c r="D9032" s="2" t="s">
        <v>11431</v>
      </c>
      <c r="E9032" s="4">
        <v>2900</v>
      </c>
    </row>
    <row r="9033" spans="1:5">
      <c r="A9033" s="2" t="s">
        <v>296</v>
      </c>
      <c r="B9033" s="2" t="str">
        <f>"010660008"</f>
        <v>010660008</v>
      </c>
      <c r="C9033" s="2" t="str">
        <f>"22145-78506"</f>
        <v>22145-78506</v>
      </c>
      <c r="D9033" s="2" t="s">
        <v>11432</v>
      </c>
      <c r="E9033" s="4">
        <v>3500</v>
      </c>
    </row>
    <row r="9034" spans="1:5">
      <c r="A9034" s="2" t="s">
        <v>296</v>
      </c>
      <c r="B9034" s="2" t="str">
        <f>"23244"</f>
        <v>23244</v>
      </c>
      <c r="C9034" s="2" t="str">
        <f>"23244"</f>
        <v>23244</v>
      </c>
      <c r="D9034" s="2" t="s">
        <v>11433</v>
      </c>
      <c r="E9034" s="4">
        <v>4000</v>
      </c>
    </row>
    <row r="9035" spans="1:5">
      <c r="A9035" s="2" t="s">
        <v>296</v>
      </c>
      <c r="B9035" s="2" t="str">
        <f>"011956"</f>
        <v>011956</v>
      </c>
      <c r="C9035" s="2" t="str">
        <f>"011956"</f>
        <v>011956</v>
      </c>
      <c r="D9035" s="2" t="s">
        <v>11434</v>
      </c>
      <c r="E9035" s="4">
        <v>2800</v>
      </c>
    </row>
    <row r="9036" spans="1:5">
      <c r="A9036" s="2" t="s">
        <v>2544</v>
      </c>
      <c r="B9036" s="2" t="str">
        <f>"010660009"</f>
        <v>010660009</v>
      </c>
      <c r="C9036" s="2" t="str">
        <f>"010660009"</f>
        <v>010660009</v>
      </c>
      <c r="D9036" s="2" t="s">
        <v>11435</v>
      </c>
      <c r="E9036" s="4">
        <v>3500</v>
      </c>
    </row>
    <row r="9037" spans="1:5">
      <c r="A9037" s="2" t="s">
        <v>5</v>
      </c>
      <c r="B9037" s="2" t="str">
        <f>"0029660"</f>
        <v>0029660</v>
      </c>
      <c r="C9037" s="2" t="str">
        <f>"0029660"</f>
        <v>0029660</v>
      </c>
      <c r="D9037" s="2" t="s">
        <v>11436</v>
      </c>
      <c r="E9037" s="4">
        <v>5200</v>
      </c>
    </row>
    <row r="9038" spans="1:5">
      <c r="A9038" s="2" t="s">
        <v>5</v>
      </c>
      <c r="B9038" s="2" t="str">
        <f>"0029658"</f>
        <v>0029658</v>
      </c>
      <c r="C9038" s="2" t="str">
        <f>"0029658"</f>
        <v>0029658</v>
      </c>
      <c r="D9038" s="2" t="s">
        <v>11437</v>
      </c>
      <c r="E9038" s="4">
        <v>9700</v>
      </c>
    </row>
    <row r="9039" spans="1:5">
      <c r="A9039" s="2" t="s">
        <v>5</v>
      </c>
      <c r="B9039" s="2" t="s">
        <v>11438</v>
      </c>
      <c r="C9039" s="2" t="s">
        <v>11438</v>
      </c>
      <c r="D9039" s="2" t="s">
        <v>11439</v>
      </c>
      <c r="E9039" s="4">
        <v>2800</v>
      </c>
    </row>
    <row r="9040" spans="1:5">
      <c r="A9040" s="2" t="s">
        <v>5</v>
      </c>
      <c r="B9040" s="2" t="str">
        <f>"18-450"</f>
        <v>18-450</v>
      </c>
      <c r="C9040" s="2" t="str">
        <f>"18-450"</f>
        <v>18-450</v>
      </c>
      <c r="D9040" s="2" t="s">
        <v>11440</v>
      </c>
      <c r="E9040" s="4">
        <v>3400</v>
      </c>
    </row>
    <row r="9041" spans="1:5">
      <c r="A9041" s="2" t="s">
        <v>5</v>
      </c>
      <c r="B9041" s="2" t="s">
        <v>11441</v>
      </c>
      <c r="C9041" s="2" t="s">
        <v>11441</v>
      </c>
      <c r="D9041" s="2" t="s">
        <v>11442</v>
      </c>
      <c r="E9041" s="4">
        <v>3000</v>
      </c>
    </row>
    <row r="9042" spans="1:5">
      <c r="A9042" s="2" t="s">
        <v>5</v>
      </c>
      <c r="B9042" s="2" t="s">
        <v>11443</v>
      </c>
      <c r="C9042" s="2" t="s">
        <v>11443</v>
      </c>
      <c r="D9042" s="2" t="s">
        <v>11444</v>
      </c>
      <c r="E9042" s="4">
        <v>3400</v>
      </c>
    </row>
    <row r="9043" spans="1:5">
      <c r="A9043" s="2" t="s">
        <v>5</v>
      </c>
      <c r="B9043" s="2" t="s">
        <v>11445</v>
      </c>
      <c r="C9043" s="2" t="s">
        <v>11445</v>
      </c>
      <c r="D9043" s="2" t="s">
        <v>11446</v>
      </c>
      <c r="E9043" s="4">
        <v>3400</v>
      </c>
    </row>
    <row r="9044" spans="1:5">
      <c r="A9044" s="2" t="s">
        <v>5</v>
      </c>
      <c r="B9044" s="2" t="s">
        <v>11447</v>
      </c>
      <c r="C9044" s="2" t="s">
        <v>11447</v>
      </c>
      <c r="D9044" s="2" t="s">
        <v>11448</v>
      </c>
      <c r="E9044" s="4">
        <v>3400</v>
      </c>
    </row>
    <row r="9045" spans="1:5">
      <c r="A9045" s="2" t="s">
        <v>5</v>
      </c>
      <c r="B9045" s="2" t="s">
        <v>11449</v>
      </c>
      <c r="C9045" s="2" t="s">
        <v>11449</v>
      </c>
      <c r="D9045" s="2" t="s">
        <v>11450</v>
      </c>
      <c r="E9045" s="4">
        <v>4300</v>
      </c>
    </row>
    <row r="9046" spans="1:5">
      <c r="A9046" s="2" t="s">
        <v>5</v>
      </c>
      <c r="B9046" s="2" t="s">
        <v>11451</v>
      </c>
      <c r="C9046" s="2" t="s">
        <v>11451</v>
      </c>
      <c r="D9046" s="2" t="s">
        <v>11452</v>
      </c>
      <c r="E9046" s="4">
        <v>3400</v>
      </c>
    </row>
    <row r="9047" spans="1:5">
      <c r="A9047" s="2" t="s">
        <v>9317</v>
      </c>
      <c r="B9047" s="2" t="str">
        <f>"1416003-5"</f>
        <v>1416003-5</v>
      </c>
      <c r="C9047" s="2" t="str">
        <f>"1416003-5"</f>
        <v>1416003-5</v>
      </c>
      <c r="D9047" s="2" t="s">
        <v>11453</v>
      </c>
      <c r="E9047" s="4">
        <v>16000</v>
      </c>
    </row>
    <row r="9048" spans="1:5">
      <c r="A9048" s="2" t="s">
        <v>9317</v>
      </c>
      <c r="B9048" s="2" t="str">
        <f>"288142"</f>
        <v>288142</v>
      </c>
      <c r="C9048" s="2" t="str">
        <f>"288142"</f>
        <v>288142</v>
      </c>
      <c r="D9048" s="2" t="s">
        <v>11454</v>
      </c>
      <c r="E9048" s="4">
        <v>31500</v>
      </c>
    </row>
    <row r="9049" spans="1:5">
      <c r="A9049" s="2" t="s">
        <v>365</v>
      </c>
      <c r="B9049" s="2" t="s">
        <v>11455</v>
      </c>
      <c r="C9049" s="2" t="s">
        <v>11455</v>
      </c>
      <c r="D9049" s="2" t="s">
        <v>11456</v>
      </c>
      <c r="E9049" s="4">
        <v>3700</v>
      </c>
    </row>
    <row r="9050" spans="1:5">
      <c r="A9050" s="2" t="s">
        <v>365</v>
      </c>
      <c r="B9050" s="2" t="str">
        <f>"77160"</f>
        <v>77160</v>
      </c>
      <c r="C9050" s="2" t="str">
        <f>"77160"</f>
        <v>77160</v>
      </c>
      <c r="D9050" s="2" t="s">
        <v>11457</v>
      </c>
      <c r="E9050" s="2">
        <v>800</v>
      </c>
    </row>
    <row r="9051" spans="1:5">
      <c r="A9051" s="2" t="s">
        <v>365</v>
      </c>
      <c r="B9051" s="2" t="str">
        <f>"77150"</f>
        <v>77150</v>
      </c>
      <c r="C9051" s="2" t="str">
        <f>"77150"</f>
        <v>77150</v>
      </c>
      <c r="D9051" s="2" t="s">
        <v>11458</v>
      </c>
      <c r="E9051" s="4">
        <v>1200</v>
      </c>
    </row>
    <row r="9052" spans="1:5">
      <c r="A9052" s="2" t="s">
        <v>3274</v>
      </c>
      <c r="B9052" s="2" t="str">
        <f>"001414413-7"</f>
        <v>001414413-7</v>
      </c>
      <c r="C9052" s="2" t="str">
        <f>"001414413-7"</f>
        <v>001414413-7</v>
      </c>
      <c r="D9052" s="2" t="s">
        <v>11459</v>
      </c>
      <c r="E9052" s="4">
        <v>28000</v>
      </c>
    </row>
    <row r="9053" spans="1:5">
      <c r="A9053" s="2" t="s">
        <v>3274</v>
      </c>
      <c r="B9053" s="2" t="str">
        <f>"247915"</f>
        <v>247915</v>
      </c>
      <c r="C9053" s="2" t="str">
        <f>"247915"</f>
        <v>247915</v>
      </c>
      <c r="D9053" s="2" t="s">
        <v>11460</v>
      </c>
      <c r="E9053" s="4">
        <v>18900</v>
      </c>
    </row>
    <row r="9054" spans="1:5">
      <c r="A9054" s="2" t="s">
        <v>3274</v>
      </c>
      <c r="B9054" s="2" t="str">
        <f>"247811"</f>
        <v>247811</v>
      </c>
      <c r="C9054" s="2" t="str">
        <f>"247811"</f>
        <v>247811</v>
      </c>
      <c r="D9054" s="2" t="s">
        <v>11461</v>
      </c>
      <c r="E9054" s="4">
        <v>21400</v>
      </c>
    </row>
    <row r="9055" spans="1:5">
      <c r="A9055" s="2" t="s">
        <v>2541</v>
      </c>
      <c r="B9055" s="2" t="str">
        <f>"090230537"</f>
        <v>090230537</v>
      </c>
      <c r="C9055" s="2" t="str">
        <f>"090230537"</f>
        <v>090230537</v>
      </c>
      <c r="D9055" s="2" t="s">
        <v>11462</v>
      </c>
      <c r="E9055" s="4">
        <v>23000</v>
      </c>
    </row>
    <row r="9056" spans="1:5">
      <c r="A9056" s="2" t="s">
        <v>3274</v>
      </c>
      <c r="B9056" s="2" t="s">
        <v>11463</v>
      </c>
      <c r="C9056" s="2" t="s">
        <v>11463</v>
      </c>
      <c r="D9056" s="2" t="s">
        <v>11464</v>
      </c>
      <c r="E9056" s="4">
        <v>17900</v>
      </c>
    </row>
    <row r="9057" spans="1:5">
      <c r="A9057" s="2" t="s">
        <v>3274</v>
      </c>
      <c r="B9057" s="2" t="str">
        <f>"070890323"</f>
        <v>070890323</v>
      </c>
      <c r="C9057" s="2" t="str">
        <f>"070890323"</f>
        <v>070890323</v>
      </c>
      <c r="D9057" s="2" t="s">
        <v>11465</v>
      </c>
      <c r="E9057" s="4">
        <v>9700</v>
      </c>
    </row>
    <row r="9058" spans="1:5">
      <c r="A9058" s="2" t="s">
        <v>2541</v>
      </c>
      <c r="B9058" s="2" t="s">
        <v>11466</v>
      </c>
      <c r="C9058" s="2" t="str">
        <f>"1708188456040"</f>
        <v>1708188456040</v>
      </c>
      <c r="D9058" s="2" t="s">
        <v>11467</v>
      </c>
      <c r="E9058" s="4">
        <v>40000</v>
      </c>
    </row>
    <row r="9059" spans="1:5">
      <c r="A9059" s="2" t="s">
        <v>11468</v>
      </c>
      <c r="B9059" s="2" t="str">
        <f>"656456564"</f>
        <v>656456564</v>
      </c>
      <c r="C9059" s="2" t="str">
        <f>"546456456"</f>
        <v>546456456</v>
      </c>
      <c r="D9059" s="2" t="s">
        <v>11469</v>
      </c>
      <c r="E9059" s="2">
        <v>0</v>
      </c>
    </row>
    <row r="9060" spans="1:5">
      <c r="A9060" s="2" t="s">
        <v>2541</v>
      </c>
      <c r="B9060" s="2" t="s">
        <v>11470</v>
      </c>
      <c r="C9060" s="2" t="s">
        <v>11470</v>
      </c>
      <c r="D9060" s="2" t="s">
        <v>11471</v>
      </c>
      <c r="E9060" s="4">
        <v>97000</v>
      </c>
    </row>
    <row r="9061" spans="1:5">
      <c r="A9061" s="2" t="s">
        <v>5</v>
      </c>
      <c r="B9061" s="2" t="str">
        <f>"1651945983011"</f>
        <v>1651945983011</v>
      </c>
      <c r="C9061" s="2" t="str">
        <f>"1651945983011"</f>
        <v>1651945983011</v>
      </c>
      <c r="D9061" s="2" t="s">
        <v>11472</v>
      </c>
      <c r="E9061" s="4">
        <v>134454</v>
      </c>
    </row>
    <row r="9062" spans="1:5">
      <c r="A9062" s="2" t="s">
        <v>5</v>
      </c>
      <c r="B9062" s="2" t="str">
        <f>"27018"</f>
        <v>27018</v>
      </c>
      <c r="C9062" s="2" t="str">
        <f>"27017"</f>
        <v>27017</v>
      </c>
      <c r="D9062" s="2" t="s">
        <v>11473</v>
      </c>
      <c r="E9062" s="4">
        <v>160000</v>
      </c>
    </row>
    <row r="9063" spans="1:5">
      <c r="A9063" s="2" t="s">
        <v>1478</v>
      </c>
      <c r="B9063" s="2" t="s">
        <v>11474</v>
      </c>
      <c r="C9063" s="2" t="str">
        <f>"1735908824925"</f>
        <v>1735908824925</v>
      </c>
      <c r="D9063" s="2" t="s">
        <v>11475</v>
      </c>
      <c r="E9063" s="4">
        <v>184000</v>
      </c>
    </row>
    <row r="9064" spans="1:5">
      <c r="A9064" s="2" t="s">
        <v>296</v>
      </c>
      <c r="B9064" s="2" t="str">
        <f>"17225001-9"</f>
        <v>17225001-9</v>
      </c>
      <c r="C9064" s="2" t="str">
        <f>"17225001-9"</f>
        <v>17225001-9</v>
      </c>
      <c r="D9064" s="2" t="s">
        <v>11476</v>
      </c>
      <c r="E9064" s="4">
        <v>24100</v>
      </c>
    </row>
    <row r="9065" spans="1:5">
      <c r="A9065" s="2" t="s">
        <v>296</v>
      </c>
      <c r="B9065" s="2" t="str">
        <f>"3925004-7"</f>
        <v>3925004-7</v>
      </c>
      <c r="C9065" s="2" t="str">
        <f>"3925004-7"</f>
        <v>3925004-7</v>
      </c>
      <c r="D9065" s="2" t="s">
        <v>11477</v>
      </c>
      <c r="E9065" s="4">
        <v>34000</v>
      </c>
    </row>
    <row r="9066" spans="1:5">
      <c r="A9066" s="2" t="s">
        <v>296</v>
      </c>
      <c r="B9066" s="2" t="str">
        <f>"260015"</f>
        <v>260015</v>
      </c>
      <c r="C9066" s="2" t="str">
        <f>"260015"</f>
        <v>260015</v>
      </c>
      <c r="D9066" s="2" t="s">
        <v>11478</v>
      </c>
      <c r="E9066" s="4">
        <v>18700</v>
      </c>
    </row>
    <row r="9067" spans="1:5">
      <c r="A9067" s="2" t="s">
        <v>296</v>
      </c>
      <c r="B9067" s="2" t="str">
        <f>"280026"</f>
        <v>280026</v>
      </c>
      <c r="C9067" s="2" t="str">
        <f>"280026"</f>
        <v>280026</v>
      </c>
      <c r="D9067" s="2" t="s">
        <v>11479</v>
      </c>
      <c r="E9067" s="4">
        <v>58000</v>
      </c>
    </row>
    <row r="9068" spans="1:5">
      <c r="A9068" s="2" t="s">
        <v>296</v>
      </c>
      <c r="B9068" s="2" t="str">
        <f>"001225070-3"</f>
        <v>001225070-3</v>
      </c>
      <c r="C9068" s="2" t="str">
        <f>"1225070-3"</f>
        <v>1225070-3</v>
      </c>
      <c r="D9068" s="2" t="s">
        <v>11480</v>
      </c>
      <c r="E9068" s="4">
        <v>19500</v>
      </c>
    </row>
    <row r="9069" spans="1:5">
      <c r="A9069" s="2" t="s">
        <v>296</v>
      </c>
      <c r="B9069" s="2" t="str">
        <f>"0402252-1"</f>
        <v>0402252-1</v>
      </c>
      <c r="C9069" s="2" t="str">
        <f>"0402252-1"</f>
        <v>0402252-1</v>
      </c>
      <c r="D9069" s="2" t="s">
        <v>11481</v>
      </c>
      <c r="E9069" s="4">
        <v>39000</v>
      </c>
    </row>
    <row r="9070" spans="1:5">
      <c r="A9070" s="2" t="s">
        <v>296</v>
      </c>
      <c r="B9070" s="2" t="str">
        <f>"321748"</f>
        <v>321748</v>
      </c>
      <c r="C9070" s="2" t="str">
        <f>"321748"</f>
        <v>321748</v>
      </c>
      <c r="D9070" s="2" t="s">
        <v>11482</v>
      </c>
      <c r="E9070" s="4">
        <v>57000</v>
      </c>
    </row>
    <row r="9071" spans="1:5">
      <c r="A9071" s="2" t="s">
        <v>296</v>
      </c>
      <c r="B9071" s="2" t="str">
        <f>"160227"</f>
        <v>160227</v>
      </c>
      <c r="C9071" s="2" t="str">
        <f>"160227"</f>
        <v>160227</v>
      </c>
      <c r="D9071" s="2" t="s">
        <v>11483</v>
      </c>
      <c r="E9071" s="4">
        <v>28000</v>
      </c>
    </row>
    <row r="9072" spans="1:5">
      <c r="A9072" s="2" t="s">
        <v>296</v>
      </c>
      <c r="B9072" s="2" t="str">
        <f>"1425056-5"</f>
        <v>1425056-5</v>
      </c>
      <c r="C9072" s="2" t="str">
        <f>"1425056-5"</f>
        <v>1425056-5</v>
      </c>
      <c r="D9072" s="2" t="s">
        <v>11484</v>
      </c>
      <c r="E9072" s="4">
        <v>28600</v>
      </c>
    </row>
    <row r="9073" spans="1:5">
      <c r="A9073" s="2" t="s">
        <v>296</v>
      </c>
      <c r="B9073" s="2" t="str">
        <f>"2925030-8"</f>
        <v>2925030-8</v>
      </c>
      <c r="C9073" s="2" t="str">
        <f>"2925030-8"</f>
        <v>2925030-8</v>
      </c>
      <c r="D9073" s="2" t="s">
        <v>11485</v>
      </c>
      <c r="E9073" s="4">
        <v>49000</v>
      </c>
    </row>
    <row r="9074" spans="1:5">
      <c r="A9074" s="2" t="s">
        <v>296</v>
      </c>
      <c r="B9074" s="2" t="str">
        <f>"42225001-5"</f>
        <v>42225001-5</v>
      </c>
      <c r="C9074" s="2" t="str">
        <f>"42225001-5"</f>
        <v>42225001-5</v>
      </c>
      <c r="D9074" s="2" t="s">
        <v>11486</v>
      </c>
      <c r="E9074" s="4">
        <v>34000</v>
      </c>
    </row>
    <row r="9075" spans="1:5">
      <c r="A9075" s="2" t="s">
        <v>296</v>
      </c>
      <c r="B9075" s="2" t="str">
        <f>"015377"</f>
        <v>015377</v>
      </c>
      <c r="C9075" s="2" t="str">
        <f>"015377"</f>
        <v>015377</v>
      </c>
      <c r="D9075" s="2" t="s">
        <v>11487</v>
      </c>
      <c r="E9075" s="4">
        <v>36700</v>
      </c>
    </row>
    <row r="9076" spans="1:5">
      <c r="A9076" s="2" t="s">
        <v>296</v>
      </c>
      <c r="B9076" s="2" t="str">
        <f>"160226"</f>
        <v>160226</v>
      </c>
      <c r="C9076" s="2" t="str">
        <f>"160226"</f>
        <v>160226</v>
      </c>
      <c r="D9076" s="2" t="s">
        <v>11488</v>
      </c>
      <c r="E9076" s="4">
        <v>30000</v>
      </c>
    </row>
    <row r="9077" spans="1:5">
      <c r="A9077" s="2" t="s">
        <v>296</v>
      </c>
      <c r="B9077" s="2" t="str">
        <f>"301252"</f>
        <v>301252</v>
      </c>
      <c r="C9077" s="2" t="str">
        <f>"301252"</f>
        <v>301252</v>
      </c>
      <c r="D9077" s="2" t="s">
        <v>11489</v>
      </c>
      <c r="E9077" s="4">
        <v>59000</v>
      </c>
    </row>
    <row r="9078" spans="1:5">
      <c r="A9078" s="2" t="s">
        <v>296</v>
      </c>
      <c r="B9078" s="2" t="str">
        <f>"280413"</f>
        <v>280413</v>
      </c>
      <c r="C9078" s="2" t="str">
        <f>"280413"</f>
        <v>280413</v>
      </c>
      <c r="D9078" s="2" t="s">
        <v>11489</v>
      </c>
      <c r="E9078" s="4">
        <v>59000</v>
      </c>
    </row>
    <row r="9079" spans="1:5">
      <c r="A9079" s="2" t="s">
        <v>296</v>
      </c>
      <c r="B9079" s="2" t="str">
        <f>"001425044-1"</f>
        <v>001425044-1</v>
      </c>
      <c r="C9079" s="2" t="str">
        <f>"1425044-1"</f>
        <v>1425044-1</v>
      </c>
      <c r="D9079" s="2" t="s">
        <v>11490</v>
      </c>
      <c r="E9079" s="4">
        <v>38500</v>
      </c>
    </row>
    <row r="9080" spans="1:5">
      <c r="A9080" s="2" t="s">
        <v>296</v>
      </c>
      <c r="B9080" s="2" t="str">
        <f>"1425044-1"</f>
        <v>1425044-1</v>
      </c>
      <c r="C9080" s="2" t="str">
        <f>"14250441-1"</f>
        <v>14250441-1</v>
      </c>
      <c r="D9080" s="2" t="s">
        <v>11491</v>
      </c>
      <c r="E9080" s="4">
        <v>38500</v>
      </c>
    </row>
    <row r="9081" spans="1:5">
      <c r="A9081" s="2" t="s">
        <v>296</v>
      </c>
      <c r="B9081" s="2" t="str">
        <f>"015379"</f>
        <v>015379</v>
      </c>
      <c r="C9081" s="2" t="str">
        <f>"015379"</f>
        <v>015379</v>
      </c>
      <c r="D9081" s="2" t="s">
        <v>11492</v>
      </c>
      <c r="E9081" s="4">
        <v>61000</v>
      </c>
    </row>
    <row r="9082" spans="1:5">
      <c r="A9082" s="2" t="s">
        <v>296</v>
      </c>
      <c r="B9082" s="2" t="str">
        <f>"280227"</f>
        <v>280227</v>
      </c>
      <c r="C9082" s="2" t="str">
        <f>"280227"</f>
        <v>280227</v>
      </c>
      <c r="D9082" s="2" t="s">
        <v>11493</v>
      </c>
      <c r="E9082" s="4">
        <v>37600</v>
      </c>
    </row>
    <row r="9083" spans="1:5">
      <c r="A9083" s="2" t="s">
        <v>296</v>
      </c>
      <c r="B9083" s="2" t="str">
        <f>"055300"</f>
        <v>055300</v>
      </c>
      <c r="C9083" s="2" t="str">
        <f>"055300"</f>
        <v>055300</v>
      </c>
      <c r="D9083" s="2" t="s">
        <v>11494</v>
      </c>
      <c r="E9083" s="4">
        <v>34000</v>
      </c>
    </row>
    <row r="9084" spans="1:5">
      <c r="A9084" s="2" t="s">
        <v>296</v>
      </c>
      <c r="B9084" s="2" t="str">
        <f>"301925"</f>
        <v>301925</v>
      </c>
      <c r="C9084" s="2" t="str">
        <f>"301925"</f>
        <v>301925</v>
      </c>
      <c r="D9084" s="2" t="s">
        <v>11495</v>
      </c>
      <c r="E9084" s="4">
        <v>79000</v>
      </c>
    </row>
    <row r="9085" spans="1:5">
      <c r="A9085" s="2" t="s">
        <v>296</v>
      </c>
      <c r="B9085" s="2" t="str">
        <f>"260024"</f>
        <v>260024</v>
      </c>
      <c r="C9085" s="2" t="str">
        <f>"260024"</f>
        <v>260024</v>
      </c>
      <c r="D9085" s="2" t="s">
        <v>11496</v>
      </c>
      <c r="E9085" s="4">
        <v>79000</v>
      </c>
    </row>
    <row r="9086" spans="1:5">
      <c r="A9086" s="2" t="s">
        <v>296</v>
      </c>
      <c r="B9086" s="2" t="str">
        <f>"321506"</f>
        <v>321506</v>
      </c>
      <c r="C9086" s="2" t="str">
        <f>"321506"</f>
        <v>321506</v>
      </c>
      <c r="D9086" s="2" t="s">
        <v>11497</v>
      </c>
      <c r="E9086" s="4">
        <v>109000</v>
      </c>
    </row>
    <row r="9087" spans="1:5">
      <c r="A9087" s="2" t="s">
        <v>296</v>
      </c>
      <c r="B9087" s="2" t="str">
        <f>"160220"</f>
        <v>160220</v>
      </c>
      <c r="C9087" s="2" t="str">
        <f>"160220"</f>
        <v>160220</v>
      </c>
      <c r="D9087" s="2" t="s">
        <v>11498</v>
      </c>
      <c r="E9087" s="4">
        <v>24100</v>
      </c>
    </row>
    <row r="9088" spans="1:5">
      <c r="A9088" s="2" t="s">
        <v>296</v>
      </c>
      <c r="B9088" s="2" t="str">
        <f>"1125010-6"</f>
        <v>1125010-6</v>
      </c>
      <c r="C9088" s="2" t="str">
        <f>"1125010-6"</f>
        <v>1125010-6</v>
      </c>
      <c r="D9088" s="2" t="s">
        <v>11499</v>
      </c>
      <c r="E9088" s="4">
        <v>29600</v>
      </c>
    </row>
    <row r="9089" spans="1:5">
      <c r="A9089" s="2" t="s">
        <v>296</v>
      </c>
      <c r="B9089" s="2" t="str">
        <f>"1125005-K"</f>
        <v>1125005-K</v>
      </c>
      <c r="C9089" s="2" t="str">
        <f>"1125005-K"</f>
        <v>1125005-K</v>
      </c>
      <c r="D9089" s="2" t="s">
        <v>11500</v>
      </c>
      <c r="E9089" s="4">
        <v>25000</v>
      </c>
    </row>
    <row r="9090" spans="1:5">
      <c r="A9090" s="2" t="s">
        <v>296</v>
      </c>
      <c r="B9090" s="2" t="str">
        <f>"245013"</f>
        <v>245013</v>
      </c>
      <c r="C9090" s="2" t="str">
        <f>"245013"</f>
        <v>245013</v>
      </c>
      <c r="D9090" s="2" t="s">
        <v>11501</v>
      </c>
      <c r="E9090" s="4">
        <v>43000</v>
      </c>
    </row>
    <row r="9091" spans="1:5">
      <c r="A9091" s="2" t="s">
        <v>296</v>
      </c>
      <c r="B9091" s="2" t="str">
        <f>"321222"</f>
        <v>321222</v>
      </c>
      <c r="C9091" s="2" t="str">
        <f>"321222"</f>
        <v>321222</v>
      </c>
      <c r="D9091" s="2" t="s">
        <v>11502</v>
      </c>
      <c r="E9091" s="4">
        <v>34000</v>
      </c>
    </row>
    <row r="9092" spans="1:5">
      <c r="A9092" s="2" t="s">
        <v>296</v>
      </c>
      <c r="B9092" s="2" t="str">
        <f>"321323"</f>
        <v>321323</v>
      </c>
      <c r="C9092" s="2" t="str">
        <f>"321323"</f>
        <v>321323</v>
      </c>
      <c r="D9092" s="2" t="s">
        <v>11503</v>
      </c>
      <c r="E9092" s="4">
        <v>24100</v>
      </c>
    </row>
    <row r="9093" spans="1:5">
      <c r="A9093" s="2" t="s">
        <v>296</v>
      </c>
      <c r="B9093" s="2" t="str">
        <f>"1325059-6"</f>
        <v>1325059-6</v>
      </c>
      <c r="C9093" s="2" t="str">
        <f>"1325059-6"</f>
        <v>1325059-6</v>
      </c>
      <c r="D9093" s="2" t="s">
        <v>11504</v>
      </c>
      <c r="E9093" s="4">
        <v>34000</v>
      </c>
    </row>
    <row r="9094" spans="1:5">
      <c r="A9094" s="2" t="s">
        <v>296</v>
      </c>
      <c r="B9094" s="2" t="str">
        <f>"301924"</f>
        <v>301924</v>
      </c>
      <c r="C9094" s="2" t="str">
        <f>"301924"</f>
        <v>301924</v>
      </c>
      <c r="D9094" s="2" t="s">
        <v>11505</v>
      </c>
      <c r="E9094" s="4">
        <v>34000</v>
      </c>
    </row>
    <row r="9095" spans="1:5">
      <c r="A9095" s="2" t="s">
        <v>296</v>
      </c>
      <c r="B9095" s="2" t="str">
        <f>"070015"</f>
        <v>070015</v>
      </c>
      <c r="C9095" s="2" t="str">
        <f>"070015"</f>
        <v>070015</v>
      </c>
      <c r="D9095" s="2" t="s">
        <v>11506</v>
      </c>
      <c r="E9095" s="4">
        <v>34000</v>
      </c>
    </row>
    <row r="9096" spans="1:5">
      <c r="A9096" s="2" t="s">
        <v>296</v>
      </c>
      <c r="B9096" s="2" t="str">
        <f>"070032"</f>
        <v>070032</v>
      </c>
      <c r="C9096" s="2" t="str">
        <f>"070032"</f>
        <v>070032</v>
      </c>
      <c r="D9096" s="2" t="s">
        <v>11507</v>
      </c>
      <c r="E9096" s="4">
        <v>29600</v>
      </c>
    </row>
    <row r="9097" spans="1:5">
      <c r="A9097" s="2" t="s">
        <v>2076</v>
      </c>
      <c r="B9097" s="2" t="str">
        <f>"000802805-2"</f>
        <v>000802805-2</v>
      </c>
      <c r="C9097" s="2" t="str">
        <f>"0802805-2"</f>
        <v>0802805-2</v>
      </c>
      <c r="D9097" s="2" t="s">
        <v>11508</v>
      </c>
      <c r="E9097" s="4">
        <v>34000</v>
      </c>
    </row>
    <row r="9098" spans="1:5">
      <c r="A9098" s="2" t="s">
        <v>2076</v>
      </c>
      <c r="B9098" s="2" t="str">
        <f>"190416"</f>
        <v>190416</v>
      </c>
      <c r="C9098" s="2" t="str">
        <f>"190416"</f>
        <v>190416</v>
      </c>
      <c r="D9098" s="2" t="s">
        <v>11509</v>
      </c>
      <c r="E9098" s="4">
        <v>39000</v>
      </c>
    </row>
    <row r="9099" spans="1:5">
      <c r="A9099" s="2" t="s">
        <v>296</v>
      </c>
      <c r="B9099" s="2" t="str">
        <f>"070014"</f>
        <v>070014</v>
      </c>
      <c r="C9099" s="2" t="str">
        <f>"070014"</f>
        <v>070014</v>
      </c>
      <c r="D9099" s="2" t="s">
        <v>11510</v>
      </c>
      <c r="E9099" s="4">
        <v>48500</v>
      </c>
    </row>
    <row r="9100" spans="1:5">
      <c r="A9100" s="2" t="s">
        <v>296</v>
      </c>
      <c r="B9100" s="2" t="str">
        <f>"0802716-1"</f>
        <v>0802716-1</v>
      </c>
      <c r="C9100" s="2" t="str">
        <f>"0802716-1"</f>
        <v>0802716-1</v>
      </c>
      <c r="D9100" s="2" t="s">
        <v>11511</v>
      </c>
      <c r="E9100" s="4">
        <v>19500</v>
      </c>
    </row>
    <row r="9101" spans="1:5">
      <c r="A9101" s="2" t="s">
        <v>2076</v>
      </c>
      <c r="B9101" s="2" t="str">
        <f>"002025040-2"</f>
        <v>002025040-2</v>
      </c>
      <c r="C9101" s="2" t="str">
        <f>"002025040-2"</f>
        <v>002025040-2</v>
      </c>
      <c r="D9101" s="2" t="s">
        <v>11512</v>
      </c>
      <c r="E9101" s="4">
        <v>28500</v>
      </c>
    </row>
    <row r="9102" spans="1:5">
      <c r="A9102" s="2" t="s">
        <v>296</v>
      </c>
      <c r="B9102" s="2" t="str">
        <f>"180384"</f>
        <v>180384</v>
      </c>
      <c r="C9102" s="2" t="str">
        <f>"180384"</f>
        <v>180384</v>
      </c>
      <c r="D9102" s="2" t="s">
        <v>11513</v>
      </c>
      <c r="E9102" s="4">
        <v>38000</v>
      </c>
    </row>
    <row r="9103" spans="1:5">
      <c r="A9103" s="2" t="s">
        <v>296</v>
      </c>
      <c r="B9103" s="2" t="str">
        <f>"002225038-8"</f>
        <v>002225038-8</v>
      </c>
      <c r="C9103" s="2" t="str">
        <f>"002225038-8"</f>
        <v>002225038-8</v>
      </c>
      <c r="D9103" s="2" t="s">
        <v>11514</v>
      </c>
      <c r="E9103" s="4">
        <v>28679</v>
      </c>
    </row>
    <row r="9104" spans="1:5">
      <c r="A9104" s="2" t="s">
        <v>296</v>
      </c>
      <c r="B9104" s="2" t="str">
        <f>"2225010"</f>
        <v>2225010</v>
      </c>
      <c r="C9104" s="2" t="str">
        <f>"2225010"</f>
        <v>2225010</v>
      </c>
      <c r="D9104" s="2" t="s">
        <v>11515</v>
      </c>
      <c r="E9104" s="2">
        <v>0</v>
      </c>
    </row>
    <row r="9105" spans="1:5">
      <c r="A9105" s="2" t="s">
        <v>296</v>
      </c>
      <c r="B9105" s="2" t="str">
        <f>"002225042-6"</f>
        <v>002225042-6</v>
      </c>
      <c r="C9105" s="2" t="str">
        <f>"002225042-6"</f>
        <v>002225042-6</v>
      </c>
      <c r="D9105" s="2" t="s">
        <v>11516</v>
      </c>
      <c r="E9105" s="4">
        <v>38500</v>
      </c>
    </row>
    <row r="9106" spans="1:5">
      <c r="A9106" s="2" t="s">
        <v>296</v>
      </c>
      <c r="B9106" s="2" t="str">
        <f>"002025025-3"</f>
        <v>002025025-3</v>
      </c>
      <c r="C9106" s="2" t="str">
        <f>"002025025-3"</f>
        <v>002025025-3</v>
      </c>
      <c r="D9106" s="2" t="s">
        <v>11517</v>
      </c>
      <c r="E9106" s="4">
        <v>28000</v>
      </c>
    </row>
    <row r="9107" spans="1:5">
      <c r="A9107" s="2" t="s">
        <v>296</v>
      </c>
      <c r="B9107" s="2" t="str">
        <f>"2025002"</f>
        <v>2025002</v>
      </c>
      <c r="C9107" s="2" t="str">
        <f>"2025002"</f>
        <v>2025002</v>
      </c>
      <c r="D9107" s="2" t="s">
        <v>11518</v>
      </c>
      <c r="E9107" s="4">
        <v>48500</v>
      </c>
    </row>
    <row r="9108" spans="1:5">
      <c r="A9108" s="2" t="s">
        <v>296</v>
      </c>
      <c r="B9108" s="2" t="s">
        <v>11519</v>
      </c>
      <c r="C9108" s="2" t="s">
        <v>11519</v>
      </c>
      <c r="D9108" s="2" t="s">
        <v>11520</v>
      </c>
      <c r="E9108" s="4">
        <v>159000</v>
      </c>
    </row>
    <row r="9109" spans="1:5">
      <c r="A9109" s="2" t="s">
        <v>296</v>
      </c>
      <c r="B9109" s="2" t="str">
        <f>"000802719-6"</f>
        <v>000802719-6</v>
      </c>
      <c r="C9109" s="2" t="str">
        <f>"802719"</f>
        <v>802719</v>
      </c>
      <c r="D9109" s="2" t="s">
        <v>11521</v>
      </c>
      <c r="E9109" s="4">
        <v>28000</v>
      </c>
    </row>
    <row r="9110" spans="1:5">
      <c r="A9110" s="2" t="s">
        <v>296</v>
      </c>
      <c r="B9110" s="2" t="str">
        <f>"1725082-5"</f>
        <v>1725082-5</v>
      </c>
      <c r="C9110" s="2" t="str">
        <f>"1725082-5"</f>
        <v>1725082-5</v>
      </c>
      <c r="D9110" s="2" t="s">
        <v>11522</v>
      </c>
      <c r="E9110" s="4">
        <v>48400</v>
      </c>
    </row>
    <row r="9111" spans="1:5">
      <c r="A9111" s="2" t="s">
        <v>296</v>
      </c>
      <c r="B9111" s="2" t="str">
        <f>"1225055K"</f>
        <v>1225055K</v>
      </c>
      <c r="C9111" s="2" t="str">
        <f>"1225055K"</f>
        <v>1225055K</v>
      </c>
      <c r="D9111" s="2" t="s">
        <v>11523</v>
      </c>
      <c r="E9111" s="4">
        <v>34000</v>
      </c>
    </row>
    <row r="9112" spans="1:5">
      <c r="A9112" s="2" t="s">
        <v>296</v>
      </c>
      <c r="B9112" s="2" t="str">
        <f>"004025013-1"</f>
        <v>004025013-1</v>
      </c>
      <c r="C9112" s="2" t="str">
        <f>"4025013-1"</f>
        <v>4025013-1</v>
      </c>
      <c r="D9112" s="2" t="s">
        <v>11524</v>
      </c>
      <c r="E9112" s="4">
        <v>68000</v>
      </c>
    </row>
    <row r="9113" spans="1:5">
      <c r="A9113" s="2" t="s">
        <v>296</v>
      </c>
      <c r="B9113" s="2" t="str">
        <f>"190431"</f>
        <v>190431</v>
      </c>
      <c r="C9113" s="2" t="str">
        <f>"190431"</f>
        <v>190431</v>
      </c>
      <c r="D9113" s="2" t="s">
        <v>11525</v>
      </c>
      <c r="E9113" s="4">
        <v>58300</v>
      </c>
    </row>
    <row r="9114" spans="1:5">
      <c r="A9114" s="2" t="s">
        <v>296</v>
      </c>
      <c r="B9114" s="2" t="str">
        <f>"210018"</f>
        <v>210018</v>
      </c>
      <c r="C9114" s="2" t="str">
        <f>"210018"</f>
        <v>210018</v>
      </c>
      <c r="D9114" s="2" t="s">
        <v>11526</v>
      </c>
      <c r="E9114" s="4">
        <v>32200</v>
      </c>
    </row>
    <row r="9115" spans="1:5">
      <c r="A9115" s="2" t="s">
        <v>296</v>
      </c>
      <c r="B9115" s="2" t="str">
        <f>"210017"</f>
        <v>210017</v>
      </c>
      <c r="C9115" s="2" t="str">
        <f>"210017"</f>
        <v>210017</v>
      </c>
      <c r="D9115" s="2" t="s">
        <v>11527</v>
      </c>
      <c r="E9115" s="4">
        <v>48400</v>
      </c>
    </row>
    <row r="9116" spans="1:5">
      <c r="A9116" s="2" t="s">
        <v>296</v>
      </c>
      <c r="B9116" s="2" t="str">
        <f>"300863"</f>
        <v>300863</v>
      </c>
      <c r="C9116" s="2" t="str">
        <f>"300863"</f>
        <v>300863</v>
      </c>
      <c r="D9116" s="2" t="s">
        <v>11528</v>
      </c>
      <c r="E9116" s="4">
        <v>38000</v>
      </c>
    </row>
    <row r="9117" spans="1:5">
      <c r="A9117" s="2" t="s">
        <v>296</v>
      </c>
      <c r="B9117" s="2" t="str">
        <f>"247012"</f>
        <v>247012</v>
      </c>
      <c r="C9117" s="2" t="str">
        <f>"247012"</f>
        <v>247012</v>
      </c>
      <c r="D9117" s="2" t="s">
        <v>11529</v>
      </c>
      <c r="E9117" s="4">
        <v>25000</v>
      </c>
    </row>
    <row r="9118" spans="1:5">
      <c r="A9118" s="2" t="s">
        <v>296</v>
      </c>
      <c r="B9118" s="2" t="str">
        <f>"302076"</f>
        <v>302076</v>
      </c>
      <c r="C9118" s="2" t="str">
        <f>"302076"</f>
        <v>302076</v>
      </c>
      <c r="D9118" s="2" t="s">
        <v>11530</v>
      </c>
      <c r="E9118" s="4">
        <v>34000</v>
      </c>
    </row>
    <row r="9119" spans="1:5">
      <c r="A9119" s="2" t="s">
        <v>296</v>
      </c>
      <c r="B9119" s="2" t="str">
        <f>"002108"</f>
        <v>002108</v>
      </c>
      <c r="C9119" s="2" t="str">
        <f>"002108"</f>
        <v>002108</v>
      </c>
      <c r="D9119" s="2" t="s">
        <v>11531</v>
      </c>
      <c r="E9119" s="4">
        <v>28600</v>
      </c>
    </row>
    <row r="9120" spans="1:5">
      <c r="A9120" s="2" t="s">
        <v>296</v>
      </c>
      <c r="B9120" s="2" t="str">
        <f>"1225288-9"</f>
        <v>1225288-9</v>
      </c>
      <c r="C9120" s="2" t="str">
        <f>"1458651335"</f>
        <v>1458651335</v>
      </c>
      <c r="D9120" s="2" t="s">
        <v>11532</v>
      </c>
      <c r="E9120" s="4">
        <v>48900</v>
      </c>
    </row>
    <row r="9121" spans="1:5">
      <c r="A9121" s="2" t="s">
        <v>296</v>
      </c>
      <c r="B9121" s="2" t="str">
        <f>"1825104-3"</f>
        <v>1825104-3</v>
      </c>
      <c r="C9121" s="2" t="str">
        <f>"1825104-3"</f>
        <v>1825104-3</v>
      </c>
      <c r="D9121" s="2" t="s">
        <v>11533</v>
      </c>
      <c r="E9121" s="4">
        <v>34000</v>
      </c>
    </row>
    <row r="9122" spans="1:5">
      <c r="A9122" s="2" t="s">
        <v>2076</v>
      </c>
      <c r="B9122" s="2" t="str">
        <f>"247013"</f>
        <v>247013</v>
      </c>
      <c r="C9122" s="2" t="str">
        <f>"247013"</f>
        <v>247013</v>
      </c>
      <c r="D9122" s="2" t="s">
        <v>11534</v>
      </c>
      <c r="E9122" s="4">
        <v>25000</v>
      </c>
    </row>
    <row r="9123" spans="1:5">
      <c r="A9123" s="2" t="s">
        <v>296</v>
      </c>
      <c r="B9123" s="2" t="str">
        <f>"321178"</f>
        <v>321178</v>
      </c>
      <c r="C9123" s="2" t="str">
        <f>"321178"</f>
        <v>321178</v>
      </c>
      <c r="D9123" s="2" t="s">
        <v>11535</v>
      </c>
      <c r="E9123" s="4">
        <v>48000</v>
      </c>
    </row>
    <row r="9124" spans="1:5">
      <c r="A9124" s="2" t="s">
        <v>296</v>
      </c>
      <c r="B9124" s="2" t="str">
        <f>"020599"</f>
        <v>020599</v>
      </c>
      <c r="C9124" s="2" t="str">
        <f>"020599"</f>
        <v>020599</v>
      </c>
      <c r="D9124" s="2" t="s">
        <v>11536</v>
      </c>
      <c r="E9124" s="4">
        <v>34000</v>
      </c>
    </row>
    <row r="9125" spans="1:5">
      <c r="A9125" s="2" t="s">
        <v>296</v>
      </c>
      <c r="B9125" s="2" t="str">
        <f>"1225035-5"</f>
        <v>1225035-5</v>
      </c>
      <c r="C9125" s="2" t="str">
        <f>"1225035-5"</f>
        <v>1225035-5</v>
      </c>
      <c r="D9125" s="2" t="s">
        <v>11537</v>
      </c>
      <c r="E9125" s="4">
        <v>28600</v>
      </c>
    </row>
    <row r="9126" spans="1:5">
      <c r="A9126" s="2" t="s">
        <v>296</v>
      </c>
      <c r="B9126" s="2" t="str">
        <f>"0225441"</f>
        <v>0225441</v>
      </c>
      <c r="C9126" s="2" t="str">
        <f>"0225441"</f>
        <v>0225441</v>
      </c>
      <c r="D9126" s="2" t="s">
        <v>11538</v>
      </c>
      <c r="E9126" s="4">
        <v>58300</v>
      </c>
    </row>
    <row r="9127" spans="1:5">
      <c r="A9127" s="2" t="s">
        <v>296</v>
      </c>
      <c r="B9127" s="2" t="str">
        <f>"321185"</f>
        <v>321185</v>
      </c>
      <c r="C9127" s="2" t="str">
        <f>"321185"</f>
        <v>321185</v>
      </c>
      <c r="D9127" s="2" t="s">
        <v>11539</v>
      </c>
      <c r="E9127" s="4">
        <v>43000</v>
      </c>
    </row>
    <row r="9128" spans="1:5">
      <c r="A9128" s="2" t="s">
        <v>296</v>
      </c>
      <c r="B9128" s="2" t="str">
        <f>"160224"</f>
        <v>160224</v>
      </c>
      <c r="C9128" s="2" t="str">
        <f>"160224"</f>
        <v>160224</v>
      </c>
      <c r="D9128" s="2" t="s">
        <v>11540</v>
      </c>
      <c r="E9128" s="4">
        <v>54000</v>
      </c>
    </row>
    <row r="9129" spans="1:5">
      <c r="A9129" s="2" t="s">
        <v>296</v>
      </c>
      <c r="B9129" s="2" t="str">
        <f>"015249"</f>
        <v>015249</v>
      </c>
      <c r="C9129" s="2" t="str">
        <f>"015249"</f>
        <v>015249</v>
      </c>
      <c r="D9129" s="2" t="s">
        <v>11541</v>
      </c>
      <c r="E9129" s="4">
        <v>58500</v>
      </c>
    </row>
    <row r="9130" spans="1:5">
      <c r="A9130" s="2" t="s">
        <v>296</v>
      </c>
      <c r="B9130" s="2" t="str">
        <f>"141321"</f>
        <v>141321</v>
      </c>
      <c r="C9130" s="2" t="str">
        <f>"141321"</f>
        <v>141321</v>
      </c>
      <c r="D9130" s="2" t="s">
        <v>11542</v>
      </c>
      <c r="E9130" s="4">
        <v>39400</v>
      </c>
    </row>
    <row r="9131" spans="1:5">
      <c r="A9131" s="2" t="s">
        <v>296</v>
      </c>
      <c r="B9131" s="2" t="str">
        <f>"181356"</f>
        <v>181356</v>
      </c>
      <c r="C9131" s="2" t="str">
        <f>"181356"</f>
        <v>181356</v>
      </c>
      <c r="D9131" s="2" t="s">
        <v>11543</v>
      </c>
      <c r="E9131" s="4">
        <v>43000</v>
      </c>
    </row>
    <row r="9132" spans="1:5">
      <c r="A9132" s="2" t="s">
        <v>296</v>
      </c>
      <c r="B9132" s="2" t="str">
        <f>"141323"</f>
        <v>141323</v>
      </c>
      <c r="C9132" s="2" t="str">
        <f>"141323"</f>
        <v>141323</v>
      </c>
      <c r="D9132" s="2" t="s">
        <v>11544</v>
      </c>
      <c r="E9132" s="4">
        <v>21400</v>
      </c>
    </row>
    <row r="9133" spans="1:5">
      <c r="A9133" s="2" t="s">
        <v>2076</v>
      </c>
      <c r="B9133" s="2" t="str">
        <f>"00702K200"</f>
        <v>00702K200</v>
      </c>
      <c r="C9133" s="2" t="str">
        <f>"00702K200"</f>
        <v>00702K200</v>
      </c>
      <c r="D9133" s="2" t="s">
        <v>11545</v>
      </c>
      <c r="E9133" s="4">
        <v>21000</v>
      </c>
    </row>
    <row r="9134" spans="1:5">
      <c r="A9134" s="2" t="s">
        <v>296</v>
      </c>
      <c r="B9134" s="2" t="str">
        <f>"1825035-7"</f>
        <v>1825035-7</v>
      </c>
      <c r="C9134" s="2" t="str">
        <f>"1825035-7"</f>
        <v>1825035-7</v>
      </c>
      <c r="D9134" s="2" t="s">
        <v>11546</v>
      </c>
      <c r="E9134" s="4">
        <v>26000</v>
      </c>
    </row>
    <row r="9135" spans="1:5">
      <c r="A9135" s="2" t="s">
        <v>296</v>
      </c>
      <c r="B9135" s="2" t="str">
        <f>"15249"</f>
        <v>15249</v>
      </c>
      <c r="C9135" s="2" t="str">
        <f>"15249"</f>
        <v>15249</v>
      </c>
      <c r="D9135" s="2" t="s">
        <v>11547</v>
      </c>
      <c r="E9135" s="4">
        <v>58600</v>
      </c>
    </row>
    <row r="9136" spans="1:5">
      <c r="A9136" s="2" t="s">
        <v>296</v>
      </c>
      <c r="B9136" s="2" t="str">
        <f>"280085"</f>
        <v>280085</v>
      </c>
      <c r="C9136" s="2" t="str">
        <f>"280085"</f>
        <v>280085</v>
      </c>
      <c r="D9136" s="2" t="s">
        <v>11548</v>
      </c>
      <c r="E9136" s="4">
        <v>48000</v>
      </c>
    </row>
    <row r="9137" spans="1:5">
      <c r="A9137" s="2" t="s">
        <v>296</v>
      </c>
      <c r="B9137" s="2" t="str">
        <f>"2925030"</f>
        <v>2925030</v>
      </c>
      <c r="C9137" s="2" t="str">
        <f>"2925030"</f>
        <v>2925030</v>
      </c>
      <c r="D9137" s="2" t="s">
        <v>11549</v>
      </c>
      <c r="E9137" s="4">
        <v>34000</v>
      </c>
    </row>
    <row r="9138" spans="1:5">
      <c r="A9138" s="2" t="s">
        <v>296</v>
      </c>
      <c r="B9138" s="2" t="str">
        <f>"004418"</f>
        <v>004418</v>
      </c>
      <c r="C9138" s="2" t="str">
        <f>"004418"</f>
        <v>004418</v>
      </c>
      <c r="D9138" s="2" t="s">
        <v>11550</v>
      </c>
      <c r="E9138" s="4">
        <v>188000</v>
      </c>
    </row>
    <row r="9139" spans="1:5">
      <c r="A9139" s="2" t="s">
        <v>296</v>
      </c>
      <c r="B9139" s="2" t="str">
        <f>"016120"</f>
        <v>016120</v>
      </c>
      <c r="C9139" s="2" t="str">
        <f>"016120"</f>
        <v>016120</v>
      </c>
      <c r="D9139" s="2" t="s">
        <v>11551</v>
      </c>
      <c r="E9139" s="4">
        <v>133000</v>
      </c>
    </row>
    <row r="9140" spans="1:5">
      <c r="A9140" s="2" t="s">
        <v>296</v>
      </c>
      <c r="B9140" s="2" t="str">
        <f>"280018"</f>
        <v>280018</v>
      </c>
      <c r="C9140" s="2" t="str">
        <f>"280018"</f>
        <v>280018</v>
      </c>
      <c r="D9140" s="2" t="s">
        <v>11552</v>
      </c>
      <c r="E9140" s="4">
        <v>21400</v>
      </c>
    </row>
    <row r="9141" spans="1:5">
      <c r="A9141" s="2" t="s">
        <v>296</v>
      </c>
      <c r="B9141" s="2" t="str">
        <f>"180380"</f>
        <v>180380</v>
      </c>
      <c r="C9141" s="2" t="str">
        <f>"180380"</f>
        <v>180380</v>
      </c>
      <c r="D9141" s="2" t="s">
        <v>11553</v>
      </c>
      <c r="E9141" s="4">
        <v>38000</v>
      </c>
    </row>
    <row r="9142" spans="1:5">
      <c r="A9142" s="2" t="s">
        <v>296</v>
      </c>
      <c r="B9142" s="2" t="str">
        <f>"2125048-1"</f>
        <v>2125048-1</v>
      </c>
      <c r="C9142" s="2" t="str">
        <f>"2125048-1"</f>
        <v>2125048-1</v>
      </c>
      <c r="D9142" s="2" t="s">
        <v>11554</v>
      </c>
      <c r="E9142" s="4">
        <v>38530</v>
      </c>
    </row>
    <row r="9143" spans="1:5">
      <c r="A9143" s="2" t="s">
        <v>296</v>
      </c>
      <c r="B9143" s="2" t="str">
        <f>"180392"</f>
        <v>180392</v>
      </c>
      <c r="C9143" s="2" t="str">
        <f>"180392"</f>
        <v>180392</v>
      </c>
      <c r="D9143" s="2" t="s">
        <v>11555</v>
      </c>
      <c r="E9143" s="4">
        <v>48500</v>
      </c>
    </row>
    <row r="9144" spans="1:5">
      <c r="A9144" s="2" t="s">
        <v>2076</v>
      </c>
      <c r="B9144" s="2" t="str">
        <f>"280224"</f>
        <v>280224</v>
      </c>
      <c r="C9144" s="2" t="str">
        <f>"280224"</f>
        <v>280224</v>
      </c>
      <c r="D9144" s="2" t="s">
        <v>11556</v>
      </c>
      <c r="E9144" s="4">
        <v>43000</v>
      </c>
    </row>
    <row r="9145" spans="1:5">
      <c r="A9145" s="2" t="s">
        <v>296</v>
      </c>
      <c r="B9145" s="2" t="str">
        <f>"247002"</f>
        <v>247002</v>
      </c>
      <c r="C9145" s="2" t="str">
        <f>"247002"</f>
        <v>247002</v>
      </c>
      <c r="D9145" s="2" t="s">
        <v>11557</v>
      </c>
      <c r="E9145" s="4">
        <v>38000</v>
      </c>
    </row>
    <row r="9146" spans="1:5">
      <c r="A9146" s="2" t="s">
        <v>296</v>
      </c>
      <c r="B9146" s="2" t="str">
        <f>"2925028-6"</f>
        <v>2925028-6</v>
      </c>
      <c r="C9146" s="2" t="str">
        <f>"2925028-6"</f>
        <v>2925028-6</v>
      </c>
      <c r="D9146" s="2" t="s">
        <v>11558</v>
      </c>
      <c r="E9146" s="4">
        <v>38000</v>
      </c>
    </row>
    <row r="9147" spans="1:5">
      <c r="A9147" s="2" t="s">
        <v>296</v>
      </c>
      <c r="B9147" s="2" t="str">
        <f>"230020"</f>
        <v>230020</v>
      </c>
      <c r="C9147" s="2" t="str">
        <f>"230020"</f>
        <v>230020</v>
      </c>
      <c r="D9147" s="2" t="s">
        <v>11559</v>
      </c>
      <c r="E9147" s="4">
        <v>43000</v>
      </c>
    </row>
    <row r="9148" spans="1:5">
      <c r="A9148" s="2" t="s">
        <v>296</v>
      </c>
      <c r="B9148" s="2" t="str">
        <f>"015388"</f>
        <v>015388</v>
      </c>
      <c r="C9148" s="2" t="str">
        <f>"015388"</f>
        <v>015388</v>
      </c>
      <c r="D9148" s="2" t="s">
        <v>11560</v>
      </c>
      <c r="E9148" s="4">
        <v>88000</v>
      </c>
    </row>
    <row r="9149" spans="1:5">
      <c r="A9149" s="2" t="s">
        <v>296</v>
      </c>
      <c r="B9149" s="2" t="str">
        <f>"2925014-6"</f>
        <v>2925014-6</v>
      </c>
      <c r="C9149" s="2" t="str">
        <f>"2925014-6"</f>
        <v>2925014-6</v>
      </c>
      <c r="D9149" s="2" t="s">
        <v>11561</v>
      </c>
      <c r="E9149" s="4">
        <v>38000</v>
      </c>
    </row>
    <row r="9150" spans="1:5">
      <c r="A9150" s="2" t="s">
        <v>296</v>
      </c>
      <c r="B9150" s="2" t="str">
        <f>"015380"</f>
        <v>015380</v>
      </c>
      <c r="C9150" s="2" t="str">
        <f>"015380"</f>
        <v>015380</v>
      </c>
      <c r="D9150" s="2" t="s">
        <v>11562</v>
      </c>
      <c r="E9150" s="4">
        <v>48000</v>
      </c>
    </row>
    <row r="9151" spans="1:5">
      <c r="A9151" s="2" t="s">
        <v>296</v>
      </c>
      <c r="B9151" s="2" t="str">
        <f>"2925088-K"</f>
        <v>2925088-K</v>
      </c>
      <c r="C9151" s="2" t="str">
        <f>"2925088-K"</f>
        <v>2925088-K</v>
      </c>
      <c r="D9151" s="2" t="s">
        <v>11563</v>
      </c>
      <c r="E9151" s="4">
        <v>43000</v>
      </c>
    </row>
    <row r="9152" spans="1:5">
      <c r="A9152" s="2" t="s">
        <v>296</v>
      </c>
      <c r="B9152" s="2" t="str">
        <f>"2825025-1"</f>
        <v>2825025-1</v>
      </c>
      <c r="C9152" s="2" t="str">
        <f>"2825025-1"</f>
        <v>2825025-1</v>
      </c>
      <c r="D9152" s="2" t="s">
        <v>11564</v>
      </c>
      <c r="E9152" s="4">
        <v>49000</v>
      </c>
    </row>
    <row r="9153" spans="1:5">
      <c r="A9153" s="2" t="s">
        <v>296</v>
      </c>
      <c r="B9153" s="2" t="str">
        <f>"055210"</f>
        <v>055210</v>
      </c>
      <c r="C9153" s="2" t="str">
        <f>"055210"</f>
        <v>055210</v>
      </c>
      <c r="D9153" s="2" t="s">
        <v>11565</v>
      </c>
      <c r="E9153" s="4">
        <v>29600</v>
      </c>
    </row>
    <row r="9154" spans="1:5">
      <c r="A9154" s="2" t="s">
        <v>296</v>
      </c>
      <c r="B9154" s="2" t="str">
        <f>"055211"</f>
        <v>055211</v>
      </c>
      <c r="C9154" s="2" t="str">
        <f>"055211"</f>
        <v>055211</v>
      </c>
      <c r="D9154" s="2" t="s">
        <v>11566</v>
      </c>
      <c r="E9154" s="4">
        <v>29600</v>
      </c>
    </row>
    <row r="9155" spans="1:5">
      <c r="A9155" s="2" t="s">
        <v>296</v>
      </c>
      <c r="B9155" s="2" t="str">
        <f>"056211"</f>
        <v>056211</v>
      </c>
      <c r="C9155" s="2" t="str">
        <f>"056211"</f>
        <v>056211</v>
      </c>
      <c r="D9155" s="2" t="s">
        <v>11567</v>
      </c>
      <c r="E9155" s="4">
        <v>29600</v>
      </c>
    </row>
    <row r="9156" spans="1:5">
      <c r="A9156" s="2" t="s">
        <v>296</v>
      </c>
      <c r="B9156" s="2" t="str">
        <f>"280392"</f>
        <v>280392</v>
      </c>
      <c r="C9156" s="2" t="str">
        <f>"280392"</f>
        <v>280392</v>
      </c>
      <c r="D9156" s="2" t="s">
        <v>11568</v>
      </c>
      <c r="E9156" s="4">
        <v>22300</v>
      </c>
    </row>
    <row r="9157" spans="1:5">
      <c r="A9157" s="2" t="s">
        <v>296</v>
      </c>
      <c r="B9157" s="2" t="str">
        <f>"022541"</f>
        <v>022541</v>
      </c>
      <c r="C9157" s="2" t="str">
        <f>"022541"</f>
        <v>022541</v>
      </c>
      <c r="D9157" s="2" t="s">
        <v>11569</v>
      </c>
      <c r="E9157" s="4">
        <v>68000</v>
      </c>
    </row>
    <row r="9158" spans="1:5">
      <c r="A9158" s="2" t="s">
        <v>296</v>
      </c>
      <c r="B9158" s="2" t="str">
        <f>"170696"</f>
        <v>170696</v>
      </c>
      <c r="C9158" s="2" t="str">
        <f>"170696"</f>
        <v>170696</v>
      </c>
      <c r="D9158" s="2" t="s">
        <v>11570</v>
      </c>
      <c r="E9158" s="4">
        <v>48400</v>
      </c>
    </row>
    <row r="9159" spans="1:5">
      <c r="A9159" s="2" t="s">
        <v>296</v>
      </c>
      <c r="B9159" s="2" t="s">
        <v>11571</v>
      </c>
      <c r="C9159" s="2" t="s">
        <v>11571</v>
      </c>
      <c r="D9159" s="2" t="s">
        <v>11572</v>
      </c>
      <c r="E9159" s="4">
        <v>38500</v>
      </c>
    </row>
    <row r="9160" spans="1:5">
      <c r="A9160" s="2" t="s">
        <v>296</v>
      </c>
      <c r="B9160" s="2" t="str">
        <f>"321521"</f>
        <v>321521</v>
      </c>
      <c r="C9160" s="2" t="str">
        <f>"321521"</f>
        <v>321521</v>
      </c>
      <c r="D9160" s="2" t="s">
        <v>11573</v>
      </c>
      <c r="E9160" s="4">
        <v>61000</v>
      </c>
    </row>
    <row r="9161" spans="1:5">
      <c r="A9161" s="2" t="s">
        <v>296</v>
      </c>
      <c r="B9161" s="2" t="str">
        <f>"426005-8"</f>
        <v>426005-8</v>
      </c>
      <c r="C9161" s="2" t="str">
        <f>"426005-8"</f>
        <v>426005-8</v>
      </c>
      <c r="D9161" s="2" t="s">
        <v>11574</v>
      </c>
      <c r="E9161" s="4">
        <v>34000</v>
      </c>
    </row>
    <row r="9162" spans="1:5">
      <c r="A9162" s="2" t="s">
        <v>296</v>
      </c>
      <c r="B9162" s="2" t="str">
        <f>"280028"</f>
        <v>280028</v>
      </c>
      <c r="C9162" s="2" t="str">
        <f>"280028"</f>
        <v>280028</v>
      </c>
      <c r="D9162" s="2" t="s">
        <v>11575</v>
      </c>
      <c r="E9162" s="4">
        <v>61000</v>
      </c>
    </row>
    <row r="9163" spans="1:5">
      <c r="A9163" s="2" t="s">
        <v>296</v>
      </c>
      <c r="B9163" s="2" t="str">
        <f>"170694"</f>
        <v>170694</v>
      </c>
      <c r="C9163" s="2" t="str">
        <f>"170694"</f>
        <v>170694</v>
      </c>
      <c r="D9163" s="2" t="s">
        <v>11576</v>
      </c>
      <c r="E9163" s="4">
        <v>28600</v>
      </c>
    </row>
    <row r="9164" spans="1:5">
      <c r="A9164" s="2" t="s">
        <v>296</v>
      </c>
      <c r="B9164" s="2" t="str">
        <f>"000421123-5"</f>
        <v>000421123-5</v>
      </c>
      <c r="C9164" s="2" t="str">
        <f>"000421123-5"</f>
        <v>000421123-5</v>
      </c>
      <c r="D9164" s="2" t="s">
        <v>11577</v>
      </c>
      <c r="E9164" s="4">
        <v>39500</v>
      </c>
    </row>
    <row r="9165" spans="1:5">
      <c r="A9165" s="2" t="s">
        <v>2076</v>
      </c>
      <c r="B9165" s="2" t="str">
        <f>"421125-1"</f>
        <v>421125-1</v>
      </c>
      <c r="C9165" s="2" t="str">
        <f>"421125-1"</f>
        <v>421125-1</v>
      </c>
      <c r="D9165" s="2" t="s">
        <v>11578</v>
      </c>
      <c r="E9165" s="4">
        <v>52000</v>
      </c>
    </row>
    <row r="9166" spans="1:5">
      <c r="A9166" s="2" t="s">
        <v>2076</v>
      </c>
      <c r="B9166" s="2" t="str">
        <f>"402244-0"</f>
        <v>402244-0</v>
      </c>
      <c r="C9166" s="2" t="str">
        <f>"402244-0"</f>
        <v>402244-0</v>
      </c>
      <c r="D9166" s="2" t="s">
        <v>11579</v>
      </c>
      <c r="E9166" s="4">
        <v>43000</v>
      </c>
    </row>
    <row r="9167" spans="1:5">
      <c r="A9167" s="2" t="s">
        <v>296</v>
      </c>
      <c r="B9167" s="2" t="str">
        <f>"321391"</f>
        <v>321391</v>
      </c>
      <c r="C9167" s="2" t="str">
        <f>"321391"</f>
        <v>321391</v>
      </c>
      <c r="D9167" s="2" t="s">
        <v>11580</v>
      </c>
      <c r="E9167" s="4">
        <v>38500</v>
      </c>
    </row>
    <row r="9168" spans="1:5">
      <c r="A9168" s="2" t="s">
        <v>296</v>
      </c>
      <c r="B9168" s="2" t="str">
        <f>"280078"</f>
        <v>280078</v>
      </c>
      <c r="C9168" s="2" t="str">
        <f>"280078"</f>
        <v>280078</v>
      </c>
      <c r="D9168" s="2" t="s">
        <v>11581</v>
      </c>
      <c r="E9168" s="4">
        <v>29000</v>
      </c>
    </row>
    <row r="9169" spans="1:5">
      <c r="A9169" s="2" t="s">
        <v>296</v>
      </c>
      <c r="B9169" s="2" t="str">
        <f>"280408"</f>
        <v>280408</v>
      </c>
      <c r="C9169" s="2" t="str">
        <f>"280408"</f>
        <v>280408</v>
      </c>
      <c r="D9169" s="2" t="s">
        <v>11582</v>
      </c>
      <c r="E9169" s="4">
        <v>21800</v>
      </c>
    </row>
    <row r="9170" spans="1:5">
      <c r="A9170" s="2" t="s">
        <v>296</v>
      </c>
      <c r="B9170" s="2" t="str">
        <f>"321444"</f>
        <v>321444</v>
      </c>
      <c r="C9170" s="2" t="str">
        <f>"321444"</f>
        <v>321444</v>
      </c>
      <c r="D9170" s="2" t="s">
        <v>11583</v>
      </c>
      <c r="E9170" s="4">
        <v>48000</v>
      </c>
    </row>
    <row r="9171" spans="1:5">
      <c r="A9171" s="2" t="s">
        <v>296</v>
      </c>
      <c r="B9171" s="2" t="str">
        <f>"321445"</f>
        <v>321445</v>
      </c>
      <c r="C9171" s="2" t="str">
        <f>"321445"</f>
        <v>321445</v>
      </c>
      <c r="D9171" s="2" t="s">
        <v>11584</v>
      </c>
      <c r="E9171" s="4">
        <v>48400</v>
      </c>
    </row>
    <row r="9172" spans="1:5">
      <c r="A9172" s="2" t="s">
        <v>296</v>
      </c>
      <c r="B9172" s="2" t="str">
        <f>"321512"</f>
        <v>321512</v>
      </c>
      <c r="C9172" s="2" t="str">
        <f>"321512"</f>
        <v>321512</v>
      </c>
      <c r="D9172" s="2" t="s">
        <v>11585</v>
      </c>
      <c r="E9172" s="4">
        <v>38500</v>
      </c>
    </row>
    <row r="9173" spans="1:5">
      <c r="A9173" s="2" t="s">
        <v>296</v>
      </c>
      <c r="B9173" s="2" t="str">
        <f>"3725001"</f>
        <v>3725001</v>
      </c>
      <c r="C9173" s="2" t="str">
        <f>"3725001"</f>
        <v>3725001</v>
      </c>
      <c r="D9173" s="2" t="s">
        <v>11586</v>
      </c>
      <c r="E9173" s="4">
        <v>39400</v>
      </c>
    </row>
    <row r="9174" spans="1:5">
      <c r="A9174" s="2" t="s">
        <v>296</v>
      </c>
      <c r="B9174" s="2" t="str">
        <f>"007020045"</f>
        <v>007020045</v>
      </c>
      <c r="C9174" s="2" t="str">
        <f>"007020045"</f>
        <v>007020045</v>
      </c>
      <c r="D9174" s="2" t="s">
        <v>11587</v>
      </c>
      <c r="E9174" s="4">
        <v>23200</v>
      </c>
    </row>
    <row r="9175" spans="1:5">
      <c r="A9175" s="2" t="s">
        <v>296</v>
      </c>
      <c r="B9175" s="2" t="str">
        <f>"3725009-0"</f>
        <v>3725009-0</v>
      </c>
      <c r="C9175" s="2" t="str">
        <f>"3725009-0"</f>
        <v>3725009-0</v>
      </c>
      <c r="D9175" s="2" t="s">
        <v>11588</v>
      </c>
      <c r="E9175" s="4">
        <v>39400</v>
      </c>
    </row>
    <row r="9176" spans="1:5">
      <c r="A9176" s="2" t="s">
        <v>296</v>
      </c>
      <c r="B9176" s="2" t="str">
        <f>"001425054-9"</f>
        <v>001425054-9</v>
      </c>
      <c r="C9176" s="2" t="str">
        <f>"1425054-9"</f>
        <v>1425054-9</v>
      </c>
      <c r="D9176" s="2" t="s">
        <v>11589</v>
      </c>
      <c r="E9176" s="4">
        <v>28000</v>
      </c>
    </row>
    <row r="9177" spans="1:5">
      <c r="A9177" s="2" t="s">
        <v>296</v>
      </c>
      <c r="B9177" s="2" t="str">
        <f>"280371"</f>
        <v>280371</v>
      </c>
      <c r="C9177" s="2" t="str">
        <f>"280371"</f>
        <v>280371</v>
      </c>
      <c r="D9177" s="2" t="s">
        <v>11590</v>
      </c>
      <c r="E9177" s="4">
        <v>48400</v>
      </c>
    </row>
    <row r="9178" spans="1:5" ht="27.6">
      <c r="A9178" s="2" t="s">
        <v>296</v>
      </c>
      <c r="B9178" s="2" t="str">
        <f>"270017"</f>
        <v>270017</v>
      </c>
      <c r="C9178" s="2" t="str">
        <f>"270017"</f>
        <v>270017</v>
      </c>
      <c r="D9178" s="2" t="s">
        <v>11591</v>
      </c>
      <c r="E9178" s="4">
        <v>58000</v>
      </c>
    </row>
    <row r="9179" spans="1:5">
      <c r="A9179" s="2" t="s">
        <v>296</v>
      </c>
      <c r="B9179" s="2" t="str">
        <f>"280368"</f>
        <v>280368</v>
      </c>
      <c r="C9179" s="2" t="str">
        <f>"280368"</f>
        <v>280368</v>
      </c>
      <c r="D9179" s="2" t="s">
        <v>11592</v>
      </c>
      <c r="E9179" s="4">
        <v>43000</v>
      </c>
    </row>
    <row r="9180" spans="1:5">
      <c r="A9180" s="2" t="s">
        <v>296</v>
      </c>
      <c r="B9180" s="2" t="str">
        <f>"01994"</f>
        <v>01994</v>
      </c>
      <c r="C9180" s="2" t="str">
        <f>"01994"</f>
        <v>01994</v>
      </c>
      <c r="D9180" s="2" t="s">
        <v>11593</v>
      </c>
      <c r="E9180" s="4">
        <v>50575</v>
      </c>
    </row>
    <row r="9181" spans="1:5">
      <c r="A9181" s="2" t="s">
        <v>296</v>
      </c>
      <c r="B9181" s="2" t="str">
        <f>"1725086-8"</f>
        <v>1725086-8</v>
      </c>
      <c r="C9181" s="2" t="str">
        <f>"1725086-8"</f>
        <v>1725086-8</v>
      </c>
      <c r="D9181" s="2" t="s">
        <v>11594</v>
      </c>
      <c r="E9181" s="4">
        <v>45000</v>
      </c>
    </row>
    <row r="9182" spans="1:5">
      <c r="A9182" s="2" t="s">
        <v>296</v>
      </c>
      <c r="B9182" s="2" t="str">
        <f>"1725064-7"</f>
        <v>1725064-7</v>
      </c>
      <c r="C9182" s="2" t="str">
        <f>"1725064-7"</f>
        <v>1725064-7</v>
      </c>
      <c r="D9182" s="2" t="s">
        <v>11595</v>
      </c>
      <c r="E9182" s="4">
        <v>38500</v>
      </c>
    </row>
    <row r="9183" spans="1:5">
      <c r="A9183" s="2" t="s">
        <v>2076</v>
      </c>
      <c r="B9183" s="2" t="str">
        <f>"2125010-4"</f>
        <v>2125010-4</v>
      </c>
      <c r="C9183" s="2" t="str">
        <f>"2125010-4"</f>
        <v>2125010-4</v>
      </c>
      <c r="D9183" s="2" t="s">
        <v>11596</v>
      </c>
      <c r="E9183" s="4">
        <v>24000</v>
      </c>
    </row>
    <row r="9184" spans="1:5">
      <c r="A9184" s="2" t="s">
        <v>296</v>
      </c>
      <c r="B9184" s="2" t="str">
        <f>"1725025-6"</f>
        <v>1725025-6</v>
      </c>
      <c r="C9184" s="2" t="str">
        <f>"1725025-6"</f>
        <v>1725025-6</v>
      </c>
      <c r="D9184" s="2" t="s">
        <v>11597</v>
      </c>
      <c r="E9184" s="4">
        <v>27700</v>
      </c>
    </row>
    <row r="9185" spans="1:5">
      <c r="A9185" s="2" t="s">
        <v>296</v>
      </c>
      <c r="B9185" s="2" t="str">
        <f>"1725035-3"</f>
        <v>1725035-3</v>
      </c>
      <c r="C9185" s="2" t="str">
        <f>"1725035-3"</f>
        <v>1725035-3</v>
      </c>
      <c r="D9185" s="2" t="s">
        <v>11598</v>
      </c>
      <c r="E9185" s="4">
        <v>34000</v>
      </c>
    </row>
    <row r="9186" spans="1:5">
      <c r="A9186" s="2" t="s">
        <v>296</v>
      </c>
      <c r="B9186" s="2" t="str">
        <f>"001725060-4"</f>
        <v>001725060-4</v>
      </c>
      <c r="C9186" s="2" t="str">
        <f>"001725060-4"</f>
        <v>001725060-4</v>
      </c>
      <c r="D9186" s="2" t="s">
        <v>11599</v>
      </c>
      <c r="E9186" s="4">
        <v>26800</v>
      </c>
    </row>
    <row r="9187" spans="1:5">
      <c r="A9187" s="2" t="s">
        <v>296</v>
      </c>
      <c r="B9187" s="2" t="str">
        <f>"280014"</f>
        <v>280014</v>
      </c>
      <c r="C9187" s="2" t="str">
        <f>"280014"</f>
        <v>280014</v>
      </c>
      <c r="D9187" s="2" t="s">
        <v>11600</v>
      </c>
      <c r="E9187" s="4">
        <v>25000</v>
      </c>
    </row>
    <row r="9188" spans="1:5">
      <c r="A9188" s="2" t="s">
        <v>296</v>
      </c>
      <c r="B9188" s="2" t="str">
        <f>"5000000310296"</f>
        <v>5000000310296</v>
      </c>
      <c r="C9188" s="2" t="str">
        <f>"015376"</f>
        <v>015376</v>
      </c>
      <c r="D9188" s="2" t="s">
        <v>11601</v>
      </c>
      <c r="E9188" s="4">
        <v>43000</v>
      </c>
    </row>
    <row r="9189" spans="1:5">
      <c r="A9189" s="2" t="s">
        <v>2076</v>
      </c>
      <c r="B9189" s="2" t="str">
        <f>"1725001-9"</f>
        <v>1725001-9</v>
      </c>
      <c r="C9189" s="2" t="str">
        <f>"1725001-9"</f>
        <v>1725001-9</v>
      </c>
      <c r="D9189" s="2" t="s">
        <v>11602</v>
      </c>
      <c r="E9189" s="4">
        <v>24100</v>
      </c>
    </row>
    <row r="9190" spans="1:5">
      <c r="A9190" s="2" t="s">
        <v>2076</v>
      </c>
      <c r="B9190" s="2" t="str">
        <f>"1325030-8"</f>
        <v>1325030-8</v>
      </c>
      <c r="C9190" s="2" t="str">
        <f>"1325030-8"</f>
        <v>1325030-8</v>
      </c>
      <c r="D9190" s="2" t="s">
        <v>11603</v>
      </c>
      <c r="E9190" s="4">
        <v>21400</v>
      </c>
    </row>
    <row r="9191" spans="1:5">
      <c r="A9191" s="2" t="s">
        <v>296</v>
      </c>
      <c r="B9191" s="2" t="str">
        <f>"1725078-7"</f>
        <v>1725078-7</v>
      </c>
      <c r="C9191" s="2" t="str">
        <f>"1725078-7"</f>
        <v>1725078-7</v>
      </c>
      <c r="D9191" s="2" t="s">
        <v>11604</v>
      </c>
      <c r="E9191" s="4">
        <v>38200</v>
      </c>
    </row>
    <row r="9192" spans="1:5">
      <c r="A9192" s="2" t="s">
        <v>296</v>
      </c>
      <c r="B9192" s="2" t="str">
        <f>"230210"</f>
        <v>230210</v>
      </c>
      <c r="C9192" s="2" t="str">
        <f>"230210"</f>
        <v>230210</v>
      </c>
      <c r="D9192" s="2" t="s">
        <v>11605</v>
      </c>
      <c r="E9192" s="4">
        <v>28800</v>
      </c>
    </row>
    <row r="9193" spans="1:5">
      <c r="A9193" s="2" t="s">
        <v>296</v>
      </c>
      <c r="B9193" s="2" t="str">
        <f>"0009990"</f>
        <v>0009990</v>
      </c>
      <c r="C9193" s="2" t="str">
        <f>"0009990"</f>
        <v>0009990</v>
      </c>
      <c r="D9193" s="2" t="s">
        <v>11606</v>
      </c>
      <c r="E9193" s="4">
        <v>49000</v>
      </c>
    </row>
    <row r="9194" spans="1:5">
      <c r="A9194" s="2" t="s">
        <v>296</v>
      </c>
      <c r="B9194" s="2" t="str">
        <f>"001725106-6"</f>
        <v>001725106-6</v>
      </c>
      <c r="C9194" s="2" t="str">
        <f>"1725106-6"</f>
        <v>1725106-6</v>
      </c>
      <c r="D9194" s="2" t="s">
        <v>11607</v>
      </c>
      <c r="E9194" s="4">
        <v>61000</v>
      </c>
    </row>
    <row r="9195" spans="1:5">
      <c r="A9195" s="2" t="s">
        <v>296</v>
      </c>
      <c r="B9195" s="2" t="str">
        <f>"1725015-9"</f>
        <v>1725015-9</v>
      </c>
      <c r="C9195" s="2" t="str">
        <f>"1725015-9"</f>
        <v>1725015-9</v>
      </c>
      <c r="D9195" s="2" t="s">
        <v>11608</v>
      </c>
      <c r="E9195" s="4">
        <v>26800</v>
      </c>
    </row>
    <row r="9196" spans="1:5">
      <c r="A9196" s="2" t="s">
        <v>296</v>
      </c>
      <c r="B9196" s="2" t="str">
        <f>"1725015"</f>
        <v>1725015</v>
      </c>
      <c r="C9196" s="2" t="str">
        <f>"1725015"</f>
        <v>1725015</v>
      </c>
      <c r="D9196" s="2" t="s">
        <v>11609</v>
      </c>
      <c r="E9196" s="4">
        <v>19700</v>
      </c>
    </row>
    <row r="9197" spans="1:5">
      <c r="A9197" s="2" t="s">
        <v>296</v>
      </c>
      <c r="B9197" s="2" t="str">
        <f>"00702S160"</f>
        <v>00702S160</v>
      </c>
      <c r="C9197" s="2" t="str">
        <f>"00702S160"</f>
        <v>00702S160</v>
      </c>
      <c r="D9197" s="2" t="s">
        <v>11610</v>
      </c>
      <c r="E9197" s="4">
        <v>19700</v>
      </c>
    </row>
    <row r="9198" spans="1:5">
      <c r="A9198" s="2" t="s">
        <v>296</v>
      </c>
      <c r="B9198" s="2" t="str">
        <f>"1725068-K"</f>
        <v>1725068-K</v>
      </c>
      <c r="C9198" s="2" t="str">
        <f>"1725068-K"</f>
        <v>1725068-K</v>
      </c>
      <c r="D9198" s="2" t="s">
        <v>11611</v>
      </c>
      <c r="E9198" s="4">
        <v>36800</v>
      </c>
    </row>
    <row r="9199" spans="1:5">
      <c r="A9199" s="2" t="s">
        <v>296</v>
      </c>
      <c r="B9199" s="2" t="str">
        <f>"280418"</f>
        <v>280418</v>
      </c>
      <c r="C9199" s="2" t="str">
        <f>"280418"</f>
        <v>280418</v>
      </c>
      <c r="D9199" s="2" t="s">
        <v>11612</v>
      </c>
      <c r="E9199" s="4">
        <v>58300</v>
      </c>
    </row>
    <row r="9200" spans="1:5">
      <c r="A9200" s="2" t="s">
        <v>296</v>
      </c>
      <c r="B9200" s="2" t="str">
        <f>"010310245"</f>
        <v>010310245</v>
      </c>
      <c r="C9200" s="2" t="str">
        <f>"010310245"</f>
        <v>010310245</v>
      </c>
      <c r="D9200" s="2" t="s">
        <v>11613</v>
      </c>
      <c r="E9200" s="4">
        <v>49000</v>
      </c>
    </row>
    <row r="9201" spans="1:5">
      <c r="A9201" s="2" t="s">
        <v>296</v>
      </c>
      <c r="B9201" s="2" t="str">
        <f>"280021"</f>
        <v>280021</v>
      </c>
      <c r="C9201" s="2" t="str">
        <f>"280021"</f>
        <v>280021</v>
      </c>
      <c r="D9201" s="2" t="s">
        <v>11614</v>
      </c>
      <c r="E9201" s="4">
        <v>34000</v>
      </c>
    </row>
    <row r="9202" spans="1:5">
      <c r="A9202" s="2" t="s">
        <v>296</v>
      </c>
      <c r="B9202" s="2" t="str">
        <f>"015375"</f>
        <v>015375</v>
      </c>
      <c r="C9202" s="2" t="str">
        <f>"015375"</f>
        <v>015375</v>
      </c>
      <c r="D9202" s="2" t="s">
        <v>11615</v>
      </c>
      <c r="E9202" s="4">
        <v>48000</v>
      </c>
    </row>
    <row r="9203" spans="1:5">
      <c r="A9203" s="2" t="s">
        <v>296</v>
      </c>
      <c r="B9203" s="2" t="str">
        <f>"280193"</f>
        <v>280193</v>
      </c>
      <c r="C9203" s="2" t="str">
        <f>"280193"</f>
        <v>280193</v>
      </c>
      <c r="D9203" s="2" t="s">
        <v>11616</v>
      </c>
      <c r="E9203" s="4">
        <v>38500</v>
      </c>
    </row>
    <row r="9204" spans="1:5">
      <c r="A9204" s="2" t="s">
        <v>296</v>
      </c>
      <c r="B9204" s="2" t="str">
        <f>"280210"</f>
        <v>280210</v>
      </c>
      <c r="C9204" s="2" t="str">
        <f>"280210"</f>
        <v>280210</v>
      </c>
      <c r="D9204" s="2" t="s">
        <v>11617</v>
      </c>
      <c r="E9204" s="4">
        <v>29500</v>
      </c>
    </row>
    <row r="9205" spans="1:5">
      <c r="A9205" s="2" t="s">
        <v>296</v>
      </c>
      <c r="B9205" s="2" t="str">
        <f>"016123"</f>
        <v>016123</v>
      </c>
      <c r="C9205" s="2" t="str">
        <f>"016123"</f>
        <v>016123</v>
      </c>
      <c r="D9205" s="2" t="s">
        <v>11618</v>
      </c>
      <c r="E9205" s="4">
        <v>31300</v>
      </c>
    </row>
    <row r="9206" spans="1:5">
      <c r="A9206" s="2" t="s">
        <v>296</v>
      </c>
      <c r="B9206" s="2" t="str">
        <f>"300857"</f>
        <v>300857</v>
      </c>
      <c r="C9206" s="2" t="str">
        <f>"300857"</f>
        <v>300857</v>
      </c>
      <c r="D9206" s="2" t="s">
        <v>11619</v>
      </c>
      <c r="E9206" s="4">
        <v>107800</v>
      </c>
    </row>
    <row r="9207" spans="1:5">
      <c r="A9207" s="2" t="s">
        <v>296</v>
      </c>
      <c r="B9207" s="2" t="str">
        <f>"0402244-0"</f>
        <v>0402244-0</v>
      </c>
      <c r="C9207" s="2" t="str">
        <f>"0402244-0"</f>
        <v>0402244-0</v>
      </c>
      <c r="D9207" s="2" t="s">
        <v>11620</v>
      </c>
      <c r="E9207" s="4">
        <v>43000</v>
      </c>
    </row>
    <row r="9208" spans="1:5">
      <c r="A9208" s="2" t="s">
        <v>296</v>
      </c>
      <c r="B9208" s="2" t="str">
        <f>"321187"</f>
        <v>321187</v>
      </c>
      <c r="C9208" s="2" t="str">
        <f>"321187"</f>
        <v>321187</v>
      </c>
      <c r="D9208" s="2" t="s">
        <v>11621</v>
      </c>
      <c r="E9208" s="4">
        <v>57000</v>
      </c>
    </row>
    <row r="9209" spans="1:5">
      <c r="A9209" s="2" t="s">
        <v>296</v>
      </c>
      <c r="B9209" s="2" t="str">
        <f>"321324"</f>
        <v>321324</v>
      </c>
      <c r="C9209" s="2" t="str">
        <f>"321324"</f>
        <v>321324</v>
      </c>
      <c r="D9209" s="2" t="s">
        <v>11622</v>
      </c>
      <c r="E9209" s="4">
        <v>34000</v>
      </c>
    </row>
    <row r="9210" spans="1:5">
      <c r="A9210" s="2" t="s">
        <v>296</v>
      </c>
      <c r="B9210" s="2" t="str">
        <f>"190414"</f>
        <v>190414</v>
      </c>
      <c r="C9210" s="2" t="str">
        <f>"190414"</f>
        <v>190414</v>
      </c>
      <c r="D9210" s="2" t="s">
        <v>11623</v>
      </c>
      <c r="E9210" s="4">
        <v>22500</v>
      </c>
    </row>
    <row r="9211" spans="1:5">
      <c r="A9211" s="2" t="s">
        <v>296</v>
      </c>
      <c r="B9211" s="2" t="str">
        <f>"190429"</f>
        <v>190429</v>
      </c>
      <c r="C9211" s="2" t="str">
        <f>"190429"</f>
        <v>190429</v>
      </c>
      <c r="D9211" s="2" t="s">
        <v>11624</v>
      </c>
      <c r="E9211" s="4">
        <v>38500</v>
      </c>
    </row>
    <row r="9212" spans="1:5">
      <c r="A9212" s="2" t="s">
        <v>296</v>
      </c>
      <c r="B9212" s="2" t="str">
        <f>"031207"</f>
        <v>031207</v>
      </c>
      <c r="C9212" s="2" t="str">
        <f>"031207"</f>
        <v>031207</v>
      </c>
      <c r="D9212" s="2" t="s">
        <v>11625</v>
      </c>
      <c r="E9212" s="4">
        <v>83000</v>
      </c>
    </row>
    <row r="9213" spans="1:5">
      <c r="A9213" s="2" t="s">
        <v>296</v>
      </c>
      <c r="B9213" s="2" t="str">
        <f>"280024"</f>
        <v>280024</v>
      </c>
      <c r="C9213" s="2" t="str">
        <f>"280024"</f>
        <v>280024</v>
      </c>
      <c r="D9213" s="2" t="s">
        <v>11626</v>
      </c>
      <c r="E9213" s="4">
        <v>88000</v>
      </c>
    </row>
    <row r="9214" spans="1:5">
      <c r="A9214" s="2" t="s">
        <v>296</v>
      </c>
      <c r="B9214" s="2" t="str">
        <f>"321672"</f>
        <v>321672</v>
      </c>
      <c r="C9214" s="2" t="str">
        <f>"321672"</f>
        <v>321672</v>
      </c>
      <c r="D9214" s="2" t="s">
        <v>11627</v>
      </c>
      <c r="E9214" s="4">
        <v>51100</v>
      </c>
    </row>
    <row r="9215" spans="1:5">
      <c r="A9215" s="2" t="s">
        <v>296</v>
      </c>
      <c r="B9215" s="2" t="str">
        <f>"190421"</f>
        <v>190421</v>
      </c>
      <c r="C9215" s="2" t="str">
        <f>"190421"</f>
        <v>190421</v>
      </c>
      <c r="D9215" s="2" t="s">
        <v>11628</v>
      </c>
      <c r="E9215" s="4">
        <v>190600</v>
      </c>
    </row>
    <row r="9216" spans="1:5">
      <c r="A9216" s="2" t="s">
        <v>296</v>
      </c>
      <c r="B9216" s="2" t="str">
        <f>"902764-5"</f>
        <v>902764-5</v>
      </c>
      <c r="C9216" s="2" t="str">
        <f>"902764-5"</f>
        <v>902764-5</v>
      </c>
      <c r="D9216" s="2" t="s">
        <v>11629</v>
      </c>
      <c r="E9216" s="4">
        <v>43000</v>
      </c>
    </row>
    <row r="9217" spans="1:5">
      <c r="A9217" s="2" t="s">
        <v>296</v>
      </c>
      <c r="B9217" s="2" t="str">
        <f>"180375"</f>
        <v>180375</v>
      </c>
      <c r="C9217" s="2" t="str">
        <f>"180375"</f>
        <v>180375</v>
      </c>
      <c r="D9217" s="2" t="s">
        <v>11630</v>
      </c>
      <c r="E9217" s="4">
        <v>43000</v>
      </c>
    </row>
    <row r="9218" spans="1:5">
      <c r="A9218" s="2" t="s">
        <v>296</v>
      </c>
      <c r="B9218" s="2" t="str">
        <f>"170597"</f>
        <v>170597</v>
      </c>
      <c r="C9218" s="2" t="str">
        <f>"170597"</f>
        <v>170597</v>
      </c>
      <c r="D9218" s="2" t="s">
        <v>11631</v>
      </c>
      <c r="E9218" s="4">
        <v>16700</v>
      </c>
    </row>
    <row r="9219" spans="1:5">
      <c r="A9219" s="2" t="s">
        <v>296</v>
      </c>
      <c r="B9219" s="2" t="str">
        <f>"1725051-5"</f>
        <v>1725051-5</v>
      </c>
      <c r="C9219" s="2" t="str">
        <f>"1725051-5"</f>
        <v>1725051-5</v>
      </c>
      <c r="D9219" s="2" t="s">
        <v>11632</v>
      </c>
      <c r="E9219" s="4">
        <v>39000</v>
      </c>
    </row>
    <row r="9220" spans="1:5">
      <c r="A9220" s="2" t="s">
        <v>296</v>
      </c>
      <c r="B9220" s="2" t="str">
        <f>"175060-4"</f>
        <v>175060-4</v>
      </c>
      <c r="C9220" s="2" t="str">
        <f>"175060-4"</f>
        <v>175060-4</v>
      </c>
      <c r="D9220" s="2" t="s">
        <v>11633</v>
      </c>
      <c r="E9220" s="4">
        <v>24100</v>
      </c>
    </row>
    <row r="9221" spans="1:5">
      <c r="A9221" s="2" t="s">
        <v>296</v>
      </c>
      <c r="B9221" s="2" t="str">
        <f>"1725045-0"</f>
        <v>1725045-0</v>
      </c>
      <c r="C9221" s="2" t="str">
        <f>"1725045-0"</f>
        <v>1725045-0</v>
      </c>
      <c r="D9221" s="2" t="s">
        <v>11634</v>
      </c>
      <c r="E9221" s="4">
        <v>34000</v>
      </c>
    </row>
    <row r="9222" spans="1:5">
      <c r="A9222" s="2" t="s">
        <v>296</v>
      </c>
      <c r="B9222" s="2" t="str">
        <f>"16250007"</f>
        <v>16250007</v>
      </c>
      <c r="C9222" s="2" t="str">
        <f>"16250007"</f>
        <v>16250007</v>
      </c>
      <c r="D9222" s="2" t="s">
        <v>11635</v>
      </c>
      <c r="E9222" s="4">
        <v>25000</v>
      </c>
    </row>
    <row r="9223" spans="1:5">
      <c r="A9223" s="2" t="s">
        <v>296</v>
      </c>
      <c r="B9223" s="2" t="str">
        <f>"4025009-3"</f>
        <v>4025009-3</v>
      </c>
      <c r="C9223" s="2" t="str">
        <f>"4025009-3"</f>
        <v>4025009-3</v>
      </c>
      <c r="D9223" s="2" t="s">
        <v>11636</v>
      </c>
      <c r="E9223" s="4">
        <v>97000</v>
      </c>
    </row>
    <row r="9224" spans="1:5">
      <c r="A9224" s="2" t="s">
        <v>296</v>
      </c>
      <c r="B9224" s="2" t="str">
        <f>"4225001-5"</f>
        <v>4225001-5</v>
      </c>
      <c r="C9224" s="2" t="str">
        <f>"4225001-5"</f>
        <v>4225001-5</v>
      </c>
      <c r="D9224" s="2" t="s">
        <v>11637</v>
      </c>
      <c r="E9224" s="4">
        <v>34000</v>
      </c>
    </row>
    <row r="9225" spans="1:5">
      <c r="A9225" s="2" t="s">
        <v>296</v>
      </c>
      <c r="B9225" s="2" t="str">
        <f>"002025028-3"</f>
        <v>002025028-3</v>
      </c>
      <c r="C9225" s="2" t="str">
        <f>"002025028-3"</f>
        <v>002025028-3</v>
      </c>
      <c r="D9225" s="2" t="s">
        <v>11638</v>
      </c>
      <c r="E9225" s="4">
        <v>29000</v>
      </c>
    </row>
    <row r="9226" spans="1:5">
      <c r="A9226" s="2" t="s">
        <v>2076</v>
      </c>
      <c r="B9226" s="2" t="s">
        <v>11639</v>
      </c>
      <c r="C9226" s="2" t="s">
        <v>11640</v>
      </c>
      <c r="D9226" s="2" t="s">
        <v>11641</v>
      </c>
      <c r="E9226" s="4">
        <v>190000</v>
      </c>
    </row>
    <row r="9227" spans="1:5">
      <c r="A9227" s="2" t="s">
        <v>296</v>
      </c>
      <c r="B9227" s="2" t="str">
        <f>"050081"</f>
        <v>050081</v>
      </c>
      <c r="C9227" s="2" t="str">
        <f>"050081"</f>
        <v>050081</v>
      </c>
      <c r="D9227" s="2" t="s">
        <v>11642</v>
      </c>
      <c r="E9227" s="4">
        <v>150000</v>
      </c>
    </row>
    <row r="9228" spans="1:5">
      <c r="A9228" s="2" t="s">
        <v>296</v>
      </c>
      <c r="B9228" s="2" t="str">
        <f>"280049"</f>
        <v>280049</v>
      </c>
      <c r="C9228" s="2" t="str">
        <f>"280049"</f>
        <v>280049</v>
      </c>
      <c r="D9228" s="2" t="s">
        <v>11643</v>
      </c>
      <c r="E9228" s="4">
        <v>56000</v>
      </c>
    </row>
    <row r="9229" spans="1:5">
      <c r="A9229" s="2" t="s">
        <v>296</v>
      </c>
      <c r="B9229" s="2" t="str">
        <f>"301867"</f>
        <v>301867</v>
      </c>
      <c r="C9229" s="2" t="str">
        <f>"301867"</f>
        <v>301867</v>
      </c>
      <c r="D9229" s="2" t="s">
        <v>11644</v>
      </c>
      <c r="E9229" s="4">
        <v>78000</v>
      </c>
    </row>
    <row r="9230" spans="1:5">
      <c r="A9230" s="2" t="s">
        <v>296</v>
      </c>
      <c r="B9230" s="2" t="str">
        <f>"22100-72021"</f>
        <v>22100-72021</v>
      </c>
      <c r="C9230" s="2" t="str">
        <f>"22100-72021"</f>
        <v>22100-72021</v>
      </c>
      <c r="D9230" s="2" t="s">
        <v>11645</v>
      </c>
      <c r="E9230" s="4">
        <v>17000</v>
      </c>
    </row>
    <row r="9231" spans="1:5">
      <c r="A9231" s="2" t="s">
        <v>2076</v>
      </c>
      <c r="B9231" s="2" t="s">
        <v>11646</v>
      </c>
      <c r="C9231" s="2" t="str">
        <f>"1694708051971"</f>
        <v>1694708051971</v>
      </c>
      <c r="D9231" s="2" t="s">
        <v>11647</v>
      </c>
      <c r="E9231" s="4">
        <v>61000</v>
      </c>
    </row>
    <row r="9232" spans="1:5">
      <c r="A9232" s="2" t="s">
        <v>5</v>
      </c>
      <c r="B9232" s="2" t="str">
        <f>"051608"</f>
        <v>051608</v>
      </c>
      <c r="C9232" s="2" t="str">
        <f>"051607"</f>
        <v>051607</v>
      </c>
      <c r="D9232" s="2" t="s">
        <v>11648</v>
      </c>
      <c r="E9232" s="4">
        <v>3000</v>
      </c>
    </row>
    <row r="9233" spans="1:5">
      <c r="A9233" s="2" t="s">
        <v>5</v>
      </c>
      <c r="B9233" s="2" t="str">
        <f>"4100420015205"</f>
        <v>4100420015205</v>
      </c>
      <c r="C9233" s="2" t="str">
        <f>"1520 KUPFERSPASTE"</f>
        <v>1520 KUPFERSPASTE</v>
      </c>
      <c r="D9233" s="2" t="s">
        <v>11649</v>
      </c>
      <c r="E9233" s="4">
        <v>12500</v>
      </c>
    </row>
    <row r="9234" spans="1:5">
      <c r="A9234" s="2" t="s">
        <v>5</v>
      </c>
      <c r="B9234" s="2" t="str">
        <f>"1520"</f>
        <v>1520</v>
      </c>
      <c r="C9234" s="2" t="s">
        <v>11650</v>
      </c>
      <c r="D9234" s="2" t="s">
        <v>11651</v>
      </c>
      <c r="E9234" s="4">
        <v>18500</v>
      </c>
    </row>
    <row r="9235" spans="1:5">
      <c r="A9235" s="2" t="s">
        <v>5</v>
      </c>
      <c r="B9235" s="2" t="s">
        <v>11652</v>
      </c>
      <c r="C9235" s="2" t="s">
        <v>11652</v>
      </c>
      <c r="D9235" s="2" t="s">
        <v>11653</v>
      </c>
      <c r="E9235" s="4">
        <v>9800</v>
      </c>
    </row>
    <row r="9236" spans="1:5">
      <c r="A9236" s="2" t="s">
        <v>2541</v>
      </c>
      <c r="B9236" s="2" t="s">
        <v>11654</v>
      </c>
      <c r="C9236" s="2" t="s">
        <v>11654</v>
      </c>
      <c r="D9236" s="2" t="s">
        <v>11655</v>
      </c>
      <c r="E9236" s="4">
        <v>170000</v>
      </c>
    </row>
    <row r="9237" spans="1:5">
      <c r="A9237" s="2" t="s">
        <v>2541</v>
      </c>
      <c r="B9237" s="2" t="s">
        <v>11656</v>
      </c>
      <c r="C9237" s="2" t="s">
        <v>11657</v>
      </c>
      <c r="D9237" s="2" t="s">
        <v>11658</v>
      </c>
      <c r="E9237" s="4">
        <v>140000</v>
      </c>
    </row>
    <row r="9238" spans="1:5">
      <c r="A9238" s="2" t="s">
        <v>2541</v>
      </c>
      <c r="B9238" s="2" t="s">
        <v>11659</v>
      </c>
      <c r="C9238" s="2" t="s">
        <v>11659</v>
      </c>
      <c r="D9238" s="2" t="s">
        <v>11660</v>
      </c>
      <c r="E9238" s="4">
        <v>140000</v>
      </c>
    </row>
    <row r="9239" spans="1:5">
      <c r="A9239" s="2" t="s">
        <v>2541</v>
      </c>
      <c r="B9239" s="2" t="s">
        <v>11661</v>
      </c>
      <c r="C9239" s="2" t="s">
        <v>11661</v>
      </c>
      <c r="D9239" s="2" t="s">
        <v>11662</v>
      </c>
      <c r="E9239" s="4">
        <v>196000</v>
      </c>
    </row>
    <row r="9240" spans="1:5">
      <c r="A9240" s="2" t="s">
        <v>11468</v>
      </c>
      <c r="B9240" s="2" t="s">
        <v>11663</v>
      </c>
      <c r="C9240" s="2" t="s">
        <v>11663</v>
      </c>
      <c r="D9240" s="2" t="s">
        <v>11664</v>
      </c>
      <c r="E9240" s="4">
        <v>178000</v>
      </c>
    </row>
    <row r="9241" spans="1:5">
      <c r="A9241" s="2" t="s">
        <v>46</v>
      </c>
      <c r="B9241" s="2" t="str">
        <f>"7891799450762"</f>
        <v>7891799450762</v>
      </c>
      <c r="C9241" s="2" t="str">
        <f>"7891799450762"</f>
        <v>7891799450762</v>
      </c>
      <c r="D9241" s="2" t="s">
        <v>11665</v>
      </c>
      <c r="E9241" s="4">
        <v>7000</v>
      </c>
    </row>
    <row r="9242" spans="1:5">
      <c r="A9242" s="2" t="s">
        <v>296</v>
      </c>
      <c r="B9242" s="2" t="str">
        <f>"97-02"</f>
        <v>97-02</v>
      </c>
      <c r="C9242" s="2" t="str">
        <f>"97-02"</f>
        <v>97-02</v>
      </c>
      <c r="D9242" s="2" t="s">
        <v>11666</v>
      </c>
      <c r="E9242" s="4">
        <v>7500</v>
      </c>
    </row>
    <row r="9243" spans="1:5">
      <c r="A9243" s="2" t="s">
        <v>296</v>
      </c>
      <c r="B9243" s="2" t="str">
        <f>"607513"</f>
        <v>607513</v>
      </c>
      <c r="C9243" s="2" t="str">
        <f>"607513"</f>
        <v>607513</v>
      </c>
      <c r="D9243" s="2" t="s">
        <v>11667</v>
      </c>
      <c r="E9243" s="4">
        <v>13300</v>
      </c>
    </row>
    <row r="9244" spans="1:5">
      <c r="A9244" s="2" t="s">
        <v>296</v>
      </c>
      <c r="B9244" s="2" t="s">
        <v>11668</v>
      </c>
      <c r="C9244" s="2" t="s">
        <v>11668</v>
      </c>
      <c r="D9244" s="2" t="s">
        <v>11669</v>
      </c>
      <c r="E9244" s="4">
        <v>11900</v>
      </c>
    </row>
    <row r="9245" spans="1:5">
      <c r="A9245" s="2" t="s">
        <v>296</v>
      </c>
      <c r="B9245" s="2" t="str">
        <f>"26125"</f>
        <v>26125</v>
      </c>
      <c r="C9245" s="2" t="str">
        <f>"26125"</f>
        <v>26125</v>
      </c>
      <c r="D9245" s="2" t="s">
        <v>11670</v>
      </c>
      <c r="E9245" s="4">
        <v>2900</v>
      </c>
    </row>
    <row r="9246" spans="1:5">
      <c r="A9246" s="2" t="s">
        <v>165</v>
      </c>
      <c r="B9246" s="2" t="s">
        <v>11671</v>
      </c>
      <c r="C9246" s="2" t="s">
        <v>11671</v>
      </c>
      <c r="D9246" s="2" t="s">
        <v>11672</v>
      </c>
      <c r="E9246" s="4">
        <v>3400</v>
      </c>
    </row>
    <row r="9247" spans="1:5">
      <c r="A9247" s="2" t="s">
        <v>2064</v>
      </c>
      <c r="B9247" s="2" t="str">
        <f>"001787059-8"</f>
        <v>001787059-8</v>
      </c>
      <c r="C9247" s="2" t="str">
        <f>"001487059-8"</f>
        <v>001487059-8</v>
      </c>
      <c r="D9247" s="2" t="s">
        <v>11673</v>
      </c>
      <c r="E9247" s="4">
        <v>130000</v>
      </c>
    </row>
    <row r="9248" spans="1:5">
      <c r="A9248" s="2" t="s">
        <v>296</v>
      </c>
      <c r="B9248" s="2" t="str">
        <f>"090970250"</f>
        <v>090970250</v>
      </c>
      <c r="C9248" s="2" t="str">
        <f>"090970250"</f>
        <v>090970250</v>
      </c>
      <c r="D9248" s="2" t="s">
        <v>11674</v>
      </c>
      <c r="E9248" s="4">
        <v>78000</v>
      </c>
    </row>
    <row r="9249" spans="1:5">
      <c r="A9249" s="2" t="s">
        <v>296</v>
      </c>
      <c r="B9249" s="2" t="str">
        <f>"090440265"</f>
        <v>090440265</v>
      </c>
      <c r="C9249" s="2" t="str">
        <f>"09440265"</f>
        <v>09440265</v>
      </c>
      <c r="D9249" s="2" t="s">
        <v>11675</v>
      </c>
      <c r="E9249" s="4">
        <v>75000</v>
      </c>
    </row>
    <row r="9250" spans="1:5">
      <c r="A9250" s="2" t="s">
        <v>296</v>
      </c>
      <c r="B9250" s="2" t="str">
        <f>"0017093"</f>
        <v>0017093</v>
      </c>
      <c r="C9250" s="2" t="str">
        <f>"0017093"</f>
        <v>0017093</v>
      </c>
      <c r="D9250" s="2" t="s">
        <v>11676</v>
      </c>
      <c r="E9250" s="4">
        <v>97000</v>
      </c>
    </row>
    <row r="9251" spans="1:5">
      <c r="A9251" s="2" t="s">
        <v>296</v>
      </c>
      <c r="B9251" s="2" t="s">
        <v>11677</v>
      </c>
      <c r="C9251" s="2" t="s">
        <v>11677</v>
      </c>
      <c r="D9251" s="2" t="s">
        <v>11678</v>
      </c>
      <c r="E9251" s="4">
        <v>61000</v>
      </c>
    </row>
    <row r="9252" spans="1:5">
      <c r="A9252" s="2" t="s">
        <v>296</v>
      </c>
      <c r="B9252" s="2" t="s">
        <v>11679</v>
      </c>
      <c r="C9252" s="2" t="s">
        <v>11679</v>
      </c>
      <c r="D9252" s="2" t="s">
        <v>11680</v>
      </c>
      <c r="E9252" s="4">
        <v>97000</v>
      </c>
    </row>
    <row r="9253" spans="1:5">
      <c r="A9253" s="2" t="s">
        <v>296</v>
      </c>
      <c r="B9253" s="2" t="str">
        <f>"0001814"</f>
        <v>0001814</v>
      </c>
      <c r="C9253" s="2" t="str">
        <f>"0001814"</f>
        <v>0001814</v>
      </c>
      <c r="D9253" s="2" t="s">
        <v>11681</v>
      </c>
      <c r="E9253" s="4">
        <v>9700</v>
      </c>
    </row>
    <row r="9254" spans="1:5">
      <c r="A9254" s="2" t="s">
        <v>296</v>
      </c>
      <c r="B9254" s="2" t="str">
        <f>"001487123-3"</f>
        <v>001487123-3</v>
      </c>
      <c r="C9254" s="2" t="str">
        <f>"1487123-3"</f>
        <v>1487123-3</v>
      </c>
      <c r="D9254" s="2" t="s">
        <v>11682</v>
      </c>
      <c r="E9254" s="4">
        <v>38500</v>
      </c>
    </row>
    <row r="9255" spans="1:5">
      <c r="A9255" s="2" t="s">
        <v>296</v>
      </c>
      <c r="B9255" s="2" t="str">
        <f>"0018256"</f>
        <v>0018256</v>
      </c>
      <c r="C9255" s="2" t="str">
        <f>"0018256"</f>
        <v>0018256</v>
      </c>
      <c r="D9255" s="2" t="s">
        <v>11683</v>
      </c>
      <c r="E9255" s="4">
        <v>34000</v>
      </c>
    </row>
    <row r="9256" spans="1:5">
      <c r="A9256" s="2" t="s">
        <v>365</v>
      </c>
      <c r="B9256" s="2" t="s">
        <v>11684</v>
      </c>
      <c r="C9256" s="2" t="str">
        <f>"1718631412746"</f>
        <v>1718631412746</v>
      </c>
      <c r="D9256" s="2" t="s">
        <v>11685</v>
      </c>
      <c r="E9256" s="4">
        <v>66000</v>
      </c>
    </row>
    <row r="9257" spans="1:5">
      <c r="A9257" s="2" t="s">
        <v>296</v>
      </c>
      <c r="B9257" s="2" t="str">
        <f>"1S00110"</f>
        <v>1S00110</v>
      </c>
      <c r="C9257" s="2" t="str">
        <f>"1S00110"</f>
        <v>1S00110</v>
      </c>
      <c r="D9257" s="2" t="s">
        <v>11686</v>
      </c>
      <c r="E9257" s="4">
        <v>38500</v>
      </c>
    </row>
    <row r="9258" spans="1:5">
      <c r="A9258" s="2" t="s">
        <v>296</v>
      </c>
      <c r="B9258" s="2" t="str">
        <f>"1171278"</f>
        <v>1171278</v>
      </c>
      <c r="C9258" s="2" t="str">
        <f>"1171278"</f>
        <v>1171278</v>
      </c>
      <c r="D9258" s="2" t="s">
        <v>11687</v>
      </c>
      <c r="E9258" s="4">
        <v>61000</v>
      </c>
    </row>
    <row r="9259" spans="1:5">
      <c r="A9259" s="2" t="s">
        <v>296</v>
      </c>
      <c r="B9259" s="2" t="str">
        <f>"0013505"</f>
        <v>0013505</v>
      </c>
      <c r="C9259" s="2" t="str">
        <f>"0013505"</f>
        <v>0013505</v>
      </c>
      <c r="D9259" s="2" t="s">
        <v>11688</v>
      </c>
      <c r="E9259" s="4">
        <v>52000</v>
      </c>
    </row>
    <row r="9260" spans="1:5">
      <c r="A9260" s="2" t="s">
        <v>296</v>
      </c>
      <c r="B9260" s="2" t="s">
        <v>11689</v>
      </c>
      <c r="C9260" s="2" t="s">
        <v>11689</v>
      </c>
      <c r="D9260" s="2" t="s">
        <v>11690</v>
      </c>
      <c r="E9260" s="4">
        <v>58000</v>
      </c>
    </row>
    <row r="9261" spans="1:5">
      <c r="A9261" s="2" t="s">
        <v>296</v>
      </c>
      <c r="B9261" s="2" t="str">
        <f>"287934"</f>
        <v>287934</v>
      </c>
      <c r="C9261" s="2" t="str">
        <f>"287934"</f>
        <v>287934</v>
      </c>
      <c r="D9261" s="2" t="s">
        <v>11691</v>
      </c>
      <c r="E9261" s="4">
        <v>43000</v>
      </c>
    </row>
    <row r="9262" spans="1:5">
      <c r="A9262" s="2" t="s">
        <v>296</v>
      </c>
      <c r="B9262" s="2" t="str">
        <f>"1487024-5"</f>
        <v>1487024-5</v>
      </c>
      <c r="C9262" s="2" t="str">
        <f>"0013508"</f>
        <v>0013508</v>
      </c>
      <c r="D9262" s="2" t="s">
        <v>11692</v>
      </c>
      <c r="E9262" s="4">
        <v>43000</v>
      </c>
    </row>
    <row r="9263" spans="1:5">
      <c r="A9263" s="2" t="s">
        <v>296</v>
      </c>
      <c r="B9263" s="2" t="str">
        <f>"1171775"</f>
        <v>1171775</v>
      </c>
      <c r="C9263" s="2" t="str">
        <f>"1171775"</f>
        <v>1171775</v>
      </c>
      <c r="D9263" s="2" t="s">
        <v>11693</v>
      </c>
      <c r="E9263" s="4">
        <v>61000</v>
      </c>
    </row>
    <row r="9264" spans="1:5">
      <c r="A9264" s="2" t="s">
        <v>296</v>
      </c>
      <c r="B9264" s="2" t="str">
        <f>"0026156"</f>
        <v>0026156</v>
      </c>
      <c r="C9264" s="2" t="str">
        <f>"0026156"</f>
        <v>0026156</v>
      </c>
      <c r="D9264" s="2" t="s">
        <v>11694</v>
      </c>
      <c r="E9264" s="4">
        <v>61000</v>
      </c>
    </row>
    <row r="9265" spans="1:5">
      <c r="A9265" s="2" t="s">
        <v>2064</v>
      </c>
      <c r="B9265" s="2" t="str">
        <f>"1171577"</f>
        <v>1171577</v>
      </c>
      <c r="C9265" s="2" t="str">
        <f>"1171577"</f>
        <v>1171577</v>
      </c>
      <c r="D9265" s="2" t="s">
        <v>11695</v>
      </c>
      <c r="E9265" s="4">
        <v>43000</v>
      </c>
    </row>
    <row r="9266" spans="1:5">
      <c r="A9266" s="2" t="s">
        <v>296</v>
      </c>
      <c r="B9266" s="2" t="s">
        <v>11696</v>
      </c>
      <c r="C9266" s="2" t="str">
        <f>"090970004"</f>
        <v>090970004</v>
      </c>
      <c r="D9266" s="2" t="s">
        <v>11697</v>
      </c>
      <c r="E9266" s="4">
        <v>48400</v>
      </c>
    </row>
    <row r="9267" spans="1:5">
      <c r="A9267" s="2" t="s">
        <v>2064</v>
      </c>
      <c r="B9267" s="2" t="str">
        <f>"1171170"</f>
        <v>1171170</v>
      </c>
      <c r="C9267" s="2" t="str">
        <f>"1171170"</f>
        <v>1171170</v>
      </c>
      <c r="D9267" s="2" t="s">
        <v>11698</v>
      </c>
      <c r="E9267" s="4">
        <v>32000</v>
      </c>
    </row>
    <row r="9268" spans="1:5">
      <c r="A9268" s="2" t="s">
        <v>296</v>
      </c>
      <c r="B9268" s="2" t="str">
        <f>"1171178"</f>
        <v>1171178</v>
      </c>
      <c r="C9268" s="2" t="str">
        <f>"1171178"</f>
        <v>1171178</v>
      </c>
      <c r="D9268" s="2" t="s">
        <v>11699</v>
      </c>
      <c r="E9268" s="4">
        <v>34000</v>
      </c>
    </row>
    <row r="9269" spans="1:5">
      <c r="A9269" s="2" t="s">
        <v>296</v>
      </c>
      <c r="B9269" s="2" t="str">
        <f>"001596535-5"</f>
        <v>001596535-5</v>
      </c>
      <c r="C9269" s="2" t="str">
        <f>"1596535-5"</f>
        <v>1596535-5</v>
      </c>
      <c r="D9269" s="2" t="s">
        <v>11700</v>
      </c>
      <c r="E9269" s="4">
        <v>59000</v>
      </c>
    </row>
    <row r="9270" spans="1:5">
      <c r="A9270" s="2" t="s">
        <v>296</v>
      </c>
      <c r="B9270" s="2" t="str">
        <f>"117178"</f>
        <v>117178</v>
      </c>
      <c r="C9270" s="2" t="str">
        <f>"117178"</f>
        <v>117178</v>
      </c>
      <c r="D9270" s="2" t="s">
        <v>11701</v>
      </c>
      <c r="E9270" s="4">
        <v>22500</v>
      </c>
    </row>
    <row r="9271" spans="1:5">
      <c r="A9271" s="2" t="s">
        <v>296</v>
      </c>
      <c r="B9271" s="2" t="str">
        <f>"0013506"</f>
        <v>0013506</v>
      </c>
      <c r="C9271" s="2" t="str">
        <f>"0013506"</f>
        <v>0013506</v>
      </c>
      <c r="D9271" s="2" t="s">
        <v>11702</v>
      </c>
      <c r="E9271" s="4">
        <v>82000</v>
      </c>
    </row>
    <row r="9272" spans="1:5">
      <c r="A9272" s="2" t="s">
        <v>296</v>
      </c>
      <c r="B9272" s="2" t="s">
        <v>11703</v>
      </c>
      <c r="C9272" s="2" t="s">
        <v>11703</v>
      </c>
      <c r="D9272" s="2" t="s">
        <v>11702</v>
      </c>
      <c r="E9272" s="4">
        <v>78000</v>
      </c>
    </row>
    <row r="9273" spans="1:5">
      <c r="A9273" s="2" t="s">
        <v>296</v>
      </c>
      <c r="B9273" s="2" t="str">
        <f>"090970437"</f>
        <v>090970437</v>
      </c>
      <c r="C9273" s="2" t="str">
        <f>"090970437"</f>
        <v>090970437</v>
      </c>
      <c r="D9273" s="2" t="s">
        <v>11704</v>
      </c>
      <c r="E9273" s="4">
        <v>115000</v>
      </c>
    </row>
    <row r="9274" spans="1:5">
      <c r="A9274" s="2" t="s">
        <v>296</v>
      </c>
      <c r="B9274" s="2" t="str">
        <f>"0013504"</f>
        <v>0013504</v>
      </c>
      <c r="C9274" s="2" t="str">
        <f>"0013504"</f>
        <v>0013504</v>
      </c>
      <c r="D9274" s="2" t="s">
        <v>11705</v>
      </c>
      <c r="E9274" s="4">
        <v>48400</v>
      </c>
    </row>
    <row r="9275" spans="1:5">
      <c r="A9275" s="2" t="s">
        <v>296</v>
      </c>
      <c r="B9275" s="2" t="s">
        <v>11706</v>
      </c>
      <c r="C9275" s="2" t="s">
        <v>11706</v>
      </c>
      <c r="D9275" s="2" t="s">
        <v>11705</v>
      </c>
      <c r="E9275" s="4">
        <v>43000</v>
      </c>
    </row>
    <row r="9276" spans="1:5">
      <c r="A9276" s="2" t="s">
        <v>2064</v>
      </c>
      <c r="B9276" s="2" t="str">
        <f>"1602448"</f>
        <v>1602448</v>
      </c>
      <c r="C9276" s="2" t="str">
        <f>"1602448"</f>
        <v>1602448</v>
      </c>
      <c r="D9276" s="2" t="s">
        <v>11707</v>
      </c>
      <c r="E9276" s="4">
        <v>43000</v>
      </c>
    </row>
    <row r="9277" spans="1:5">
      <c r="A9277" s="2" t="s">
        <v>296</v>
      </c>
      <c r="B9277" s="2" t="str">
        <f>"0013503"</f>
        <v>0013503</v>
      </c>
      <c r="C9277" s="2" t="str">
        <f>"0013503"</f>
        <v>0013503</v>
      </c>
      <c r="D9277" s="2" t="s">
        <v>11708</v>
      </c>
      <c r="E9277" s="4">
        <v>39000</v>
      </c>
    </row>
    <row r="9278" spans="1:5">
      <c r="A9278" s="2" t="s">
        <v>2064</v>
      </c>
      <c r="B9278" s="2" t="str">
        <f>"1602458"</f>
        <v>1602458</v>
      </c>
      <c r="C9278" s="2" t="str">
        <f>"1602458"</f>
        <v>1602458</v>
      </c>
      <c r="D9278" s="2" t="s">
        <v>11709</v>
      </c>
      <c r="E9278" s="4">
        <v>37000</v>
      </c>
    </row>
    <row r="9279" spans="1:5">
      <c r="A9279" s="2" t="s">
        <v>296</v>
      </c>
      <c r="B9279" s="2" t="str">
        <f>"9952134"</f>
        <v>9952134</v>
      </c>
      <c r="C9279" s="2" t="str">
        <f>"9952134"</f>
        <v>9952134</v>
      </c>
      <c r="D9279" s="2" t="s">
        <v>11710</v>
      </c>
      <c r="E9279" s="4">
        <v>97000</v>
      </c>
    </row>
    <row r="9280" spans="1:5">
      <c r="A9280" s="2" t="s">
        <v>296</v>
      </c>
      <c r="B9280" s="2" t="str">
        <f>"9956560"</f>
        <v>9956560</v>
      </c>
      <c r="C9280" s="2" t="str">
        <f>"9956560"</f>
        <v>9956560</v>
      </c>
      <c r="D9280" s="2" t="s">
        <v>11711</v>
      </c>
      <c r="E9280" s="4">
        <v>59000</v>
      </c>
    </row>
    <row r="9281" spans="1:5">
      <c r="A9281" s="2" t="s">
        <v>296</v>
      </c>
      <c r="B9281" s="2" t="str">
        <f>"1900098"</f>
        <v>1900098</v>
      </c>
      <c r="C9281" s="2" t="str">
        <f>"1900098"</f>
        <v>1900098</v>
      </c>
      <c r="D9281" s="2" t="s">
        <v>11712</v>
      </c>
      <c r="E9281" s="4">
        <v>59000</v>
      </c>
    </row>
    <row r="9282" spans="1:5">
      <c r="A9282" s="2" t="s">
        <v>296</v>
      </c>
      <c r="B9282" s="2" t="str">
        <f>"090970009"</f>
        <v>090970009</v>
      </c>
      <c r="C9282" s="2" t="str">
        <f>"090970009"</f>
        <v>090970009</v>
      </c>
      <c r="D9282" s="2" t="s">
        <v>11713</v>
      </c>
      <c r="E9282" s="4">
        <v>61000</v>
      </c>
    </row>
    <row r="9283" spans="1:5">
      <c r="A9283" s="2" t="s">
        <v>296</v>
      </c>
      <c r="B9283" s="2" t="s">
        <v>11714</v>
      </c>
      <c r="C9283" s="2" t="s">
        <v>11714</v>
      </c>
      <c r="D9283" s="2" t="s">
        <v>11715</v>
      </c>
      <c r="E9283" s="4">
        <v>59000</v>
      </c>
    </row>
    <row r="9284" spans="1:5">
      <c r="A9284" s="2" t="s">
        <v>2064</v>
      </c>
      <c r="B9284" s="2" t="str">
        <f>"1219-027"</f>
        <v>1219-027</v>
      </c>
      <c r="C9284" s="2" t="str">
        <f>"1219-027"</f>
        <v>1219-027</v>
      </c>
      <c r="D9284" s="2" t="s">
        <v>11716</v>
      </c>
      <c r="E9284" s="4">
        <v>98000</v>
      </c>
    </row>
    <row r="9285" spans="1:5">
      <c r="A9285" s="2" t="s">
        <v>296</v>
      </c>
      <c r="B9285" s="2" t="str">
        <f>"0001749"</f>
        <v>0001749</v>
      </c>
      <c r="C9285" s="2" t="str">
        <f>"0001749"</f>
        <v>0001749</v>
      </c>
      <c r="D9285" s="2" t="s">
        <v>11717</v>
      </c>
      <c r="E9285" s="4">
        <v>88000</v>
      </c>
    </row>
    <row r="9286" spans="1:5">
      <c r="A9286" s="2" t="s">
        <v>296</v>
      </c>
      <c r="B9286" s="2" t="str">
        <f>"0010970"</f>
        <v>0010970</v>
      </c>
      <c r="C9286" s="2" t="str">
        <f>"0010970 001487068-7"</f>
        <v>0010970 001487068-7</v>
      </c>
      <c r="D9286" s="2" t="s">
        <v>11718</v>
      </c>
      <c r="E9286" s="4">
        <v>38500</v>
      </c>
    </row>
    <row r="9287" spans="1:5">
      <c r="A9287" s="2" t="s">
        <v>296</v>
      </c>
      <c r="B9287" s="2" t="str">
        <f>"0031007"</f>
        <v>0031007</v>
      </c>
      <c r="C9287" s="2" t="str">
        <f>"0031007"</f>
        <v>0031007</v>
      </c>
      <c r="D9287" s="2" t="s">
        <v>11719</v>
      </c>
      <c r="E9287" s="4">
        <v>65000</v>
      </c>
    </row>
    <row r="9288" spans="1:5">
      <c r="A9288" s="2" t="s">
        <v>296</v>
      </c>
      <c r="B9288" s="2" t="str">
        <f>"001481801-4"</f>
        <v>001481801-4</v>
      </c>
      <c r="C9288" s="2" t="str">
        <f>"001481801-4"</f>
        <v>001481801-4</v>
      </c>
      <c r="D9288" s="2" t="s">
        <v>11720</v>
      </c>
      <c r="E9288" s="4">
        <v>88000</v>
      </c>
    </row>
    <row r="9289" spans="1:5">
      <c r="A9289" s="2" t="s">
        <v>296</v>
      </c>
      <c r="B9289" s="2" t="str">
        <f>"1S00060"</f>
        <v>1S00060</v>
      </c>
      <c r="C9289" s="2" t="str">
        <f>"1S00060"</f>
        <v>1S00060</v>
      </c>
      <c r="D9289" s="2" t="s">
        <v>11721</v>
      </c>
      <c r="E9289" s="4">
        <v>38500</v>
      </c>
    </row>
    <row r="9290" spans="1:5">
      <c r="A9290" s="2" t="s">
        <v>296</v>
      </c>
      <c r="B9290" s="2" t="str">
        <f>"0017907"</f>
        <v>0017907</v>
      </c>
      <c r="C9290" s="2" t="str">
        <f>"0017907"</f>
        <v>0017907</v>
      </c>
      <c r="D9290" s="2" t="s">
        <v>11722</v>
      </c>
      <c r="E9290" s="4">
        <v>59200</v>
      </c>
    </row>
    <row r="9291" spans="1:5">
      <c r="A9291" s="2" t="s">
        <v>296</v>
      </c>
      <c r="B9291" s="2" t="str">
        <f>"0001185"</f>
        <v>0001185</v>
      </c>
      <c r="C9291" s="2" t="str">
        <f>"0001185"</f>
        <v>0001185</v>
      </c>
      <c r="D9291" s="2" t="s">
        <v>11723</v>
      </c>
      <c r="E9291" s="4">
        <v>61000</v>
      </c>
    </row>
    <row r="9292" spans="1:5">
      <c r="A9292" s="2" t="s">
        <v>2064</v>
      </c>
      <c r="B9292" s="2" t="str">
        <f>"1481830-8"</f>
        <v>1481830-8</v>
      </c>
      <c r="C9292" s="2" t="str">
        <f>"1481830-8"</f>
        <v>1481830-8</v>
      </c>
      <c r="D9292" s="2" t="s">
        <v>11724</v>
      </c>
      <c r="E9292" s="4">
        <v>89000</v>
      </c>
    </row>
    <row r="9293" spans="1:5">
      <c r="A9293" s="2" t="s">
        <v>2064</v>
      </c>
      <c r="B9293" s="2" t="str">
        <f>"0012370"</f>
        <v>0012370</v>
      </c>
      <c r="C9293" s="2" t="str">
        <f>"010930"</f>
        <v>010930</v>
      </c>
      <c r="D9293" s="2" t="s">
        <v>11725</v>
      </c>
      <c r="E9293" s="4">
        <v>55000</v>
      </c>
    </row>
    <row r="9294" spans="1:5">
      <c r="A9294" s="2" t="s">
        <v>296</v>
      </c>
      <c r="B9294" s="2" t="str">
        <f>"8-97088-182-2"</f>
        <v>8-97088-182-2</v>
      </c>
      <c r="C9294" s="2" t="str">
        <f>"090970172"</f>
        <v>090970172</v>
      </c>
      <c r="D9294" s="2" t="s">
        <v>11726</v>
      </c>
      <c r="E9294" s="4">
        <v>61000</v>
      </c>
    </row>
    <row r="9295" spans="1:5">
      <c r="A9295" s="2" t="s">
        <v>296</v>
      </c>
      <c r="B9295" s="2" t="s">
        <v>11727</v>
      </c>
      <c r="C9295" s="2" t="s">
        <v>11727</v>
      </c>
      <c r="D9295" s="2" t="s">
        <v>11728</v>
      </c>
      <c r="E9295" s="4">
        <v>68000</v>
      </c>
    </row>
    <row r="9296" spans="1:5">
      <c r="A9296" s="2" t="s">
        <v>296</v>
      </c>
      <c r="B9296" s="2" t="s">
        <v>11729</v>
      </c>
      <c r="C9296" s="2" t="s">
        <v>11730</v>
      </c>
      <c r="D9296" s="2" t="s">
        <v>11731</v>
      </c>
      <c r="E9296" s="4">
        <v>97000</v>
      </c>
    </row>
    <row r="9297" spans="1:5" ht="27.6">
      <c r="A9297" s="2" t="s">
        <v>296</v>
      </c>
      <c r="B9297" s="2" t="str">
        <f>"001228528-0"</f>
        <v>001228528-0</v>
      </c>
      <c r="C9297" s="2" t="str">
        <f>"001228528-0"</f>
        <v>001228528-0</v>
      </c>
      <c r="D9297" s="2" t="s">
        <v>11732</v>
      </c>
      <c r="E9297" s="4">
        <v>110000</v>
      </c>
    </row>
    <row r="9298" spans="1:5">
      <c r="A9298" s="2" t="s">
        <v>296</v>
      </c>
      <c r="B9298" s="2" t="str">
        <f>"001828233-K"</f>
        <v>001828233-K</v>
      </c>
      <c r="C9298" s="2" t="str">
        <f>"1828233-K"</f>
        <v>1828233-K</v>
      </c>
      <c r="D9298" s="2" t="s">
        <v>11733</v>
      </c>
      <c r="E9298" s="4">
        <v>68000</v>
      </c>
    </row>
    <row r="9299" spans="1:5">
      <c r="A9299" s="2" t="s">
        <v>296</v>
      </c>
      <c r="B9299" s="2" t="str">
        <f>"002996824-1"</f>
        <v>002996824-1</v>
      </c>
      <c r="C9299" s="2" t="str">
        <f>"2996824-1"</f>
        <v>2996824-1</v>
      </c>
      <c r="D9299" s="2" t="s">
        <v>11734</v>
      </c>
      <c r="E9299" s="4">
        <v>86000</v>
      </c>
    </row>
    <row r="9300" spans="1:5">
      <c r="A9300" s="2" t="s">
        <v>296</v>
      </c>
      <c r="B9300" s="2" t="str">
        <f>"001715001-4"</f>
        <v>001715001-4</v>
      </c>
      <c r="C9300" s="2" t="str">
        <f>"001715001-4"</f>
        <v>001715001-4</v>
      </c>
      <c r="D9300" s="2" t="s">
        <v>11735</v>
      </c>
      <c r="E9300" s="4">
        <v>115000</v>
      </c>
    </row>
    <row r="9301" spans="1:5" ht="27.6">
      <c r="A9301" s="2" t="s">
        <v>296</v>
      </c>
      <c r="B9301" s="2" t="str">
        <f>"000910766-5"</f>
        <v>000910766-5</v>
      </c>
      <c r="C9301" s="2" t="str">
        <f>"000910766-5"</f>
        <v>000910766-5</v>
      </c>
      <c r="D9301" s="2" t="s">
        <v>11736</v>
      </c>
      <c r="E9301" s="4">
        <v>79000</v>
      </c>
    </row>
    <row r="9302" spans="1:5">
      <c r="A9302" s="2" t="s">
        <v>2064</v>
      </c>
      <c r="B9302" s="2" t="str">
        <f>"8880085"</f>
        <v>8880085</v>
      </c>
      <c r="C9302" s="2" t="str">
        <f>"8880085"</f>
        <v>8880085</v>
      </c>
      <c r="D9302" s="2" t="s">
        <v>11737</v>
      </c>
      <c r="E9302" s="4">
        <v>61000</v>
      </c>
    </row>
    <row r="9303" spans="1:5">
      <c r="A9303" s="2" t="s">
        <v>296</v>
      </c>
      <c r="B9303" s="2" t="s">
        <v>11738</v>
      </c>
      <c r="C9303" s="2" t="s">
        <v>11738</v>
      </c>
      <c r="D9303" s="2" t="s">
        <v>11739</v>
      </c>
      <c r="E9303" s="4">
        <v>98000</v>
      </c>
    </row>
    <row r="9304" spans="1:5">
      <c r="A9304" s="2" t="s">
        <v>296</v>
      </c>
      <c r="B9304" s="2" t="s">
        <v>11740</v>
      </c>
      <c r="C9304" s="2" t="s">
        <v>11740</v>
      </c>
      <c r="D9304" s="2" t="s">
        <v>11741</v>
      </c>
      <c r="E9304" s="4">
        <v>620000</v>
      </c>
    </row>
    <row r="9305" spans="1:5">
      <c r="A9305" s="2" t="s">
        <v>296</v>
      </c>
      <c r="B9305" s="2" t="s">
        <v>11742</v>
      </c>
      <c r="C9305" s="2" t="s">
        <v>11742</v>
      </c>
      <c r="D9305" s="2" t="s">
        <v>11743</v>
      </c>
      <c r="E9305" s="4">
        <v>550000</v>
      </c>
    </row>
    <row r="9306" spans="1:5">
      <c r="A9306" s="2" t="s">
        <v>296</v>
      </c>
      <c r="B9306" s="2" t="str">
        <f>"8880098"</f>
        <v>8880098</v>
      </c>
      <c r="C9306" s="2" t="str">
        <f>"8880098"</f>
        <v>8880098</v>
      </c>
      <c r="D9306" s="2" t="s">
        <v>11744</v>
      </c>
      <c r="E9306" s="4">
        <v>38000</v>
      </c>
    </row>
    <row r="9307" spans="1:5">
      <c r="A9307" s="2" t="s">
        <v>296</v>
      </c>
      <c r="B9307" s="2" t="str">
        <f>"888085"</f>
        <v>888085</v>
      </c>
      <c r="C9307" s="2" t="str">
        <f>"888085"</f>
        <v>888085</v>
      </c>
      <c r="D9307" s="2" t="s">
        <v>11745</v>
      </c>
      <c r="E9307" s="4">
        <v>88000</v>
      </c>
    </row>
    <row r="9308" spans="1:5">
      <c r="A9308" s="2" t="s">
        <v>296</v>
      </c>
      <c r="B9308" s="2" t="str">
        <f>"8054210"</f>
        <v>8054210</v>
      </c>
      <c r="C9308" s="2" t="str">
        <f>"8054210"</f>
        <v>8054210</v>
      </c>
      <c r="D9308" s="2" t="s">
        <v>11746</v>
      </c>
      <c r="E9308" s="4">
        <v>2860</v>
      </c>
    </row>
    <row r="9309" spans="1:5">
      <c r="A9309" s="2" t="s">
        <v>296</v>
      </c>
      <c r="B9309" s="2" t="str">
        <f>"0005900"</f>
        <v>0005900</v>
      </c>
      <c r="C9309" s="2" t="str">
        <f>"0005900"</f>
        <v>0005900</v>
      </c>
      <c r="D9309" s="2" t="s">
        <v>11747</v>
      </c>
      <c r="E9309" s="4">
        <v>88000</v>
      </c>
    </row>
    <row r="9310" spans="1:5">
      <c r="A9310" s="2" t="s">
        <v>296</v>
      </c>
      <c r="B9310" s="2" t="str">
        <f>"0000680"</f>
        <v>0000680</v>
      </c>
      <c r="C9310" s="2" t="str">
        <f>"0000680"</f>
        <v>0000680</v>
      </c>
      <c r="D9310" s="2" t="s">
        <v>11748</v>
      </c>
      <c r="E9310" s="4">
        <v>75000</v>
      </c>
    </row>
    <row r="9311" spans="1:5">
      <c r="A9311" s="2" t="s">
        <v>296</v>
      </c>
      <c r="B9311" s="2" t="str">
        <f>"002096017-5"</f>
        <v>002096017-5</v>
      </c>
      <c r="C9311" s="2" t="str">
        <f>"002096017-5"</f>
        <v>002096017-5</v>
      </c>
      <c r="D9311" s="2" t="s">
        <v>11749</v>
      </c>
      <c r="E9311" s="4">
        <v>75000</v>
      </c>
    </row>
    <row r="9312" spans="1:5">
      <c r="A9312" s="2" t="s">
        <v>2064</v>
      </c>
      <c r="B9312" s="2" t="str">
        <f>"0000201"</f>
        <v>0000201</v>
      </c>
      <c r="C9312" s="2" t="str">
        <f>"0000201"</f>
        <v>0000201</v>
      </c>
      <c r="D9312" s="2" t="s">
        <v>11750</v>
      </c>
      <c r="E9312" s="4">
        <v>52000</v>
      </c>
    </row>
    <row r="9313" spans="1:5">
      <c r="A9313" s="2" t="s">
        <v>296</v>
      </c>
      <c r="B9313" s="2" t="str">
        <f>"9957389"</f>
        <v>9957389</v>
      </c>
      <c r="C9313" s="2" t="str">
        <f>"9957389"</f>
        <v>9957389</v>
      </c>
      <c r="D9313" s="2" t="s">
        <v>11751</v>
      </c>
      <c r="E9313" s="4">
        <v>79000</v>
      </c>
    </row>
    <row r="9314" spans="1:5">
      <c r="A9314" s="2" t="s">
        <v>296</v>
      </c>
      <c r="B9314" s="2" t="str">
        <f>"0026143"</f>
        <v>0026143</v>
      </c>
      <c r="C9314" s="2" t="str">
        <f>"0026143"</f>
        <v>0026143</v>
      </c>
      <c r="D9314" s="2" t="s">
        <v>11752</v>
      </c>
      <c r="E9314" s="4">
        <v>38500</v>
      </c>
    </row>
    <row r="9315" spans="1:5">
      <c r="A9315" s="2" t="s">
        <v>2064</v>
      </c>
      <c r="B9315" s="2" t="s">
        <v>11753</v>
      </c>
      <c r="C9315" s="2" t="s">
        <v>11753</v>
      </c>
      <c r="D9315" s="2" t="s">
        <v>11754</v>
      </c>
      <c r="E9315" s="4">
        <v>32200</v>
      </c>
    </row>
    <row r="9316" spans="1:5">
      <c r="A9316" s="2" t="s">
        <v>296</v>
      </c>
      <c r="B9316" s="2" t="s">
        <v>11755</v>
      </c>
      <c r="C9316" s="2" t="s">
        <v>11755</v>
      </c>
      <c r="D9316" s="2" t="s">
        <v>11756</v>
      </c>
      <c r="E9316" s="4">
        <v>34000</v>
      </c>
    </row>
    <row r="9317" spans="1:5">
      <c r="A9317" s="2" t="s">
        <v>296</v>
      </c>
      <c r="B9317" s="2" t="s">
        <v>11757</v>
      </c>
      <c r="C9317" s="2" t="s">
        <v>11757</v>
      </c>
      <c r="D9317" s="2" t="s">
        <v>11758</v>
      </c>
      <c r="E9317" s="4">
        <v>48400</v>
      </c>
    </row>
    <row r="9318" spans="1:5">
      <c r="A9318" s="2" t="s">
        <v>296</v>
      </c>
      <c r="B9318" s="2" t="str">
        <f>"0013514"</f>
        <v>0013514</v>
      </c>
      <c r="C9318" s="2" t="str">
        <f>"0013514"</f>
        <v>0013514</v>
      </c>
      <c r="D9318" s="2" t="s">
        <v>11759</v>
      </c>
      <c r="E9318" s="4">
        <v>34000</v>
      </c>
    </row>
    <row r="9319" spans="1:5">
      <c r="A9319" s="2" t="s">
        <v>296</v>
      </c>
      <c r="B9319" s="2" t="str">
        <f>"001215969-2"</f>
        <v>001215969-2</v>
      </c>
      <c r="C9319" s="2" t="str">
        <f>"001215969-2"</f>
        <v>001215969-2</v>
      </c>
      <c r="D9319" s="2" t="s">
        <v>11760</v>
      </c>
      <c r="E9319" s="4">
        <v>78000</v>
      </c>
    </row>
    <row r="9320" spans="1:5">
      <c r="A9320" s="2" t="s">
        <v>296</v>
      </c>
      <c r="B9320" s="2" t="s">
        <v>11761</v>
      </c>
      <c r="C9320" s="2" t="s">
        <v>11761</v>
      </c>
      <c r="D9320" s="2" t="s">
        <v>11762</v>
      </c>
      <c r="E9320" s="4">
        <v>59200</v>
      </c>
    </row>
    <row r="9321" spans="1:5">
      <c r="A9321" s="2" t="s">
        <v>296</v>
      </c>
      <c r="B9321" s="2" t="str">
        <f>"001215562-K"</f>
        <v>001215562-K</v>
      </c>
      <c r="C9321" s="2" t="str">
        <f>"001215562-K"</f>
        <v>001215562-K</v>
      </c>
      <c r="D9321" s="2" t="s">
        <v>11763</v>
      </c>
      <c r="E9321" s="4">
        <v>61000</v>
      </c>
    </row>
    <row r="9322" spans="1:5">
      <c r="A9322" s="2" t="s">
        <v>296</v>
      </c>
      <c r="B9322" s="2" t="str">
        <f>"001215589-1"</f>
        <v>001215589-1</v>
      </c>
      <c r="C9322" s="2" t="str">
        <f>"001215589-1"</f>
        <v>001215589-1</v>
      </c>
      <c r="D9322" s="2" t="s">
        <v>11764</v>
      </c>
      <c r="E9322" s="4">
        <v>88000</v>
      </c>
    </row>
    <row r="9323" spans="1:5">
      <c r="A9323" s="2" t="s">
        <v>296</v>
      </c>
      <c r="B9323" s="2" t="str">
        <f>"1228548-5"</f>
        <v>1228548-5</v>
      </c>
      <c r="C9323" s="2" t="str">
        <f>"1228548-5"</f>
        <v>1228548-5</v>
      </c>
      <c r="D9323" s="2" t="s">
        <v>11765</v>
      </c>
      <c r="E9323" s="4">
        <v>43000</v>
      </c>
    </row>
    <row r="9324" spans="1:5">
      <c r="A9324" s="2" t="s">
        <v>296</v>
      </c>
      <c r="B9324" s="2" t="str">
        <f>"0013511"</f>
        <v>0013511</v>
      </c>
      <c r="C9324" s="2" t="str">
        <f>"0013511"</f>
        <v>0013511</v>
      </c>
      <c r="D9324" s="2" t="s">
        <v>11766</v>
      </c>
      <c r="E9324" s="4">
        <v>34000</v>
      </c>
    </row>
    <row r="9325" spans="1:5">
      <c r="A9325" s="2" t="s">
        <v>296</v>
      </c>
      <c r="B9325" s="2" t="str">
        <f>"001215592-1"</f>
        <v>001215592-1</v>
      </c>
      <c r="C9325" s="2" t="str">
        <f>"1215592-1"</f>
        <v>1215592-1</v>
      </c>
      <c r="D9325" s="2" t="s">
        <v>11767</v>
      </c>
      <c r="E9325" s="4">
        <v>89000</v>
      </c>
    </row>
    <row r="9326" spans="1:5">
      <c r="A9326" s="2" t="s">
        <v>296</v>
      </c>
      <c r="B9326" s="2" t="str">
        <f>"0012476"</f>
        <v>0012476</v>
      </c>
      <c r="C9326" s="2" t="str">
        <f>"0012476"</f>
        <v>0012476</v>
      </c>
      <c r="D9326" s="2" t="s">
        <v>11768</v>
      </c>
      <c r="E9326" s="4">
        <v>38500</v>
      </c>
    </row>
    <row r="9327" spans="1:5">
      <c r="A9327" s="2" t="s">
        <v>296</v>
      </c>
      <c r="B9327" s="2" t="str">
        <f>"0034425"</f>
        <v>0034425</v>
      </c>
      <c r="C9327" s="2" t="str">
        <f>"0034425"</f>
        <v>0034425</v>
      </c>
      <c r="D9327" s="2" t="s">
        <v>11769</v>
      </c>
      <c r="E9327" s="4">
        <v>75000</v>
      </c>
    </row>
    <row r="9328" spans="1:5">
      <c r="A9328" s="2" t="s">
        <v>296</v>
      </c>
      <c r="B9328" s="2" t="str">
        <f>"071230484"</f>
        <v>071230484</v>
      </c>
      <c r="C9328" s="2" t="str">
        <f>"071230484"</f>
        <v>071230484</v>
      </c>
      <c r="D9328" s="2" t="s">
        <v>11770</v>
      </c>
      <c r="E9328" s="4">
        <v>89000</v>
      </c>
    </row>
    <row r="9329" spans="1:5">
      <c r="A9329" s="2" t="s">
        <v>296</v>
      </c>
      <c r="B9329" s="2" t="str">
        <f>"071230282"</f>
        <v>071230282</v>
      </c>
      <c r="C9329" s="2" t="str">
        <f>"071230282"</f>
        <v>071230282</v>
      </c>
      <c r="D9329" s="2" t="s">
        <v>11771</v>
      </c>
      <c r="E9329" s="4">
        <v>106000</v>
      </c>
    </row>
    <row r="9330" spans="1:5">
      <c r="A9330" s="2" t="s">
        <v>296</v>
      </c>
      <c r="B9330" s="2" t="s">
        <v>11772</v>
      </c>
      <c r="C9330" s="2" t="s">
        <v>11772</v>
      </c>
      <c r="D9330" s="2" t="s">
        <v>11773</v>
      </c>
      <c r="E9330" s="4">
        <v>52000</v>
      </c>
    </row>
    <row r="9331" spans="1:5">
      <c r="A9331" s="2" t="s">
        <v>296</v>
      </c>
      <c r="B9331" s="2" t="str">
        <f>"1215585-9"</f>
        <v>1215585-9</v>
      </c>
      <c r="C9331" s="2" t="str">
        <f>"1215585-9"</f>
        <v>1215585-9</v>
      </c>
      <c r="D9331" s="2" t="s">
        <v>11774</v>
      </c>
      <c r="E9331" s="4">
        <v>49000</v>
      </c>
    </row>
    <row r="9332" spans="1:5">
      <c r="A9332" s="2" t="s">
        <v>296</v>
      </c>
      <c r="B9332" s="2" t="str">
        <f>"001215688K"</f>
        <v>001215688K</v>
      </c>
      <c r="C9332" s="2" t="str">
        <f>"001215688K"</f>
        <v>001215688K</v>
      </c>
      <c r="D9332" s="2" t="s">
        <v>11775</v>
      </c>
      <c r="E9332" s="4">
        <v>59000</v>
      </c>
    </row>
    <row r="9333" spans="1:5">
      <c r="A9333" s="2" t="s">
        <v>296</v>
      </c>
      <c r="B9333" s="2" t="s">
        <v>11776</v>
      </c>
      <c r="C9333" s="2" t="s">
        <v>11776</v>
      </c>
      <c r="D9333" s="2" t="s">
        <v>11777</v>
      </c>
      <c r="E9333" s="4">
        <v>20505</v>
      </c>
    </row>
    <row r="9334" spans="1:5">
      <c r="A9334" s="2" t="s">
        <v>296</v>
      </c>
      <c r="B9334" s="2" t="str">
        <f>"1215683-9"</f>
        <v>1215683-9</v>
      </c>
      <c r="C9334" s="2" t="str">
        <f>"1215683-9"</f>
        <v>1215683-9</v>
      </c>
      <c r="D9334" s="2" t="s">
        <v>11778</v>
      </c>
      <c r="E9334" s="4">
        <v>89000</v>
      </c>
    </row>
    <row r="9335" spans="1:5">
      <c r="A9335" s="2" t="s">
        <v>296</v>
      </c>
      <c r="B9335" s="2" t="str">
        <f>"071230890"</f>
        <v>071230890</v>
      </c>
      <c r="C9335" s="2" t="str">
        <f>"071230890"</f>
        <v>071230890</v>
      </c>
      <c r="D9335" s="2" t="s">
        <v>11779</v>
      </c>
      <c r="E9335" s="4">
        <v>58000</v>
      </c>
    </row>
    <row r="9336" spans="1:5" ht="27.6">
      <c r="A9336" s="2" t="s">
        <v>296</v>
      </c>
      <c r="B9336" s="2" t="str">
        <f>"090970243"</f>
        <v>090970243</v>
      </c>
      <c r="C9336" s="2" t="str">
        <f>"090970243"</f>
        <v>090970243</v>
      </c>
      <c r="D9336" s="2" t="s">
        <v>11780</v>
      </c>
      <c r="E9336" s="4">
        <v>88000</v>
      </c>
    </row>
    <row r="9337" spans="1:5">
      <c r="A9337" s="2" t="s">
        <v>296</v>
      </c>
      <c r="B9337" s="2" t="str">
        <f>"288015"</f>
        <v>288015</v>
      </c>
      <c r="C9337" s="2" t="str">
        <f>"288015"</f>
        <v>288015</v>
      </c>
      <c r="D9337" s="2" t="s">
        <v>11781</v>
      </c>
      <c r="E9337" s="4">
        <v>70000</v>
      </c>
    </row>
    <row r="9338" spans="1:5">
      <c r="A9338" s="2" t="s">
        <v>296</v>
      </c>
      <c r="B9338" s="2" t="str">
        <f>"0013512"</f>
        <v>0013512</v>
      </c>
      <c r="C9338" s="2" t="str">
        <f>"0013512"</f>
        <v>0013512</v>
      </c>
      <c r="D9338" s="2" t="s">
        <v>11782</v>
      </c>
      <c r="E9338" s="4">
        <v>43000</v>
      </c>
    </row>
    <row r="9339" spans="1:5">
      <c r="A9339" s="2" t="s">
        <v>296</v>
      </c>
      <c r="B9339" s="2" t="s">
        <v>11783</v>
      </c>
      <c r="C9339" s="2" t="s">
        <v>11783</v>
      </c>
      <c r="D9339" s="2" t="s">
        <v>11784</v>
      </c>
      <c r="E9339" s="4">
        <v>61000</v>
      </c>
    </row>
    <row r="9340" spans="1:5">
      <c r="A9340" s="2" t="s">
        <v>296</v>
      </c>
      <c r="B9340" s="2" t="str">
        <f>"090970447"</f>
        <v>090970447</v>
      </c>
      <c r="C9340" s="2" t="str">
        <f>"090970447"</f>
        <v>090970447</v>
      </c>
      <c r="D9340" s="2" t="s">
        <v>11785</v>
      </c>
      <c r="E9340" s="4">
        <v>43000</v>
      </c>
    </row>
    <row r="9341" spans="1:5">
      <c r="A9341" s="2" t="s">
        <v>296</v>
      </c>
      <c r="B9341" s="2" t="str">
        <f>"090970045"</f>
        <v>090970045</v>
      </c>
      <c r="C9341" s="2" t="str">
        <f>"090970045"</f>
        <v>090970045</v>
      </c>
      <c r="D9341" s="2" t="s">
        <v>11786</v>
      </c>
      <c r="E9341" s="4">
        <v>97000</v>
      </c>
    </row>
    <row r="9342" spans="1:5">
      <c r="A9342" s="2" t="s">
        <v>296</v>
      </c>
      <c r="B9342" s="2" t="str">
        <f>"0013516"</f>
        <v>0013516</v>
      </c>
      <c r="C9342" s="2" t="str">
        <f>"0013515"</f>
        <v>0013515</v>
      </c>
      <c r="D9342" s="2" t="s">
        <v>11787</v>
      </c>
      <c r="E9342" s="4">
        <v>97000</v>
      </c>
    </row>
    <row r="9343" spans="1:5">
      <c r="A9343" s="2" t="s">
        <v>296</v>
      </c>
      <c r="B9343" s="2" t="str">
        <f>"001215563-8"</f>
        <v>001215563-8</v>
      </c>
      <c r="C9343" s="2" t="str">
        <f>"001215563-8"</f>
        <v>001215563-8</v>
      </c>
      <c r="D9343" s="2" t="s">
        <v>11788</v>
      </c>
      <c r="E9343" s="4">
        <v>89000</v>
      </c>
    </row>
    <row r="9344" spans="1:5">
      <c r="A9344" s="2" t="s">
        <v>296</v>
      </c>
      <c r="B9344" s="2" t="str">
        <f>"001215019-9"</f>
        <v>001215019-9</v>
      </c>
      <c r="C9344" s="2" t="str">
        <f>"001215019-9"</f>
        <v>001215019-9</v>
      </c>
      <c r="D9344" s="2" t="s">
        <v>11789</v>
      </c>
      <c r="E9344" s="4">
        <v>115000</v>
      </c>
    </row>
    <row r="9345" spans="1:5">
      <c r="A9345" s="2" t="s">
        <v>296</v>
      </c>
      <c r="B9345" s="2" t="s">
        <v>11790</v>
      </c>
      <c r="C9345" s="2" t="s">
        <v>11791</v>
      </c>
      <c r="D9345" s="2" t="s">
        <v>11792</v>
      </c>
      <c r="E9345" s="4">
        <v>160000</v>
      </c>
    </row>
    <row r="9346" spans="1:5">
      <c r="A9346" s="2" t="s">
        <v>296</v>
      </c>
      <c r="B9346" s="2" t="s">
        <v>11793</v>
      </c>
      <c r="C9346" s="2" t="s">
        <v>11794</v>
      </c>
      <c r="D9346" s="2" t="s">
        <v>11795</v>
      </c>
      <c r="E9346" s="4">
        <v>68000</v>
      </c>
    </row>
    <row r="9347" spans="1:5">
      <c r="A9347" s="2" t="s">
        <v>296</v>
      </c>
      <c r="B9347" s="2" t="s">
        <v>2064</v>
      </c>
      <c r="C9347" s="2" t="s">
        <v>2064</v>
      </c>
      <c r="D9347" s="2" t="s">
        <v>11796</v>
      </c>
      <c r="E9347" s="4">
        <v>61000</v>
      </c>
    </row>
    <row r="9348" spans="1:5">
      <c r="A9348" s="2" t="s">
        <v>296</v>
      </c>
      <c r="B9348" s="2" t="str">
        <f>"001228617-1"</f>
        <v>001228617-1</v>
      </c>
      <c r="C9348" s="2" t="str">
        <f>"001228617-1"</f>
        <v>001228617-1</v>
      </c>
      <c r="D9348" s="2" t="s">
        <v>11797</v>
      </c>
      <c r="E9348" s="4">
        <v>97000</v>
      </c>
    </row>
    <row r="9349" spans="1:5">
      <c r="A9349" s="2" t="s">
        <v>296</v>
      </c>
      <c r="B9349" s="2" t="str">
        <f>"0001758"</f>
        <v>0001758</v>
      </c>
      <c r="C9349" s="2" t="str">
        <f>"0001758"</f>
        <v>0001758</v>
      </c>
      <c r="D9349" s="2" t="s">
        <v>11798</v>
      </c>
      <c r="E9349" s="4">
        <v>58000</v>
      </c>
    </row>
    <row r="9350" spans="1:5">
      <c r="A9350" s="2" t="s">
        <v>296</v>
      </c>
      <c r="B9350" s="2" t="s">
        <v>11799</v>
      </c>
      <c r="C9350" s="2" t="s">
        <v>11799</v>
      </c>
      <c r="D9350" s="2" t="s">
        <v>11800</v>
      </c>
      <c r="E9350" s="4">
        <v>95000</v>
      </c>
    </row>
    <row r="9351" spans="1:5">
      <c r="A9351" s="2" t="s">
        <v>2064</v>
      </c>
      <c r="B9351" s="2" t="s">
        <v>11801</v>
      </c>
      <c r="C9351" s="2" t="str">
        <f>"1709813539436"</f>
        <v>1709813539436</v>
      </c>
      <c r="D9351" s="2" t="s">
        <v>11802</v>
      </c>
      <c r="E9351" s="4">
        <v>70000</v>
      </c>
    </row>
    <row r="9352" spans="1:5">
      <c r="A9352" s="2" t="s">
        <v>296</v>
      </c>
      <c r="B9352" s="2" t="str">
        <f>"021010001"</f>
        <v>021010001</v>
      </c>
      <c r="C9352" s="2" t="str">
        <f>"021010001"</f>
        <v>021010001</v>
      </c>
      <c r="D9352" s="2" t="s">
        <v>11803</v>
      </c>
      <c r="E9352" s="4">
        <v>60151</v>
      </c>
    </row>
    <row r="9353" spans="1:5">
      <c r="A9353" s="2" t="s">
        <v>296</v>
      </c>
      <c r="B9353" s="2" t="s">
        <v>11804</v>
      </c>
      <c r="C9353" s="2" t="s">
        <v>11804</v>
      </c>
      <c r="D9353" s="2" t="s">
        <v>11805</v>
      </c>
      <c r="E9353" s="4">
        <v>79000</v>
      </c>
    </row>
    <row r="9354" spans="1:5">
      <c r="A9354" s="2" t="s">
        <v>296</v>
      </c>
      <c r="B9354" s="2" t="str">
        <f>"001815005-0"</f>
        <v>001815005-0</v>
      </c>
      <c r="C9354" s="2" t="str">
        <f>"001815005-0"</f>
        <v>001815005-0</v>
      </c>
      <c r="D9354" s="2" t="s">
        <v>11806</v>
      </c>
      <c r="E9354" s="4">
        <v>140000</v>
      </c>
    </row>
    <row r="9355" spans="1:5">
      <c r="A9355" s="2" t="s">
        <v>296</v>
      </c>
      <c r="B9355" s="2" t="str">
        <f>"1815076-K"</f>
        <v>1815076-K</v>
      </c>
      <c r="C9355" s="2" t="str">
        <f>"1815076-K"</f>
        <v>1815076-K</v>
      </c>
      <c r="D9355" s="2" t="s">
        <v>11807</v>
      </c>
      <c r="E9355" s="4">
        <v>160000</v>
      </c>
    </row>
    <row r="9356" spans="1:5">
      <c r="A9356" s="2" t="s">
        <v>296</v>
      </c>
      <c r="B9356" s="2" t="str">
        <f>"001815076-K"</f>
        <v>001815076-K</v>
      </c>
      <c r="C9356" s="2" t="str">
        <f>"001815076-K"</f>
        <v>001815076-K</v>
      </c>
      <c r="D9356" s="2" t="s">
        <v>11808</v>
      </c>
      <c r="E9356" s="4">
        <v>140000</v>
      </c>
    </row>
    <row r="9357" spans="1:5">
      <c r="A9357" s="2" t="s">
        <v>296</v>
      </c>
      <c r="B9357" s="2" t="str">
        <f>"1818160"</f>
        <v>1818160</v>
      </c>
      <c r="C9357" s="2" t="str">
        <f>"1818160"</f>
        <v>1818160</v>
      </c>
      <c r="D9357" s="2" t="s">
        <v>11809</v>
      </c>
      <c r="E9357" s="4">
        <v>99000</v>
      </c>
    </row>
    <row r="9358" spans="1:5">
      <c r="A9358" s="2" t="s">
        <v>296</v>
      </c>
      <c r="B9358" s="2" t="str">
        <f>"070991034"</f>
        <v>070991034</v>
      </c>
      <c r="C9358" s="2" t="str">
        <f>"070991034"</f>
        <v>070991034</v>
      </c>
      <c r="D9358" s="2" t="s">
        <v>11810</v>
      </c>
      <c r="E9358" s="4">
        <v>88000</v>
      </c>
    </row>
    <row r="9359" spans="1:5">
      <c r="A9359" s="2" t="s">
        <v>296</v>
      </c>
      <c r="B9359" s="2" t="str">
        <f>"001815006-9"</f>
        <v>001815006-9</v>
      </c>
      <c r="C9359" s="2" t="str">
        <f>"001815006-9"</f>
        <v>001815006-9</v>
      </c>
      <c r="D9359" s="2" t="s">
        <v>11811</v>
      </c>
      <c r="E9359" s="4">
        <v>120000</v>
      </c>
    </row>
    <row r="9360" spans="1:5">
      <c r="A9360" s="2" t="s">
        <v>2064</v>
      </c>
      <c r="B9360" s="2" t="s">
        <v>11812</v>
      </c>
      <c r="C9360" s="2" t="s">
        <v>11812</v>
      </c>
      <c r="D9360" s="2" t="s">
        <v>11813</v>
      </c>
      <c r="E9360" s="4">
        <v>98600</v>
      </c>
    </row>
    <row r="9361" spans="1:5">
      <c r="A9361" s="2" t="s">
        <v>2064</v>
      </c>
      <c r="B9361" s="2" t="str">
        <f>"0005544"</f>
        <v>0005544</v>
      </c>
      <c r="C9361" s="2" t="str">
        <f>"0005544"</f>
        <v>0005544</v>
      </c>
      <c r="D9361" s="2" t="s">
        <v>11814</v>
      </c>
      <c r="E9361" s="4">
        <v>79000</v>
      </c>
    </row>
    <row r="9362" spans="1:5">
      <c r="A9362" s="2" t="s">
        <v>296</v>
      </c>
      <c r="B9362" s="2" t="str">
        <f>"090970068"</f>
        <v>090970068</v>
      </c>
      <c r="C9362" s="2" t="str">
        <f>"090970068"</f>
        <v>090970068</v>
      </c>
      <c r="D9362" s="2" t="s">
        <v>11815</v>
      </c>
      <c r="E9362" s="4">
        <v>61000</v>
      </c>
    </row>
    <row r="9363" spans="1:5">
      <c r="A9363" s="2" t="s">
        <v>296</v>
      </c>
      <c r="B9363" s="2" t="str">
        <f>"9944672"</f>
        <v>9944672</v>
      </c>
      <c r="C9363" s="2" t="str">
        <f>"9944672"</f>
        <v>9944672</v>
      </c>
      <c r="D9363" s="2" t="s">
        <v>11816</v>
      </c>
      <c r="E9363" s="4">
        <v>70000</v>
      </c>
    </row>
    <row r="9364" spans="1:5">
      <c r="A9364" s="2" t="s">
        <v>296</v>
      </c>
      <c r="B9364" s="2" t="str">
        <f>"090970609"</f>
        <v>090970609</v>
      </c>
      <c r="C9364" s="2" t="str">
        <f>"090970609"</f>
        <v>090970609</v>
      </c>
      <c r="D9364" s="2" t="s">
        <v>11817</v>
      </c>
      <c r="E9364" s="4">
        <v>59000</v>
      </c>
    </row>
    <row r="9365" spans="1:5">
      <c r="A9365" s="2" t="s">
        <v>296</v>
      </c>
      <c r="B9365" s="2" t="str">
        <f>"2312245"</f>
        <v>2312245</v>
      </c>
      <c r="C9365" s="2" t="str">
        <f>"2312245"</f>
        <v>2312245</v>
      </c>
      <c r="D9365" s="2" t="s">
        <v>11818</v>
      </c>
      <c r="E9365" s="4">
        <v>34000</v>
      </c>
    </row>
    <row r="9366" spans="1:5">
      <c r="A9366" s="2" t="s">
        <v>296</v>
      </c>
      <c r="B9366" s="2" t="str">
        <f>"001215053-9"</f>
        <v>001215053-9</v>
      </c>
      <c r="C9366" s="2" t="str">
        <f>"001215053-9"</f>
        <v>001215053-9</v>
      </c>
      <c r="D9366" s="2" t="s">
        <v>11819</v>
      </c>
      <c r="E9366" s="4">
        <v>88000</v>
      </c>
    </row>
    <row r="9367" spans="1:5">
      <c r="A9367" s="2" t="s">
        <v>296</v>
      </c>
      <c r="B9367" s="2" t="str">
        <f>"090970287"</f>
        <v>090970287</v>
      </c>
      <c r="C9367" s="2" t="str">
        <f>"090970287"</f>
        <v>090970287</v>
      </c>
      <c r="D9367" s="2" t="s">
        <v>11820</v>
      </c>
      <c r="E9367" s="4">
        <v>59000</v>
      </c>
    </row>
    <row r="9368" spans="1:5">
      <c r="A9368" s="2" t="s">
        <v>296</v>
      </c>
      <c r="B9368" s="2" t="str">
        <f>"001215342-2"</f>
        <v>001215342-2</v>
      </c>
      <c r="C9368" s="2" t="str">
        <f>"001215342-2"</f>
        <v>001215342-2</v>
      </c>
      <c r="D9368" s="2" t="s">
        <v>11821</v>
      </c>
      <c r="E9368" s="4">
        <v>120000</v>
      </c>
    </row>
    <row r="9369" spans="1:5">
      <c r="A9369" s="2" t="s">
        <v>296</v>
      </c>
      <c r="B9369" s="2" t="s">
        <v>11822</v>
      </c>
      <c r="C9369" s="2" t="s">
        <v>11822</v>
      </c>
      <c r="D9369" s="2" t="s">
        <v>11823</v>
      </c>
      <c r="E9369" s="4">
        <v>59000</v>
      </c>
    </row>
    <row r="9370" spans="1:5">
      <c r="A9370" s="2" t="s">
        <v>296</v>
      </c>
      <c r="B9370" s="2" t="str">
        <f>"0013523"</f>
        <v>0013523</v>
      </c>
      <c r="C9370" s="2" t="str">
        <f>"0013523"</f>
        <v>0013523</v>
      </c>
      <c r="D9370" s="2" t="s">
        <v>11824</v>
      </c>
      <c r="E9370" s="4">
        <v>59000</v>
      </c>
    </row>
    <row r="9371" spans="1:5">
      <c r="A9371" s="2" t="s">
        <v>296</v>
      </c>
      <c r="B9371" s="2" t="s">
        <v>11825</v>
      </c>
      <c r="C9371" s="2" t="s">
        <v>11825</v>
      </c>
      <c r="D9371" s="2" t="s">
        <v>11826</v>
      </c>
      <c r="E9371" s="4">
        <v>89000</v>
      </c>
    </row>
    <row r="9372" spans="1:5">
      <c r="A9372" s="2" t="s">
        <v>296</v>
      </c>
      <c r="B9372" s="2" t="str">
        <f>"001815074-3"</f>
        <v>001815074-3</v>
      </c>
      <c r="C9372" s="2" t="str">
        <f>"001815074-3"</f>
        <v>001815074-3</v>
      </c>
      <c r="D9372" s="2" t="s">
        <v>11827</v>
      </c>
      <c r="E9372" s="4">
        <v>128000</v>
      </c>
    </row>
    <row r="9373" spans="1:5">
      <c r="A9373" s="2" t="s">
        <v>296</v>
      </c>
      <c r="B9373" s="2" t="str">
        <f>"0020605"</f>
        <v>0020605</v>
      </c>
      <c r="C9373" s="2" t="str">
        <f>"0020605"</f>
        <v>0020605</v>
      </c>
      <c r="D9373" s="2" t="s">
        <v>11828</v>
      </c>
      <c r="E9373" s="4">
        <v>151000</v>
      </c>
    </row>
    <row r="9374" spans="1:5">
      <c r="A9374" s="2" t="s">
        <v>296</v>
      </c>
      <c r="B9374" s="2" t="s">
        <v>11829</v>
      </c>
      <c r="C9374" s="2" t="s">
        <v>11829</v>
      </c>
      <c r="D9374" s="2" t="s">
        <v>11830</v>
      </c>
      <c r="E9374" s="4">
        <v>88000</v>
      </c>
    </row>
    <row r="9375" spans="1:5">
      <c r="A9375" s="2" t="s">
        <v>296</v>
      </c>
      <c r="B9375" s="2" t="str">
        <f>"0000198"</f>
        <v>0000198</v>
      </c>
      <c r="C9375" s="2" t="str">
        <f>"0000198"</f>
        <v>0000198</v>
      </c>
      <c r="D9375" s="2" t="s">
        <v>11831</v>
      </c>
      <c r="E9375" s="4">
        <v>49000</v>
      </c>
    </row>
    <row r="9376" spans="1:5">
      <c r="A9376" s="2" t="s">
        <v>296</v>
      </c>
      <c r="B9376" s="2" t="s">
        <v>11832</v>
      </c>
      <c r="C9376" s="2" t="s">
        <v>11833</v>
      </c>
      <c r="D9376" s="2" t="s">
        <v>11834</v>
      </c>
      <c r="E9376" s="4">
        <v>193000</v>
      </c>
    </row>
    <row r="9377" spans="1:5">
      <c r="A9377" s="2" t="s">
        <v>296</v>
      </c>
      <c r="B9377" s="2" t="s">
        <v>11835</v>
      </c>
      <c r="C9377" s="2" t="s">
        <v>11835</v>
      </c>
      <c r="D9377" s="2" t="s">
        <v>11836</v>
      </c>
      <c r="E9377" s="4">
        <v>88000</v>
      </c>
    </row>
    <row r="9378" spans="1:5">
      <c r="A9378" s="2" t="s">
        <v>296</v>
      </c>
      <c r="B9378" s="2" t="str">
        <f>"002196808-0"</f>
        <v>002196808-0</v>
      </c>
      <c r="C9378" s="2" t="str">
        <f>"002196808-0"</f>
        <v>002196808-0</v>
      </c>
      <c r="D9378" s="2" t="s">
        <v>11837</v>
      </c>
      <c r="E9378" s="4">
        <v>115000</v>
      </c>
    </row>
    <row r="9379" spans="1:5">
      <c r="A9379" s="2" t="s">
        <v>296</v>
      </c>
      <c r="B9379" s="2" t="str">
        <f>"0001760"</f>
        <v>0001760</v>
      </c>
      <c r="C9379" s="2" t="str">
        <f>"0001760"</f>
        <v>0001760</v>
      </c>
      <c r="D9379" s="2" t="s">
        <v>11838</v>
      </c>
      <c r="E9379" s="4">
        <v>97000</v>
      </c>
    </row>
    <row r="9380" spans="1:5">
      <c r="A9380" s="2" t="s">
        <v>296</v>
      </c>
      <c r="B9380" s="2" t="str">
        <f>"002196820-K"</f>
        <v>002196820-K</v>
      </c>
      <c r="C9380" s="2" t="str">
        <f>"2196820-K"</f>
        <v>2196820-K</v>
      </c>
      <c r="D9380" s="2" t="s">
        <v>11839</v>
      </c>
      <c r="E9380" s="4">
        <v>115000</v>
      </c>
    </row>
    <row r="9381" spans="1:5">
      <c r="A9381" s="2" t="s">
        <v>2064</v>
      </c>
      <c r="B9381" s="2" t="s">
        <v>11840</v>
      </c>
      <c r="C9381" s="2" t="str">
        <f>"1706532411293"</f>
        <v>1706532411293</v>
      </c>
      <c r="D9381" s="2" t="s">
        <v>11841</v>
      </c>
      <c r="E9381" s="2">
        <v>0</v>
      </c>
    </row>
    <row r="9382" spans="1:5">
      <c r="A9382" s="2" t="s">
        <v>296</v>
      </c>
      <c r="B9382" s="2" t="s">
        <v>11842</v>
      </c>
      <c r="C9382" s="2" t="s">
        <v>11842</v>
      </c>
      <c r="D9382" s="2" t="s">
        <v>11843</v>
      </c>
      <c r="E9382" s="4">
        <v>58200</v>
      </c>
    </row>
    <row r="9383" spans="1:5">
      <c r="A9383" s="2" t="s">
        <v>296</v>
      </c>
      <c r="B9383" s="2" t="str">
        <f>"0029967113"</f>
        <v>0029967113</v>
      </c>
      <c r="C9383" s="2" t="str">
        <f>"0029967113"</f>
        <v>0029967113</v>
      </c>
      <c r="D9383" s="2" t="s">
        <v>11844</v>
      </c>
      <c r="E9383" s="4">
        <v>88000</v>
      </c>
    </row>
    <row r="9384" spans="1:5">
      <c r="A9384" s="2" t="s">
        <v>296</v>
      </c>
      <c r="B9384" s="2" t="str">
        <f>"002996067-4"</f>
        <v>002996067-4</v>
      </c>
      <c r="C9384" s="2" t="str">
        <f>"002996067-4"</f>
        <v>002996067-4</v>
      </c>
      <c r="D9384" s="2" t="s">
        <v>11845</v>
      </c>
      <c r="E9384" s="4">
        <v>98000</v>
      </c>
    </row>
    <row r="9385" spans="1:5">
      <c r="A9385" s="2" t="s">
        <v>296</v>
      </c>
      <c r="B9385" s="2" t="str">
        <f>"9945631"</f>
        <v>9945631</v>
      </c>
      <c r="C9385" s="2" t="str">
        <f>"9945631"</f>
        <v>9945631</v>
      </c>
      <c r="D9385" s="2" t="s">
        <v>11846</v>
      </c>
      <c r="E9385" s="4">
        <v>79000</v>
      </c>
    </row>
    <row r="9386" spans="1:5">
      <c r="A9386" s="2" t="s">
        <v>296</v>
      </c>
      <c r="B9386" s="2" t="s">
        <v>11847</v>
      </c>
      <c r="C9386" s="2" t="str">
        <f>"002996734-2"</f>
        <v>002996734-2</v>
      </c>
      <c r="D9386" s="2" t="s">
        <v>11848</v>
      </c>
      <c r="E9386" s="4">
        <v>145000</v>
      </c>
    </row>
    <row r="9387" spans="1:5">
      <c r="A9387" s="2" t="s">
        <v>296</v>
      </c>
      <c r="B9387" s="2" t="str">
        <f>"0011106"</f>
        <v>0011106</v>
      </c>
      <c r="C9387" s="2" t="str">
        <f>"0011106"</f>
        <v>0011106</v>
      </c>
      <c r="D9387" s="2" t="s">
        <v>11849</v>
      </c>
      <c r="E9387" s="4">
        <v>79000</v>
      </c>
    </row>
    <row r="9388" spans="1:5">
      <c r="A9388" s="2" t="s">
        <v>296</v>
      </c>
      <c r="B9388" s="2" t="str">
        <f>"002996815-2"</f>
        <v>002996815-2</v>
      </c>
      <c r="C9388" s="2" t="str">
        <f>"002996815-2"</f>
        <v>002996815-2</v>
      </c>
      <c r="D9388" s="2" t="s">
        <v>11850</v>
      </c>
      <c r="E9388" s="4">
        <v>142000</v>
      </c>
    </row>
    <row r="9389" spans="1:5">
      <c r="A9389" s="2" t="s">
        <v>296</v>
      </c>
      <c r="B9389" s="2" t="str">
        <f>"002996154-9"</f>
        <v>002996154-9</v>
      </c>
      <c r="C9389" s="2" t="str">
        <f>"002996154-9"</f>
        <v>002996154-9</v>
      </c>
      <c r="D9389" s="2" t="s">
        <v>11851</v>
      </c>
      <c r="E9389" s="4">
        <v>105000</v>
      </c>
    </row>
    <row r="9390" spans="1:5">
      <c r="A9390" s="2" t="s">
        <v>296</v>
      </c>
      <c r="B9390" s="2" t="str">
        <f>"002996806-3"</f>
        <v>002996806-3</v>
      </c>
      <c r="C9390" s="2" t="str">
        <f>"002996806-3"</f>
        <v>002996806-3</v>
      </c>
      <c r="D9390" s="2" t="s">
        <v>11852</v>
      </c>
      <c r="E9390" s="4">
        <v>79000</v>
      </c>
    </row>
    <row r="9391" spans="1:5">
      <c r="A9391" s="2" t="s">
        <v>296</v>
      </c>
      <c r="B9391" s="2" t="s">
        <v>11853</v>
      </c>
      <c r="C9391" s="2" t="s">
        <v>11853</v>
      </c>
      <c r="D9391" s="2" t="s">
        <v>11854</v>
      </c>
      <c r="E9391" s="4">
        <v>80000</v>
      </c>
    </row>
    <row r="9392" spans="1:5">
      <c r="A9392" s="2" t="s">
        <v>2064</v>
      </c>
      <c r="B9392" s="2" t="str">
        <f>"001796846-7"</f>
        <v>001796846-7</v>
      </c>
      <c r="C9392" s="2" t="str">
        <f>"001796846-7"</f>
        <v>001796846-7</v>
      </c>
      <c r="D9392" s="2" t="s">
        <v>11855</v>
      </c>
      <c r="E9392" s="4">
        <v>40000</v>
      </c>
    </row>
    <row r="9393" spans="1:5">
      <c r="A9393" s="2" t="s">
        <v>296</v>
      </c>
      <c r="B9393" s="2" t="str">
        <f>"0000192"</f>
        <v>0000192</v>
      </c>
      <c r="C9393" s="2" t="str">
        <f>"0000192"</f>
        <v>0000192</v>
      </c>
      <c r="D9393" s="2" t="s">
        <v>11856</v>
      </c>
      <c r="E9393" s="4">
        <v>38000</v>
      </c>
    </row>
    <row r="9394" spans="1:5">
      <c r="A9394" s="2" t="s">
        <v>296</v>
      </c>
      <c r="B9394" s="2" t="str">
        <f>"0001764"</f>
        <v>0001764</v>
      </c>
      <c r="C9394" s="2" t="str">
        <f>"0001764"</f>
        <v>0001764</v>
      </c>
      <c r="D9394" s="2" t="s">
        <v>11857</v>
      </c>
      <c r="E9394" s="4">
        <v>48400</v>
      </c>
    </row>
    <row r="9395" spans="1:5">
      <c r="A9395" s="2" t="s">
        <v>296</v>
      </c>
      <c r="B9395" s="2" t="str">
        <f>"002196815-6"</f>
        <v>002196815-6</v>
      </c>
      <c r="C9395" s="2" t="str">
        <f>"0021968-6"</f>
        <v>0021968-6</v>
      </c>
      <c r="D9395" s="2" t="s">
        <v>11858</v>
      </c>
      <c r="E9395" s="4">
        <v>160000</v>
      </c>
    </row>
    <row r="9396" spans="1:5">
      <c r="A9396" s="2" t="s">
        <v>296</v>
      </c>
      <c r="B9396" s="2" t="str">
        <f>"090970202"</f>
        <v>090970202</v>
      </c>
      <c r="C9396" s="2" t="str">
        <f>"090970202"</f>
        <v>090970202</v>
      </c>
      <c r="D9396" s="2" t="s">
        <v>11859</v>
      </c>
      <c r="E9396" s="4">
        <v>59000</v>
      </c>
    </row>
    <row r="9397" spans="1:5">
      <c r="A9397" s="2" t="s">
        <v>296</v>
      </c>
      <c r="B9397" s="2" t="str">
        <f>"90970220"</f>
        <v>90970220</v>
      </c>
      <c r="C9397" s="2" t="str">
        <f>"90970220"</f>
        <v>90970220</v>
      </c>
      <c r="D9397" s="2" t="s">
        <v>11860</v>
      </c>
      <c r="E9397" s="4">
        <v>90000</v>
      </c>
    </row>
    <row r="9398" spans="1:5">
      <c r="A9398" s="2" t="s">
        <v>2064</v>
      </c>
      <c r="B9398" s="2" t="str">
        <f>"0110400"</f>
        <v>0110400</v>
      </c>
      <c r="C9398" s="2" t="str">
        <f>"0110400"</f>
        <v>0110400</v>
      </c>
      <c r="D9398" s="2" t="s">
        <v>11861</v>
      </c>
      <c r="E9398" s="4">
        <v>75000</v>
      </c>
    </row>
    <row r="9399" spans="1:5">
      <c r="A9399" s="2" t="s">
        <v>296</v>
      </c>
      <c r="B9399" s="2" t="str">
        <f>"9954837"</f>
        <v>9954837</v>
      </c>
      <c r="C9399" s="2" t="str">
        <f>"9954837"</f>
        <v>9954837</v>
      </c>
      <c r="D9399" s="2" t="s">
        <v>11862</v>
      </c>
      <c r="E9399" s="4">
        <v>61000</v>
      </c>
    </row>
    <row r="9400" spans="1:5">
      <c r="A9400" s="2" t="s">
        <v>296</v>
      </c>
      <c r="B9400" s="2" t="str">
        <f>"090970220"</f>
        <v>090970220</v>
      </c>
      <c r="C9400" s="2" t="s">
        <v>11863</v>
      </c>
      <c r="D9400" s="2" t="s">
        <v>11864</v>
      </c>
      <c r="E9400" s="4">
        <v>98900</v>
      </c>
    </row>
    <row r="9401" spans="1:5">
      <c r="A9401" s="2" t="s">
        <v>296</v>
      </c>
      <c r="B9401" s="2" t="str">
        <f>"0034673"</f>
        <v>0034673</v>
      </c>
      <c r="C9401" s="2" t="str">
        <f>"0034673"</f>
        <v>0034673</v>
      </c>
      <c r="D9401" s="2" t="s">
        <v>11865</v>
      </c>
      <c r="E9401" s="4">
        <v>92000</v>
      </c>
    </row>
    <row r="9402" spans="1:5">
      <c r="A9402" s="2" t="s">
        <v>296</v>
      </c>
      <c r="B9402" s="2" t="str">
        <f>"0034475"</f>
        <v>0034475</v>
      </c>
      <c r="C9402" s="2" t="str">
        <f>"0034475"</f>
        <v>0034475</v>
      </c>
      <c r="D9402" s="2" t="s">
        <v>11866</v>
      </c>
      <c r="E9402" s="4">
        <v>70000</v>
      </c>
    </row>
    <row r="9403" spans="1:5">
      <c r="A9403" s="2" t="s">
        <v>296</v>
      </c>
      <c r="B9403" s="2" t="str">
        <f>"0110468"</f>
        <v>0110468</v>
      </c>
      <c r="C9403" s="2" t="str">
        <f>"0014823"</f>
        <v>0014823</v>
      </c>
      <c r="D9403" s="2" t="s">
        <v>11867</v>
      </c>
      <c r="E9403" s="4">
        <v>43000</v>
      </c>
    </row>
    <row r="9404" spans="1:5">
      <c r="A9404" s="2" t="s">
        <v>296</v>
      </c>
      <c r="B9404" s="2" t="str">
        <f>"000413922-4"</f>
        <v>000413922-4</v>
      </c>
      <c r="C9404" s="2" t="str">
        <f>"000413922-4"</f>
        <v>000413922-4</v>
      </c>
      <c r="D9404" s="2" t="s">
        <v>11868</v>
      </c>
      <c r="E9404" s="4">
        <v>38000</v>
      </c>
    </row>
    <row r="9405" spans="1:5">
      <c r="A9405" s="2" t="s">
        <v>296</v>
      </c>
      <c r="B9405" s="2" t="str">
        <f>"0013524"</f>
        <v>0013524</v>
      </c>
      <c r="C9405" s="2" t="str">
        <f>"0013524"</f>
        <v>0013524</v>
      </c>
      <c r="D9405" s="2" t="s">
        <v>11869</v>
      </c>
      <c r="E9405" s="4">
        <v>89000</v>
      </c>
    </row>
    <row r="9406" spans="1:5">
      <c r="A9406" s="2" t="s">
        <v>296</v>
      </c>
      <c r="B9406" s="2" t="str">
        <f>"090970268"</f>
        <v>090970268</v>
      </c>
      <c r="C9406" s="2" t="str">
        <f>"090970268"</f>
        <v>090970268</v>
      </c>
      <c r="D9406" s="2" t="s">
        <v>11870</v>
      </c>
      <c r="E9406" s="4">
        <v>590000</v>
      </c>
    </row>
    <row r="9407" spans="1:5">
      <c r="A9407" s="2" t="s">
        <v>296</v>
      </c>
      <c r="B9407" s="2" t="str">
        <f>"000413909-7"</f>
        <v>000413909-7</v>
      </c>
      <c r="C9407" s="2" t="str">
        <f>"000413909-7 090970096"</f>
        <v>000413909-7 090970096</v>
      </c>
      <c r="D9407" s="2" t="s">
        <v>11871</v>
      </c>
      <c r="E9407" s="4">
        <v>75000</v>
      </c>
    </row>
    <row r="9408" spans="1:5">
      <c r="A9408" s="2" t="s">
        <v>296</v>
      </c>
      <c r="B9408" s="2" t="str">
        <f>"000417026-1"</f>
        <v>000417026-1</v>
      </c>
      <c r="C9408" s="2" t="str">
        <f>"00417026-1"</f>
        <v>00417026-1</v>
      </c>
      <c r="D9408" s="2" t="s">
        <v>11872</v>
      </c>
      <c r="E9408" s="4">
        <v>130000</v>
      </c>
    </row>
    <row r="9409" spans="1:5">
      <c r="A9409" s="2" t="s">
        <v>2064</v>
      </c>
      <c r="B9409" s="2" t="s">
        <v>11873</v>
      </c>
      <c r="C9409" s="2" t="str">
        <f>"0110479"</f>
        <v>0110479</v>
      </c>
      <c r="D9409" s="2" t="s">
        <v>11874</v>
      </c>
      <c r="E9409" s="4">
        <v>58300</v>
      </c>
    </row>
    <row r="9410" spans="1:5">
      <c r="A9410" s="2" t="s">
        <v>296</v>
      </c>
      <c r="B9410" s="2" t="str">
        <f>"0013525"</f>
        <v>0013525</v>
      </c>
      <c r="C9410" s="2" t="str">
        <f>"0013525"</f>
        <v>0013525</v>
      </c>
      <c r="D9410" s="2" t="s">
        <v>11875</v>
      </c>
      <c r="E9410" s="4">
        <v>52000</v>
      </c>
    </row>
    <row r="9411" spans="1:5">
      <c r="A9411" s="2" t="s">
        <v>296</v>
      </c>
      <c r="B9411" s="2" t="str">
        <f>"001325"</f>
        <v>001325</v>
      </c>
      <c r="C9411" s="2" t="str">
        <f>"000413910-0"</f>
        <v>000413910-0</v>
      </c>
      <c r="D9411" s="2" t="s">
        <v>11876</v>
      </c>
      <c r="E9411" s="4">
        <v>95000</v>
      </c>
    </row>
    <row r="9412" spans="1:5">
      <c r="A9412" s="2" t="s">
        <v>2064</v>
      </c>
      <c r="B9412" s="2" t="str">
        <f>"0110359"</f>
        <v>0110359</v>
      </c>
      <c r="C9412" s="2" t="str">
        <f>"0110359"</f>
        <v>0110359</v>
      </c>
      <c r="D9412" s="2" t="s">
        <v>11877</v>
      </c>
      <c r="E9412" s="4">
        <v>39000</v>
      </c>
    </row>
    <row r="9413" spans="1:5">
      <c r="A9413" s="2" t="s">
        <v>296</v>
      </c>
      <c r="B9413" s="2" t="str">
        <f>"0110342"</f>
        <v>0110342</v>
      </c>
      <c r="C9413" s="2" t="str">
        <f>"0110342"</f>
        <v>0110342</v>
      </c>
      <c r="D9413" s="2" t="s">
        <v>11878</v>
      </c>
      <c r="E9413" s="4">
        <v>28000</v>
      </c>
    </row>
    <row r="9414" spans="1:5">
      <c r="A9414" s="2" t="s">
        <v>2064</v>
      </c>
      <c r="B9414" s="2" t="str">
        <f>"0110358"</f>
        <v>0110358</v>
      </c>
      <c r="C9414" s="2" t="str">
        <f>"0110358"</f>
        <v>0110358</v>
      </c>
      <c r="D9414" s="2" t="s">
        <v>11879</v>
      </c>
      <c r="E9414" s="4">
        <v>38500</v>
      </c>
    </row>
    <row r="9415" spans="1:5">
      <c r="A9415" s="2" t="s">
        <v>296</v>
      </c>
      <c r="B9415" s="2" t="s">
        <v>11880</v>
      </c>
      <c r="C9415" s="2" t="str">
        <f>"232843"</f>
        <v>232843</v>
      </c>
      <c r="D9415" s="2" t="s">
        <v>11881</v>
      </c>
      <c r="E9415" s="4">
        <v>59000</v>
      </c>
    </row>
    <row r="9416" spans="1:5">
      <c r="A9416" s="2" t="s">
        <v>296</v>
      </c>
      <c r="B9416" s="2" t="str">
        <f>"090970104"</f>
        <v>090970104</v>
      </c>
      <c r="C9416" s="2" t="str">
        <f>"010346"</f>
        <v>010346</v>
      </c>
      <c r="D9416" s="2" t="s">
        <v>11882</v>
      </c>
      <c r="E9416" s="4">
        <v>59000</v>
      </c>
    </row>
    <row r="9417" spans="1:5">
      <c r="A9417" s="2" t="s">
        <v>2064</v>
      </c>
      <c r="B9417" s="2" t="s">
        <v>11883</v>
      </c>
      <c r="C9417" s="2" t="str">
        <f>"0010972"</f>
        <v>0010972</v>
      </c>
      <c r="D9417" s="2" t="s">
        <v>11884</v>
      </c>
      <c r="E9417" s="4">
        <v>97000</v>
      </c>
    </row>
    <row r="9418" spans="1:5">
      <c r="A9418" s="2" t="s">
        <v>296</v>
      </c>
      <c r="B9418" s="2" t="s">
        <v>11885</v>
      </c>
      <c r="C9418" s="2" t="s">
        <v>11885</v>
      </c>
      <c r="D9418" s="2" t="s">
        <v>11886</v>
      </c>
      <c r="E9418" s="4">
        <v>58300</v>
      </c>
    </row>
    <row r="9419" spans="1:5">
      <c r="A9419" s="2" t="s">
        <v>296</v>
      </c>
      <c r="B9419" s="2" t="str">
        <f>"000213672-4"</f>
        <v>000213672-4</v>
      </c>
      <c r="C9419" s="2" t="str">
        <f>"000213672-4"</f>
        <v>000213672-4</v>
      </c>
      <c r="D9419" s="2" t="s">
        <v>11887</v>
      </c>
      <c r="E9419" s="4">
        <v>79000</v>
      </c>
    </row>
    <row r="9420" spans="1:5">
      <c r="A9420" s="2" t="s">
        <v>296</v>
      </c>
      <c r="B9420" s="2" t="str">
        <f>"3796500-6"</f>
        <v>3796500-6</v>
      </c>
      <c r="C9420" s="2" t="str">
        <f>"090970311"</f>
        <v>090970311</v>
      </c>
      <c r="D9420" s="2" t="s">
        <v>11888</v>
      </c>
      <c r="E9420" s="4">
        <v>97000</v>
      </c>
    </row>
    <row r="9421" spans="1:5">
      <c r="A9421" s="2" t="s">
        <v>296</v>
      </c>
      <c r="B9421" s="2" t="str">
        <f>"2328023"</f>
        <v>2328023</v>
      </c>
      <c r="C9421" s="2" t="str">
        <f>"2328023"</f>
        <v>2328023</v>
      </c>
      <c r="D9421" s="2" t="s">
        <v>11889</v>
      </c>
      <c r="E9421" s="4">
        <v>40000</v>
      </c>
    </row>
    <row r="9422" spans="1:5">
      <c r="A9422" s="2" t="s">
        <v>296</v>
      </c>
      <c r="B9422" s="2" t="str">
        <f>"3796525-1"</f>
        <v>3796525-1</v>
      </c>
      <c r="C9422" s="2" t="s">
        <v>11890</v>
      </c>
      <c r="D9422" s="2" t="s">
        <v>11891</v>
      </c>
      <c r="E9422" s="4">
        <v>75000</v>
      </c>
    </row>
    <row r="9423" spans="1:5">
      <c r="A9423" s="2" t="s">
        <v>296</v>
      </c>
      <c r="B9423" s="2" t="str">
        <f>"090970222"</f>
        <v>090970222</v>
      </c>
      <c r="C9423" s="2" t="str">
        <f>"090970222"</f>
        <v>090970222</v>
      </c>
      <c r="D9423" s="2" t="s">
        <v>11892</v>
      </c>
      <c r="E9423" s="4">
        <v>52000</v>
      </c>
    </row>
    <row r="9424" spans="1:5">
      <c r="A9424" s="2" t="s">
        <v>296</v>
      </c>
      <c r="B9424" s="2" t="s">
        <v>11893</v>
      </c>
      <c r="C9424" s="2" t="s">
        <v>11893</v>
      </c>
      <c r="D9424" s="2" t="s">
        <v>11894</v>
      </c>
      <c r="E9424" s="4">
        <v>61000</v>
      </c>
    </row>
    <row r="9425" spans="1:5">
      <c r="A9425" s="2" t="s">
        <v>296</v>
      </c>
      <c r="B9425" s="2" t="str">
        <f>"001996840-5"</f>
        <v>001996840-5</v>
      </c>
      <c r="C9425" s="2" t="str">
        <f>"001996840-5"</f>
        <v>001996840-5</v>
      </c>
      <c r="D9425" s="2" t="s">
        <v>11895</v>
      </c>
      <c r="E9425" s="4">
        <v>115000</v>
      </c>
    </row>
    <row r="9426" spans="1:5">
      <c r="A9426" s="2" t="s">
        <v>296</v>
      </c>
      <c r="B9426" s="2" t="str">
        <f>"090970221"</f>
        <v>090970221</v>
      </c>
      <c r="C9426" s="2" t="str">
        <f>"090970221"</f>
        <v>090970221</v>
      </c>
      <c r="D9426" s="2" t="s">
        <v>11896</v>
      </c>
      <c r="E9426" s="4">
        <v>97000</v>
      </c>
    </row>
    <row r="9427" spans="1:5">
      <c r="A9427" s="2" t="s">
        <v>296</v>
      </c>
      <c r="B9427" s="2" t="str">
        <f>"001996800-6"</f>
        <v>001996800-6</v>
      </c>
      <c r="C9427" s="2" t="str">
        <f>"001996800-6"</f>
        <v>001996800-6</v>
      </c>
      <c r="D9427" s="2" t="s">
        <v>11897</v>
      </c>
      <c r="E9427" s="4">
        <v>89000</v>
      </c>
    </row>
    <row r="9428" spans="1:5">
      <c r="A9428" s="2" t="s">
        <v>296</v>
      </c>
      <c r="B9428" s="2" t="str">
        <f>"090970368"</f>
        <v>090970368</v>
      </c>
      <c r="C9428" s="2" t="str">
        <f>"090970368"</f>
        <v>090970368</v>
      </c>
      <c r="D9428" s="2" t="s">
        <v>11898</v>
      </c>
      <c r="E9428" s="4">
        <v>89000</v>
      </c>
    </row>
    <row r="9429" spans="1:5">
      <c r="A9429" s="2" t="s">
        <v>296</v>
      </c>
      <c r="B9429" s="2" t="str">
        <f>"090970382"</f>
        <v>090970382</v>
      </c>
      <c r="C9429" s="2" t="str">
        <f>"090970382"</f>
        <v>090970382</v>
      </c>
      <c r="D9429" s="2" t="s">
        <v>11899</v>
      </c>
      <c r="E9429" s="4">
        <v>61000</v>
      </c>
    </row>
    <row r="9430" spans="1:5">
      <c r="A9430" s="2" t="s">
        <v>296</v>
      </c>
      <c r="B9430" s="2" t="s">
        <v>11900</v>
      </c>
      <c r="C9430" s="2" t="s">
        <v>11900</v>
      </c>
      <c r="D9430" s="2" t="s">
        <v>11901</v>
      </c>
      <c r="E9430" s="4">
        <v>70000</v>
      </c>
    </row>
    <row r="9431" spans="1:5">
      <c r="A9431" s="2" t="s">
        <v>296</v>
      </c>
      <c r="B9431" s="2" t="s">
        <v>11902</v>
      </c>
      <c r="C9431" s="2" t="s">
        <v>11902</v>
      </c>
      <c r="D9431" s="2" t="s">
        <v>11903</v>
      </c>
      <c r="E9431" s="4">
        <v>40200</v>
      </c>
    </row>
    <row r="9432" spans="1:5">
      <c r="A9432" s="2" t="s">
        <v>296</v>
      </c>
      <c r="B9432" s="2" t="str">
        <f>"001715710-8"</f>
        <v>001715710-8</v>
      </c>
      <c r="C9432" s="2" t="str">
        <f>"001715710-8"</f>
        <v>001715710-8</v>
      </c>
      <c r="D9432" s="2" t="s">
        <v>11904</v>
      </c>
      <c r="E9432" s="4">
        <v>97000</v>
      </c>
    </row>
    <row r="9433" spans="1:5">
      <c r="A9433" s="2" t="s">
        <v>2064</v>
      </c>
      <c r="B9433" s="2" t="str">
        <f>"287988"</f>
        <v>287988</v>
      </c>
      <c r="C9433" s="2" t="str">
        <f>"287988"</f>
        <v>287988</v>
      </c>
      <c r="D9433" s="2" t="s">
        <v>11905</v>
      </c>
      <c r="E9433" s="4">
        <v>68200</v>
      </c>
    </row>
    <row r="9434" spans="1:5">
      <c r="A9434" s="2" t="s">
        <v>296</v>
      </c>
      <c r="B9434" s="2" t="str">
        <f>"287905"</f>
        <v>287905</v>
      </c>
      <c r="C9434" s="2" t="str">
        <f>"287905"</f>
        <v>287905</v>
      </c>
      <c r="D9434" s="2" t="s">
        <v>11906</v>
      </c>
      <c r="E9434" s="4">
        <v>84400</v>
      </c>
    </row>
    <row r="9435" spans="1:5">
      <c r="A9435" s="2" t="s">
        <v>296</v>
      </c>
      <c r="B9435" s="2" t="str">
        <f>"0000124"</f>
        <v>0000124</v>
      </c>
      <c r="C9435" s="2" t="str">
        <f>"000124"</f>
        <v>000124</v>
      </c>
      <c r="D9435" s="2" t="s">
        <v>11907</v>
      </c>
      <c r="E9435" s="4">
        <v>78000</v>
      </c>
    </row>
    <row r="9436" spans="1:5">
      <c r="A9436" s="2" t="s">
        <v>296</v>
      </c>
      <c r="B9436" s="2" t="str">
        <f>"0014842"</f>
        <v>0014842</v>
      </c>
      <c r="C9436" s="2" t="str">
        <f>"0014842"</f>
        <v>0014842</v>
      </c>
      <c r="D9436" s="2" t="s">
        <v>11908</v>
      </c>
      <c r="E9436" s="4">
        <v>97000</v>
      </c>
    </row>
    <row r="9437" spans="1:5">
      <c r="A9437" s="2" t="s">
        <v>296</v>
      </c>
      <c r="B9437" s="2" t="str">
        <f>"0010128"</f>
        <v>0010128</v>
      </c>
      <c r="C9437" s="2" t="str">
        <f>"0010128"</f>
        <v>0010128</v>
      </c>
      <c r="D9437" s="2" t="s">
        <v>11909</v>
      </c>
      <c r="E9437" s="4">
        <v>89000</v>
      </c>
    </row>
    <row r="9438" spans="1:5">
      <c r="A9438" s="2" t="s">
        <v>296</v>
      </c>
      <c r="B9438" s="2" t="str">
        <f>"1715703-5"</f>
        <v>1715703-5</v>
      </c>
      <c r="C9438" s="2" t="str">
        <f>"1715703-5"</f>
        <v>1715703-5</v>
      </c>
      <c r="D9438" s="2" t="s">
        <v>11910</v>
      </c>
      <c r="E9438" s="4">
        <v>71800</v>
      </c>
    </row>
    <row r="9439" spans="1:5">
      <c r="A9439" s="2" t="s">
        <v>296</v>
      </c>
      <c r="B9439" s="2" t="str">
        <f>"1796818-1"</f>
        <v>1796818-1</v>
      </c>
      <c r="C9439" s="2" t="str">
        <f>"1796818-1"</f>
        <v>1796818-1</v>
      </c>
      <c r="D9439" s="2" t="s">
        <v>11911</v>
      </c>
      <c r="E9439" s="4">
        <v>64000</v>
      </c>
    </row>
    <row r="9440" spans="1:5">
      <c r="A9440" s="2" t="s">
        <v>296</v>
      </c>
      <c r="B9440" s="2" t="str">
        <f>"0001775"</f>
        <v>0001775</v>
      </c>
      <c r="C9440" s="2" t="str">
        <f>"0001775"</f>
        <v>0001775</v>
      </c>
      <c r="D9440" s="2" t="s">
        <v>11912</v>
      </c>
      <c r="E9440" s="4">
        <v>48000</v>
      </c>
    </row>
    <row r="9441" spans="1:5">
      <c r="A9441" s="2" t="s">
        <v>296</v>
      </c>
      <c r="B9441" s="2" t="s">
        <v>11913</v>
      </c>
      <c r="C9441" s="2" t="s">
        <v>11913</v>
      </c>
      <c r="D9441" s="2" t="s">
        <v>11914</v>
      </c>
      <c r="E9441" s="4">
        <v>34000</v>
      </c>
    </row>
    <row r="9442" spans="1:5">
      <c r="A9442" s="2" t="s">
        <v>296</v>
      </c>
      <c r="B9442" s="2" t="str">
        <f>"001796835-1"</f>
        <v>001796835-1</v>
      </c>
      <c r="C9442" s="2" t="str">
        <f>"001796835-1"</f>
        <v>001796835-1</v>
      </c>
      <c r="D9442" s="2" t="s">
        <v>11915</v>
      </c>
      <c r="E9442" s="4">
        <v>154000</v>
      </c>
    </row>
    <row r="9443" spans="1:5">
      <c r="A9443" s="2" t="s">
        <v>296</v>
      </c>
      <c r="B9443" s="2" t="s">
        <v>11916</v>
      </c>
      <c r="C9443" s="2" t="s">
        <v>11916</v>
      </c>
      <c r="D9443" s="2" t="s">
        <v>11917</v>
      </c>
      <c r="E9443" s="4">
        <v>34500</v>
      </c>
    </row>
    <row r="9444" spans="1:5">
      <c r="A9444" s="2" t="s">
        <v>296</v>
      </c>
      <c r="B9444" s="2" t="str">
        <f>"000910602-2"</f>
        <v>000910602-2</v>
      </c>
      <c r="C9444" s="2" t="str">
        <f>"000910602-2"</f>
        <v>000910602-2</v>
      </c>
      <c r="D9444" s="2" t="s">
        <v>11918</v>
      </c>
      <c r="E9444" s="4">
        <v>52000</v>
      </c>
    </row>
    <row r="9445" spans="1:5">
      <c r="A9445" s="2" t="s">
        <v>296</v>
      </c>
      <c r="B9445" s="2" t="str">
        <f>"000910979-K"</f>
        <v>000910979-K</v>
      </c>
      <c r="C9445" s="2" t="str">
        <f>"000910979-K"</f>
        <v>000910979-K</v>
      </c>
      <c r="D9445" s="2" t="s">
        <v>11919</v>
      </c>
      <c r="E9445" s="4">
        <v>125000</v>
      </c>
    </row>
    <row r="9446" spans="1:5">
      <c r="A9446" s="2" t="s">
        <v>296</v>
      </c>
      <c r="B9446" s="2" t="str">
        <f>"0011107"</f>
        <v>0011107</v>
      </c>
      <c r="C9446" s="2" t="str">
        <f>"0011107"</f>
        <v>0011107</v>
      </c>
      <c r="D9446" s="2" t="s">
        <v>11920</v>
      </c>
      <c r="E9446" s="4">
        <v>70000</v>
      </c>
    </row>
    <row r="9447" spans="1:5">
      <c r="A9447" s="2" t="s">
        <v>296</v>
      </c>
      <c r="B9447" s="2" t="str">
        <f>"090970373"</f>
        <v>090970373</v>
      </c>
      <c r="C9447" s="2" t="str">
        <f>"090970373"</f>
        <v>090970373</v>
      </c>
      <c r="D9447" s="2" t="s">
        <v>11921</v>
      </c>
      <c r="E9447" s="4">
        <v>97000</v>
      </c>
    </row>
    <row r="9448" spans="1:5">
      <c r="A9448" s="2" t="s">
        <v>296</v>
      </c>
      <c r="B9448" s="2" t="str">
        <f>"9945900"</f>
        <v>9945900</v>
      </c>
      <c r="C9448" s="2" t="str">
        <f>"9945900"</f>
        <v>9945900</v>
      </c>
      <c r="D9448" s="2" t="s">
        <v>11922</v>
      </c>
      <c r="E9448" s="4">
        <v>89000</v>
      </c>
    </row>
    <row r="9449" spans="1:5">
      <c r="A9449" s="2" t="s">
        <v>296</v>
      </c>
      <c r="B9449" s="2" t="str">
        <f>"0013526"</f>
        <v>0013526</v>
      </c>
      <c r="C9449" s="2" t="str">
        <f>"090970128"</f>
        <v>090970128</v>
      </c>
      <c r="D9449" s="2" t="s">
        <v>11923</v>
      </c>
      <c r="E9449" s="4">
        <v>78000</v>
      </c>
    </row>
    <row r="9450" spans="1:5" ht="27.6">
      <c r="A9450" s="2" t="s">
        <v>296</v>
      </c>
      <c r="B9450" s="2" t="str">
        <f>"00910766-5"</f>
        <v>00910766-5</v>
      </c>
      <c r="C9450" s="2" t="str">
        <f>"00910766-5"</f>
        <v>00910766-5</v>
      </c>
      <c r="D9450" s="2" t="s">
        <v>11924</v>
      </c>
      <c r="E9450" s="4">
        <v>88000</v>
      </c>
    </row>
    <row r="9451" spans="1:5">
      <c r="A9451" s="2" t="s">
        <v>296</v>
      </c>
      <c r="B9451" s="2" t="str">
        <f>"000914603-2"</f>
        <v>000914603-2</v>
      </c>
      <c r="C9451" s="2" t="str">
        <f>"0027415"</f>
        <v>0027415</v>
      </c>
      <c r="D9451" s="2" t="s">
        <v>11925</v>
      </c>
      <c r="E9451" s="4">
        <v>97000</v>
      </c>
    </row>
    <row r="9452" spans="1:5">
      <c r="A9452" s="2" t="s">
        <v>296</v>
      </c>
      <c r="B9452" s="2" t="str">
        <f>"0013527"</f>
        <v>0013527</v>
      </c>
      <c r="C9452" s="2" t="str">
        <f>"0013527"</f>
        <v>0013527</v>
      </c>
      <c r="D9452" s="2" t="s">
        <v>11926</v>
      </c>
      <c r="E9452" s="4">
        <v>52000</v>
      </c>
    </row>
    <row r="9453" spans="1:5">
      <c r="A9453" s="2" t="s">
        <v>2064</v>
      </c>
      <c r="B9453" s="2" t="s">
        <v>11927</v>
      </c>
      <c r="C9453" s="2" t="str">
        <f>"090970196"</f>
        <v>090970196</v>
      </c>
      <c r="D9453" s="2" t="s">
        <v>11928</v>
      </c>
      <c r="E9453" s="4">
        <v>79000</v>
      </c>
    </row>
    <row r="9454" spans="1:5">
      <c r="A9454" s="2" t="s">
        <v>296</v>
      </c>
      <c r="B9454" s="2" t="str">
        <f>"090970133"</f>
        <v>090970133</v>
      </c>
      <c r="C9454" s="2" t="str">
        <f>"090970133"</f>
        <v>090970133</v>
      </c>
      <c r="D9454" s="2" t="s">
        <v>11929</v>
      </c>
      <c r="E9454" s="4">
        <v>45000</v>
      </c>
    </row>
    <row r="9455" spans="1:5">
      <c r="A9455" s="2" t="s">
        <v>296</v>
      </c>
      <c r="B9455" s="2" t="str">
        <f>"9952139"</f>
        <v>9952139</v>
      </c>
      <c r="C9455" s="2" t="str">
        <f>"9952139"</f>
        <v>9952139</v>
      </c>
      <c r="D9455" s="2" t="s">
        <v>11930</v>
      </c>
      <c r="E9455" s="4">
        <v>52000</v>
      </c>
    </row>
    <row r="9456" spans="1:5">
      <c r="A9456" s="2" t="s">
        <v>2064</v>
      </c>
      <c r="B9456" s="2" t="s">
        <v>11931</v>
      </c>
      <c r="C9456" s="2" t="str">
        <f>"512803"</f>
        <v>512803</v>
      </c>
      <c r="D9456" s="2" t="s">
        <v>11932</v>
      </c>
      <c r="E9456" s="4">
        <v>61000</v>
      </c>
    </row>
    <row r="9457" spans="1:5">
      <c r="A9457" s="2" t="s">
        <v>296</v>
      </c>
      <c r="B9457" s="2" t="str">
        <f>"9952140"</f>
        <v>9952140</v>
      </c>
      <c r="C9457" s="2" t="str">
        <f>"9952140"</f>
        <v>9952140</v>
      </c>
      <c r="D9457" s="2" t="s">
        <v>11933</v>
      </c>
      <c r="E9457" s="4">
        <v>115000</v>
      </c>
    </row>
    <row r="9458" spans="1:5">
      <c r="A9458" s="2" t="s">
        <v>296</v>
      </c>
      <c r="B9458" s="2" t="str">
        <f>"9952141"</f>
        <v>9952141</v>
      </c>
      <c r="C9458" s="2" t="str">
        <f>"9952141"</f>
        <v>9952141</v>
      </c>
      <c r="D9458" s="2" t="s">
        <v>11934</v>
      </c>
      <c r="E9458" s="4">
        <v>88000</v>
      </c>
    </row>
    <row r="9459" spans="1:5">
      <c r="A9459" s="2" t="s">
        <v>296</v>
      </c>
      <c r="B9459" s="2" t="s">
        <v>11935</v>
      </c>
      <c r="C9459" s="2" t="s">
        <v>11936</v>
      </c>
      <c r="D9459" s="2" t="s">
        <v>11937</v>
      </c>
      <c r="E9459" s="4">
        <v>58300</v>
      </c>
    </row>
    <row r="9460" spans="1:5">
      <c r="A9460" s="2" t="s">
        <v>2064</v>
      </c>
      <c r="B9460" s="2" t="s">
        <v>11938</v>
      </c>
      <c r="C9460" s="2" t="s">
        <v>11938</v>
      </c>
      <c r="D9460" s="2" t="s">
        <v>11939</v>
      </c>
      <c r="E9460" s="4">
        <v>43000</v>
      </c>
    </row>
    <row r="9461" spans="1:5">
      <c r="A9461" s="2" t="s">
        <v>2064</v>
      </c>
      <c r="B9461" s="2" t="str">
        <f>"312733"</f>
        <v>312733</v>
      </c>
      <c r="C9461" s="2" t="s">
        <v>11940</v>
      </c>
      <c r="D9461" s="2" t="s">
        <v>11941</v>
      </c>
      <c r="E9461" s="4">
        <v>62500</v>
      </c>
    </row>
    <row r="9462" spans="1:5">
      <c r="A9462" s="2" t="s">
        <v>296</v>
      </c>
      <c r="B9462" s="2" t="s">
        <v>11942</v>
      </c>
      <c r="C9462" s="2" t="s">
        <v>11942</v>
      </c>
      <c r="D9462" s="2" t="s">
        <v>11943</v>
      </c>
      <c r="E9462" s="4">
        <v>41200</v>
      </c>
    </row>
    <row r="9463" spans="1:5">
      <c r="A9463" s="2" t="s">
        <v>2064</v>
      </c>
      <c r="B9463" s="2" t="str">
        <f>"4155340"</f>
        <v>4155340</v>
      </c>
      <c r="C9463" s="2" t="str">
        <f>"4155340"</f>
        <v>4155340</v>
      </c>
      <c r="D9463" s="2" t="s">
        <v>11944</v>
      </c>
      <c r="E9463" s="4">
        <v>43200</v>
      </c>
    </row>
    <row r="9464" spans="1:5">
      <c r="A9464" s="2" t="s">
        <v>296</v>
      </c>
      <c r="B9464" s="2" t="str">
        <f>"245484"</f>
        <v>245484</v>
      </c>
      <c r="C9464" s="2" t="str">
        <f>"245484"</f>
        <v>245484</v>
      </c>
      <c r="D9464" s="2" t="s">
        <v>11945</v>
      </c>
      <c r="E9464" s="4">
        <v>4500</v>
      </c>
    </row>
    <row r="9465" spans="1:5">
      <c r="A9465" s="2" t="s">
        <v>296</v>
      </c>
      <c r="B9465" s="2" t="str">
        <f>"245533"</f>
        <v>245533</v>
      </c>
      <c r="C9465" s="2" t="str">
        <f>"245533"</f>
        <v>245533</v>
      </c>
      <c r="D9465" s="2" t="s">
        <v>11946</v>
      </c>
      <c r="E9465" s="4">
        <v>9500</v>
      </c>
    </row>
    <row r="9466" spans="1:5">
      <c r="A9466" s="2" t="s">
        <v>296</v>
      </c>
      <c r="B9466" s="2" t="str">
        <f>"013800"</f>
        <v>013800</v>
      </c>
      <c r="C9466" s="2" t="str">
        <f>"013800"</f>
        <v>013800</v>
      </c>
      <c r="D9466" s="2" t="s">
        <v>11947</v>
      </c>
      <c r="E9466" s="4">
        <v>16000</v>
      </c>
    </row>
    <row r="9467" spans="1:5">
      <c r="A9467" s="2" t="s">
        <v>2541</v>
      </c>
      <c r="B9467" s="2" t="s">
        <v>11948</v>
      </c>
      <c r="C9467" s="2" t="s">
        <v>11948</v>
      </c>
      <c r="D9467" s="2" t="s">
        <v>11949</v>
      </c>
      <c r="E9467" s="4">
        <v>22300</v>
      </c>
    </row>
    <row r="9468" spans="1:5">
      <c r="A9468" s="2" t="s">
        <v>2541</v>
      </c>
      <c r="B9468" s="2" t="str">
        <f>"0006941"</f>
        <v>0006941</v>
      </c>
      <c r="C9468" s="2" t="str">
        <f>"0006941"</f>
        <v>0006941</v>
      </c>
      <c r="D9468" s="2" t="s">
        <v>11950</v>
      </c>
      <c r="E9468" s="4">
        <v>21400</v>
      </c>
    </row>
    <row r="9469" spans="1:5">
      <c r="A9469" s="2" t="s">
        <v>2541</v>
      </c>
      <c r="B9469" s="2" t="str">
        <f>"001496213-1"</f>
        <v>001496213-1</v>
      </c>
      <c r="C9469" s="2" t="str">
        <f>"001496213-1"</f>
        <v>001496213-1</v>
      </c>
      <c r="D9469" s="2" t="s">
        <v>11951</v>
      </c>
      <c r="E9469" s="4">
        <v>52000</v>
      </c>
    </row>
    <row r="9470" spans="1:5">
      <c r="A9470" s="2" t="s">
        <v>2541</v>
      </c>
      <c r="B9470" s="2" t="s">
        <v>11952</v>
      </c>
      <c r="C9470" s="2" t="str">
        <f>"0220247"</f>
        <v>0220247</v>
      </c>
      <c r="D9470" s="2" t="s">
        <v>11953</v>
      </c>
      <c r="E9470" s="4">
        <v>29000</v>
      </c>
    </row>
    <row r="9471" spans="1:5">
      <c r="A9471" s="2" t="s">
        <v>2541</v>
      </c>
      <c r="B9471" s="2" t="s">
        <v>11954</v>
      </c>
      <c r="C9471" s="2" t="s">
        <v>11954</v>
      </c>
      <c r="D9471" s="2" t="s">
        <v>11955</v>
      </c>
      <c r="E9471" s="4">
        <v>45000</v>
      </c>
    </row>
    <row r="9472" spans="1:5">
      <c r="A9472" s="2" t="s">
        <v>2541</v>
      </c>
      <c r="B9472" s="2" t="str">
        <f>"85030-65Y30"</f>
        <v>85030-65Y30</v>
      </c>
      <c r="C9472" s="2" t="str">
        <f>"85030-65Y30"</f>
        <v>85030-65Y30</v>
      </c>
      <c r="D9472" s="2" t="s">
        <v>11956</v>
      </c>
      <c r="E9472" s="4">
        <v>28600</v>
      </c>
    </row>
    <row r="9473" spans="1:5">
      <c r="A9473" s="2" t="s">
        <v>2541</v>
      </c>
      <c r="B9473" s="2" t="s">
        <v>11957</v>
      </c>
      <c r="C9473" s="2" t="s">
        <v>11957</v>
      </c>
      <c r="D9473" s="2" t="s">
        <v>11958</v>
      </c>
      <c r="E9473" s="4">
        <v>88000</v>
      </c>
    </row>
    <row r="9474" spans="1:5">
      <c r="A9474" s="2" t="s">
        <v>2541</v>
      </c>
      <c r="B9474" s="2" t="str">
        <f>"000990919-2"</f>
        <v>000990919-2</v>
      </c>
      <c r="C9474" s="2" t="str">
        <f>"000990919-2"</f>
        <v>000990919-2</v>
      </c>
      <c r="D9474" s="2" t="s">
        <v>11959</v>
      </c>
      <c r="E9474" s="4">
        <v>48400</v>
      </c>
    </row>
    <row r="9475" spans="1:5" ht="27.6">
      <c r="A9475" s="2" t="s">
        <v>2541</v>
      </c>
      <c r="B9475" s="2" t="s">
        <v>11960</v>
      </c>
      <c r="C9475" s="2" t="str">
        <f>"1688399955645"</f>
        <v>1688399955645</v>
      </c>
      <c r="D9475" s="2" t="s">
        <v>11961</v>
      </c>
      <c r="E9475" s="4">
        <v>90000</v>
      </c>
    </row>
    <row r="9476" spans="1:5">
      <c r="A9476" s="2" t="s">
        <v>296</v>
      </c>
      <c r="B9476" s="2" t="str">
        <f>"012137"</f>
        <v>012137</v>
      </c>
      <c r="C9476" s="2" t="str">
        <f>"012137"</f>
        <v>012137</v>
      </c>
      <c r="D9476" s="2" t="s">
        <v>11962</v>
      </c>
      <c r="E9476" s="4">
        <v>21500</v>
      </c>
    </row>
    <row r="9477" spans="1:5">
      <c r="A9477" s="2" t="s">
        <v>296</v>
      </c>
      <c r="B9477" s="2" t="str">
        <f>"010660023"</f>
        <v>010660023</v>
      </c>
      <c r="C9477" s="2" t="str">
        <f>"010660023"</f>
        <v>010660023</v>
      </c>
      <c r="D9477" s="2" t="s">
        <v>11963</v>
      </c>
      <c r="E9477" s="4">
        <v>16000</v>
      </c>
    </row>
    <row r="9478" spans="1:5">
      <c r="A9478" s="2" t="s">
        <v>296</v>
      </c>
      <c r="B9478" s="2" t="str">
        <f>"005007CAV"</f>
        <v>005007CAV</v>
      </c>
      <c r="C9478" s="2" t="str">
        <f>"005007CAV"</f>
        <v>005007CAV</v>
      </c>
      <c r="D9478" s="2" t="s">
        <v>11964</v>
      </c>
      <c r="E9478" s="4">
        <v>9800</v>
      </c>
    </row>
    <row r="9479" spans="1:5">
      <c r="A9479" s="2" t="s">
        <v>296</v>
      </c>
      <c r="B9479" s="2" t="str">
        <f>"090920132"</f>
        <v>090920132</v>
      </c>
      <c r="C9479" s="2" t="str">
        <f>"090920132"</f>
        <v>090920132</v>
      </c>
      <c r="D9479" s="2" t="s">
        <v>11965</v>
      </c>
      <c r="E9479" s="4">
        <v>18900</v>
      </c>
    </row>
    <row r="9480" spans="1:5">
      <c r="A9480" s="2" t="s">
        <v>296</v>
      </c>
      <c r="B9480" s="2" t="str">
        <f>"090920042"</f>
        <v>090920042</v>
      </c>
      <c r="C9480" s="2" t="str">
        <f>"090920042"</f>
        <v>090920042</v>
      </c>
      <c r="D9480" s="2" t="s">
        <v>11966</v>
      </c>
      <c r="E9480" s="4">
        <v>9700</v>
      </c>
    </row>
    <row r="9481" spans="1:5">
      <c r="A9481" s="2" t="s">
        <v>296</v>
      </c>
      <c r="B9481" s="2" t="str">
        <f>"040521308"</f>
        <v>040521308</v>
      </c>
      <c r="C9481" s="2" t="str">
        <f>"040521308"</f>
        <v>040521308</v>
      </c>
      <c r="D9481" s="2" t="s">
        <v>11967</v>
      </c>
      <c r="E9481" s="4">
        <v>9700</v>
      </c>
    </row>
    <row r="9482" spans="1:5">
      <c r="A9482" s="2" t="s">
        <v>296</v>
      </c>
      <c r="B9482" s="2" t="str">
        <f>"012849"</f>
        <v>012849</v>
      </c>
      <c r="C9482" s="2" t="str">
        <f>"012849"</f>
        <v>012849</v>
      </c>
      <c r="D9482" s="2" t="s">
        <v>11968</v>
      </c>
      <c r="E9482" s="4">
        <v>12400</v>
      </c>
    </row>
    <row r="9483" spans="1:5">
      <c r="A9483" s="2" t="s">
        <v>296</v>
      </c>
      <c r="B9483" s="2" t="str">
        <f>"040520020"</f>
        <v>040520020</v>
      </c>
      <c r="C9483" s="2" t="s">
        <v>11969</v>
      </c>
      <c r="D9483" s="2" t="s">
        <v>11970</v>
      </c>
      <c r="E9483" s="4">
        <v>8800</v>
      </c>
    </row>
    <row r="9484" spans="1:5">
      <c r="A9484" s="2" t="s">
        <v>296</v>
      </c>
      <c r="B9484" s="2" t="str">
        <f>"012994"</f>
        <v>012994</v>
      </c>
      <c r="C9484" s="2" t="str">
        <f>"012994"</f>
        <v>012994</v>
      </c>
      <c r="D9484" s="2" t="s">
        <v>11971</v>
      </c>
      <c r="E9484" s="4">
        <v>36500</v>
      </c>
    </row>
    <row r="9485" spans="1:5">
      <c r="A9485" s="2" t="s">
        <v>365</v>
      </c>
      <c r="B9485" s="2" t="str">
        <f>"012100"</f>
        <v>012100</v>
      </c>
      <c r="C9485" s="2" t="str">
        <f>"012100"</f>
        <v>012100</v>
      </c>
      <c r="D9485" s="2" t="s">
        <v>11972</v>
      </c>
      <c r="E9485" s="4">
        <v>11500</v>
      </c>
    </row>
    <row r="9486" spans="1:5">
      <c r="A9486" s="2" t="s">
        <v>365</v>
      </c>
      <c r="B9486" s="2" t="str">
        <f>"67019"</f>
        <v>67019</v>
      </c>
      <c r="C9486" s="2" t="str">
        <f>"67019"</f>
        <v>67019</v>
      </c>
      <c r="D9486" s="2" t="s">
        <v>11973</v>
      </c>
      <c r="E9486" s="4">
        <v>55000</v>
      </c>
    </row>
    <row r="9487" spans="1:5">
      <c r="A9487" s="2" t="s">
        <v>365</v>
      </c>
      <c r="B9487" s="2" t="s">
        <v>11974</v>
      </c>
      <c r="C9487" s="2" t="s">
        <v>11974</v>
      </c>
      <c r="D9487" s="2" t="s">
        <v>11975</v>
      </c>
      <c r="E9487" s="4">
        <v>6100</v>
      </c>
    </row>
    <row r="9488" spans="1:5">
      <c r="A9488" s="2" t="s">
        <v>365</v>
      </c>
      <c r="B9488" s="2" t="str">
        <f>"04520352"</f>
        <v>04520352</v>
      </c>
      <c r="C9488" s="2" t="str">
        <f>"040520352"</f>
        <v>040520352</v>
      </c>
      <c r="D9488" s="2" t="s">
        <v>11976</v>
      </c>
      <c r="E9488" s="4">
        <v>5200</v>
      </c>
    </row>
    <row r="9489" spans="1:5">
      <c r="A9489" s="2" t="s">
        <v>365</v>
      </c>
      <c r="B9489" s="2" t="str">
        <f>"012215"</f>
        <v>012215</v>
      </c>
      <c r="C9489" s="2" t="str">
        <f>"012215"</f>
        <v>012215</v>
      </c>
      <c r="D9489" s="2" t="s">
        <v>11977</v>
      </c>
      <c r="E9489" s="4">
        <v>12400</v>
      </c>
    </row>
    <row r="9490" spans="1:5">
      <c r="A9490" s="2" t="s">
        <v>365</v>
      </c>
      <c r="B9490" s="2" t="str">
        <f>"040809"</f>
        <v>040809</v>
      </c>
      <c r="C9490" s="2" t="str">
        <f>"040809"</f>
        <v>040809</v>
      </c>
      <c r="D9490" s="2" t="s">
        <v>11978</v>
      </c>
      <c r="E9490" s="4">
        <v>9900</v>
      </c>
    </row>
    <row r="9491" spans="1:5">
      <c r="A9491" s="2" t="s">
        <v>365</v>
      </c>
      <c r="B9491" s="2" t="str">
        <f>"012864"</f>
        <v>012864</v>
      </c>
      <c r="C9491" s="2" t="str">
        <f>"012864"</f>
        <v>012864</v>
      </c>
      <c r="D9491" s="2" t="s">
        <v>11979</v>
      </c>
      <c r="E9491" s="4">
        <v>14800</v>
      </c>
    </row>
    <row r="9492" spans="1:5">
      <c r="A9492" s="2" t="s">
        <v>365</v>
      </c>
      <c r="B9492" s="2" t="str">
        <f>"0207547"</f>
        <v>0207547</v>
      </c>
      <c r="C9492" s="2" t="str">
        <f>"0207547"</f>
        <v>0207547</v>
      </c>
      <c r="D9492" s="2" t="s">
        <v>11980</v>
      </c>
      <c r="E9492" s="4">
        <v>7000</v>
      </c>
    </row>
    <row r="9493" spans="1:5">
      <c r="A9493" s="2" t="s">
        <v>296</v>
      </c>
      <c r="B9493" s="2" t="s">
        <v>11981</v>
      </c>
      <c r="C9493" s="2" t="s">
        <v>11981</v>
      </c>
      <c r="D9493" s="2" t="s">
        <v>11982</v>
      </c>
      <c r="E9493" s="4">
        <v>35000</v>
      </c>
    </row>
    <row r="9494" spans="1:5">
      <c r="A9494" s="2" t="s">
        <v>296</v>
      </c>
      <c r="B9494" s="2" t="s">
        <v>11983</v>
      </c>
      <c r="C9494" s="2" t="s">
        <v>11983</v>
      </c>
      <c r="D9494" s="2" t="s">
        <v>11984</v>
      </c>
      <c r="E9494" s="4">
        <v>23000</v>
      </c>
    </row>
    <row r="9495" spans="1:5">
      <c r="A9495" s="2" t="s">
        <v>296</v>
      </c>
      <c r="B9495" s="2" t="str">
        <f>"209683-8"</f>
        <v>209683-8</v>
      </c>
      <c r="C9495" s="2" t="str">
        <f>"209683-8"</f>
        <v>209683-8</v>
      </c>
      <c r="D9495" s="2" t="s">
        <v>11985</v>
      </c>
      <c r="E9495" s="4">
        <v>21400</v>
      </c>
    </row>
    <row r="9496" spans="1:5">
      <c r="A9496" s="2" t="s">
        <v>296</v>
      </c>
      <c r="B9496" s="2" t="str">
        <f>"00098079-8"</f>
        <v>00098079-8</v>
      </c>
      <c r="C9496" s="2" t="str">
        <f>"980791-8"</f>
        <v>980791-8</v>
      </c>
      <c r="D9496" s="2" t="s">
        <v>11986</v>
      </c>
      <c r="E9496" s="4">
        <v>48000</v>
      </c>
    </row>
    <row r="9497" spans="1:5">
      <c r="A9497" s="2" t="s">
        <v>365</v>
      </c>
      <c r="B9497" s="2" t="str">
        <f>"59042"</f>
        <v>59042</v>
      </c>
      <c r="C9497" s="2" t="str">
        <f>"59042"</f>
        <v>59042</v>
      </c>
      <c r="D9497" s="2" t="s">
        <v>11987</v>
      </c>
      <c r="E9497" s="4">
        <v>2000</v>
      </c>
    </row>
    <row r="9498" spans="1:5">
      <c r="A9498" s="2" t="s">
        <v>365</v>
      </c>
      <c r="B9498" s="2" t="str">
        <f>"25230-89977"</f>
        <v>25230-89977</v>
      </c>
      <c r="C9498" s="2" t="str">
        <f>"89977"</f>
        <v>89977</v>
      </c>
      <c r="D9498" s="2" t="s">
        <v>11988</v>
      </c>
      <c r="E9498" s="4">
        <v>3500</v>
      </c>
    </row>
    <row r="9499" spans="1:5">
      <c r="A9499" s="2" t="s">
        <v>365</v>
      </c>
      <c r="B9499" s="2" t="str">
        <f>"050130004"</f>
        <v>050130004</v>
      </c>
      <c r="C9499" s="2" t="s">
        <v>11989</v>
      </c>
      <c r="D9499" s="2" t="s">
        <v>11990</v>
      </c>
      <c r="E9499" s="4">
        <v>2000</v>
      </c>
    </row>
    <row r="9500" spans="1:5">
      <c r="A9500" s="2" t="s">
        <v>365</v>
      </c>
      <c r="B9500" s="2" t="str">
        <f>"59030"</f>
        <v>59030</v>
      </c>
      <c r="C9500" s="2" t="str">
        <f>"59030"</f>
        <v>59030</v>
      </c>
      <c r="D9500" s="2" t="s">
        <v>11991</v>
      </c>
      <c r="E9500" s="4">
        <v>2500</v>
      </c>
    </row>
    <row r="9501" spans="1:5">
      <c r="A9501" s="2" t="s">
        <v>365</v>
      </c>
      <c r="B9501" s="2" t="s">
        <v>11992</v>
      </c>
      <c r="C9501" s="2" t="s">
        <v>11993</v>
      </c>
      <c r="D9501" s="2" t="s">
        <v>11994</v>
      </c>
      <c r="E9501" s="4">
        <v>2000</v>
      </c>
    </row>
    <row r="9502" spans="1:5">
      <c r="A9502" s="2" t="s">
        <v>365</v>
      </c>
      <c r="B9502" s="2" t="s">
        <v>11995</v>
      </c>
      <c r="C9502" s="2" t="s">
        <v>11996</v>
      </c>
      <c r="D9502" s="2" t="s">
        <v>11997</v>
      </c>
      <c r="E9502" s="4">
        <v>3000</v>
      </c>
    </row>
    <row r="9503" spans="1:5">
      <c r="A9503" s="2" t="s">
        <v>365</v>
      </c>
      <c r="B9503" s="2" t="str">
        <f>"8-94218-497-0"</f>
        <v>8-94218-497-0</v>
      </c>
      <c r="C9503" s="2" t="str">
        <f>"497-0"</f>
        <v>497-0</v>
      </c>
      <c r="D9503" s="2" t="s">
        <v>11998</v>
      </c>
      <c r="E9503" s="4">
        <v>3500</v>
      </c>
    </row>
    <row r="9504" spans="1:5">
      <c r="A9504" s="2" t="s">
        <v>365</v>
      </c>
      <c r="B9504" s="2" t="str">
        <f>"0100720"</f>
        <v>0100720</v>
      </c>
      <c r="C9504" s="2" t="str">
        <f>"0100720"</f>
        <v>0100720</v>
      </c>
      <c r="D9504" s="2" t="s">
        <v>11999</v>
      </c>
      <c r="E9504" s="4">
        <v>3400</v>
      </c>
    </row>
    <row r="9505" spans="1:5">
      <c r="A9505" s="2" t="s">
        <v>365</v>
      </c>
      <c r="B9505" s="2" t="s">
        <v>12000</v>
      </c>
      <c r="C9505" s="2" t="s">
        <v>12000</v>
      </c>
      <c r="D9505" s="2" t="s">
        <v>12001</v>
      </c>
      <c r="E9505" s="4">
        <v>2800</v>
      </c>
    </row>
    <row r="9506" spans="1:5">
      <c r="A9506" s="2" t="s">
        <v>5</v>
      </c>
      <c r="B9506" s="2" t="s">
        <v>12002</v>
      </c>
      <c r="C9506" s="2" t="s">
        <v>12003</v>
      </c>
      <c r="D9506" s="2" t="s">
        <v>12004</v>
      </c>
      <c r="E9506" s="4">
        <v>18700</v>
      </c>
    </row>
    <row r="9507" spans="1:5">
      <c r="A9507" s="2" t="s">
        <v>365</v>
      </c>
      <c r="B9507" s="2" t="str">
        <f>"73031"</f>
        <v>73031</v>
      </c>
      <c r="C9507" s="2" t="s">
        <v>12005</v>
      </c>
      <c r="D9507" s="2" t="s">
        <v>12006</v>
      </c>
      <c r="E9507" s="4">
        <v>28600</v>
      </c>
    </row>
    <row r="9508" spans="1:5">
      <c r="A9508" s="2" t="s">
        <v>365</v>
      </c>
      <c r="B9508" s="2" t="s">
        <v>12007</v>
      </c>
      <c r="C9508" s="2" t="s">
        <v>12007</v>
      </c>
      <c r="D9508" s="2" t="s">
        <v>12008</v>
      </c>
      <c r="E9508" s="4">
        <v>5500</v>
      </c>
    </row>
    <row r="9509" spans="1:5">
      <c r="A9509" s="2" t="s">
        <v>365</v>
      </c>
      <c r="B9509" s="2" t="str">
        <f>"616H120"</f>
        <v>616H120</v>
      </c>
      <c r="C9509" s="2" t="str">
        <f>"616H120"</f>
        <v>616H120</v>
      </c>
      <c r="D9509" s="2" t="s">
        <v>12009</v>
      </c>
      <c r="E9509" s="4">
        <v>24500</v>
      </c>
    </row>
    <row r="9510" spans="1:5">
      <c r="A9510" s="2" t="s">
        <v>365</v>
      </c>
      <c r="B9510" s="2" t="str">
        <f>"73024"</f>
        <v>73024</v>
      </c>
      <c r="C9510" s="2" t="str">
        <f>"73024"</f>
        <v>73024</v>
      </c>
      <c r="D9510" s="2" t="s">
        <v>12010</v>
      </c>
      <c r="E9510" s="4">
        <v>15900</v>
      </c>
    </row>
    <row r="9511" spans="1:5">
      <c r="A9511" s="2" t="s">
        <v>296</v>
      </c>
      <c r="B9511" s="2" t="str">
        <f>"0004245"</f>
        <v>0004245</v>
      </c>
      <c r="C9511" s="2" t="str">
        <f>"0004245"</f>
        <v>0004245</v>
      </c>
      <c r="D9511" s="2" t="s">
        <v>12011</v>
      </c>
      <c r="E9511" s="4">
        <v>3400</v>
      </c>
    </row>
    <row r="9512" spans="1:5">
      <c r="A9512" s="2" t="s">
        <v>296</v>
      </c>
      <c r="B9512" s="2" t="str">
        <f>"15684-1"</f>
        <v>15684-1</v>
      </c>
      <c r="C9512" s="2" t="str">
        <f>"15684-1"</f>
        <v>15684-1</v>
      </c>
      <c r="D9512" s="2" t="s">
        <v>12012</v>
      </c>
      <c r="E9512" s="4">
        <v>4300</v>
      </c>
    </row>
    <row r="9513" spans="1:5">
      <c r="A9513" s="2" t="s">
        <v>165</v>
      </c>
      <c r="B9513" s="2" t="str">
        <f>"4053479714745"</f>
        <v>4053479714745</v>
      </c>
      <c r="C9513" s="2" t="s">
        <v>12013</v>
      </c>
      <c r="D9513" s="2" t="s">
        <v>12014</v>
      </c>
      <c r="E9513" s="4">
        <v>3400</v>
      </c>
    </row>
    <row r="9514" spans="1:5">
      <c r="A9514" s="2" t="s">
        <v>296</v>
      </c>
      <c r="B9514" s="2" t="str">
        <f>"7702763002934"</f>
        <v>7702763002934</v>
      </c>
      <c r="C9514" s="2" t="str">
        <f>"030980029"</f>
        <v>030980029</v>
      </c>
      <c r="D9514" s="2" t="s">
        <v>12015</v>
      </c>
      <c r="E9514" s="4">
        <v>7000</v>
      </c>
    </row>
    <row r="9515" spans="1:5">
      <c r="A9515" s="2" t="s">
        <v>296</v>
      </c>
      <c r="B9515" s="2" t="str">
        <f>"7805315000065"</f>
        <v>7805315000065</v>
      </c>
      <c r="C9515" s="2" t="s">
        <v>12016</v>
      </c>
      <c r="D9515" s="2" t="s">
        <v>12017</v>
      </c>
      <c r="E9515" s="4">
        <v>3500</v>
      </c>
    </row>
    <row r="9516" spans="1:5">
      <c r="A9516" s="2" t="s">
        <v>165</v>
      </c>
      <c r="B9516" s="2" t="str">
        <f>"02211CF"</f>
        <v>02211CF</v>
      </c>
      <c r="C9516" s="2" t="str">
        <f>"02211CF"</f>
        <v>02211CF</v>
      </c>
      <c r="D9516" s="2" t="s">
        <v>12018</v>
      </c>
      <c r="E9516" s="4">
        <v>3000</v>
      </c>
    </row>
    <row r="9517" spans="1:5">
      <c r="A9517" s="2" t="s">
        <v>165</v>
      </c>
      <c r="B9517" s="2" t="str">
        <f>"02211RSV"</f>
        <v>02211RSV</v>
      </c>
      <c r="C9517" s="2" t="s">
        <v>12019</v>
      </c>
      <c r="D9517" s="2" t="s">
        <v>12020</v>
      </c>
      <c r="E9517" s="4">
        <v>3000</v>
      </c>
    </row>
    <row r="9518" spans="1:5">
      <c r="A9518" s="2" t="s">
        <v>296</v>
      </c>
      <c r="B9518" s="2" t="s">
        <v>12021</v>
      </c>
      <c r="C9518" s="2" t="s">
        <v>12021</v>
      </c>
      <c r="D9518" s="2" t="s">
        <v>12022</v>
      </c>
      <c r="E9518" s="4">
        <v>9700</v>
      </c>
    </row>
    <row r="9519" spans="1:5">
      <c r="A9519" s="2" t="s">
        <v>296</v>
      </c>
      <c r="B9519" s="2" t="str">
        <f>"280711"</f>
        <v>280711</v>
      </c>
      <c r="C9519" s="2" t="str">
        <f>"280711"</f>
        <v>280711</v>
      </c>
      <c r="D9519" s="2" t="s">
        <v>12023</v>
      </c>
      <c r="E9519" s="4">
        <v>11500</v>
      </c>
    </row>
    <row r="9520" spans="1:5">
      <c r="A9520" s="2" t="s">
        <v>296</v>
      </c>
      <c r="B9520" s="2" t="str">
        <f>"0407235"</f>
        <v>0407235</v>
      </c>
      <c r="C9520" s="2" t="str">
        <f>"0407235"</f>
        <v>0407235</v>
      </c>
      <c r="D9520" s="2" t="s">
        <v>12024</v>
      </c>
      <c r="E9520" s="4">
        <v>6160</v>
      </c>
    </row>
    <row r="9521" spans="1:5">
      <c r="A9521" s="2" t="s">
        <v>296</v>
      </c>
      <c r="B9521" s="2" t="str">
        <f>"280689"</f>
        <v>280689</v>
      </c>
      <c r="C9521" s="2" t="str">
        <f>"280689"</f>
        <v>280689</v>
      </c>
      <c r="D9521" s="2" t="s">
        <v>12025</v>
      </c>
      <c r="E9521" s="4">
        <v>14900</v>
      </c>
    </row>
    <row r="9522" spans="1:5">
      <c r="A9522" s="2" t="s">
        <v>296</v>
      </c>
      <c r="B9522" s="2" t="str">
        <f>"170823"</f>
        <v>170823</v>
      </c>
      <c r="C9522" s="2" t="str">
        <f>"170823"</f>
        <v>170823</v>
      </c>
      <c r="D9522" s="2" t="s">
        <v>12026</v>
      </c>
      <c r="E9522" s="4">
        <v>15000</v>
      </c>
    </row>
    <row r="9523" spans="1:5">
      <c r="A9523" s="2" t="s">
        <v>296</v>
      </c>
      <c r="B9523" s="2" t="str">
        <f>"170821"</f>
        <v>170821</v>
      </c>
      <c r="C9523" s="2" t="str">
        <f>"170821"</f>
        <v>170821</v>
      </c>
      <c r="D9523" s="2" t="s">
        <v>12027</v>
      </c>
      <c r="E9523" s="4">
        <v>11500</v>
      </c>
    </row>
    <row r="9524" spans="1:5">
      <c r="A9524" s="2" t="s">
        <v>296</v>
      </c>
      <c r="B9524" s="2" t="str">
        <f>"170849"</f>
        <v>170849</v>
      </c>
      <c r="C9524" s="2" t="str">
        <f>"170849"</f>
        <v>170849</v>
      </c>
      <c r="D9524" s="2" t="s">
        <v>12028</v>
      </c>
      <c r="E9524" s="4">
        <v>11500</v>
      </c>
    </row>
    <row r="9525" spans="1:5">
      <c r="A9525" s="2" t="s">
        <v>296</v>
      </c>
      <c r="B9525" s="2" t="str">
        <f>"170814"</f>
        <v>170814</v>
      </c>
      <c r="C9525" s="2" t="str">
        <f>"170814"</f>
        <v>170814</v>
      </c>
      <c r="D9525" s="2" t="s">
        <v>12029</v>
      </c>
      <c r="E9525" s="4">
        <v>13300</v>
      </c>
    </row>
    <row r="9526" spans="1:5">
      <c r="A9526" s="2" t="s">
        <v>296</v>
      </c>
      <c r="B9526" s="2" t="str">
        <f>"170851"</f>
        <v>170851</v>
      </c>
      <c r="C9526" s="2" t="str">
        <f>"170851"</f>
        <v>170851</v>
      </c>
      <c r="D9526" s="2" t="s">
        <v>12030</v>
      </c>
      <c r="E9526" s="4">
        <v>15100</v>
      </c>
    </row>
    <row r="9527" spans="1:5">
      <c r="A9527" s="2" t="s">
        <v>296</v>
      </c>
      <c r="B9527" s="2" t="str">
        <f>"170822"</f>
        <v>170822</v>
      </c>
      <c r="C9527" s="2" t="str">
        <f>"170822"</f>
        <v>170822</v>
      </c>
      <c r="D9527" s="2" t="s">
        <v>12031</v>
      </c>
      <c r="E9527" s="4">
        <v>13300</v>
      </c>
    </row>
    <row r="9528" spans="1:5">
      <c r="A9528" s="2" t="s">
        <v>296</v>
      </c>
      <c r="B9528" s="2" t="str">
        <f>"280439"</f>
        <v>280439</v>
      </c>
      <c r="C9528" s="2" t="str">
        <f>"280439"</f>
        <v>280439</v>
      </c>
      <c r="D9528" s="2" t="s">
        <v>12032</v>
      </c>
      <c r="E9528" s="4">
        <v>12900</v>
      </c>
    </row>
    <row r="9529" spans="1:5">
      <c r="A9529" s="2" t="s">
        <v>296</v>
      </c>
      <c r="B9529" s="2" t="str">
        <f>"283461"</f>
        <v>283461</v>
      </c>
      <c r="C9529" s="2" t="str">
        <f>"283461"</f>
        <v>283461</v>
      </c>
      <c r="D9529" s="2" t="s">
        <v>12033</v>
      </c>
      <c r="E9529" s="4">
        <v>8664</v>
      </c>
    </row>
    <row r="9530" spans="1:5">
      <c r="A9530" s="2" t="s">
        <v>296</v>
      </c>
      <c r="B9530" s="2" t="str">
        <f>"260841"</f>
        <v>260841</v>
      </c>
      <c r="C9530" s="2" t="str">
        <f>"260841"</f>
        <v>260841</v>
      </c>
      <c r="D9530" s="2" t="s">
        <v>12034</v>
      </c>
      <c r="E9530" s="4">
        <v>12800</v>
      </c>
    </row>
    <row r="9531" spans="1:5">
      <c r="A9531" s="2" t="s">
        <v>296</v>
      </c>
      <c r="B9531" s="2" t="str">
        <f>"170826"</f>
        <v>170826</v>
      </c>
      <c r="C9531" s="2" t="str">
        <f>"170826"</f>
        <v>170826</v>
      </c>
      <c r="D9531" s="2" t="s">
        <v>12035</v>
      </c>
      <c r="E9531" s="4">
        <v>15100</v>
      </c>
    </row>
    <row r="9532" spans="1:5">
      <c r="A9532" s="2" t="s">
        <v>296</v>
      </c>
      <c r="B9532" s="2" t="str">
        <f>"44999"</f>
        <v>44999</v>
      </c>
      <c r="C9532" s="2" t="str">
        <f>"44999"</f>
        <v>44999</v>
      </c>
      <c r="D9532" s="2" t="s">
        <v>12036</v>
      </c>
      <c r="E9532" s="4">
        <v>238000</v>
      </c>
    </row>
    <row r="9533" spans="1:5">
      <c r="A9533" s="2" t="s">
        <v>1478</v>
      </c>
      <c r="B9533" s="2" t="str">
        <f>"001011C23C"</f>
        <v>001011C23C</v>
      </c>
      <c r="C9533" s="2" t="str">
        <f>"001011C23C"</f>
        <v>001011C23C</v>
      </c>
      <c r="D9533" s="2" t="s">
        <v>12037</v>
      </c>
      <c r="E9533" s="4">
        <v>24000</v>
      </c>
    </row>
    <row r="9534" spans="1:5">
      <c r="A9534" s="2" t="s">
        <v>1478</v>
      </c>
      <c r="B9534" s="2" t="str">
        <f>"001011C20"</f>
        <v>001011C20</v>
      </c>
      <c r="C9534" s="2" t="str">
        <f>"001011C20"</f>
        <v>001011C20</v>
      </c>
      <c r="D9534" s="2" t="s">
        <v>12038</v>
      </c>
      <c r="E9534" s="4">
        <v>16000</v>
      </c>
    </row>
    <row r="9535" spans="1:5">
      <c r="A9535" s="2" t="s">
        <v>1478</v>
      </c>
      <c r="B9535" s="2" t="str">
        <f>"160447"</f>
        <v>160447</v>
      </c>
      <c r="C9535" s="2" t="str">
        <f>"160447"</f>
        <v>160447</v>
      </c>
      <c r="D9535" s="2" t="s">
        <v>12039</v>
      </c>
      <c r="E9535" s="4">
        <v>11500</v>
      </c>
    </row>
    <row r="9536" spans="1:5">
      <c r="A9536" s="2" t="s">
        <v>1478</v>
      </c>
      <c r="B9536" s="2" t="str">
        <f>"160449"</f>
        <v>160449</v>
      </c>
      <c r="C9536" s="2" t="str">
        <f>"160449"</f>
        <v>160449</v>
      </c>
      <c r="D9536" s="2" t="s">
        <v>12040</v>
      </c>
      <c r="E9536" s="4">
        <v>15000</v>
      </c>
    </row>
    <row r="9537" spans="1:5">
      <c r="A9537" s="2" t="s">
        <v>1478</v>
      </c>
      <c r="B9537" s="2" t="s">
        <v>12041</v>
      </c>
      <c r="C9537" s="2" t="str">
        <f>"280519"</f>
        <v>280519</v>
      </c>
      <c r="D9537" s="2" t="s">
        <v>12042</v>
      </c>
      <c r="E9537" s="4">
        <v>16000</v>
      </c>
    </row>
    <row r="9538" spans="1:5">
      <c r="A9538" s="2" t="s">
        <v>1478</v>
      </c>
      <c r="B9538" s="2" t="str">
        <f>"001011CM18"</f>
        <v>001011CM18</v>
      </c>
      <c r="C9538" s="2" t="str">
        <f>"001011CM18"</f>
        <v>001011CM18</v>
      </c>
      <c r="D9538" s="2" t="s">
        <v>12043</v>
      </c>
      <c r="E9538" s="4">
        <v>18000</v>
      </c>
    </row>
    <row r="9539" spans="1:5">
      <c r="A9539" s="2" t="s">
        <v>1478</v>
      </c>
      <c r="B9539" s="2" t="str">
        <f>"001011COP."</f>
        <v>001011COP.</v>
      </c>
      <c r="C9539" s="2" t="str">
        <f>"001011COP."</f>
        <v>001011COP.</v>
      </c>
      <c r="D9539" s="2" t="s">
        <v>12044</v>
      </c>
      <c r="E9539" s="4">
        <v>16500</v>
      </c>
    </row>
    <row r="9540" spans="1:5">
      <c r="A9540" s="2" t="s">
        <v>1478</v>
      </c>
      <c r="B9540" s="2" t="str">
        <f>"260442"</f>
        <v>260442</v>
      </c>
      <c r="C9540" s="2" t="str">
        <f>"260442"</f>
        <v>260442</v>
      </c>
      <c r="D9540" s="2" t="s">
        <v>12045</v>
      </c>
      <c r="E9540" s="4">
        <v>12800</v>
      </c>
    </row>
    <row r="9541" spans="1:5">
      <c r="A9541" s="2" t="s">
        <v>1478</v>
      </c>
      <c r="B9541" s="2" t="str">
        <f>"001011E16"</f>
        <v>001011E16</v>
      </c>
      <c r="C9541" s="2" t="str">
        <f>"001011E16"</f>
        <v>001011E16</v>
      </c>
      <c r="D9541" s="2" t="s">
        <v>12046</v>
      </c>
      <c r="E9541" s="4">
        <v>14200</v>
      </c>
    </row>
    <row r="9542" spans="1:5">
      <c r="A9542" s="2" t="s">
        <v>1478</v>
      </c>
      <c r="B9542" s="2" t="str">
        <f>"283762"</f>
        <v>283762</v>
      </c>
      <c r="C9542" s="2" t="str">
        <f>"283762"</f>
        <v>283762</v>
      </c>
      <c r="D9542" s="2" t="s">
        <v>12047</v>
      </c>
      <c r="E9542" s="4">
        <v>14000</v>
      </c>
    </row>
    <row r="9543" spans="1:5">
      <c r="A9543" s="2" t="s">
        <v>1478</v>
      </c>
      <c r="B9543" s="2" t="str">
        <f>"001011TY2Y"</f>
        <v>001011TY2Y</v>
      </c>
      <c r="C9543" s="2" t="str">
        <f>"001011TY2Y"</f>
        <v>001011TY2Y</v>
      </c>
      <c r="D9543" s="2" t="s">
        <v>12048</v>
      </c>
      <c r="E9543" s="4">
        <v>14500</v>
      </c>
    </row>
    <row r="9544" spans="1:5">
      <c r="A9544" s="2" t="s">
        <v>1478</v>
      </c>
      <c r="B9544" s="2" t="str">
        <f>"072601520"</f>
        <v>072601520</v>
      </c>
      <c r="C9544" s="2" t="str">
        <f>"072601520"</f>
        <v>072601520</v>
      </c>
      <c r="D9544" s="2" t="s">
        <v>12049</v>
      </c>
      <c r="E9544" s="4">
        <v>19600</v>
      </c>
    </row>
    <row r="9545" spans="1:5">
      <c r="A9545" s="2" t="s">
        <v>1478</v>
      </c>
      <c r="B9545" s="2" t="str">
        <f>"010700085"</f>
        <v>010700085</v>
      </c>
      <c r="C9545" s="2" t="s">
        <v>12050</v>
      </c>
      <c r="D9545" s="2" t="s">
        <v>12051</v>
      </c>
      <c r="E9545" s="4">
        <v>13300</v>
      </c>
    </row>
    <row r="9546" spans="1:5">
      <c r="A9546" s="2" t="s">
        <v>1478</v>
      </c>
      <c r="B9546" s="2" t="str">
        <f>"010700231"</f>
        <v>010700231</v>
      </c>
      <c r="C9546" s="2" t="str">
        <f>"010700231"</f>
        <v>010700231</v>
      </c>
      <c r="D9546" s="2" t="s">
        <v>12052</v>
      </c>
      <c r="E9546" s="4">
        <v>13900</v>
      </c>
    </row>
    <row r="9547" spans="1:5">
      <c r="A9547" s="2" t="s">
        <v>1478</v>
      </c>
      <c r="B9547" s="2" t="str">
        <f>"72601521"</f>
        <v>72601521</v>
      </c>
      <c r="C9547" s="2" t="str">
        <f>"072601521"</f>
        <v>072601521</v>
      </c>
      <c r="D9547" s="2" t="s">
        <v>12053</v>
      </c>
      <c r="E9547" s="4">
        <v>18700</v>
      </c>
    </row>
    <row r="9548" spans="1:5">
      <c r="A9548" s="2" t="s">
        <v>1478</v>
      </c>
      <c r="B9548" s="2" t="str">
        <f>"2601522"</f>
        <v>2601522</v>
      </c>
      <c r="C9548" s="2" t="str">
        <f>"2601522"</f>
        <v>2601522</v>
      </c>
      <c r="D9548" s="2" t="s">
        <v>12054</v>
      </c>
      <c r="E9548" s="4">
        <v>16000</v>
      </c>
    </row>
    <row r="9549" spans="1:5">
      <c r="A9549" s="2" t="s">
        <v>1478</v>
      </c>
      <c r="B9549" s="2" t="str">
        <f>"280520"</f>
        <v>280520</v>
      </c>
      <c r="C9549" s="2" t="str">
        <f>"280520"</f>
        <v>280520</v>
      </c>
      <c r="D9549" s="2" t="s">
        <v>12055</v>
      </c>
      <c r="E9549" s="4">
        <v>14200</v>
      </c>
    </row>
    <row r="9550" spans="1:5">
      <c r="A9550" s="2" t="s">
        <v>1478</v>
      </c>
      <c r="B9550" s="2" t="str">
        <f>"72601523"</f>
        <v>72601523</v>
      </c>
      <c r="C9550" s="2" t="str">
        <f>"72601523"</f>
        <v>72601523</v>
      </c>
      <c r="D9550" s="2" t="s">
        <v>12056</v>
      </c>
      <c r="E9550" s="4">
        <v>18700</v>
      </c>
    </row>
    <row r="9551" spans="1:5">
      <c r="A9551" s="2" t="s">
        <v>1478</v>
      </c>
      <c r="B9551" s="2" t="str">
        <f>"210651"</f>
        <v>210651</v>
      </c>
      <c r="C9551" s="2" t="str">
        <f>"210651"</f>
        <v>210651</v>
      </c>
      <c r="D9551" s="2" t="s">
        <v>12057</v>
      </c>
      <c r="E9551" s="4">
        <v>14500</v>
      </c>
    </row>
    <row r="9552" spans="1:5">
      <c r="A9552" s="2" t="s">
        <v>1478</v>
      </c>
      <c r="B9552" s="2" t="str">
        <f>"230033"</f>
        <v>230033</v>
      </c>
      <c r="C9552" s="2" t="str">
        <f>"230033"</f>
        <v>230033</v>
      </c>
      <c r="D9552" s="2" t="s">
        <v>12058</v>
      </c>
      <c r="E9552" s="4">
        <v>12500</v>
      </c>
    </row>
    <row r="9553" spans="1:5">
      <c r="A9553" s="2" t="s">
        <v>1478</v>
      </c>
      <c r="B9553" s="2" t="s">
        <v>12059</v>
      </c>
      <c r="C9553" s="2" t="str">
        <f>"5407235"</f>
        <v>5407235</v>
      </c>
      <c r="D9553" s="2" t="s">
        <v>12060</v>
      </c>
      <c r="E9553" s="4">
        <v>13000</v>
      </c>
    </row>
    <row r="9554" spans="1:5">
      <c r="A9554" s="2" t="s">
        <v>1478</v>
      </c>
      <c r="B9554" s="2" t="s">
        <v>12061</v>
      </c>
      <c r="C9554" s="2" t="s">
        <v>12062</v>
      </c>
      <c r="D9554" s="2" t="s">
        <v>12024</v>
      </c>
      <c r="E9554" s="4">
        <v>12300</v>
      </c>
    </row>
    <row r="9555" spans="1:5">
      <c r="A9555" s="2" t="s">
        <v>1478</v>
      </c>
      <c r="B9555" s="2" t="str">
        <f>"010700060"</f>
        <v>010700060</v>
      </c>
      <c r="C9555" s="2" t="s">
        <v>12063</v>
      </c>
      <c r="D9555" s="2" t="s">
        <v>12064</v>
      </c>
      <c r="E9555" s="4">
        <v>13300</v>
      </c>
    </row>
    <row r="9556" spans="1:5">
      <c r="A9556" s="2" t="s">
        <v>1478</v>
      </c>
      <c r="B9556" s="2" t="str">
        <f>"282759"</f>
        <v>282759</v>
      </c>
      <c r="C9556" s="2" t="str">
        <f>"282759"</f>
        <v>282759</v>
      </c>
      <c r="D9556" s="2" t="s">
        <v>12065</v>
      </c>
      <c r="E9556" s="4">
        <v>12900</v>
      </c>
    </row>
    <row r="9557" spans="1:5">
      <c r="A9557" s="2" t="s">
        <v>1478</v>
      </c>
      <c r="B9557" s="2" t="str">
        <f>"010700064"</f>
        <v>010700064</v>
      </c>
      <c r="C9557" s="2" t="str">
        <f>"010700064"</f>
        <v>010700064</v>
      </c>
      <c r="D9557" s="2" t="s">
        <v>12066</v>
      </c>
      <c r="E9557" s="4">
        <v>12500</v>
      </c>
    </row>
    <row r="9558" spans="1:5">
      <c r="A9558" s="2" t="s">
        <v>1478</v>
      </c>
      <c r="B9558" s="2" t="str">
        <f>"010700035"</f>
        <v>010700035</v>
      </c>
      <c r="C9558" s="2" t="str">
        <f>"010700035"</f>
        <v>010700035</v>
      </c>
      <c r="D9558" s="2" t="s">
        <v>12067</v>
      </c>
      <c r="E9558" s="4">
        <v>12400</v>
      </c>
    </row>
    <row r="9559" spans="1:5">
      <c r="A9559" s="2" t="s">
        <v>1478</v>
      </c>
      <c r="B9559" s="2" t="s">
        <v>12068</v>
      </c>
      <c r="C9559" s="2" t="s">
        <v>12068</v>
      </c>
      <c r="D9559" s="2" t="s">
        <v>12069</v>
      </c>
      <c r="E9559" s="4">
        <v>22000</v>
      </c>
    </row>
    <row r="9560" spans="1:5">
      <c r="A9560" s="2" t="s">
        <v>1478</v>
      </c>
      <c r="B9560" s="2" t="s">
        <v>12070</v>
      </c>
      <c r="C9560" s="2" t="s">
        <v>12071</v>
      </c>
      <c r="D9560" s="2" t="s">
        <v>12072</v>
      </c>
      <c r="E9560" s="4">
        <v>12000</v>
      </c>
    </row>
    <row r="9561" spans="1:5">
      <c r="A9561" s="2" t="s">
        <v>1478</v>
      </c>
      <c r="B9561" s="2" t="str">
        <f>"010700122"</f>
        <v>010700122</v>
      </c>
      <c r="C9561" s="2" t="str">
        <f>"010700122"</f>
        <v>010700122</v>
      </c>
      <c r="D9561" s="2" t="s">
        <v>12073</v>
      </c>
      <c r="E9561" s="4">
        <v>12400</v>
      </c>
    </row>
    <row r="9562" spans="1:5">
      <c r="A9562" s="2" t="s">
        <v>1478</v>
      </c>
      <c r="B9562" s="2" t="str">
        <f>"280440"</f>
        <v>280440</v>
      </c>
      <c r="C9562" s="2" t="str">
        <f>"280440"</f>
        <v>280440</v>
      </c>
      <c r="D9562" s="2" t="s">
        <v>12074</v>
      </c>
      <c r="E9562" s="4">
        <v>11900</v>
      </c>
    </row>
    <row r="9563" spans="1:5">
      <c r="A9563" s="2" t="s">
        <v>1478</v>
      </c>
      <c r="B9563" s="2" t="str">
        <f>"280436"</f>
        <v>280436</v>
      </c>
      <c r="C9563" s="2" t="str">
        <f>"280436"</f>
        <v>280436</v>
      </c>
      <c r="D9563" s="2" t="s">
        <v>12075</v>
      </c>
      <c r="E9563" s="4">
        <v>16000</v>
      </c>
    </row>
    <row r="9564" spans="1:5">
      <c r="A9564" s="2" t="s">
        <v>1478</v>
      </c>
      <c r="B9564" s="2" t="str">
        <f>"072608511"</f>
        <v>072608511</v>
      </c>
      <c r="C9564" s="2" t="str">
        <f>"072608511"</f>
        <v>072608511</v>
      </c>
      <c r="D9564" s="2" t="s">
        <v>12076</v>
      </c>
      <c r="E9564" s="4">
        <v>16000</v>
      </c>
    </row>
    <row r="9565" spans="1:5">
      <c r="A9565" s="2" t="s">
        <v>1478</v>
      </c>
      <c r="B9565" s="2" t="str">
        <f>"190686"</f>
        <v>190686</v>
      </c>
      <c r="C9565" s="2" t="str">
        <f>"190686"</f>
        <v>190686</v>
      </c>
      <c r="D9565" s="2" t="s">
        <v>12077</v>
      </c>
      <c r="E9565" s="4">
        <v>12400</v>
      </c>
    </row>
    <row r="9566" spans="1:5">
      <c r="A9566" s="2" t="s">
        <v>1478</v>
      </c>
      <c r="B9566" s="2" t="str">
        <f>"282490"</f>
        <v>282490</v>
      </c>
      <c r="C9566" s="2" t="str">
        <f>"282490"</f>
        <v>282490</v>
      </c>
      <c r="D9566" s="2" t="s">
        <v>12078</v>
      </c>
      <c r="E9566" s="4">
        <v>12900</v>
      </c>
    </row>
    <row r="9567" spans="1:5">
      <c r="A9567" s="2" t="s">
        <v>1478</v>
      </c>
      <c r="B9567" s="2" t="str">
        <f>"190687"</f>
        <v>190687</v>
      </c>
      <c r="C9567" s="2" t="str">
        <f>"190687"</f>
        <v>190687</v>
      </c>
      <c r="D9567" s="2" t="s">
        <v>12079</v>
      </c>
      <c r="E9567" s="4">
        <v>12900</v>
      </c>
    </row>
    <row r="9568" spans="1:5">
      <c r="A9568" s="2" t="s">
        <v>2541</v>
      </c>
      <c r="B9568" s="2" t="s">
        <v>12080</v>
      </c>
      <c r="C9568" s="2" t="s">
        <v>12080</v>
      </c>
      <c r="D9568" s="2" t="s">
        <v>12081</v>
      </c>
      <c r="E9568" s="4">
        <v>75000</v>
      </c>
    </row>
    <row r="9569" spans="1:5" ht="27.6">
      <c r="A9569" s="2" t="s">
        <v>2541</v>
      </c>
      <c r="B9569" s="2" t="s">
        <v>12082</v>
      </c>
      <c r="C9569" s="2" t="s">
        <v>12083</v>
      </c>
      <c r="D9569" s="2" t="s">
        <v>12084</v>
      </c>
      <c r="E9569" s="4">
        <v>192780</v>
      </c>
    </row>
    <row r="9570" spans="1:5">
      <c r="A9570" s="2" t="s">
        <v>2541</v>
      </c>
      <c r="B9570" s="2" t="s">
        <v>12085</v>
      </c>
      <c r="C9570" s="2" t="s">
        <v>12086</v>
      </c>
      <c r="D9570" s="2" t="s">
        <v>12087</v>
      </c>
      <c r="E9570" s="4">
        <v>333200</v>
      </c>
    </row>
    <row r="9571" spans="1:5">
      <c r="A9571" s="2" t="s">
        <v>2541</v>
      </c>
      <c r="B9571" s="2" t="s">
        <v>12088</v>
      </c>
      <c r="C9571" s="2" t="s">
        <v>12089</v>
      </c>
      <c r="D9571" s="2" t="s">
        <v>12090</v>
      </c>
      <c r="E9571" s="4">
        <v>23800</v>
      </c>
    </row>
    <row r="9572" spans="1:5">
      <c r="A9572" s="2" t="s">
        <v>2541</v>
      </c>
      <c r="B9572" s="2" t="str">
        <f>"085117901808"</f>
        <v>085117901808</v>
      </c>
      <c r="C9572" s="2" t="str">
        <f>"90180"</f>
        <v>90180</v>
      </c>
      <c r="D9572" s="2" t="s">
        <v>12091</v>
      </c>
      <c r="E9572" s="4">
        <v>7500</v>
      </c>
    </row>
    <row r="9573" spans="1:5">
      <c r="A9573" s="2" t="s">
        <v>2541</v>
      </c>
      <c r="B9573" s="2" t="s">
        <v>12092</v>
      </c>
      <c r="C9573" s="2" t="s">
        <v>12092</v>
      </c>
      <c r="D9573" s="2" t="s">
        <v>12093</v>
      </c>
      <c r="E9573" s="4">
        <v>50000</v>
      </c>
    </row>
    <row r="9574" spans="1:5" ht="27.6">
      <c r="A9574" s="2" t="s">
        <v>2541</v>
      </c>
      <c r="B9574" s="2" t="s">
        <v>12094</v>
      </c>
      <c r="C9574" s="2" t="s">
        <v>12095</v>
      </c>
      <c r="D9574" s="2" t="s">
        <v>12096</v>
      </c>
      <c r="E9574" s="4">
        <v>238000</v>
      </c>
    </row>
    <row r="9575" spans="1:5">
      <c r="A9575" s="2" t="s">
        <v>5</v>
      </c>
      <c r="B9575" s="2" t="s">
        <v>12097</v>
      </c>
      <c r="C9575" s="2" t="str">
        <f>"1492437913152"</f>
        <v>1492437913152</v>
      </c>
      <c r="D9575" s="2" t="s">
        <v>12098</v>
      </c>
      <c r="E9575" s="4">
        <v>40000</v>
      </c>
    </row>
    <row r="9576" spans="1:5">
      <c r="A9576" s="2" t="s">
        <v>5</v>
      </c>
      <c r="B9576" s="2" t="s">
        <v>12099</v>
      </c>
      <c r="C9576" s="2" t="s">
        <v>12100</v>
      </c>
      <c r="D9576" s="2" t="s">
        <v>12101</v>
      </c>
      <c r="E9576" s="4">
        <v>149400</v>
      </c>
    </row>
    <row r="9577" spans="1:5">
      <c r="A9577" s="2" t="s">
        <v>1478</v>
      </c>
      <c r="B9577" s="2" t="s">
        <v>12102</v>
      </c>
      <c r="C9577" s="2" t="str">
        <f>"1711553918833"</f>
        <v>1711553918833</v>
      </c>
      <c r="D9577" s="2" t="s">
        <v>12103</v>
      </c>
      <c r="E9577" s="2">
        <v>0</v>
      </c>
    </row>
    <row r="9578" spans="1:5">
      <c r="A9578" s="2" t="s">
        <v>5</v>
      </c>
      <c r="B9578" s="2" t="s">
        <v>12104</v>
      </c>
      <c r="C9578" s="2" t="s">
        <v>12104</v>
      </c>
      <c r="D9578" s="2" t="s">
        <v>12105</v>
      </c>
      <c r="E9578" s="4">
        <v>57900</v>
      </c>
    </row>
    <row r="9579" spans="1:5">
      <c r="A9579" s="2" t="s">
        <v>5</v>
      </c>
      <c r="B9579" s="2" t="s">
        <v>12106</v>
      </c>
      <c r="C9579" s="2" t="s">
        <v>12107</v>
      </c>
      <c r="D9579" s="2" t="s">
        <v>12108</v>
      </c>
      <c r="E9579" s="4">
        <v>250000</v>
      </c>
    </row>
    <row r="9580" spans="1:5">
      <c r="A9580" s="2" t="s">
        <v>5</v>
      </c>
      <c r="B9580" s="2" t="s">
        <v>12109</v>
      </c>
      <c r="C9580" s="2" t="s">
        <v>12110</v>
      </c>
      <c r="D9580" s="2" t="s">
        <v>12111</v>
      </c>
      <c r="E9580" s="4">
        <v>88000</v>
      </c>
    </row>
    <row r="9581" spans="1:5">
      <c r="A9581" s="2" t="s">
        <v>1478</v>
      </c>
      <c r="B9581" s="2" t="s">
        <v>12112</v>
      </c>
      <c r="C9581" s="2" t="s">
        <v>12112</v>
      </c>
      <c r="D9581" s="2" t="s">
        <v>12113</v>
      </c>
      <c r="E9581" s="4">
        <v>590000</v>
      </c>
    </row>
    <row r="9582" spans="1:5">
      <c r="A9582" s="2" t="s">
        <v>5</v>
      </c>
      <c r="B9582" s="2" t="s">
        <v>12114</v>
      </c>
      <c r="C9582" s="2" t="s">
        <v>12114</v>
      </c>
      <c r="D9582" s="2" t="s">
        <v>12115</v>
      </c>
      <c r="E9582" s="4">
        <v>50000</v>
      </c>
    </row>
    <row r="9583" spans="1:5">
      <c r="A9583" s="2" t="s">
        <v>5</v>
      </c>
      <c r="B9583" s="2" t="s">
        <v>12116</v>
      </c>
      <c r="C9583" s="2" t="s">
        <v>12117</v>
      </c>
      <c r="D9583" s="2" t="s">
        <v>12118</v>
      </c>
      <c r="E9583" s="4">
        <v>83000</v>
      </c>
    </row>
    <row r="9584" spans="1:5">
      <c r="A9584" s="2" t="s">
        <v>5</v>
      </c>
      <c r="B9584" s="2" t="s">
        <v>12119</v>
      </c>
      <c r="C9584" s="2" t="s">
        <v>12119</v>
      </c>
      <c r="D9584" s="2" t="s">
        <v>12120</v>
      </c>
      <c r="E9584" s="4">
        <v>47600</v>
      </c>
    </row>
    <row r="9585" spans="1:5">
      <c r="A9585" s="2" t="s">
        <v>5</v>
      </c>
      <c r="B9585" s="2" t="str">
        <f>"0000011"</f>
        <v>0000011</v>
      </c>
      <c r="C9585" s="2" t="str">
        <f>"0000011"</f>
        <v>0000011</v>
      </c>
      <c r="D9585" s="2" t="s">
        <v>12121</v>
      </c>
      <c r="E9585" s="4">
        <v>136800</v>
      </c>
    </row>
    <row r="9586" spans="1:5">
      <c r="A9586" s="2" t="s">
        <v>5</v>
      </c>
      <c r="B9586" s="2" t="s">
        <v>12122</v>
      </c>
      <c r="C9586" s="2" t="s">
        <v>12122</v>
      </c>
      <c r="D9586" s="2" t="s">
        <v>12123</v>
      </c>
      <c r="E9586" s="4">
        <v>113000</v>
      </c>
    </row>
    <row r="9587" spans="1:5">
      <c r="A9587" s="2" t="s">
        <v>5</v>
      </c>
      <c r="B9587" s="2" t="s">
        <v>12124</v>
      </c>
      <c r="C9587" s="2" t="s">
        <v>12124</v>
      </c>
      <c r="D9587" s="2" t="s">
        <v>12125</v>
      </c>
      <c r="E9587" s="4">
        <v>43000</v>
      </c>
    </row>
    <row r="9588" spans="1:5">
      <c r="A9588" s="2" t="s">
        <v>5</v>
      </c>
      <c r="B9588" s="2" t="s">
        <v>12126</v>
      </c>
      <c r="C9588" s="2" t="s">
        <v>12127</v>
      </c>
      <c r="D9588" s="2" t="s">
        <v>12128</v>
      </c>
      <c r="E9588" s="4">
        <v>25000</v>
      </c>
    </row>
    <row r="9589" spans="1:5">
      <c r="A9589" s="2" t="s">
        <v>5</v>
      </c>
      <c r="B9589" s="2" t="s">
        <v>12129</v>
      </c>
      <c r="C9589" s="2" t="s">
        <v>12129</v>
      </c>
      <c r="D9589" s="2" t="s">
        <v>12130</v>
      </c>
      <c r="E9589" s="4">
        <v>35000</v>
      </c>
    </row>
    <row r="9590" spans="1:5">
      <c r="A9590" s="2" t="s">
        <v>5</v>
      </c>
      <c r="B9590" s="2" t="s">
        <v>12131</v>
      </c>
      <c r="C9590" s="2" t="s">
        <v>12131</v>
      </c>
      <c r="D9590" s="2" t="s">
        <v>12132</v>
      </c>
      <c r="E9590" s="4">
        <v>282900</v>
      </c>
    </row>
    <row r="9591" spans="1:5">
      <c r="A9591" s="2" t="s">
        <v>5</v>
      </c>
      <c r="B9591" s="2" t="s">
        <v>12133</v>
      </c>
      <c r="C9591" s="2" t="s">
        <v>12133</v>
      </c>
      <c r="D9591" s="2" t="s">
        <v>12134</v>
      </c>
      <c r="E9591" s="4">
        <v>112000</v>
      </c>
    </row>
    <row r="9592" spans="1:5">
      <c r="A9592" s="2" t="s">
        <v>5</v>
      </c>
      <c r="B9592" s="2" t="s">
        <v>12135</v>
      </c>
      <c r="C9592" s="2" t="s">
        <v>12135</v>
      </c>
      <c r="D9592" s="2" t="s">
        <v>12136</v>
      </c>
      <c r="E9592" s="4">
        <v>184000</v>
      </c>
    </row>
    <row r="9593" spans="1:5">
      <c r="A9593" s="2" t="s">
        <v>11468</v>
      </c>
      <c r="B9593" s="2" t="str">
        <f>"101174085"</f>
        <v>101174085</v>
      </c>
      <c r="C9593" s="2" t="str">
        <f>"101174085"</f>
        <v>101174085</v>
      </c>
      <c r="D9593" s="2" t="s">
        <v>12137</v>
      </c>
      <c r="E9593" s="2">
        <v>1</v>
      </c>
    </row>
    <row r="9594" spans="1:5">
      <c r="A9594" s="2" t="s">
        <v>5</v>
      </c>
      <c r="B9594" s="2" t="s">
        <v>12138</v>
      </c>
      <c r="C9594" s="2" t="s">
        <v>12138</v>
      </c>
      <c r="D9594" s="2" t="s">
        <v>12139</v>
      </c>
      <c r="E9594" s="4">
        <v>43000</v>
      </c>
    </row>
    <row r="9595" spans="1:5">
      <c r="A9595" s="2" t="s">
        <v>5</v>
      </c>
      <c r="B9595" s="2" t="s">
        <v>12140</v>
      </c>
      <c r="C9595" s="2" t="s">
        <v>12140</v>
      </c>
      <c r="D9595" s="2" t="s">
        <v>12141</v>
      </c>
      <c r="E9595" s="4">
        <v>301000</v>
      </c>
    </row>
    <row r="9596" spans="1:5">
      <c r="A9596" s="2">
        <v>0</v>
      </c>
      <c r="B9596" s="2" t="str">
        <f>"002200"</f>
        <v>002200</v>
      </c>
      <c r="C9596" s="2" t="str">
        <f>"002200"</f>
        <v>002200</v>
      </c>
      <c r="D9596" s="2" t="s">
        <v>12142</v>
      </c>
      <c r="E9596" s="2">
        <v>0</v>
      </c>
    </row>
    <row r="9597" spans="1:5">
      <c r="A9597" s="2">
        <v>0</v>
      </c>
      <c r="B9597" s="2" t="s">
        <v>12143</v>
      </c>
      <c r="C9597" s="2" t="str">
        <f>"1700073429832"</f>
        <v>1700073429832</v>
      </c>
      <c r="D9597" s="2" t="s">
        <v>12144</v>
      </c>
      <c r="E9597" s="2">
        <v>0</v>
      </c>
    </row>
    <row r="9598" spans="1:5">
      <c r="A9598" s="2" t="s">
        <v>5</v>
      </c>
      <c r="B9598" s="2" t="s">
        <v>12145</v>
      </c>
      <c r="C9598" s="2" t="s">
        <v>12146</v>
      </c>
      <c r="D9598" s="2" t="s">
        <v>12147</v>
      </c>
      <c r="E9598" s="4">
        <v>8000</v>
      </c>
    </row>
    <row r="9599" spans="1:5">
      <c r="A9599" s="2" t="s">
        <v>5</v>
      </c>
      <c r="B9599" s="2" t="s">
        <v>12148</v>
      </c>
      <c r="C9599" s="2" t="s">
        <v>12148</v>
      </c>
      <c r="D9599" s="2" t="s">
        <v>12149</v>
      </c>
      <c r="E9599" s="4">
        <v>1689000</v>
      </c>
    </row>
    <row r="9600" spans="1:5">
      <c r="A9600" s="2" t="s">
        <v>5</v>
      </c>
      <c r="B9600" s="2" t="s">
        <v>12150</v>
      </c>
      <c r="C9600" s="2" t="str">
        <f>"1695746021042"</f>
        <v>1695746021042</v>
      </c>
      <c r="D9600" s="2" t="s">
        <v>12151</v>
      </c>
      <c r="E9600" s="4">
        <v>136800</v>
      </c>
    </row>
    <row r="9601" spans="1:5">
      <c r="A9601" s="2" t="s">
        <v>5</v>
      </c>
      <c r="B9601" s="2" t="s">
        <v>12152</v>
      </c>
      <c r="C9601" s="2" t="s">
        <v>1620</v>
      </c>
      <c r="D9601" s="2" t="s">
        <v>12153</v>
      </c>
      <c r="E9601" s="4">
        <v>400000</v>
      </c>
    </row>
    <row r="9602" spans="1:5">
      <c r="A9602" s="2" t="s">
        <v>5</v>
      </c>
      <c r="B9602" s="2" t="s">
        <v>12154</v>
      </c>
      <c r="C9602" s="2" t="s">
        <v>12154</v>
      </c>
      <c r="D9602" s="2" t="s">
        <v>12155</v>
      </c>
      <c r="E9602" s="4">
        <v>362800</v>
      </c>
    </row>
    <row r="9603" spans="1:5">
      <c r="A9603" s="2" t="s">
        <v>5</v>
      </c>
      <c r="B9603" s="2" t="s">
        <v>12156</v>
      </c>
      <c r="C9603" s="2" t="s">
        <v>12156</v>
      </c>
      <c r="D9603" s="2" t="s">
        <v>12157</v>
      </c>
      <c r="E9603" s="4">
        <v>44000</v>
      </c>
    </row>
    <row r="9604" spans="1:5">
      <c r="A9604" s="2" t="s">
        <v>5</v>
      </c>
      <c r="B9604" s="2" t="s">
        <v>12158</v>
      </c>
      <c r="C9604" s="2" t="s">
        <v>12158</v>
      </c>
      <c r="D9604" s="2" t="s">
        <v>12159</v>
      </c>
      <c r="E9604" s="4">
        <v>256000</v>
      </c>
    </row>
    <row r="9605" spans="1:5">
      <c r="A9605" s="2" t="s">
        <v>2541</v>
      </c>
      <c r="B9605" s="2" t="s">
        <v>12160</v>
      </c>
      <c r="C9605" s="2" t="str">
        <f>"1710182949624"</f>
        <v>1710182949624</v>
      </c>
      <c r="D9605" s="2" t="s">
        <v>12161</v>
      </c>
      <c r="E9605" s="2">
        <v>0</v>
      </c>
    </row>
    <row r="9606" spans="1:5">
      <c r="A9606" s="2" t="s">
        <v>5</v>
      </c>
      <c r="B9606" s="2" t="s">
        <v>12162</v>
      </c>
      <c r="C9606" s="2" t="s">
        <v>12162</v>
      </c>
      <c r="D9606" s="2" t="s">
        <v>12163</v>
      </c>
      <c r="E9606" s="4">
        <v>155000</v>
      </c>
    </row>
    <row r="9607" spans="1:5">
      <c r="A9607" s="2" t="s">
        <v>11468</v>
      </c>
      <c r="B9607" s="2" t="str">
        <f>"00102001"</f>
        <v>00102001</v>
      </c>
      <c r="C9607" s="2" t="str">
        <f>"00102001"</f>
        <v>00102001</v>
      </c>
      <c r="D9607" s="2" t="s">
        <v>12164</v>
      </c>
      <c r="E9607" s="2">
        <v>0</v>
      </c>
    </row>
    <row r="9608" spans="1:5">
      <c r="A9608" s="2" t="s">
        <v>5</v>
      </c>
      <c r="B9608" s="2" t="s">
        <v>12165</v>
      </c>
      <c r="C9608" s="2" t="s">
        <v>12166</v>
      </c>
      <c r="D9608" s="2" t="s">
        <v>12167</v>
      </c>
      <c r="E9608" s="4">
        <v>350000</v>
      </c>
    </row>
    <row r="9609" spans="1:5">
      <c r="A9609" s="2" t="s">
        <v>5</v>
      </c>
      <c r="B9609" s="2" t="str">
        <f>"220520"</f>
        <v>220520</v>
      </c>
      <c r="C9609" s="2" t="str">
        <f>"220520"</f>
        <v>220520</v>
      </c>
      <c r="D9609" s="2" t="s">
        <v>12168</v>
      </c>
      <c r="E9609" s="2">
        <v>0</v>
      </c>
    </row>
    <row r="9610" spans="1:5">
      <c r="A9610" s="2" t="s">
        <v>5</v>
      </c>
      <c r="B9610" s="2" t="s">
        <v>12169</v>
      </c>
      <c r="C9610" s="2" t="s">
        <v>12169</v>
      </c>
      <c r="D9610" s="2" t="s">
        <v>12170</v>
      </c>
      <c r="E9610" s="4">
        <v>230000</v>
      </c>
    </row>
    <row r="9611" spans="1:5">
      <c r="A9611" s="2" t="s">
        <v>5</v>
      </c>
      <c r="B9611" s="2" t="s">
        <v>12171</v>
      </c>
      <c r="C9611" s="2" t="s">
        <v>12172</v>
      </c>
      <c r="D9611" s="2" t="s">
        <v>12173</v>
      </c>
      <c r="E9611" s="4">
        <v>1100000</v>
      </c>
    </row>
    <row r="9612" spans="1:5">
      <c r="A9612" s="2" t="s">
        <v>365</v>
      </c>
      <c r="B9612" s="2" t="s">
        <v>12174</v>
      </c>
      <c r="C9612" s="2" t="str">
        <f>"59041"</f>
        <v>59041</v>
      </c>
      <c r="D9612" s="2" t="s">
        <v>12175</v>
      </c>
      <c r="E9612" s="4">
        <v>1500</v>
      </c>
    </row>
    <row r="9613" spans="1:5">
      <c r="A9613" s="2" t="s">
        <v>2541</v>
      </c>
      <c r="B9613" s="2" t="s">
        <v>12176</v>
      </c>
      <c r="C9613" s="2" t="str">
        <f>"090430010"</f>
        <v>090430010</v>
      </c>
      <c r="D9613" s="2" t="s">
        <v>12177</v>
      </c>
      <c r="E9613" s="4">
        <v>25000</v>
      </c>
    </row>
    <row r="9614" spans="1:5">
      <c r="A9614" s="2" t="s">
        <v>296</v>
      </c>
      <c r="B9614" s="2" t="str">
        <f>"0300700"</f>
        <v>0300700</v>
      </c>
      <c r="C9614" s="2" t="str">
        <f>"0300700"</f>
        <v>0300700</v>
      </c>
      <c r="D9614" s="2" t="s">
        <v>12178</v>
      </c>
      <c r="E9614" s="2">
        <v>900</v>
      </c>
    </row>
    <row r="9615" spans="1:5">
      <c r="A9615" s="2" t="s">
        <v>296</v>
      </c>
      <c r="B9615" s="2" t="str">
        <f>"280794"</f>
        <v>280794</v>
      </c>
      <c r="C9615" s="2" t="str">
        <f>"280794"</f>
        <v>280794</v>
      </c>
      <c r="D9615" s="2" t="s">
        <v>12179</v>
      </c>
      <c r="E9615" s="4">
        <v>3500</v>
      </c>
    </row>
    <row r="9616" spans="1:5">
      <c r="A9616" s="2" t="s">
        <v>296</v>
      </c>
      <c r="B9616" s="2" t="str">
        <f>"301859"</f>
        <v>301859</v>
      </c>
      <c r="C9616" s="2" t="str">
        <f>"301859"</f>
        <v>301859</v>
      </c>
      <c r="D9616" s="2" t="s">
        <v>12180</v>
      </c>
      <c r="E9616" s="4">
        <v>4300</v>
      </c>
    </row>
    <row r="9617" spans="1:5">
      <c r="A9617" s="2" t="s">
        <v>296</v>
      </c>
      <c r="B9617" s="2" t="s">
        <v>12181</v>
      </c>
      <c r="C9617" s="2" t="s">
        <v>12181</v>
      </c>
      <c r="D9617" s="2" t="s">
        <v>12182</v>
      </c>
      <c r="E9617" s="4">
        <v>7000</v>
      </c>
    </row>
    <row r="9618" spans="1:5">
      <c r="A9618" s="2" t="s">
        <v>296</v>
      </c>
      <c r="B9618" s="2" t="str">
        <f>"260592"</f>
        <v>260592</v>
      </c>
      <c r="C9618" s="2" t="str">
        <f>"260592"</f>
        <v>260592</v>
      </c>
      <c r="D9618" s="2" t="s">
        <v>12183</v>
      </c>
      <c r="E9618" s="4">
        <v>2500</v>
      </c>
    </row>
    <row r="9619" spans="1:5">
      <c r="A9619" s="2" t="s">
        <v>296</v>
      </c>
      <c r="B9619" s="2" t="str">
        <f>"1480130"</f>
        <v>1480130</v>
      </c>
      <c r="C9619" s="2" t="str">
        <f>"1480130"</f>
        <v>1480130</v>
      </c>
      <c r="D9619" s="2" t="s">
        <v>12184</v>
      </c>
      <c r="E9619" s="4">
        <v>1500</v>
      </c>
    </row>
    <row r="9620" spans="1:5">
      <c r="A9620" s="2" t="s">
        <v>3227</v>
      </c>
      <c r="B9620" s="2" t="str">
        <f>"290220"</f>
        <v>290220</v>
      </c>
      <c r="C9620" s="2" t="str">
        <f>"290220"</f>
        <v>290220</v>
      </c>
      <c r="D9620" s="2" t="s">
        <v>12185</v>
      </c>
      <c r="E9620" s="4">
        <v>1500</v>
      </c>
    </row>
    <row r="9621" spans="1:5">
      <c r="A9621" s="2" t="s">
        <v>296</v>
      </c>
      <c r="B9621" s="2" t="str">
        <f>"280914"</f>
        <v>280914</v>
      </c>
      <c r="C9621" s="2" t="str">
        <f>"280914"</f>
        <v>280914</v>
      </c>
      <c r="D9621" s="2" t="s">
        <v>12186</v>
      </c>
      <c r="E9621" s="4">
        <v>2800</v>
      </c>
    </row>
    <row r="9622" spans="1:5">
      <c r="A9622" s="2" t="s">
        <v>296</v>
      </c>
      <c r="B9622" s="2" t="str">
        <f>"0004249"</f>
        <v>0004249</v>
      </c>
      <c r="C9622" s="2" t="str">
        <f>"0004249"</f>
        <v>0004249</v>
      </c>
      <c r="D9622" s="2" t="s">
        <v>12187</v>
      </c>
      <c r="E9622" s="4">
        <v>1800</v>
      </c>
    </row>
    <row r="9623" spans="1:5">
      <c r="A9623" s="2" t="s">
        <v>296</v>
      </c>
      <c r="B9623" s="2" t="str">
        <f>"230718"</f>
        <v>230718</v>
      </c>
      <c r="C9623" s="2" t="str">
        <f>"230718"</f>
        <v>230718</v>
      </c>
      <c r="D9623" s="2" t="s">
        <v>12188</v>
      </c>
      <c r="E9623" s="4">
        <v>1800</v>
      </c>
    </row>
    <row r="9624" spans="1:5">
      <c r="A9624" s="2" t="s">
        <v>296</v>
      </c>
      <c r="B9624" s="2" t="str">
        <f>"180006"</f>
        <v>180006</v>
      </c>
      <c r="C9624" s="2" t="str">
        <f>"180006"</f>
        <v>180006</v>
      </c>
      <c r="D9624" s="2" t="s">
        <v>12189</v>
      </c>
      <c r="E9624" s="4">
        <v>1800</v>
      </c>
    </row>
    <row r="9625" spans="1:5">
      <c r="A9625" s="2" t="s">
        <v>296</v>
      </c>
      <c r="B9625" s="2" t="str">
        <f>"17X32X13"</f>
        <v>17X32X13</v>
      </c>
      <c r="C9625" s="2" t="str">
        <f>"17X32X13"</f>
        <v>17X32X13</v>
      </c>
      <c r="D9625" s="2" t="s">
        <v>12190</v>
      </c>
      <c r="E9625" s="4">
        <v>2800</v>
      </c>
    </row>
    <row r="9626" spans="1:5">
      <c r="A9626" s="2" t="s">
        <v>3227</v>
      </c>
      <c r="B9626" s="2" t="str">
        <f>"0002934"</f>
        <v>0002934</v>
      </c>
      <c r="C9626" s="2" t="str">
        <f>"0002934"</f>
        <v>0002934</v>
      </c>
      <c r="D9626" s="2" t="s">
        <v>12191</v>
      </c>
      <c r="E9626" s="4">
        <v>1800</v>
      </c>
    </row>
    <row r="9627" spans="1:5">
      <c r="A9627" s="2" t="s">
        <v>296</v>
      </c>
      <c r="B9627" s="2" t="str">
        <f>"290389"</f>
        <v>290389</v>
      </c>
      <c r="C9627" s="2" t="str">
        <f>"290389"</f>
        <v>290389</v>
      </c>
      <c r="D9627" s="2" t="s">
        <v>12192</v>
      </c>
      <c r="E9627" s="4">
        <v>3500</v>
      </c>
    </row>
    <row r="9628" spans="1:5">
      <c r="A9628" s="2" t="s">
        <v>296</v>
      </c>
      <c r="B9628" s="2" t="str">
        <f>"288758"</f>
        <v>288758</v>
      </c>
      <c r="C9628" s="2" t="str">
        <f>"288758"</f>
        <v>288758</v>
      </c>
      <c r="D9628" s="2" t="s">
        <v>12193</v>
      </c>
      <c r="E9628" s="4">
        <v>1800</v>
      </c>
    </row>
    <row r="9629" spans="1:5">
      <c r="A9629" s="2" t="s">
        <v>296</v>
      </c>
      <c r="B9629" s="2" t="str">
        <f>"280712"</f>
        <v>280712</v>
      </c>
      <c r="C9629" s="2" t="str">
        <f>"280712"</f>
        <v>280712</v>
      </c>
      <c r="D9629" s="2" t="s">
        <v>12194</v>
      </c>
      <c r="E9629" s="4">
        <v>1800</v>
      </c>
    </row>
    <row r="9630" spans="1:5">
      <c r="A9630" s="2" t="s">
        <v>3227</v>
      </c>
      <c r="B9630" s="2" t="str">
        <f>"0090720357"</f>
        <v>0090720357</v>
      </c>
      <c r="C9630" s="2" t="str">
        <f>"0090720357"</f>
        <v>0090720357</v>
      </c>
      <c r="D9630" s="2" t="s">
        <v>12195</v>
      </c>
      <c r="E9630" s="4">
        <v>1800</v>
      </c>
    </row>
    <row r="9631" spans="1:5">
      <c r="A9631" s="2" t="s">
        <v>296</v>
      </c>
      <c r="B9631" s="2" t="str">
        <f>"270518"</f>
        <v>270518</v>
      </c>
      <c r="C9631" s="2" t="str">
        <f>"270518"</f>
        <v>270518</v>
      </c>
      <c r="D9631" s="2" t="s">
        <v>12196</v>
      </c>
      <c r="E9631" s="4">
        <v>2380</v>
      </c>
    </row>
    <row r="9632" spans="1:5">
      <c r="A9632" s="2" t="s">
        <v>296</v>
      </c>
      <c r="B9632" s="2" t="s">
        <v>12197</v>
      </c>
      <c r="C9632" s="2" t="s">
        <v>12197</v>
      </c>
      <c r="D9632" s="2" t="s">
        <v>12198</v>
      </c>
      <c r="E9632" s="4">
        <v>1900</v>
      </c>
    </row>
    <row r="9633" spans="1:5">
      <c r="A9633" s="2" t="s">
        <v>296</v>
      </c>
      <c r="B9633" s="2" t="str">
        <f>"289471"</f>
        <v>289471</v>
      </c>
      <c r="C9633" s="2" t="str">
        <f>"289471"</f>
        <v>289471</v>
      </c>
      <c r="D9633" s="2" t="s">
        <v>12199</v>
      </c>
      <c r="E9633" s="4">
        <v>1900</v>
      </c>
    </row>
    <row r="9634" spans="1:5">
      <c r="A9634" s="2" t="s">
        <v>296</v>
      </c>
      <c r="B9634" s="2" t="str">
        <f>"010680384"</f>
        <v>010680384</v>
      </c>
      <c r="C9634" s="2" t="str">
        <f>"010680384"</f>
        <v>010680384</v>
      </c>
      <c r="D9634" s="2" t="s">
        <v>12200</v>
      </c>
      <c r="E9634" s="4">
        <v>2000</v>
      </c>
    </row>
    <row r="9635" spans="1:5">
      <c r="A9635" s="2" t="s">
        <v>296</v>
      </c>
      <c r="B9635" s="2" t="str">
        <f>"24X40X7.5"</f>
        <v>24X40X7.5</v>
      </c>
      <c r="C9635" s="2" t="str">
        <f>"24X40X7.5"</f>
        <v>24X40X7.5</v>
      </c>
      <c r="D9635" s="2" t="s">
        <v>12201</v>
      </c>
      <c r="E9635" s="4">
        <v>2800</v>
      </c>
    </row>
    <row r="9636" spans="1:5">
      <c r="A9636" s="2" t="s">
        <v>296</v>
      </c>
      <c r="B9636" s="2" t="str">
        <f>"180007"</f>
        <v>180007</v>
      </c>
      <c r="C9636" s="2" t="str">
        <f>"180007"</f>
        <v>180007</v>
      </c>
      <c r="D9636" s="2" t="s">
        <v>12202</v>
      </c>
      <c r="E9636" s="4">
        <v>2200</v>
      </c>
    </row>
    <row r="9637" spans="1:5">
      <c r="A9637" s="2" t="s">
        <v>296</v>
      </c>
      <c r="B9637" s="2" t="s">
        <v>12203</v>
      </c>
      <c r="C9637" s="2" t="s">
        <v>12203</v>
      </c>
      <c r="D9637" s="2" t="s">
        <v>12204</v>
      </c>
      <c r="E9637" s="4">
        <v>1900</v>
      </c>
    </row>
    <row r="9638" spans="1:5">
      <c r="A9638" s="2" t="s">
        <v>296</v>
      </c>
      <c r="B9638" s="2" t="str">
        <f>"300576"</f>
        <v>300576</v>
      </c>
      <c r="C9638" s="2" t="str">
        <f>"0001689"</f>
        <v>0001689</v>
      </c>
      <c r="D9638" s="2" t="s">
        <v>12205</v>
      </c>
      <c r="E9638" s="4">
        <v>2000</v>
      </c>
    </row>
    <row r="9639" spans="1:5">
      <c r="A9639" s="2" t="s">
        <v>296</v>
      </c>
      <c r="B9639" s="2" t="str">
        <f>"300645"</f>
        <v>300645</v>
      </c>
      <c r="C9639" s="2" t="str">
        <f>"300645"</f>
        <v>300645</v>
      </c>
      <c r="D9639" s="2" t="s">
        <v>12206</v>
      </c>
      <c r="E9639" s="4">
        <v>2000</v>
      </c>
    </row>
    <row r="9640" spans="1:5">
      <c r="A9640" s="2" t="s">
        <v>296</v>
      </c>
      <c r="B9640" s="2" t="str">
        <f>"010680328"</f>
        <v>010680328</v>
      </c>
      <c r="C9640" s="2" t="str">
        <f>"010680328"</f>
        <v>010680328</v>
      </c>
      <c r="D9640" s="2" t="s">
        <v>12207</v>
      </c>
      <c r="E9640" s="4">
        <v>2000</v>
      </c>
    </row>
    <row r="9641" spans="1:5">
      <c r="A9641" s="2" t="s">
        <v>296</v>
      </c>
      <c r="B9641" s="2" t="str">
        <f>"280726"</f>
        <v>280726</v>
      </c>
      <c r="C9641" s="2" t="str">
        <f>"280726"</f>
        <v>280726</v>
      </c>
      <c r="D9641" s="2" t="s">
        <v>12208</v>
      </c>
      <c r="E9641" s="4">
        <v>2200</v>
      </c>
    </row>
    <row r="9642" spans="1:5">
      <c r="A9642" s="2" t="s">
        <v>296</v>
      </c>
      <c r="B9642" s="2" t="str">
        <f>"0004251"</f>
        <v>0004251</v>
      </c>
      <c r="C9642" s="2" t="str">
        <f>"0004251"</f>
        <v>0004251</v>
      </c>
      <c r="D9642" s="2" t="s">
        <v>12209</v>
      </c>
      <c r="E9642" s="4">
        <v>1900</v>
      </c>
    </row>
    <row r="9643" spans="1:5">
      <c r="A9643" s="2" t="s">
        <v>296</v>
      </c>
      <c r="B9643" s="2" t="str">
        <f>"25X38X8"</f>
        <v>25X38X8</v>
      </c>
      <c r="C9643" s="2" t="str">
        <f>"25X38X8"</f>
        <v>25X38X8</v>
      </c>
      <c r="D9643" s="2" t="s">
        <v>12210</v>
      </c>
      <c r="E9643" s="4">
        <v>2800</v>
      </c>
    </row>
    <row r="9644" spans="1:5">
      <c r="A9644" s="2" t="s">
        <v>296</v>
      </c>
      <c r="B9644" s="2" t="str">
        <f>"311761"</f>
        <v>311761</v>
      </c>
      <c r="C9644" s="2" t="str">
        <f>"311761"</f>
        <v>311761</v>
      </c>
      <c r="D9644" s="2" t="s">
        <v>12211</v>
      </c>
      <c r="E9644" s="4">
        <v>3200</v>
      </c>
    </row>
    <row r="9645" spans="1:5">
      <c r="A9645" s="2" t="s">
        <v>296</v>
      </c>
      <c r="B9645" s="2" t="str">
        <f>"312199"</f>
        <v>312199</v>
      </c>
      <c r="C9645" s="2" t="str">
        <f>"312199"</f>
        <v>312199</v>
      </c>
      <c r="D9645" s="2" t="s">
        <v>12212</v>
      </c>
      <c r="E9645" s="4">
        <v>2100</v>
      </c>
    </row>
    <row r="9646" spans="1:5">
      <c r="A9646" s="2" t="s">
        <v>296</v>
      </c>
      <c r="B9646" s="2" t="str">
        <f>"26X38X8"</f>
        <v>26X38X8</v>
      </c>
      <c r="C9646" s="2" t="str">
        <f>"26X38X8"</f>
        <v>26X38X8</v>
      </c>
      <c r="D9646" s="2" t="s">
        <v>12213</v>
      </c>
      <c r="E9646" s="4">
        <v>2500</v>
      </c>
    </row>
    <row r="9647" spans="1:5">
      <c r="A9647" s="2" t="s">
        <v>296</v>
      </c>
      <c r="B9647" s="2" t="str">
        <f>"1651070"</f>
        <v>1651070</v>
      </c>
      <c r="C9647" s="2" t="str">
        <f>"1651070"</f>
        <v>1651070</v>
      </c>
      <c r="D9647" s="2" t="s">
        <v>12214</v>
      </c>
      <c r="E9647" s="4">
        <v>2500</v>
      </c>
    </row>
    <row r="9648" spans="1:5">
      <c r="A9648" s="2" t="s">
        <v>296</v>
      </c>
      <c r="B9648" s="2" t="str">
        <f>"301217"</f>
        <v>301217</v>
      </c>
      <c r="C9648" s="2" t="str">
        <f>"301217"</f>
        <v>301217</v>
      </c>
      <c r="D9648" s="2" t="s">
        <v>12215</v>
      </c>
      <c r="E9648" s="4">
        <v>3000</v>
      </c>
    </row>
    <row r="9649" spans="1:5">
      <c r="A9649" s="2" t="s">
        <v>296</v>
      </c>
      <c r="B9649" s="2" t="str">
        <f>"160706"</f>
        <v>160706</v>
      </c>
      <c r="C9649" s="2" t="str">
        <f>"160706"</f>
        <v>160706</v>
      </c>
      <c r="D9649" s="2" t="s">
        <v>12216</v>
      </c>
      <c r="E9649" s="4">
        <v>2200</v>
      </c>
    </row>
    <row r="9650" spans="1:5">
      <c r="A9650" s="2" t="s">
        <v>296</v>
      </c>
      <c r="B9650" s="2" t="str">
        <f>"290424"</f>
        <v>290424</v>
      </c>
      <c r="C9650" s="2" t="str">
        <f>"290424"</f>
        <v>290424</v>
      </c>
      <c r="D9650" s="2" t="s">
        <v>12217</v>
      </c>
      <c r="E9650" s="4">
        <v>2000</v>
      </c>
    </row>
    <row r="9651" spans="1:5">
      <c r="A9651" s="2" t="s">
        <v>296</v>
      </c>
      <c r="B9651" s="2" t="str">
        <f>"270510"</f>
        <v>270510</v>
      </c>
      <c r="C9651" s="2" t="str">
        <f>"270510"</f>
        <v>270510</v>
      </c>
      <c r="D9651" s="2" t="s">
        <v>12218</v>
      </c>
      <c r="E9651" s="4">
        <v>2500</v>
      </c>
    </row>
    <row r="9652" spans="1:5">
      <c r="A9652" s="2" t="s">
        <v>3227</v>
      </c>
      <c r="B9652" s="2" t="str">
        <f>"0154957"</f>
        <v>0154957</v>
      </c>
      <c r="C9652" s="2" t="str">
        <f>"0154957"</f>
        <v>0154957</v>
      </c>
      <c r="D9652" s="2" t="s">
        <v>12219</v>
      </c>
      <c r="E9652" s="4">
        <v>1800</v>
      </c>
    </row>
    <row r="9653" spans="1:5">
      <c r="A9653" s="2" t="s">
        <v>296</v>
      </c>
      <c r="B9653" s="2" t="str">
        <f>"28.5X36X8"</f>
        <v>28.5X36X8</v>
      </c>
      <c r="C9653" s="2" t="str">
        <f>"1642616251087"</f>
        <v>1642616251087</v>
      </c>
      <c r="D9653" s="2" t="s">
        <v>12220</v>
      </c>
      <c r="E9653" s="4">
        <v>2500</v>
      </c>
    </row>
    <row r="9654" spans="1:5">
      <c r="A9654" s="2" t="s">
        <v>296</v>
      </c>
      <c r="B9654" s="2" t="str">
        <f>"009071596"</f>
        <v>009071596</v>
      </c>
      <c r="C9654" s="2" t="str">
        <f>"009071596"</f>
        <v>009071596</v>
      </c>
      <c r="D9654" s="2" t="s">
        <v>12221</v>
      </c>
      <c r="E9654" s="4">
        <v>2500</v>
      </c>
    </row>
    <row r="9655" spans="1:5">
      <c r="A9655" s="2" t="s">
        <v>3227</v>
      </c>
      <c r="B9655" s="2" t="str">
        <f>"280705"</f>
        <v>280705</v>
      </c>
      <c r="C9655" s="2" t="str">
        <f>"280705"</f>
        <v>280705</v>
      </c>
      <c r="D9655" s="2" t="s">
        <v>12222</v>
      </c>
      <c r="E9655" s="4">
        <v>2500</v>
      </c>
    </row>
    <row r="9656" spans="1:5">
      <c r="A9656" s="2" t="s">
        <v>296</v>
      </c>
      <c r="B9656" s="2" t="str">
        <f>"170657"</f>
        <v>170657</v>
      </c>
      <c r="C9656" s="2" t="str">
        <f>"170657"</f>
        <v>170657</v>
      </c>
      <c r="D9656" s="2" t="s">
        <v>12223</v>
      </c>
      <c r="E9656" s="4">
        <v>2200</v>
      </c>
    </row>
    <row r="9657" spans="1:5">
      <c r="A9657" s="2" t="s">
        <v>296</v>
      </c>
      <c r="B9657" s="2" t="str">
        <f>"302264"</f>
        <v>302264</v>
      </c>
      <c r="C9657" s="2" t="str">
        <f>"302264"</f>
        <v>302264</v>
      </c>
      <c r="D9657" s="2" t="s">
        <v>12224</v>
      </c>
      <c r="E9657" s="4">
        <v>2500</v>
      </c>
    </row>
    <row r="9658" spans="1:5">
      <c r="A9658" s="2" t="s">
        <v>296</v>
      </c>
      <c r="B9658" s="2" t="str">
        <f>"210720"</f>
        <v>210720</v>
      </c>
      <c r="C9658" s="2" t="str">
        <f>"210720"</f>
        <v>210720</v>
      </c>
      <c r="D9658" s="2" t="s">
        <v>12225</v>
      </c>
      <c r="E9658" s="4">
        <v>2500</v>
      </c>
    </row>
    <row r="9659" spans="1:5">
      <c r="A9659" s="2" t="s">
        <v>296</v>
      </c>
      <c r="B9659" s="2" t="str">
        <f>"28X43X7"</f>
        <v>28X43X7</v>
      </c>
      <c r="C9659" s="2" t="str">
        <f>"28X43X7"</f>
        <v>28X43X7</v>
      </c>
      <c r="D9659" s="2" t="s">
        <v>12226</v>
      </c>
      <c r="E9659" s="4">
        <v>2500</v>
      </c>
    </row>
    <row r="9660" spans="1:5">
      <c r="A9660" s="2" t="s">
        <v>296</v>
      </c>
      <c r="B9660" s="2" t="str">
        <f>"236604"</f>
        <v>236604</v>
      </c>
      <c r="C9660" s="2" t="str">
        <f>"236604"</f>
        <v>236604</v>
      </c>
      <c r="D9660" s="2" t="s">
        <v>12227</v>
      </c>
      <c r="E9660" s="4">
        <v>2500</v>
      </c>
    </row>
    <row r="9661" spans="1:5">
      <c r="A9661" s="2" t="s">
        <v>296</v>
      </c>
      <c r="B9661" s="2" t="str">
        <f>"0096013"</f>
        <v>0096013</v>
      </c>
      <c r="C9661" s="2" t="str">
        <f>"0096013"</f>
        <v>0096013</v>
      </c>
      <c r="D9661" s="2" t="s">
        <v>12228</v>
      </c>
      <c r="E9661" s="4">
        <v>1800</v>
      </c>
    </row>
    <row r="9662" spans="1:5">
      <c r="A9662" s="2" t="s">
        <v>296</v>
      </c>
      <c r="B9662" s="2" t="str">
        <f>"180014"</f>
        <v>180014</v>
      </c>
      <c r="C9662" s="2" t="str">
        <f>"180014"</f>
        <v>180014</v>
      </c>
      <c r="D9662" s="2" t="s">
        <v>12229</v>
      </c>
      <c r="E9662" s="4">
        <v>2500</v>
      </c>
    </row>
    <row r="9663" spans="1:5">
      <c r="A9663" s="2" t="s">
        <v>296</v>
      </c>
      <c r="B9663" s="2" t="str">
        <f>"210739"</f>
        <v>210739</v>
      </c>
      <c r="C9663" s="2" t="str">
        <f>"210739"</f>
        <v>210739</v>
      </c>
      <c r="D9663" s="2" t="s">
        <v>12230</v>
      </c>
      <c r="E9663" s="4">
        <v>2200</v>
      </c>
    </row>
    <row r="9664" spans="1:5">
      <c r="A9664" s="2" t="s">
        <v>296</v>
      </c>
      <c r="B9664" s="2" t="str">
        <f>"070620"</f>
        <v>070620</v>
      </c>
      <c r="C9664" s="2" t="str">
        <f>"070620"</f>
        <v>070620</v>
      </c>
      <c r="D9664" s="2" t="s">
        <v>12231</v>
      </c>
      <c r="E9664" s="4">
        <v>1200</v>
      </c>
    </row>
    <row r="9665" spans="1:5">
      <c r="A9665" s="2" t="s">
        <v>296</v>
      </c>
      <c r="B9665" s="2" t="str">
        <f>"070621"</f>
        <v>070621</v>
      </c>
      <c r="C9665" s="2" t="str">
        <f>"070621"</f>
        <v>070621</v>
      </c>
      <c r="D9665" s="2" t="s">
        <v>12232</v>
      </c>
      <c r="E9665" s="4">
        <v>1900</v>
      </c>
    </row>
    <row r="9666" spans="1:5">
      <c r="A9666" s="2" t="s">
        <v>296</v>
      </c>
      <c r="B9666" s="2" t="str">
        <f>"8002010"</f>
        <v>8002010</v>
      </c>
      <c r="C9666" s="2" t="str">
        <f>"8002010"</f>
        <v>8002010</v>
      </c>
      <c r="D9666" s="2" t="s">
        <v>12233</v>
      </c>
      <c r="E9666" s="4">
        <v>8002010</v>
      </c>
    </row>
    <row r="9667" spans="1:5">
      <c r="A9667" s="2" t="s">
        <v>296</v>
      </c>
      <c r="B9667" s="2" t="str">
        <f>"022508"</f>
        <v>022508</v>
      </c>
      <c r="C9667" s="2" t="str">
        <f>"022508"</f>
        <v>022508</v>
      </c>
      <c r="D9667" s="2" t="s">
        <v>12234</v>
      </c>
      <c r="E9667" s="4">
        <v>2000</v>
      </c>
    </row>
    <row r="9668" spans="1:5">
      <c r="A9668" s="2" t="s">
        <v>296</v>
      </c>
      <c r="B9668" s="2" t="str">
        <f>"9-09924-451-0"</f>
        <v>9-09924-451-0</v>
      </c>
      <c r="C9668" s="2" t="str">
        <f>"9-09924-451-0"</f>
        <v>9-09924-451-0</v>
      </c>
      <c r="D9668" s="2" t="s">
        <v>12235</v>
      </c>
      <c r="E9668" s="4">
        <v>1800</v>
      </c>
    </row>
    <row r="9669" spans="1:5">
      <c r="A9669" s="2" t="s">
        <v>296</v>
      </c>
      <c r="B9669" s="2" t="str">
        <f>"140875"</f>
        <v>140875</v>
      </c>
      <c r="C9669" s="2" t="str">
        <f>"140875"</f>
        <v>140875</v>
      </c>
      <c r="D9669" s="2" t="s">
        <v>12236</v>
      </c>
      <c r="E9669" s="4">
        <v>1900</v>
      </c>
    </row>
    <row r="9670" spans="1:5">
      <c r="A9670" s="2" t="s">
        <v>296</v>
      </c>
      <c r="B9670" s="2" t="s">
        <v>12237</v>
      </c>
      <c r="C9670" s="2" t="s">
        <v>12237</v>
      </c>
      <c r="D9670" s="2" t="s">
        <v>12238</v>
      </c>
      <c r="E9670" s="4">
        <v>2500</v>
      </c>
    </row>
    <row r="9671" spans="1:5">
      <c r="A9671" s="2" t="s">
        <v>296</v>
      </c>
      <c r="B9671" s="2" t="str">
        <f>"8-94389-593-1"</f>
        <v>8-94389-593-1</v>
      </c>
      <c r="C9671" s="2" t="str">
        <f>"8-94389-593-1"</f>
        <v>8-94389-593-1</v>
      </c>
      <c r="D9671" s="2" t="s">
        <v>12239</v>
      </c>
      <c r="E9671" s="4">
        <v>2500</v>
      </c>
    </row>
    <row r="9672" spans="1:5">
      <c r="A9672" s="2" t="s">
        <v>3227</v>
      </c>
      <c r="B9672" s="2" t="str">
        <f>"288340"</f>
        <v>288340</v>
      </c>
      <c r="C9672" s="2" t="str">
        <f>"288340"</f>
        <v>288340</v>
      </c>
      <c r="D9672" s="2" t="s">
        <v>12240</v>
      </c>
      <c r="E9672" s="4">
        <v>2500</v>
      </c>
    </row>
    <row r="9673" spans="1:5">
      <c r="A9673" s="2" t="s">
        <v>296</v>
      </c>
      <c r="B9673" s="2" t="str">
        <f>"230714"</f>
        <v>230714</v>
      </c>
      <c r="C9673" s="2" t="str">
        <f>"230714"</f>
        <v>230714</v>
      </c>
      <c r="D9673" s="2" t="s">
        <v>12241</v>
      </c>
      <c r="E9673" s="4">
        <v>2000</v>
      </c>
    </row>
    <row r="9674" spans="1:5">
      <c r="A9674" s="2" t="s">
        <v>296</v>
      </c>
      <c r="B9674" s="2" t="str">
        <f>"270501"</f>
        <v>270501</v>
      </c>
      <c r="C9674" s="2" t="str">
        <f>"270501"</f>
        <v>270501</v>
      </c>
      <c r="D9674" s="2" t="s">
        <v>12242</v>
      </c>
      <c r="E9674" s="4">
        <v>2800</v>
      </c>
    </row>
    <row r="9675" spans="1:5">
      <c r="A9675" s="2" t="s">
        <v>296</v>
      </c>
      <c r="B9675" s="2" t="str">
        <f>"000602742-3"</f>
        <v>000602742-3</v>
      </c>
      <c r="C9675" s="2" t="str">
        <f>"000602742-3"</f>
        <v>000602742-3</v>
      </c>
      <c r="D9675" s="2" t="s">
        <v>12243</v>
      </c>
      <c r="E9675" s="4">
        <v>4000</v>
      </c>
    </row>
    <row r="9676" spans="1:5">
      <c r="A9676" s="2" t="s">
        <v>296</v>
      </c>
      <c r="B9676" s="2" t="str">
        <f>"0096014"</f>
        <v>0096014</v>
      </c>
      <c r="C9676" s="2" t="str">
        <f>"0096014"</f>
        <v>0096014</v>
      </c>
      <c r="D9676" s="2" t="s">
        <v>12244</v>
      </c>
      <c r="E9676" s="4">
        <v>2000</v>
      </c>
    </row>
    <row r="9677" spans="1:5">
      <c r="A9677" s="2" t="s">
        <v>3227</v>
      </c>
      <c r="B9677" s="2" t="str">
        <f>"1651130"</f>
        <v>1651130</v>
      </c>
      <c r="C9677" s="2" t="str">
        <f>"1651130"</f>
        <v>1651130</v>
      </c>
      <c r="D9677" s="2" t="s">
        <v>12245</v>
      </c>
      <c r="E9677" s="4">
        <v>3400</v>
      </c>
    </row>
    <row r="9678" spans="1:5">
      <c r="A9678" s="2" t="s">
        <v>296</v>
      </c>
      <c r="B9678" s="2" t="str">
        <f>"31X50X8"</f>
        <v>31X50X8</v>
      </c>
      <c r="C9678" s="2" t="str">
        <f>"31X50X8"</f>
        <v>31X50X8</v>
      </c>
      <c r="D9678" s="2" t="s">
        <v>12246</v>
      </c>
      <c r="E9678" s="4">
        <v>4500</v>
      </c>
    </row>
    <row r="9679" spans="1:5">
      <c r="A9679" s="2" t="s">
        <v>296</v>
      </c>
      <c r="B9679" s="2" t="str">
        <f>"009019312"</f>
        <v>009019312</v>
      </c>
      <c r="C9679" s="2" t="str">
        <f>"009019312"</f>
        <v>009019312</v>
      </c>
      <c r="D9679" s="2" t="s">
        <v>12247</v>
      </c>
      <c r="E9679" s="4">
        <v>2023</v>
      </c>
    </row>
    <row r="9680" spans="1:5">
      <c r="A9680" s="2" t="s">
        <v>3227</v>
      </c>
      <c r="B9680" s="2" t="str">
        <f>"280718"</f>
        <v>280718</v>
      </c>
      <c r="C9680" s="2" t="str">
        <f>"280718"</f>
        <v>280718</v>
      </c>
      <c r="D9680" s="2" t="s">
        <v>12248</v>
      </c>
      <c r="E9680" s="4">
        <v>2500</v>
      </c>
    </row>
    <row r="9681" spans="1:5">
      <c r="A9681" s="2" t="s">
        <v>296</v>
      </c>
      <c r="B9681" s="2" t="str">
        <f>"289029"</f>
        <v>289029</v>
      </c>
      <c r="C9681" s="2" t="str">
        <f>"289029"</f>
        <v>289029</v>
      </c>
      <c r="D9681" s="2" t="s">
        <v>12249</v>
      </c>
      <c r="E9681" s="4">
        <v>2800</v>
      </c>
    </row>
    <row r="9682" spans="1:5">
      <c r="A9682" s="2" t="s">
        <v>296</v>
      </c>
      <c r="B9682" s="2" t="str">
        <f>"32X45X6"</f>
        <v>32X45X6</v>
      </c>
      <c r="C9682" s="2" t="str">
        <f>"32X45X6"</f>
        <v>32X45X6</v>
      </c>
      <c r="D9682" s="2" t="s">
        <v>12250</v>
      </c>
      <c r="E9682" s="4">
        <v>2500</v>
      </c>
    </row>
    <row r="9683" spans="1:5">
      <c r="A9683" s="2" t="s">
        <v>296</v>
      </c>
      <c r="B9683" s="2" t="str">
        <f>"270519"</f>
        <v>270519</v>
      </c>
      <c r="C9683" s="2" t="str">
        <f>"270519"</f>
        <v>270519</v>
      </c>
      <c r="D9683" s="2" t="s">
        <v>12251</v>
      </c>
      <c r="E9683" s="4">
        <v>2500</v>
      </c>
    </row>
    <row r="9684" spans="1:5">
      <c r="A9684" s="2" t="s">
        <v>3227</v>
      </c>
      <c r="B9684" s="2" t="str">
        <f>"300671"</f>
        <v>300671</v>
      </c>
      <c r="C9684" s="2" t="str">
        <f>"300671"</f>
        <v>300671</v>
      </c>
      <c r="D9684" s="2" t="s">
        <v>12252</v>
      </c>
      <c r="E9684" s="4">
        <v>2200</v>
      </c>
    </row>
    <row r="9685" spans="1:5">
      <c r="A9685" s="2" t="s">
        <v>296</v>
      </c>
      <c r="B9685" s="2" t="str">
        <f>"319412"</f>
        <v>319412</v>
      </c>
      <c r="C9685" s="2" t="str">
        <f>"319412"</f>
        <v>319412</v>
      </c>
      <c r="D9685" s="2" t="s">
        <v>12253</v>
      </c>
      <c r="E9685" s="4">
        <v>2500</v>
      </c>
    </row>
    <row r="9686" spans="1:5">
      <c r="A9686" s="2" t="s">
        <v>296</v>
      </c>
      <c r="B9686" s="2" t="str">
        <f>"301433"</f>
        <v>301433</v>
      </c>
      <c r="C9686" s="2" t="str">
        <f>"301433"</f>
        <v>301433</v>
      </c>
      <c r="D9686" s="2" t="s">
        <v>12254</v>
      </c>
      <c r="E9686" s="4">
        <v>2500</v>
      </c>
    </row>
    <row r="9687" spans="1:5">
      <c r="A9687" s="2" t="s">
        <v>296</v>
      </c>
      <c r="B9687" s="2" t="str">
        <f>"159320"</f>
        <v>159320</v>
      </c>
      <c r="C9687" s="2" t="str">
        <f>"159320"</f>
        <v>159320</v>
      </c>
      <c r="D9687" s="2" t="s">
        <v>12255</v>
      </c>
      <c r="E9687" s="4">
        <v>2200</v>
      </c>
    </row>
    <row r="9688" spans="1:5">
      <c r="A9688" s="2" t="s">
        <v>296</v>
      </c>
      <c r="B9688" s="2" t="s">
        <v>12256</v>
      </c>
      <c r="C9688" s="2" t="s">
        <v>12256</v>
      </c>
      <c r="D9688" s="2" t="s">
        <v>12257</v>
      </c>
      <c r="E9688" s="4">
        <v>1500</v>
      </c>
    </row>
    <row r="9689" spans="1:5">
      <c r="A9689" s="2" t="s">
        <v>296</v>
      </c>
      <c r="B9689" s="2" t="str">
        <f>"260558"</f>
        <v>260558</v>
      </c>
      <c r="C9689" s="2" t="str">
        <f>"260558"</f>
        <v>260558</v>
      </c>
      <c r="D9689" s="2" t="s">
        <v>12258</v>
      </c>
      <c r="E9689" s="4">
        <v>1900</v>
      </c>
    </row>
    <row r="9690" spans="1:5">
      <c r="A9690" s="2" t="s">
        <v>296</v>
      </c>
      <c r="B9690" s="2" t="str">
        <f>"009010541"</f>
        <v>009010541</v>
      </c>
      <c r="C9690" s="2" t="str">
        <f>"009010541"</f>
        <v>009010541</v>
      </c>
      <c r="D9690" s="2" t="s">
        <v>12259</v>
      </c>
      <c r="E9690" s="4">
        <v>2800</v>
      </c>
    </row>
    <row r="9691" spans="1:5">
      <c r="A9691" s="2" t="s">
        <v>296</v>
      </c>
      <c r="B9691" s="2" t="str">
        <f>"172648"</f>
        <v>172648</v>
      </c>
      <c r="C9691" s="2" t="str">
        <f>"172648"</f>
        <v>172648</v>
      </c>
      <c r="D9691" s="2" t="s">
        <v>12260</v>
      </c>
      <c r="E9691" s="4">
        <v>2300</v>
      </c>
    </row>
    <row r="9692" spans="1:5">
      <c r="A9692" s="2" t="s">
        <v>296</v>
      </c>
      <c r="B9692" s="2" t="str">
        <f>"270517"</f>
        <v>270517</v>
      </c>
      <c r="C9692" s="2" t="str">
        <f>"270517"</f>
        <v>270517</v>
      </c>
      <c r="D9692" s="2" t="s">
        <v>12261</v>
      </c>
      <c r="E9692" s="4">
        <v>3400</v>
      </c>
    </row>
    <row r="9693" spans="1:5">
      <c r="A9693" s="2" t="s">
        <v>296</v>
      </c>
      <c r="B9693" s="2" t="str">
        <f>"180195"</f>
        <v>180195</v>
      </c>
      <c r="C9693" s="2" t="str">
        <f>"180195"</f>
        <v>180195</v>
      </c>
      <c r="D9693" s="2" t="s">
        <v>12262</v>
      </c>
      <c r="E9693" s="4">
        <v>2000</v>
      </c>
    </row>
    <row r="9694" spans="1:5">
      <c r="A9694" s="2" t="s">
        <v>3227</v>
      </c>
      <c r="B9694" s="2" t="str">
        <f>"010680229"</f>
        <v>010680229</v>
      </c>
      <c r="C9694" s="2" t="s">
        <v>12263</v>
      </c>
      <c r="D9694" s="2" t="s">
        <v>12264</v>
      </c>
      <c r="E9694" s="4">
        <v>1900</v>
      </c>
    </row>
    <row r="9695" spans="1:5">
      <c r="A9695" s="2" t="s">
        <v>296</v>
      </c>
      <c r="B9695" s="2" t="str">
        <f>"289008"</f>
        <v>289008</v>
      </c>
      <c r="C9695" s="2" t="str">
        <f>"289008"</f>
        <v>289008</v>
      </c>
      <c r="D9695" s="2" t="s">
        <v>12265</v>
      </c>
      <c r="E9695" s="4">
        <v>1900</v>
      </c>
    </row>
    <row r="9696" spans="1:5">
      <c r="A9696" s="2" t="s">
        <v>296</v>
      </c>
      <c r="B9696" s="2" t="str">
        <f>"280724"</f>
        <v>280724</v>
      </c>
      <c r="C9696" s="2" t="str">
        <f>"280724"</f>
        <v>280724</v>
      </c>
      <c r="D9696" s="2" t="s">
        <v>12266</v>
      </c>
      <c r="E9696" s="4">
        <v>2500</v>
      </c>
    </row>
    <row r="9697" spans="1:5">
      <c r="A9697" s="2" t="s">
        <v>296</v>
      </c>
      <c r="B9697" s="2" t="str">
        <f>"160701"</f>
        <v>160701</v>
      </c>
      <c r="C9697" s="2" t="str">
        <f>"160701"</f>
        <v>160701</v>
      </c>
      <c r="D9697" s="2" t="s">
        <v>12267</v>
      </c>
      <c r="E9697" s="4">
        <v>1900</v>
      </c>
    </row>
    <row r="9698" spans="1:5">
      <c r="A9698" s="2" t="s">
        <v>296</v>
      </c>
      <c r="B9698" s="2" t="str">
        <f>"0004260"</f>
        <v>0004260</v>
      </c>
      <c r="C9698" s="2" t="str">
        <f>"0004260"</f>
        <v>0004260</v>
      </c>
      <c r="D9698" s="2" t="s">
        <v>12268</v>
      </c>
      <c r="E9698" s="4">
        <v>4300</v>
      </c>
    </row>
    <row r="9699" spans="1:5">
      <c r="A9699" s="2" t="s">
        <v>296</v>
      </c>
      <c r="B9699" s="2" t="str">
        <f>"0096012"</f>
        <v>0096012</v>
      </c>
      <c r="C9699" s="2" t="str">
        <f>"0096012"</f>
        <v>0096012</v>
      </c>
      <c r="D9699" s="2" t="s">
        <v>12269</v>
      </c>
      <c r="E9699" s="4">
        <v>3800</v>
      </c>
    </row>
    <row r="9700" spans="1:5">
      <c r="A9700" s="2" t="s">
        <v>3227</v>
      </c>
      <c r="B9700" s="2" t="str">
        <f>"280733"</f>
        <v>280733</v>
      </c>
      <c r="C9700" s="2" t="str">
        <f>"280733"</f>
        <v>280733</v>
      </c>
      <c r="D9700" s="2" t="s">
        <v>12270</v>
      </c>
      <c r="E9700" s="4">
        <v>3500</v>
      </c>
    </row>
    <row r="9701" spans="1:5">
      <c r="A9701" s="2" t="s">
        <v>296</v>
      </c>
      <c r="B9701" s="2" t="str">
        <f>"236602"</f>
        <v>236602</v>
      </c>
      <c r="C9701" s="2" t="str">
        <f>"236602"</f>
        <v>236602</v>
      </c>
      <c r="D9701" s="2" t="s">
        <v>12271</v>
      </c>
      <c r="E9701" s="4">
        <v>3200</v>
      </c>
    </row>
    <row r="9702" spans="1:5">
      <c r="A9702" s="2" t="s">
        <v>296</v>
      </c>
      <c r="B9702" s="2" t="str">
        <f>"36X48X7"</f>
        <v>36X48X7</v>
      </c>
      <c r="C9702" s="2" t="str">
        <f>"36X48X7"</f>
        <v>36X48X7</v>
      </c>
      <c r="D9702" s="2" t="s">
        <v>12272</v>
      </c>
      <c r="E9702" s="4">
        <v>2800</v>
      </c>
    </row>
    <row r="9703" spans="1:5">
      <c r="A9703" s="2" t="s">
        <v>296</v>
      </c>
      <c r="B9703" s="2" t="str">
        <f>"1100930"</f>
        <v>1100930</v>
      </c>
      <c r="C9703" s="2" t="str">
        <f>"1100930"</f>
        <v>1100930</v>
      </c>
      <c r="D9703" s="2" t="s">
        <v>12273</v>
      </c>
      <c r="E9703" s="4">
        <v>2500</v>
      </c>
    </row>
    <row r="9704" spans="1:5">
      <c r="A9704" s="2" t="s">
        <v>3227</v>
      </c>
      <c r="B9704" s="2" t="str">
        <f>"300799"</f>
        <v>300799</v>
      </c>
      <c r="C9704" s="2" t="str">
        <f>"300799"</f>
        <v>300799</v>
      </c>
      <c r="D9704" s="2" t="s">
        <v>12274</v>
      </c>
      <c r="E9704" s="4">
        <v>1800</v>
      </c>
    </row>
    <row r="9705" spans="1:5">
      <c r="A9705" s="2" t="s">
        <v>3227</v>
      </c>
      <c r="B9705" s="2" t="str">
        <f>"160708"</f>
        <v>160708</v>
      </c>
      <c r="C9705" s="2" t="str">
        <f>"160708"</f>
        <v>160708</v>
      </c>
      <c r="D9705" s="2" t="s">
        <v>12275</v>
      </c>
      <c r="E9705" s="4">
        <v>2300</v>
      </c>
    </row>
    <row r="9706" spans="1:5">
      <c r="A9706" s="2" t="s">
        <v>296</v>
      </c>
      <c r="B9706" s="2" t="str">
        <f>"193603"</f>
        <v>193603</v>
      </c>
      <c r="C9706" s="2" t="str">
        <f>"193603"</f>
        <v>193603</v>
      </c>
      <c r="D9706" s="2" t="s">
        <v>12276</v>
      </c>
      <c r="E9706" s="4">
        <v>2000</v>
      </c>
    </row>
    <row r="9707" spans="1:5">
      <c r="A9707" s="2" t="s">
        <v>3227</v>
      </c>
      <c r="B9707" s="2" t="str">
        <f>"0004371"</f>
        <v>0004371</v>
      </c>
      <c r="C9707" s="2" t="str">
        <f>"0004371"</f>
        <v>0004371</v>
      </c>
      <c r="D9707" s="2" t="s">
        <v>12277</v>
      </c>
      <c r="E9707" s="4">
        <v>2800</v>
      </c>
    </row>
    <row r="9708" spans="1:5">
      <c r="A9708" s="2" t="s">
        <v>296</v>
      </c>
      <c r="B9708" s="2" t="str">
        <f>"010680538"</f>
        <v>010680538</v>
      </c>
      <c r="C9708" s="2" t="str">
        <f>"010680538"</f>
        <v>010680538</v>
      </c>
      <c r="D9708" s="2" t="s">
        <v>12278</v>
      </c>
      <c r="E9708" s="4">
        <v>2000</v>
      </c>
    </row>
    <row r="9709" spans="1:5">
      <c r="A9709" s="2" t="s">
        <v>296</v>
      </c>
      <c r="B9709" s="2" t="str">
        <f>"170660"</f>
        <v>170660</v>
      </c>
      <c r="C9709" s="2" t="str">
        <f>"170660"</f>
        <v>170660</v>
      </c>
      <c r="D9709" s="2" t="s">
        <v>12279</v>
      </c>
      <c r="E9709" s="4">
        <v>2500</v>
      </c>
    </row>
    <row r="9710" spans="1:5">
      <c r="A9710" s="2" t="s">
        <v>296</v>
      </c>
      <c r="B9710" s="2" t="str">
        <f>"0002933"</f>
        <v>0002933</v>
      </c>
      <c r="C9710" s="2" t="str">
        <f>"0002933"</f>
        <v>0002933</v>
      </c>
      <c r="D9710" s="2" t="s">
        <v>12280</v>
      </c>
      <c r="E9710" s="4">
        <v>2500</v>
      </c>
    </row>
    <row r="9711" spans="1:5">
      <c r="A9711" s="2" t="s">
        <v>296</v>
      </c>
      <c r="B9711" s="2" t="str">
        <f>"0015554"</f>
        <v>0015554</v>
      </c>
      <c r="C9711" s="2" t="str">
        <f>"0015554"</f>
        <v>0015554</v>
      </c>
      <c r="D9711" s="2" t="s">
        <v>12281</v>
      </c>
      <c r="E9711" s="4">
        <v>3400</v>
      </c>
    </row>
    <row r="9712" spans="1:5">
      <c r="A9712" s="2" t="s">
        <v>296</v>
      </c>
      <c r="B9712" s="2" t="str">
        <f>"247533"</f>
        <v>247533</v>
      </c>
      <c r="C9712" s="2" t="str">
        <f>"247533"</f>
        <v>247533</v>
      </c>
      <c r="D9712" s="2" t="s">
        <v>12282</v>
      </c>
      <c r="E9712" s="4">
        <v>2000</v>
      </c>
    </row>
    <row r="9713" spans="1:5">
      <c r="A9713" s="2" t="s">
        <v>296</v>
      </c>
      <c r="B9713" s="2" t="str">
        <f>"1276830"</f>
        <v>1276830</v>
      </c>
      <c r="C9713" s="2" t="str">
        <f>"1276830"</f>
        <v>1276830</v>
      </c>
      <c r="D9713" s="2" t="s">
        <v>12283</v>
      </c>
      <c r="E9713" s="4">
        <v>4300</v>
      </c>
    </row>
    <row r="9714" spans="1:5">
      <c r="A9714" s="2" t="s">
        <v>296</v>
      </c>
      <c r="B9714" s="2" t="str">
        <f>"1276970"</f>
        <v>1276970</v>
      </c>
      <c r="C9714" s="2" t="str">
        <f>"1276970"</f>
        <v>1276970</v>
      </c>
      <c r="D9714" s="2" t="s">
        <v>12284</v>
      </c>
      <c r="E9714" s="4">
        <v>2500</v>
      </c>
    </row>
    <row r="9715" spans="1:5">
      <c r="A9715" s="2" t="s">
        <v>296</v>
      </c>
      <c r="B9715" s="2" t="str">
        <f>"190336"</f>
        <v>190336</v>
      </c>
      <c r="C9715" s="2" t="str">
        <f>"190336"</f>
        <v>190336</v>
      </c>
      <c r="D9715" s="2" t="s">
        <v>12285</v>
      </c>
      <c r="E9715" s="4">
        <v>2500</v>
      </c>
    </row>
    <row r="9716" spans="1:5" ht="27.6">
      <c r="A9716" s="2" t="s">
        <v>296</v>
      </c>
      <c r="B9716" s="2" t="str">
        <f>"247534"</f>
        <v>247534</v>
      </c>
      <c r="C9716" s="2" t="str">
        <f>"247534"</f>
        <v>247534</v>
      </c>
      <c r="D9716" s="2" t="s">
        <v>12286</v>
      </c>
      <c r="E9716" s="4">
        <v>2000</v>
      </c>
    </row>
    <row r="9717" spans="1:5">
      <c r="A9717" s="2" t="s">
        <v>296</v>
      </c>
      <c r="B9717" s="2" t="str">
        <f>"210726"</f>
        <v>210726</v>
      </c>
      <c r="C9717" s="2" t="str">
        <f>"210726"</f>
        <v>210726</v>
      </c>
      <c r="D9717" s="2" t="s">
        <v>12287</v>
      </c>
      <c r="E9717" s="4">
        <v>3000</v>
      </c>
    </row>
    <row r="9718" spans="1:5">
      <c r="A9718" s="2" t="s">
        <v>296</v>
      </c>
      <c r="B9718" s="2" t="str">
        <f>"0029899"</f>
        <v>0029899</v>
      </c>
      <c r="C9718" s="2" t="str">
        <f>"0029899"</f>
        <v>0029899</v>
      </c>
      <c r="D9718" s="2" t="s">
        <v>12288</v>
      </c>
      <c r="E9718" s="4">
        <v>2500</v>
      </c>
    </row>
    <row r="9719" spans="1:5">
      <c r="A9719" s="2" t="s">
        <v>296</v>
      </c>
      <c r="B9719" s="2" t="str">
        <f>"055079"</f>
        <v>055079</v>
      </c>
      <c r="C9719" s="2" t="str">
        <f>"055079"</f>
        <v>055079</v>
      </c>
      <c r="D9719" s="2" t="s">
        <v>12289</v>
      </c>
      <c r="E9719" s="4">
        <v>2500</v>
      </c>
    </row>
    <row r="9720" spans="1:5">
      <c r="A9720" s="2" t="s">
        <v>296</v>
      </c>
      <c r="B9720" s="2" t="str">
        <f>"022828"</f>
        <v>022828</v>
      </c>
      <c r="C9720" s="2" t="str">
        <f>"022828"</f>
        <v>022828</v>
      </c>
      <c r="D9720" s="2" t="s">
        <v>12290</v>
      </c>
      <c r="E9720" s="4">
        <v>2800</v>
      </c>
    </row>
    <row r="9721" spans="1:5">
      <c r="A9721" s="2" t="s">
        <v>296</v>
      </c>
      <c r="B9721" s="2" t="str">
        <f>"010680261"</f>
        <v>010680261</v>
      </c>
      <c r="C9721" s="2" t="str">
        <f>"010680261"</f>
        <v>010680261</v>
      </c>
      <c r="D9721" s="2" t="s">
        <v>12291</v>
      </c>
      <c r="E9721" s="4">
        <v>2500</v>
      </c>
    </row>
    <row r="9722" spans="1:5">
      <c r="A9722" s="2" t="s">
        <v>296</v>
      </c>
      <c r="B9722" s="2" t="str">
        <f>"010680070"</f>
        <v>010680070</v>
      </c>
      <c r="C9722" s="2" t="str">
        <f>"010680070"</f>
        <v>010680070</v>
      </c>
      <c r="D9722" s="2" t="s">
        <v>12292</v>
      </c>
      <c r="E9722" s="4">
        <v>2000</v>
      </c>
    </row>
    <row r="9723" spans="1:5">
      <c r="A9723" s="2" t="s">
        <v>296</v>
      </c>
      <c r="B9723" s="2" t="str">
        <f>"260570"</f>
        <v>260570</v>
      </c>
      <c r="C9723" s="2" t="str">
        <f>"260570"</f>
        <v>260570</v>
      </c>
      <c r="D9723" s="2" t="s">
        <v>12293</v>
      </c>
      <c r="E9723" s="4">
        <v>2800</v>
      </c>
    </row>
    <row r="9724" spans="1:5">
      <c r="A9724" s="2" t="s">
        <v>296</v>
      </c>
      <c r="B9724" s="2" t="str">
        <f>"210716"</f>
        <v>210716</v>
      </c>
      <c r="C9724" s="2" t="str">
        <f>"210716"</f>
        <v>210716</v>
      </c>
      <c r="D9724" s="2" t="s">
        <v>12294</v>
      </c>
      <c r="E9724" s="4">
        <v>3200</v>
      </c>
    </row>
    <row r="9725" spans="1:5">
      <c r="A9725" s="2" t="s">
        <v>5</v>
      </c>
      <c r="B9725" s="2" t="str">
        <f>"280713"</f>
        <v>280713</v>
      </c>
      <c r="C9725" s="2" t="str">
        <f>"280713"</f>
        <v>280713</v>
      </c>
      <c r="D9725" s="2" t="s">
        <v>12295</v>
      </c>
      <c r="E9725" s="4">
        <v>2800</v>
      </c>
    </row>
    <row r="9726" spans="1:5">
      <c r="A9726" s="2" t="s">
        <v>296</v>
      </c>
      <c r="B9726" s="2" t="str">
        <f>"010680251"</f>
        <v>010680251</v>
      </c>
      <c r="C9726" s="2" t="str">
        <f>"010680251"</f>
        <v>010680251</v>
      </c>
      <c r="D9726" s="2" t="s">
        <v>12296</v>
      </c>
      <c r="E9726" s="4">
        <v>1900</v>
      </c>
    </row>
    <row r="9727" spans="1:5">
      <c r="A9727" s="2" t="s">
        <v>296</v>
      </c>
      <c r="B9727" s="2" t="str">
        <f>"13510-01M00"</f>
        <v>13510-01M00</v>
      </c>
      <c r="C9727" s="2" t="str">
        <f>"13510-01M00"</f>
        <v>13510-01M00</v>
      </c>
      <c r="D9727" s="2" t="s">
        <v>12297</v>
      </c>
      <c r="E9727" s="4">
        <v>2000</v>
      </c>
    </row>
    <row r="9728" spans="1:5">
      <c r="A9728" s="2" t="s">
        <v>3227</v>
      </c>
      <c r="B9728" s="2" t="str">
        <f>"170020"</f>
        <v>170020</v>
      </c>
      <c r="C9728" s="2" t="str">
        <f>"170020"</f>
        <v>170020</v>
      </c>
      <c r="D9728" s="2" t="s">
        <v>12298</v>
      </c>
      <c r="E9728" s="4">
        <v>2000</v>
      </c>
    </row>
    <row r="9729" spans="1:5">
      <c r="A9729" s="2" t="s">
        <v>3227</v>
      </c>
      <c r="B9729" s="2" t="str">
        <f>"300666"</f>
        <v>300666</v>
      </c>
      <c r="C9729" s="2" t="str">
        <f>"300666"</f>
        <v>300666</v>
      </c>
      <c r="D9729" s="2" t="s">
        <v>12299</v>
      </c>
      <c r="E9729" s="4">
        <v>2856</v>
      </c>
    </row>
    <row r="9730" spans="1:5">
      <c r="A9730" s="2" t="s">
        <v>296</v>
      </c>
      <c r="B9730" s="2" t="str">
        <f>"0096016"</f>
        <v>0096016</v>
      </c>
      <c r="C9730" s="2" t="str">
        <f>"0096016"</f>
        <v>0096016</v>
      </c>
      <c r="D9730" s="2" t="s">
        <v>12300</v>
      </c>
      <c r="E9730" s="4">
        <v>1800</v>
      </c>
    </row>
    <row r="9731" spans="1:5">
      <c r="A9731" s="2" t="s">
        <v>296</v>
      </c>
      <c r="B9731" s="2" t="str">
        <f>"281494"</f>
        <v>281494</v>
      </c>
      <c r="C9731" s="2" t="str">
        <f>"281494"</f>
        <v>281494</v>
      </c>
      <c r="D9731" s="2" t="s">
        <v>12301</v>
      </c>
      <c r="E9731" s="4">
        <v>2000</v>
      </c>
    </row>
    <row r="9732" spans="1:5">
      <c r="A9732" s="2" t="s">
        <v>3227</v>
      </c>
      <c r="B9732" s="2" t="str">
        <f>"302260"</f>
        <v>302260</v>
      </c>
      <c r="C9732" s="2" t="str">
        <f>"302260"</f>
        <v>302260</v>
      </c>
      <c r="D9732" s="2" t="s">
        <v>12302</v>
      </c>
      <c r="E9732" s="4">
        <v>2380</v>
      </c>
    </row>
    <row r="9733" spans="1:5">
      <c r="A9733" s="2" t="s">
        <v>296</v>
      </c>
      <c r="B9733" s="2" t="str">
        <f>"289470"</f>
        <v>289470</v>
      </c>
      <c r="C9733" s="2" t="str">
        <f>"289470"</f>
        <v>289470</v>
      </c>
      <c r="D9733" s="2" t="s">
        <v>12303</v>
      </c>
      <c r="E9733" s="4">
        <v>2500</v>
      </c>
    </row>
    <row r="9734" spans="1:5">
      <c r="A9734" s="2" t="s">
        <v>296</v>
      </c>
      <c r="B9734" s="2" t="str">
        <f>"190330"</f>
        <v>190330</v>
      </c>
      <c r="C9734" s="2" t="str">
        <f>"190330"</f>
        <v>190330</v>
      </c>
      <c r="D9734" s="2" t="s">
        <v>12304</v>
      </c>
      <c r="E9734" s="4">
        <v>2000</v>
      </c>
    </row>
    <row r="9735" spans="1:5">
      <c r="A9735" s="2" t="s">
        <v>296</v>
      </c>
      <c r="B9735" s="2" t="str">
        <f>"301444"</f>
        <v>301444</v>
      </c>
      <c r="C9735" s="2" t="str">
        <f>"301444"</f>
        <v>301444</v>
      </c>
      <c r="D9735" s="2" t="s">
        <v>12305</v>
      </c>
      <c r="E9735" s="4">
        <v>2500</v>
      </c>
    </row>
    <row r="9736" spans="1:5">
      <c r="A9736" s="2" t="s">
        <v>3227</v>
      </c>
      <c r="B9736" s="2" t="str">
        <f>"289603"</f>
        <v>289603</v>
      </c>
      <c r="C9736" s="2" t="str">
        <f>"289603"</f>
        <v>289603</v>
      </c>
      <c r="D9736" s="2" t="s">
        <v>12306</v>
      </c>
      <c r="E9736" s="4">
        <v>2500</v>
      </c>
    </row>
    <row r="9737" spans="1:5">
      <c r="A9737" s="2" t="s">
        <v>3227</v>
      </c>
      <c r="B9737" s="2" t="str">
        <f>"193608"</f>
        <v>193608</v>
      </c>
      <c r="C9737" s="2" t="str">
        <f>"193608"</f>
        <v>193608</v>
      </c>
      <c r="D9737" s="2" t="s">
        <v>12307</v>
      </c>
      <c r="E9737" s="4">
        <v>2500</v>
      </c>
    </row>
    <row r="9738" spans="1:5">
      <c r="A9738" s="2" t="s">
        <v>296</v>
      </c>
      <c r="B9738" s="2" t="str">
        <f>"230700"</f>
        <v>230700</v>
      </c>
      <c r="C9738" s="2" t="str">
        <f>"230700"</f>
        <v>230700</v>
      </c>
      <c r="D9738" s="2" t="s">
        <v>12308</v>
      </c>
      <c r="E9738" s="4">
        <v>2300</v>
      </c>
    </row>
    <row r="9739" spans="1:5">
      <c r="A9739" s="2" t="s">
        <v>296</v>
      </c>
      <c r="B9739" s="2" t="s">
        <v>12309</v>
      </c>
      <c r="C9739" s="2" t="s">
        <v>12309</v>
      </c>
      <c r="D9739" s="2" t="s">
        <v>12310</v>
      </c>
      <c r="E9739" s="4">
        <v>2800</v>
      </c>
    </row>
    <row r="9740" spans="1:5">
      <c r="A9740" s="2" t="s">
        <v>3227</v>
      </c>
      <c r="B9740" s="2" t="str">
        <f>"00903D3852"</f>
        <v>00903D3852</v>
      </c>
      <c r="C9740" s="2" t="str">
        <f>"00903D3852"</f>
        <v>00903D3852</v>
      </c>
      <c r="D9740" s="2" t="s">
        <v>12311</v>
      </c>
      <c r="E9740" s="4">
        <v>2400</v>
      </c>
    </row>
    <row r="9741" spans="1:5">
      <c r="A9741" s="2" t="s">
        <v>3227</v>
      </c>
      <c r="B9741" s="2" t="str">
        <f>"300670"</f>
        <v>300670</v>
      </c>
      <c r="C9741" s="2" t="str">
        <f>"300670"</f>
        <v>300670</v>
      </c>
      <c r="D9741" s="2" t="s">
        <v>12312</v>
      </c>
      <c r="E9741" s="4">
        <v>2300</v>
      </c>
    </row>
    <row r="9742" spans="1:5">
      <c r="A9742" s="2" t="s">
        <v>296</v>
      </c>
      <c r="B9742" s="2" t="str">
        <f>"301962"</f>
        <v>301962</v>
      </c>
      <c r="C9742" s="2" t="str">
        <f>"301962"</f>
        <v>301962</v>
      </c>
      <c r="D9742" s="2" t="s">
        <v>12313</v>
      </c>
      <c r="E9742" s="4">
        <v>2300</v>
      </c>
    </row>
    <row r="9743" spans="1:5">
      <c r="A9743" s="2" t="s">
        <v>296</v>
      </c>
      <c r="B9743" s="2" t="str">
        <f>"38X55X11"</f>
        <v>38X55X11</v>
      </c>
      <c r="C9743" s="2" t="str">
        <f>"38X55X11"</f>
        <v>38X55X11</v>
      </c>
      <c r="D9743" s="2" t="s">
        <v>12314</v>
      </c>
      <c r="E9743" s="4">
        <v>3500</v>
      </c>
    </row>
    <row r="9744" spans="1:5">
      <c r="A9744" s="2" t="s">
        <v>296</v>
      </c>
      <c r="B9744" s="2" t="str">
        <f>"281995"</f>
        <v>281995</v>
      </c>
      <c r="C9744" s="2" t="str">
        <f>"281995"</f>
        <v>281995</v>
      </c>
      <c r="D9744" s="2" t="s">
        <v>12315</v>
      </c>
      <c r="E9744" s="4">
        <v>2200</v>
      </c>
    </row>
    <row r="9745" spans="1:5">
      <c r="A9745" s="2" t="s">
        <v>3227</v>
      </c>
      <c r="B9745" s="2" t="str">
        <f>"170615"</f>
        <v>170615</v>
      </c>
      <c r="C9745" s="2" t="str">
        <f>"170615"</f>
        <v>170615</v>
      </c>
      <c r="D9745" s="2" t="s">
        <v>12316</v>
      </c>
      <c r="E9745" s="4">
        <v>2000</v>
      </c>
    </row>
    <row r="9746" spans="1:5">
      <c r="A9746" s="2" t="s">
        <v>296</v>
      </c>
      <c r="B9746" s="2" t="str">
        <f>"190351"</f>
        <v>190351</v>
      </c>
      <c r="C9746" s="2" t="str">
        <f>"190351"</f>
        <v>190351</v>
      </c>
      <c r="D9746" s="2" t="s">
        <v>12317</v>
      </c>
      <c r="E9746" s="4">
        <v>2700</v>
      </c>
    </row>
    <row r="9747" spans="1:5">
      <c r="A9747" s="2" t="s">
        <v>296</v>
      </c>
      <c r="B9747" s="2" t="str">
        <f>"0017077"</f>
        <v>0017077</v>
      </c>
      <c r="C9747" s="2" t="str">
        <f>"0017077"</f>
        <v>0017077</v>
      </c>
      <c r="D9747" s="2" t="s">
        <v>12318</v>
      </c>
      <c r="E9747" s="4">
        <v>2500</v>
      </c>
    </row>
    <row r="9748" spans="1:5">
      <c r="A9748" s="2" t="s">
        <v>296</v>
      </c>
      <c r="B9748" s="2" t="str">
        <f>"6011"</f>
        <v>6011</v>
      </c>
      <c r="C9748" s="2" t="str">
        <f>"6011"</f>
        <v>6011</v>
      </c>
      <c r="D9748" s="2" t="s">
        <v>12319</v>
      </c>
      <c r="E9748" s="4">
        <v>1600</v>
      </c>
    </row>
    <row r="9749" spans="1:5">
      <c r="A9749" s="2" t="s">
        <v>296</v>
      </c>
      <c r="B9749" s="2" t="str">
        <f>"280774"</f>
        <v>280774</v>
      </c>
      <c r="C9749" s="2" t="str">
        <f>"280774"</f>
        <v>280774</v>
      </c>
      <c r="D9749" s="2" t="s">
        <v>12320</v>
      </c>
      <c r="E9749" s="4">
        <v>2000</v>
      </c>
    </row>
    <row r="9750" spans="1:5">
      <c r="A9750" s="2" t="s">
        <v>296</v>
      </c>
      <c r="B9750" s="2" t="str">
        <f>"40525"</f>
        <v>40525</v>
      </c>
      <c r="C9750" s="2" t="str">
        <f>"40525"</f>
        <v>40525</v>
      </c>
      <c r="D9750" s="2" t="s">
        <v>12321</v>
      </c>
      <c r="E9750" s="4">
        <v>2700</v>
      </c>
    </row>
    <row r="9751" spans="1:5">
      <c r="A9751" s="2" t="s">
        <v>296</v>
      </c>
      <c r="B9751" s="2" t="str">
        <f>"280797"</f>
        <v>280797</v>
      </c>
      <c r="C9751" s="2" t="str">
        <f>"280797"</f>
        <v>280797</v>
      </c>
      <c r="D9751" s="2" t="s">
        <v>12322</v>
      </c>
      <c r="E9751" s="4">
        <v>2200</v>
      </c>
    </row>
    <row r="9752" spans="1:5">
      <c r="A9752" s="2" t="s">
        <v>296</v>
      </c>
      <c r="B9752" s="2" t="str">
        <f>"010680523"</f>
        <v>010680523</v>
      </c>
      <c r="C9752" s="2" t="str">
        <f>"010680523"</f>
        <v>010680523</v>
      </c>
      <c r="D9752" s="2" t="s">
        <v>12323</v>
      </c>
      <c r="E9752" s="4">
        <v>2000</v>
      </c>
    </row>
    <row r="9753" spans="1:5">
      <c r="A9753" s="2" t="s">
        <v>296</v>
      </c>
      <c r="B9753" s="2" t="str">
        <f>"4371541"</f>
        <v>4371541</v>
      </c>
      <c r="C9753" s="2" t="str">
        <f>"4371541"</f>
        <v>4371541</v>
      </c>
      <c r="D9753" s="2" t="s">
        <v>12324</v>
      </c>
      <c r="E9753" s="4">
        <v>2000</v>
      </c>
    </row>
    <row r="9754" spans="1:5">
      <c r="A9754" s="2" t="s">
        <v>296</v>
      </c>
      <c r="B9754" s="2" t="str">
        <f>"4352620"</f>
        <v>4352620</v>
      </c>
      <c r="C9754" s="2" t="str">
        <f>"4352620"</f>
        <v>4352620</v>
      </c>
      <c r="D9754" s="2" t="s">
        <v>12325</v>
      </c>
      <c r="E9754" s="4">
        <v>1800</v>
      </c>
    </row>
    <row r="9755" spans="1:5">
      <c r="A9755" s="2" t="s">
        <v>296</v>
      </c>
      <c r="B9755" s="2" t="str">
        <f>"180005"</f>
        <v>180005</v>
      </c>
      <c r="C9755" s="2" t="str">
        <f>"180005"</f>
        <v>180005</v>
      </c>
      <c r="D9755" s="2" t="s">
        <v>12326</v>
      </c>
      <c r="E9755" s="4">
        <v>3400</v>
      </c>
    </row>
    <row r="9756" spans="1:5">
      <c r="A9756" s="2" t="s">
        <v>296</v>
      </c>
      <c r="B9756" s="2" t="str">
        <f>"010680092"</f>
        <v>010680092</v>
      </c>
      <c r="C9756" s="2" t="str">
        <f>"010680092"</f>
        <v>010680092</v>
      </c>
      <c r="D9756" s="2" t="s">
        <v>12327</v>
      </c>
      <c r="E9756" s="4">
        <v>1900</v>
      </c>
    </row>
    <row r="9757" spans="1:5">
      <c r="A9757" s="2" t="s">
        <v>3227</v>
      </c>
      <c r="B9757" s="2" t="str">
        <f>"170022"</f>
        <v>170022</v>
      </c>
      <c r="C9757" s="2" t="str">
        <f>"170022"</f>
        <v>170022</v>
      </c>
      <c r="D9757" s="2" t="s">
        <v>12328</v>
      </c>
      <c r="E9757" s="4">
        <v>2700</v>
      </c>
    </row>
    <row r="9758" spans="1:5">
      <c r="A9758" s="2" t="s">
        <v>296</v>
      </c>
      <c r="B9758" s="2" t="str">
        <f>"0130847"</f>
        <v>0130847</v>
      </c>
      <c r="C9758" s="2" t="str">
        <f>"0130847"</f>
        <v>0130847</v>
      </c>
      <c r="D9758" s="2" t="s">
        <v>12329</v>
      </c>
      <c r="E9758" s="4">
        <v>2500</v>
      </c>
    </row>
    <row r="9759" spans="1:5">
      <c r="A9759" s="2" t="s">
        <v>296</v>
      </c>
      <c r="B9759" s="2" t="str">
        <f>"160715"</f>
        <v>160715</v>
      </c>
      <c r="C9759" s="2" t="str">
        <f>"160715"</f>
        <v>160715</v>
      </c>
      <c r="D9759" s="2" t="s">
        <v>12330</v>
      </c>
      <c r="E9759" s="4">
        <v>2700</v>
      </c>
    </row>
    <row r="9760" spans="1:5">
      <c r="A9760" s="2" t="s">
        <v>296</v>
      </c>
      <c r="B9760" s="2" t="str">
        <f>"0015506"</f>
        <v>0015506</v>
      </c>
      <c r="C9760" s="2" t="str">
        <f>"0015506"</f>
        <v>0015506</v>
      </c>
      <c r="D9760" s="2" t="s">
        <v>12331</v>
      </c>
      <c r="E9760" s="4">
        <v>2500</v>
      </c>
    </row>
    <row r="9761" spans="1:5" ht="27.6">
      <c r="A9761" s="2" t="s">
        <v>296</v>
      </c>
      <c r="B9761" s="2" t="str">
        <f>"172652"</f>
        <v>172652</v>
      </c>
      <c r="C9761" s="2" t="str">
        <f>"172652"</f>
        <v>172652</v>
      </c>
      <c r="D9761" s="2" t="s">
        <v>12332</v>
      </c>
      <c r="E9761" s="4">
        <v>3100</v>
      </c>
    </row>
    <row r="9762" spans="1:5">
      <c r="A9762" s="2" t="s">
        <v>296</v>
      </c>
      <c r="B9762" s="2" t="str">
        <f>"022521"</f>
        <v>022521</v>
      </c>
      <c r="C9762" s="2" t="str">
        <f>"022521"</f>
        <v>022521</v>
      </c>
      <c r="D9762" s="2" t="s">
        <v>12333</v>
      </c>
      <c r="E9762" s="4">
        <v>2500</v>
      </c>
    </row>
    <row r="9763" spans="1:5">
      <c r="A9763" s="2" t="s">
        <v>296</v>
      </c>
      <c r="B9763" s="2" t="str">
        <f>"210724"</f>
        <v>210724</v>
      </c>
      <c r="C9763" s="2" t="str">
        <f>"210724"</f>
        <v>210724</v>
      </c>
      <c r="D9763" s="2" t="s">
        <v>12334</v>
      </c>
      <c r="E9763" s="4">
        <v>3500</v>
      </c>
    </row>
    <row r="9764" spans="1:5">
      <c r="A9764" s="2" t="s">
        <v>296</v>
      </c>
      <c r="B9764" s="2" t="str">
        <f>"260575"</f>
        <v>260575</v>
      </c>
      <c r="C9764" s="2" t="str">
        <f>"260575"</f>
        <v>260575</v>
      </c>
      <c r="D9764" s="2" t="s">
        <v>12335</v>
      </c>
      <c r="E9764" s="4">
        <v>4200</v>
      </c>
    </row>
    <row r="9765" spans="1:5">
      <c r="A9765" s="2" t="s">
        <v>3227</v>
      </c>
      <c r="B9765" s="2" t="str">
        <f>"280759"</f>
        <v>280759</v>
      </c>
      <c r="C9765" s="2" t="str">
        <f>"280759"</f>
        <v>280759</v>
      </c>
      <c r="D9765" s="2" t="s">
        <v>12336</v>
      </c>
      <c r="E9765" s="4">
        <v>4800</v>
      </c>
    </row>
    <row r="9766" spans="1:5">
      <c r="A9766" s="2" t="s">
        <v>296</v>
      </c>
      <c r="B9766" s="2" t="str">
        <f>"022713"</f>
        <v>022713</v>
      </c>
      <c r="C9766" s="2" t="str">
        <f>"022713"</f>
        <v>022713</v>
      </c>
      <c r="D9766" s="2" t="s">
        <v>12337</v>
      </c>
      <c r="E9766" s="4">
        <v>3000</v>
      </c>
    </row>
    <row r="9767" spans="1:5">
      <c r="A9767" s="2" t="s">
        <v>296</v>
      </c>
      <c r="B9767" s="2" t="str">
        <f>"210725"</f>
        <v>210725</v>
      </c>
      <c r="C9767" s="2" t="str">
        <f>"210725"</f>
        <v>210725</v>
      </c>
      <c r="D9767" s="2" t="s">
        <v>12338</v>
      </c>
      <c r="E9767" s="4">
        <v>4200</v>
      </c>
    </row>
    <row r="9768" spans="1:5">
      <c r="A9768" s="2" t="s">
        <v>296</v>
      </c>
      <c r="B9768" s="2" t="str">
        <f>"0031516"</f>
        <v>0031516</v>
      </c>
      <c r="C9768" s="2" t="str">
        <f>"0031516"</f>
        <v>0031516</v>
      </c>
      <c r="D9768" s="2" t="s">
        <v>12339</v>
      </c>
      <c r="E9768" s="4">
        <v>5200</v>
      </c>
    </row>
    <row r="9769" spans="1:5">
      <c r="A9769" s="2" t="s">
        <v>3227</v>
      </c>
      <c r="B9769" s="2" t="str">
        <f>"170005"</f>
        <v>170005</v>
      </c>
      <c r="C9769" s="2" t="str">
        <f>"170005"</f>
        <v>170005</v>
      </c>
      <c r="D9769" s="2" t="s">
        <v>12340</v>
      </c>
      <c r="E9769" s="4">
        <v>1900</v>
      </c>
    </row>
    <row r="9770" spans="1:5">
      <c r="A9770" s="2" t="s">
        <v>296</v>
      </c>
      <c r="B9770" s="2" t="str">
        <f>"0017078"</f>
        <v>0017078</v>
      </c>
      <c r="C9770" s="2" t="str">
        <f>"0017078"</f>
        <v>0017078</v>
      </c>
      <c r="D9770" s="2" t="s">
        <v>12341</v>
      </c>
      <c r="E9770" s="4">
        <v>4000</v>
      </c>
    </row>
    <row r="9771" spans="1:5">
      <c r="A9771" s="2" t="s">
        <v>296</v>
      </c>
      <c r="B9771" s="2" t="str">
        <f>"0004281"</f>
        <v>0004281</v>
      </c>
      <c r="C9771" s="2" t="str">
        <f>"0004281"</f>
        <v>0004281</v>
      </c>
      <c r="D9771" s="2" t="s">
        <v>12342</v>
      </c>
      <c r="E9771" s="4">
        <v>1800</v>
      </c>
    </row>
    <row r="9772" spans="1:5">
      <c r="A9772" s="2" t="s">
        <v>296</v>
      </c>
      <c r="B9772" s="2" t="str">
        <f>"022758"</f>
        <v>022758</v>
      </c>
      <c r="C9772" s="2" t="str">
        <f>"022758"</f>
        <v>022758</v>
      </c>
      <c r="D9772" s="2" t="s">
        <v>12343</v>
      </c>
      <c r="E9772" s="4">
        <v>3700</v>
      </c>
    </row>
    <row r="9773" spans="1:5">
      <c r="A9773" s="2" t="s">
        <v>296</v>
      </c>
      <c r="B9773" s="2" t="str">
        <f>"022661"</f>
        <v>022661</v>
      </c>
      <c r="C9773" s="2" t="str">
        <f>"022661"</f>
        <v>022661</v>
      </c>
      <c r="D9773" s="2" t="s">
        <v>12344</v>
      </c>
      <c r="E9773" s="4">
        <v>2500</v>
      </c>
    </row>
    <row r="9774" spans="1:5">
      <c r="A9774" s="2" t="s">
        <v>296</v>
      </c>
      <c r="B9774" s="2" t="str">
        <f>"245548"</f>
        <v>245548</v>
      </c>
      <c r="C9774" s="2" t="str">
        <f>"245548"</f>
        <v>245548</v>
      </c>
      <c r="D9774" s="2" t="s">
        <v>12345</v>
      </c>
      <c r="E9774" s="4">
        <v>2500</v>
      </c>
    </row>
    <row r="9775" spans="1:5">
      <c r="A9775" s="2" t="s">
        <v>296</v>
      </c>
      <c r="B9775" s="2" t="str">
        <f>"300798"</f>
        <v>300798</v>
      </c>
      <c r="C9775" s="2" t="str">
        <f>"300798"</f>
        <v>300798</v>
      </c>
      <c r="D9775" s="2" t="s">
        <v>12346</v>
      </c>
      <c r="E9775" s="4">
        <v>2500</v>
      </c>
    </row>
    <row r="9776" spans="1:5">
      <c r="A9776" s="2" t="s">
        <v>3227</v>
      </c>
      <c r="B9776" s="2" t="str">
        <f>"190367"</f>
        <v>190367</v>
      </c>
      <c r="C9776" s="2" t="str">
        <f>"190367"</f>
        <v>190367</v>
      </c>
      <c r="D9776" s="2" t="s">
        <v>12347</v>
      </c>
      <c r="E9776" s="4">
        <v>2500</v>
      </c>
    </row>
    <row r="9777" spans="1:5">
      <c r="A9777" s="2" t="s">
        <v>296</v>
      </c>
      <c r="B9777" s="2" t="str">
        <f>"42X62X10"</f>
        <v>42X62X10</v>
      </c>
      <c r="C9777" s="2" t="str">
        <f>"42X62X10"</f>
        <v>42X62X10</v>
      </c>
      <c r="D9777" s="2" t="s">
        <v>12348</v>
      </c>
      <c r="E9777" s="4">
        <v>3000</v>
      </c>
    </row>
    <row r="9778" spans="1:5">
      <c r="A9778" s="2" t="s">
        <v>296</v>
      </c>
      <c r="B9778" s="2" t="str">
        <f>"003519"</f>
        <v>003519</v>
      </c>
      <c r="C9778" s="2" t="str">
        <f>"003519"</f>
        <v>003519</v>
      </c>
      <c r="D9778" s="2" t="s">
        <v>12349</v>
      </c>
      <c r="E9778" s="4">
        <v>2400</v>
      </c>
    </row>
    <row r="9779" spans="1:5">
      <c r="A9779" s="2" t="s">
        <v>296</v>
      </c>
      <c r="B9779" s="2" t="str">
        <f>"230704"</f>
        <v>230704</v>
      </c>
      <c r="C9779" s="2" t="str">
        <f>"230704"</f>
        <v>230704</v>
      </c>
      <c r="D9779" s="2" t="s">
        <v>12350</v>
      </c>
      <c r="E9779" s="4">
        <v>3500</v>
      </c>
    </row>
    <row r="9780" spans="1:5">
      <c r="A9780" s="2" t="s">
        <v>3227</v>
      </c>
      <c r="B9780" s="2" t="str">
        <f>"311595"</f>
        <v>311595</v>
      </c>
      <c r="C9780" s="2" t="str">
        <f>"311595"</f>
        <v>311595</v>
      </c>
      <c r="D9780" s="2" t="s">
        <v>12351</v>
      </c>
      <c r="E9780" s="4">
        <v>4800</v>
      </c>
    </row>
    <row r="9781" spans="1:5">
      <c r="A9781" s="2" t="s">
        <v>296</v>
      </c>
      <c r="B9781" s="2" t="str">
        <f>"0096018"</f>
        <v>0096018</v>
      </c>
      <c r="C9781" s="2" t="str">
        <f>"0096018"</f>
        <v>0096018</v>
      </c>
      <c r="D9781" s="2" t="s">
        <v>12352</v>
      </c>
      <c r="E9781" s="4">
        <v>3200</v>
      </c>
    </row>
    <row r="9782" spans="1:5">
      <c r="A9782" s="2" t="s">
        <v>296</v>
      </c>
      <c r="B9782" s="2" t="str">
        <f>"182643"</f>
        <v>182643</v>
      </c>
      <c r="C9782" s="2" t="str">
        <f>"182643"</f>
        <v>182643</v>
      </c>
      <c r="D9782" s="2" t="s">
        <v>12353</v>
      </c>
      <c r="E9782" s="4">
        <v>2500</v>
      </c>
    </row>
    <row r="9783" spans="1:5">
      <c r="A9783" s="2" t="s">
        <v>296</v>
      </c>
      <c r="B9783" s="2" t="str">
        <f>"170001"</f>
        <v>170001</v>
      </c>
      <c r="C9783" s="2" t="str">
        <f>"170001"</f>
        <v>170001</v>
      </c>
      <c r="D9783" s="2" t="s">
        <v>12354</v>
      </c>
      <c r="E9783" s="4">
        <v>2500</v>
      </c>
    </row>
    <row r="9784" spans="1:5">
      <c r="A9784" s="2" t="s">
        <v>296</v>
      </c>
      <c r="B9784" s="2" t="str">
        <f>"10296050"</f>
        <v>10296050</v>
      </c>
      <c r="C9784" s="2" t="str">
        <f>"10296050"</f>
        <v>10296050</v>
      </c>
      <c r="D9784" s="2" t="s">
        <v>12355</v>
      </c>
      <c r="E9784" s="4">
        <v>1800</v>
      </c>
    </row>
    <row r="9785" spans="1:5">
      <c r="A9785" s="2" t="s">
        <v>296</v>
      </c>
      <c r="B9785" s="2" t="s">
        <v>12356</v>
      </c>
      <c r="C9785" s="2" t="s">
        <v>12356</v>
      </c>
      <c r="D9785" s="2" t="s">
        <v>12357</v>
      </c>
      <c r="E9785" s="4">
        <v>2000</v>
      </c>
    </row>
    <row r="9786" spans="1:5">
      <c r="A9786" s="2" t="s">
        <v>296</v>
      </c>
      <c r="B9786" s="2" t="str">
        <f>"230705"</f>
        <v>230705</v>
      </c>
      <c r="C9786" s="2" t="str">
        <f>"230705"</f>
        <v>230705</v>
      </c>
      <c r="D9786" s="2" t="s">
        <v>12358</v>
      </c>
      <c r="E9786" s="4">
        <v>2500</v>
      </c>
    </row>
    <row r="9787" spans="1:5">
      <c r="A9787" s="2" t="s">
        <v>296</v>
      </c>
      <c r="B9787" s="2" t="str">
        <f>"4363110"</f>
        <v>4363110</v>
      </c>
      <c r="C9787" s="2" t="str">
        <f>"4363110"</f>
        <v>4363110</v>
      </c>
      <c r="D9787" s="2" t="s">
        <v>12359</v>
      </c>
      <c r="E9787" s="4">
        <v>3800</v>
      </c>
    </row>
    <row r="9788" spans="1:5">
      <c r="A9788" s="2" t="s">
        <v>3227</v>
      </c>
      <c r="B9788" s="2" t="str">
        <f>"280714"</f>
        <v>280714</v>
      </c>
      <c r="C9788" s="2" t="str">
        <f>"280714"</f>
        <v>280714</v>
      </c>
      <c r="D9788" s="2" t="s">
        <v>12360</v>
      </c>
      <c r="E9788" s="4">
        <v>3800</v>
      </c>
    </row>
    <row r="9789" spans="1:5">
      <c r="A9789" s="2" t="s">
        <v>296</v>
      </c>
      <c r="B9789" s="2" t="str">
        <f>"230717"</f>
        <v>230717</v>
      </c>
      <c r="C9789" s="2" t="str">
        <f>"230717"</f>
        <v>230717</v>
      </c>
      <c r="D9789" s="2" t="s">
        <v>12361</v>
      </c>
      <c r="E9789" s="4">
        <v>3200</v>
      </c>
    </row>
    <row r="9790" spans="1:5">
      <c r="A9790" s="2" t="s">
        <v>3227</v>
      </c>
      <c r="B9790" s="2" t="str">
        <f>"260550"</f>
        <v>260550</v>
      </c>
      <c r="C9790" s="2" t="str">
        <f>"260550"</f>
        <v>260550</v>
      </c>
      <c r="D9790" s="2" t="s">
        <v>12362</v>
      </c>
      <c r="E9790" s="4">
        <v>2000</v>
      </c>
    </row>
    <row r="9791" spans="1:5">
      <c r="A9791" s="2" t="s">
        <v>296</v>
      </c>
      <c r="B9791" s="2" t="str">
        <f>"1173110"</f>
        <v>1173110</v>
      </c>
      <c r="C9791" s="2" t="str">
        <f>"1173110"</f>
        <v>1173110</v>
      </c>
      <c r="D9791" s="2" t="s">
        <v>12363</v>
      </c>
      <c r="E9791" s="4">
        <v>1900</v>
      </c>
    </row>
    <row r="9792" spans="1:5">
      <c r="A9792" s="2" t="s">
        <v>296</v>
      </c>
      <c r="B9792" s="2" t="str">
        <f>"0096015"</f>
        <v>0096015</v>
      </c>
      <c r="C9792" s="2" t="str">
        <f>"213 160"</f>
        <v>213 160</v>
      </c>
      <c r="D9792" s="2" t="s">
        <v>12364</v>
      </c>
      <c r="E9792" s="4">
        <v>1900</v>
      </c>
    </row>
    <row r="9793" spans="1:5">
      <c r="A9793" s="2" t="s">
        <v>296</v>
      </c>
      <c r="B9793" s="2" t="str">
        <f>"260574"</f>
        <v>260574</v>
      </c>
      <c r="C9793" s="2" t="str">
        <f>"260574"</f>
        <v>260574</v>
      </c>
      <c r="D9793" s="2" t="s">
        <v>12365</v>
      </c>
      <c r="E9793" s="4">
        <v>2700</v>
      </c>
    </row>
    <row r="9794" spans="1:5">
      <c r="A9794" s="2" t="s">
        <v>296</v>
      </c>
      <c r="B9794" s="2" t="str">
        <f>"289751"</f>
        <v>289751</v>
      </c>
      <c r="C9794" s="2" t="str">
        <f>"289751"</f>
        <v>289751</v>
      </c>
      <c r="D9794" s="2" t="s">
        <v>12366</v>
      </c>
      <c r="E9794" s="4">
        <v>3500</v>
      </c>
    </row>
    <row r="9795" spans="1:5">
      <c r="A9795" s="2" t="s">
        <v>296</v>
      </c>
      <c r="B9795" s="2" t="str">
        <f>"0096017"</f>
        <v>0096017</v>
      </c>
      <c r="C9795" s="2" t="str">
        <f>"0096017"</f>
        <v>0096017</v>
      </c>
      <c r="D9795" s="2" t="s">
        <v>12367</v>
      </c>
      <c r="E9795" s="4">
        <v>3800</v>
      </c>
    </row>
    <row r="9796" spans="1:5">
      <c r="A9796" s="2" t="s">
        <v>296</v>
      </c>
      <c r="B9796" s="2" t="str">
        <f>"90311-45069"</f>
        <v>90311-45069</v>
      </c>
      <c r="C9796" s="2" t="str">
        <f>"20296097"</f>
        <v>20296097</v>
      </c>
      <c r="D9796" s="2" t="s">
        <v>12368</v>
      </c>
      <c r="E9796" s="4">
        <v>2200</v>
      </c>
    </row>
    <row r="9797" spans="1:5">
      <c r="A9797" s="2" t="s">
        <v>296</v>
      </c>
      <c r="B9797" s="2" t="str">
        <f>"260591"</f>
        <v>260591</v>
      </c>
      <c r="C9797" s="2" t="str">
        <f>"260591"</f>
        <v>260591</v>
      </c>
      <c r="D9797" s="2" t="s">
        <v>12369</v>
      </c>
      <c r="E9797" s="4">
        <v>4300</v>
      </c>
    </row>
    <row r="9798" spans="1:5">
      <c r="A9798" s="2" t="s">
        <v>296</v>
      </c>
      <c r="B9798" s="2" t="str">
        <f>"022707"</f>
        <v>022707</v>
      </c>
      <c r="C9798" s="2" t="str">
        <f>"022707"</f>
        <v>022707</v>
      </c>
      <c r="D9798" s="2" t="s">
        <v>12370</v>
      </c>
      <c r="E9798" s="4">
        <v>2500</v>
      </c>
    </row>
    <row r="9799" spans="1:5">
      <c r="A9799" s="2" t="s">
        <v>296</v>
      </c>
      <c r="B9799" s="2" t="str">
        <f>"13510-53J00"</f>
        <v>13510-53J00</v>
      </c>
      <c r="C9799" s="2" t="str">
        <f>"13510-53J00"</f>
        <v>13510-53J00</v>
      </c>
      <c r="D9799" s="2" t="s">
        <v>12371</v>
      </c>
      <c r="E9799" s="4">
        <v>2200</v>
      </c>
    </row>
    <row r="9800" spans="1:5">
      <c r="A9800" s="2" t="s">
        <v>296</v>
      </c>
      <c r="B9800" s="2" t="str">
        <f>"172621"</f>
        <v>172621</v>
      </c>
      <c r="C9800" s="2" t="str">
        <f>"172621"</f>
        <v>172621</v>
      </c>
      <c r="D9800" s="2" t="s">
        <v>12372</v>
      </c>
      <c r="E9800" s="4">
        <v>2700</v>
      </c>
    </row>
    <row r="9801" spans="1:5">
      <c r="A9801" s="2" t="s">
        <v>296</v>
      </c>
      <c r="B9801" s="2" t="str">
        <f>"280867"</f>
        <v>280867</v>
      </c>
      <c r="C9801" s="2" t="str">
        <f>"280867"</f>
        <v>280867</v>
      </c>
      <c r="D9801" s="2" t="s">
        <v>12373</v>
      </c>
      <c r="E9801" s="4">
        <v>2500</v>
      </c>
    </row>
    <row r="9802" spans="1:5">
      <c r="A9802" s="2" t="s">
        <v>296</v>
      </c>
      <c r="B9802" s="2" t="str">
        <f>"301959"</f>
        <v>301959</v>
      </c>
      <c r="C9802" s="2" t="str">
        <f>"301959"</f>
        <v>301959</v>
      </c>
      <c r="D9802" s="2" t="s">
        <v>12374</v>
      </c>
      <c r="E9802" s="4">
        <v>4300</v>
      </c>
    </row>
    <row r="9803" spans="1:5">
      <c r="A9803" s="2" t="s">
        <v>296</v>
      </c>
      <c r="B9803" s="2" t="str">
        <f>"190332"</f>
        <v>190332</v>
      </c>
      <c r="C9803" s="2" t="str">
        <f>"190332"</f>
        <v>190332</v>
      </c>
      <c r="D9803" s="2" t="s">
        <v>12375</v>
      </c>
      <c r="E9803" s="4">
        <v>3500</v>
      </c>
    </row>
    <row r="9804" spans="1:5">
      <c r="A9804" s="2" t="s">
        <v>296</v>
      </c>
      <c r="B9804" s="2" t="str">
        <f>"30293946"</f>
        <v>30293946</v>
      </c>
      <c r="C9804" s="2" t="str">
        <f>"30293946"</f>
        <v>30293946</v>
      </c>
      <c r="D9804" s="2" t="s">
        <v>12376</v>
      </c>
      <c r="E9804" s="4">
        <v>3800</v>
      </c>
    </row>
    <row r="9805" spans="1:5">
      <c r="A9805" s="2" t="s">
        <v>296</v>
      </c>
      <c r="B9805" s="2" t="str">
        <f>"288338"</f>
        <v>288338</v>
      </c>
      <c r="C9805" s="2" t="str">
        <f>"288338"</f>
        <v>288338</v>
      </c>
      <c r="D9805" s="2" t="s">
        <v>12377</v>
      </c>
      <c r="E9805" s="4">
        <v>2500</v>
      </c>
    </row>
    <row r="9806" spans="1:5">
      <c r="A9806" s="2" t="s">
        <v>296</v>
      </c>
      <c r="B9806" s="2" t="str">
        <f>"289818"</f>
        <v>289818</v>
      </c>
      <c r="C9806" s="2" t="str">
        <f>"289818"</f>
        <v>289818</v>
      </c>
      <c r="D9806" s="2" t="s">
        <v>12378</v>
      </c>
      <c r="E9806" s="4">
        <v>2800</v>
      </c>
    </row>
    <row r="9807" spans="1:5">
      <c r="A9807" s="2" t="s">
        <v>296</v>
      </c>
      <c r="B9807" s="2" t="str">
        <f>"170625"</f>
        <v>170625</v>
      </c>
      <c r="C9807" s="2" t="str">
        <f>"170625"</f>
        <v>170625</v>
      </c>
      <c r="D9807" s="2" t="s">
        <v>12379</v>
      </c>
      <c r="E9807" s="4">
        <v>2700</v>
      </c>
    </row>
    <row r="9808" spans="1:5">
      <c r="A9808" s="2" t="s">
        <v>3227</v>
      </c>
      <c r="B9808" s="2" t="str">
        <f>"302269"</f>
        <v>302269</v>
      </c>
      <c r="C9808" s="2" t="str">
        <f>"302269"</f>
        <v>302269</v>
      </c>
      <c r="D9808" s="2" t="s">
        <v>12380</v>
      </c>
      <c r="E9808" s="4">
        <v>2800</v>
      </c>
    </row>
    <row r="9809" spans="1:5">
      <c r="A9809" s="2" t="s">
        <v>296</v>
      </c>
      <c r="B9809" s="2" t="str">
        <f>"010680274"</f>
        <v>010680274</v>
      </c>
      <c r="C9809" s="2" t="str">
        <f>"010680274"</f>
        <v>010680274</v>
      </c>
      <c r="D9809" s="2" t="s">
        <v>12381</v>
      </c>
      <c r="E9809" s="4">
        <v>1900</v>
      </c>
    </row>
    <row r="9810" spans="1:5">
      <c r="A9810" s="2" t="s">
        <v>296</v>
      </c>
      <c r="B9810" s="2" t="str">
        <f>"247546"</f>
        <v>247546</v>
      </c>
      <c r="C9810" s="2" t="str">
        <f>"247546"</f>
        <v>247546</v>
      </c>
      <c r="D9810" s="2" t="s">
        <v>12382</v>
      </c>
      <c r="E9810" s="4">
        <v>2000</v>
      </c>
    </row>
    <row r="9811" spans="1:5">
      <c r="A9811" s="2" t="s">
        <v>3227</v>
      </c>
      <c r="B9811" s="2" t="s">
        <v>12383</v>
      </c>
      <c r="C9811" s="2" t="s">
        <v>12383</v>
      </c>
      <c r="D9811" s="2" t="s">
        <v>12384</v>
      </c>
      <c r="E9811" s="4">
        <v>1900</v>
      </c>
    </row>
    <row r="9812" spans="1:5">
      <c r="A9812" s="2" t="s">
        <v>296</v>
      </c>
      <c r="B9812" s="2" t="s">
        <v>12385</v>
      </c>
      <c r="C9812" s="2" t="s">
        <v>12385</v>
      </c>
      <c r="D9812" s="2" t="s">
        <v>12386</v>
      </c>
      <c r="E9812" s="4">
        <v>1900</v>
      </c>
    </row>
    <row r="9813" spans="1:5">
      <c r="A9813" s="2" t="s">
        <v>296</v>
      </c>
      <c r="B9813" s="2" t="str">
        <f>"0004293"</f>
        <v>0004293</v>
      </c>
      <c r="C9813" s="2" t="str">
        <f>"0004293"</f>
        <v>0004293</v>
      </c>
      <c r="D9813" s="2" t="s">
        <v>12387</v>
      </c>
      <c r="E9813" s="4">
        <v>2500</v>
      </c>
    </row>
    <row r="9814" spans="1:5">
      <c r="A9814" s="2" t="s">
        <v>296</v>
      </c>
      <c r="B9814" s="2" t="str">
        <f>"3029-4005"</f>
        <v>3029-4005</v>
      </c>
      <c r="C9814" s="2" t="str">
        <f>"3029-4005"</f>
        <v>3029-4005</v>
      </c>
      <c r="D9814" s="2" t="s">
        <v>12388</v>
      </c>
      <c r="E9814" s="4">
        <v>2000</v>
      </c>
    </row>
    <row r="9815" spans="1:5">
      <c r="A9815" s="2" t="s">
        <v>296</v>
      </c>
      <c r="B9815" s="2" t="str">
        <f>"9.09924.296"</f>
        <v>9.09924.296</v>
      </c>
      <c r="C9815" s="2" t="str">
        <f>"9.09924.296"</f>
        <v>9.09924.296</v>
      </c>
      <c r="D9815" s="2" t="s">
        <v>12389</v>
      </c>
      <c r="E9815" s="4">
        <v>1800</v>
      </c>
    </row>
    <row r="9816" spans="1:5">
      <c r="A9816" s="2" t="s">
        <v>296</v>
      </c>
      <c r="B9816" s="2" t="str">
        <f>"9311"</f>
        <v>9311</v>
      </c>
      <c r="C9816" s="2" t="str">
        <f>"9311"</f>
        <v>9311</v>
      </c>
      <c r="D9816" s="2" t="s">
        <v>12390</v>
      </c>
      <c r="E9816" s="4">
        <v>3332</v>
      </c>
    </row>
    <row r="9817" spans="1:5">
      <c r="A9817" s="2" t="s">
        <v>296</v>
      </c>
      <c r="B9817" s="2" t="str">
        <f>"0004295"</f>
        <v>0004295</v>
      </c>
      <c r="C9817" s="2" t="str">
        <f>"0004295"</f>
        <v>0004295</v>
      </c>
      <c r="D9817" s="2" t="s">
        <v>12391</v>
      </c>
      <c r="E9817" s="4">
        <v>1900</v>
      </c>
    </row>
    <row r="9818" spans="1:5">
      <c r="A9818" s="2" t="s">
        <v>296</v>
      </c>
      <c r="B9818" s="2" t="str">
        <f>"301975"</f>
        <v>301975</v>
      </c>
      <c r="C9818" s="2" t="str">
        <f>"301975"</f>
        <v>301975</v>
      </c>
      <c r="D9818" s="2" t="s">
        <v>12392</v>
      </c>
      <c r="E9818" s="4">
        <v>4300</v>
      </c>
    </row>
    <row r="9819" spans="1:5">
      <c r="A9819" s="2" t="s">
        <v>296</v>
      </c>
      <c r="B9819" s="2" t="str">
        <f>"002018721-2"</f>
        <v>002018721-2</v>
      </c>
      <c r="C9819" s="2" t="str">
        <f>"00218721-2"</f>
        <v>00218721-2</v>
      </c>
      <c r="D9819" s="2" t="s">
        <v>12393</v>
      </c>
      <c r="E9819" s="4">
        <v>29500</v>
      </c>
    </row>
    <row r="9820" spans="1:5">
      <c r="A9820" s="2" t="s">
        <v>296</v>
      </c>
      <c r="B9820" s="2" t="str">
        <f>"180002"</f>
        <v>180002</v>
      </c>
      <c r="C9820" s="2" t="str">
        <f>"180002"</f>
        <v>180002</v>
      </c>
      <c r="D9820" s="2" t="s">
        <v>12394</v>
      </c>
      <c r="E9820" s="4">
        <v>2000</v>
      </c>
    </row>
    <row r="9821" spans="1:5">
      <c r="A9821" s="2" t="s">
        <v>296</v>
      </c>
      <c r="B9821" s="2" t="str">
        <f>"51X65X9"</f>
        <v>51X65X9</v>
      </c>
      <c r="C9821" s="2" t="str">
        <f>"51X65X9"</f>
        <v>51X65X9</v>
      </c>
      <c r="D9821" s="2" t="s">
        <v>12395</v>
      </c>
      <c r="E9821" s="4">
        <v>2000</v>
      </c>
    </row>
    <row r="9822" spans="1:5">
      <c r="A9822" s="2" t="s">
        <v>296</v>
      </c>
      <c r="B9822" s="2" t="str">
        <f>"51721"</f>
        <v>51721</v>
      </c>
      <c r="C9822" s="2" t="str">
        <f>"51721"</f>
        <v>51721</v>
      </c>
      <c r="D9822" s="2" t="s">
        <v>12396</v>
      </c>
      <c r="E9822" s="4">
        <v>2500</v>
      </c>
    </row>
    <row r="9823" spans="1:5">
      <c r="A9823" s="2" t="s">
        <v>296</v>
      </c>
      <c r="B9823" s="2" t="str">
        <f>"170024"</f>
        <v>170024</v>
      </c>
      <c r="C9823" s="2" t="str">
        <f>"170024"</f>
        <v>170024</v>
      </c>
      <c r="D9823" s="2" t="s">
        <v>12397</v>
      </c>
      <c r="E9823" s="4">
        <v>3200</v>
      </c>
    </row>
    <row r="9824" spans="1:5">
      <c r="A9824" s="2" t="s">
        <v>296</v>
      </c>
      <c r="B9824" s="2" t="str">
        <f>"180003"</f>
        <v>180003</v>
      </c>
      <c r="C9824" s="2" t="str">
        <f>"180003"</f>
        <v>180003</v>
      </c>
      <c r="D9824" s="2" t="s">
        <v>12398</v>
      </c>
      <c r="E9824" s="4">
        <v>2700</v>
      </c>
    </row>
    <row r="9825" spans="1:5">
      <c r="A9825" s="2" t="s">
        <v>296</v>
      </c>
      <c r="B9825" s="2" t="str">
        <f>"170029"</f>
        <v>170029</v>
      </c>
      <c r="C9825" s="2" t="str">
        <f>"170029"</f>
        <v>170029</v>
      </c>
      <c r="D9825" s="2" t="s">
        <v>12399</v>
      </c>
      <c r="E9825" s="4">
        <v>3500</v>
      </c>
    </row>
    <row r="9826" spans="1:5">
      <c r="A9826" s="2" t="s">
        <v>296</v>
      </c>
      <c r="B9826" s="2" t="str">
        <f>"160721"</f>
        <v>160721</v>
      </c>
      <c r="C9826" s="2" t="str">
        <f>"160721"</f>
        <v>160721</v>
      </c>
      <c r="D9826" s="2" t="s">
        <v>12400</v>
      </c>
      <c r="E9826" s="4">
        <v>3500</v>
      </c>
    </row>
    <row r="9827" spans="1:5">
      <c r="A9827" s="2" t="s">
        <v>296</v>
      </c>
      <c r="B9827" s="2" t="str">
        <f>"031311"</f>
        <v>031311</v>
      </c>
      <c r="C9827" s="2" t="str">
        <f>"031311"</f>
        <v>031311</v>
      </c>
      <c r="D9827" s="2" t="s">
        <v>12401</v>
      </c>
      <c r="E9827" s="4">
        <v>6100</v>
      </c>
    </row>
    <row r="9828" spans="1:5">
      <c r="A9828" s="2" t="s">
        <v>296</v>
      </c>
      <c r="B9828" s="2" t="str">
        <f>"54X6510X15"</f>
        <v>54X6510X15</v>
      </c>
      <c r="C9828" s="2" t="str">
        <f>"031148"</f>
        <v>031148</v>
      </c>
      <c r="D9828" s="2" t="s">
        <v>12402</v>
      </c>
      <c r="E9828" s="4">
        <v>4200</v>
      </c>
    </row>
    <row r="9829" spans="1:5">
      <c r="A9829" s="2" t="s">
        <v>296</v>
      </c>
      <c r="B9829" s="2" t="str">
        <f>"0001834"</f>
        <v>0001834</v>
      </c>
      <c r="C9829" s="2" t="str">
        <f>"0001834"</f>
        <v>0001834</v>
      </c>
      <c r="D9829" s="2" t="s">
        <v>12403</v>
      </c>
      <c r="E9829" s="4">
        <v>2800</v>
      </c>
    </row>
    <row r="9830" spans="1:5">
      <c r="A9830" s="2" t="s">
        <v>296</v>
      </c>
      <c r="B9830" s="2" t="str">
        <f>"193612"</f>
        <v>193612</v>
      </c>
      <c r="C9830" s="2" t="str">
        <f>"193612"</f>
        <v>193612</v>
      </c>
      <c r="D9830" s="2" t="s">
        <v>12404</v>
      </c>
      <c r="E9830" s="4">
        <v>2800</v>
      </c>
    </row>
    <row r="9831" spans="1:5">
      <c r="A9831" s="2" t="s">
        <v>296</v>
      </c>
      <c r="B9831" s="2" t="str">
        <f>"0096019"</f>
        <v>0096019</v>
      </c>
      <c r="C9831" s="2" t="str">
        <f>"0096019"</f>
        <v>0096019</v>
      </c>
      <c r="D9831" s="2" t="s">
        <v>12405</v>
      </c>
      <c r="E9831" s="4">
        <v>3200</v>
      </c>
    </row>
    <row r="9832" spans="1:5">
      <c r="A9832" s="2" t="s">
        <v>296</v>
      </c>
      <c r="B9832" s="2" t="str">
        <f>"0154947"</f>
        <v>0154947</v>
      </c>
      <c r="C9832" s="2" t="str">
        <f>"0154947"</f>
        <v>0154947</v>
      </c>
      <c r="D9832" s="2" t="s">
        <v>12406</v>
      </c>
      <c r="E9832" s="4">
        <v>2500</v>
      </c>
    </row>
    <row r="9833" spans="1:5">
      <c r="A9833" s="2" t="s">
        <v>296</v>
      </c>
      <c r="B9833" s="2" t="str">
        <f>"289638"</f>
        <v>289638</v>
      </c>
      <c r="C9833" s="2" t="str">
        <f>"289638"</f>
        <v>289638</v>
      </c>
      <c r="D9833" s="2" t="s">
        <v>12407</v>
      </c>
      <c r="E9833" s="4">
        <v>5000</v>
      </c>
    </row>
    <row r="9834" spans="1:5">
      <c r="A9834" s="2" t="s">
        <v>296</v>
      </c>
      <c r="B9834" s="2" t="str">
        <f>"247535"</f>
        <v>247535</v>
      </c>
      <c r="C9834" s="2" t="str">
        <f>"247535"</f>
        <v>247535</v>
      </c>
      <c r="D9834" s="2" t="s">
        <v>12408</v>
      </c>
      <c r="E9834" s="4">
        <v>2000</v>
      </c>
    </row>
    <row r="9835" spans="1:5">
      <c r="A9835" s="2" t="s">
        <v>296</v>
      </c>
      <c r="B9835" s="2" t="str">
        <f>"290162"</f>
        <v>290162</v>
      </c>
      <c r="C9835" s="2" t="str">
        <f>"290162"</f>
        <v>290162</v>
      </c>
      <c r="D9835" s="2" t="s">
        <v>12409</v>
      </c>
      <c r="E9835" s="4">
        <v>3800</v>
      </c>
    </row>
    <row r="9836" spans="1:5">
      <c r="A9836" s="2" t="s">
        <v>296</v>
      </c>
      <c r="B9836" s="2" t="str">
        <f>"0126347"</f>
        <v>0126347</v>
      </c>
      <c r="C9836" s="2" t="str">
        <f>"0126347"</f>
        <v>0126347</v>
      </c>
      <c r="D9836" s="2" t="s">
        <v>12410</v>
      </c>
      <c r="E9836" s="4">
        <v>2500</v>
      </c>
    </row>
    <row r="9837" spans="1:5">
      <c r="A9837" s="2" t="s">
        <v>296</v>
      </c>
      <c r="B9837" s="2" t="str">
        <f>"0002942"</f>
        <v>0002942</v>
      </c>
      <c r="C9837" s="2" t="str">
        <f>"0002942"</f>
        <v>0002942</v>
      </c>
      <c r="D9837" s="2" t="s">
        <v>12411</v>
      </c>
      <c r="E9837" s="4">
        <v>2500</v>
      </c>
    </row>
    <row r="9838" spans="1:5">
      <c r="A9838" s="2" t="s">
        <v>296</v>
      </c>
      <c r="B9838" s="2" t="str">
        <f>"300674"</f>
        <v>300674</v>
      </c>
      <c r="C9838" s="2" t="str">
        <f>"300674"</f>
        <v>300674</v>
      </c>
      <c r="D9838" s="2" t="s">
        <v>12412</v>
      </c>
      <c r="E9838" s="4">
        <v>4300</v>
      </c>
    </row>
    <row r="9839" spans="1:5">
      <c r="A9839" s="2" t="s">
        <v>3227</v>
      </c>
      <c r="B9839" s="2" t="str">
        <f>"270506"</f>
        <v>270506</v>
      </c>
      <c r="C9839" s="2" t="str">
        <f>"270506"</f>
        <v>270506</v>
      </c>
      <c r="D9839" s="2" t="s">
        <v>12413</v>
      </c>
      <c r="E9839" s="4">
        <v>3500</v>
      </c>
    </row>
    <row r="9840" spans="1:5">
      <c r="A9840" s="2" t="s">
        <v>296</v>
      </c>
      <c r="B9840" s="2" t="str">
        <f>"260561"</f>
        <v>260561</v>
      </c>
      <c r="C9840" s="2" t="str">
        <f>"260561"</f>
        <v>260561</v>
      </c>
      <c r="D9840" s="2" t="s">
        <v>12414</v>
      </c>
      <c r="E9840" s="4">
        <v>3800</v>
      </c>
    </row>
    <row r="9841" spans="1:5">
      <c r="A9841" s="2" t="s">
        <v>296</v>
      </c>
      <c r="B9841" s="2" t="str">
        <f>"0004311"</f>
        <v>0004311</v>
      </c>
      <c r="C9841" s="2" t="str">
        <f>"0004311"</f>
        <v>0004311</v>
      </c>
      <c r="D9841" s="2" t="s">
        <v>12415</v>
      </c>
      <c r="E9841" s="4">
        <v>2618</v>
      </c>
    </row>
    <row r="9842" spans="1:5">
      <c r="A9842" s="2" t="s">
        <v>296</v>
      </c>
      <c r="B9842" s="2" t="str">
        <f>"312279"</f>
        <v>312279</v>
      </c>
      <c r="C9842" s="2" t="str">
        <f>"312279"</f>
        <v>312279</v>
      </c>
      <c r="D9842" s="2" t="s">
        <v>12416</v>
      </c>
      <c r="E9842" s="4">
        <v>7500</v>
      </c>
    </row>
    <row r="9843" spans="1:5">
      <c r="A9843" s="2" t="s">
        <v>296</v>
      </c>
      <c r="B9843" s="2" t="str">
        <f>"001416754-4"</f>
        <v>001416754-4</v>
      </c>
      <c r="C9843" s="2" t="str">
        <f>"001416754-4"</f>
        <v>001416754-4</v>
      </c>
      <c r="D9843" s="2" t="s">
        <v>12417</v>
      </c>
      <c r="E9843" s="4">
        <v>4300</v>
      </c>
    </row>
    <row r="9844" spans="1:5">
      <c r="A9844" s="2" t="s">
        <v>296</v>
      </c>
      <c r="B9844" s="2" t="str">
        <f>"070870105"</f>
        <v>070870105</v>
      </c>
      <c r="C9844" s="2" t="str">
        <f>"070870105"</f>
        <v>070870105</v>
      </c>
      <c r="D9844" s="2" t="s">
        <v>12418</v>
      </c>
      <c r="E9844" s="4">
        <v>2500</v>
      </c>
    </row>
    <row r="9845" spans="1:5">
      <c r="A9845" s="2" t="s">
        <v>296</v>
      </c>
      <c r="B9845" s="2" t="str">
        <f>"170620"</f>
        <v>170620</v>
      </c>
      <c r="C9845" s="2" t="str">
        <f>"170620"</f>
        <v>170620</v>
      </c>
      <c r="D9845" s="2" t="s">
        <v>12419</v>
      </c>
      <c r="E9845" s="4">
        <v>3500</v>
      </c>
    </row>
    <row r="9846" spans="1:5">
      <c r="A9846" s="2" t="s">
        <v>296</v>
      </c>
      <c r="B9846" s="2" t="str">
        <f>"288766"</f>
        <v>288766</v>
      </c>
      <c r="C9846" s="2" t="str">
        <f>"288766"</f>
        <v>288766</v>
      </c>
      <c r="D9846" s="2" t="s">
        <v>12420</v>
      </c>
      <c r="E9846" s="4">
        <v>6500</v>
      </c>
    </row>
    <row r="9847" spans="1:5">
      <c r="A9847" s="2" t="s">
        <v>296</v>
      </c>
      <c r="B9847" s="2" t="str">
        <f>"182648"</f>
        <v>182648</v>
      </c>
      <c r="C9847" s="2" t="str">
        <f>"182648"</f>
        <v>182648</v>
      </c>
      <c r="D9847" s="2" t="s">
        <v>12421</v>
      </c>
      <c r="E9847" s="4">
        <v>4500</v>
      </c>
    </row>
    <row r="9848" spans="1:5">
      <c r="A9848" s="2" t="s">
        <v>296</v>
      </c>
      <c r="B9848" s="2" t="str">
        <f>"190352"</f>
        <v>190352</v>
      </c>
      <c r="C9848" s="2" t="str">
        <f>"190352"</f>
        <v>190352</v>
      </c>
      <c r="D9848" s="2" t="s">
        <v>12422</v>
      </c>
      <c r="E9848" s="4">
        <v>6100</v>
      </c>
    </row>
    <row r="9849" spans="1:5">
      <c r="A9849" s="2" t="s">
        <v>296</v>
      </c>
      <c r="B9849" s="2" t="str">
        <f>"4159510"</f>
        <v>4159510</v>
      </c>
      <c r="C9849" s="2" t="str">
        <f>"4159510"</f>
        <v>4159510</v>
      </c>
      <c r="D9849" s="2" t="s">
        <v>12423</v>
      </c>
      <c r="E9849" s="4">
        <v>2500</v>
      </c>
    </row>
    <row r="9850" spans="1:5">
      <c r="A9850" s="2" t="s">
        <v>296</v>
      </c>
      <c r="B9850" s="2" t="str">
        <f>"190335"</f>
        <v>190335</v>
      </c>
      <c r="C9850" s="2" t="str">
        <f>"190335"</f>
        <v>190335</v>
      </c>
      <c r="D9850" s="2" t="s">
        <v>12424</v>
      </c>
      <c r="E9850" s="4">
        <v>5500</v>
      </c>
    </row>
    <row r="9851" spans="1:5">
      <c r="A9851" s="2" t="s">
        <v>296</v>
      </c>
      <c r="B9851" s="2" t="str">
        <f>"190356"</f>
        <v>190356</v>
      </c>
      <c r="C9851" s="2" t="str">
        <f>"190356"</f>
        <v>190356</v>
      </c>
      <c r="D9851" s="2" t="s">
        <v>12425</v>
      </c>
      <c r="E9851" s="4">
        <v>4800</v>
      </c>
    </row>
    <row r="9852" spans="1:5">
      <c r="A9852" s="2" t="s">
        <v>296</v>
      </c>
      <c r="B9852" s="2" t="str">
        <f>"289469"</f>
        <v>289469</v>
      </c>
      <c r="C9852" s="2" t="str">
        <f>"289469"</f>
        <v>289469</v>
      </c>
      <c r="D9852" s="2" t="s">
        <v>12426</v>
      </c>
      <c r="E9852" s="4">
        <v>2800</v>
      </c>
    </row>
    <row r="9853" spans="1:5">
      <c r="A9853" s="2" t="s">
        <v>296</v>
      </c>
      <c r="B9853" s="2" t="str">
        <f>"72X98X8"</f>
        <v>72X98X8</v>
      </c>
      <c r="C9853" s="2" t="str">
        <f>"72X98X8"</f>
        <v>72X98X8</v>
      </c>
      <c r="D9853" s="2" t="s">
        <v>12427</v>
      </c>
      <c r="E9853" s="4">
        <v>8900</v>
      </c>
    </row>
    <row r="9854" spans="1:5">
      <c r="A9854" s="2" t="s">
        <v>296</v>
      </c>
      <c r="B9854" s="2" t="str">
        <f>"73.5X89X8.5"</f>
        <v>73.5X89X8.5</v>
      </c>
      <c r="C9854" s="2" t="str">
        <f>"73.5X89X8.5"</f>
        <v>73.5X89X8.5</v>
      </c>
      <c r="D9854" s="2" t="s">
        <v>12428</v>
      </c>
      <c r="E9854" s="4">
        <v>9700</v>
      </c>
    </row>
    <row r="9855" spans="1:5">
      <c r="A9855" s="2" t="s">
        <v>296</v>
      </c>
      <c r="B9855" s="2" t="str">
        <f>"210705"</f>
        <v>210705</v>
      </c>
      <c r="C9855" s="2" t="str">
        <f>"210705"</f>
        <v>210705</v>
      </c>
      <c r="D9855" s="2" t="s">
        <v>12429</v>
      </c>
      <c r="E9855" s="4">
        <v>5000</v>
      </c>
    </row>
    <row r="9856" spans="1:5">
      <c r="A9856" s="2" t="s">
        <v>296</v>
      </c>
      <c r="B9856" s="2" t="str">
        <f>"1174319"</f>
        <v>1174319</v>
      </c>
      <c r="C9856" s="2" t="str">
        <f>"1174319"</f>
        <v>1174319</v>
      </c>
      <c r="D9856" s="2" t="s">
        <v>12430</v>
      </c>
      <c r="E9856" s="4">
        <v>2500</v>
      </c>
    </row>
    <row r="9857" spans="1:5">
      <c r="A9857" s="2" t="s">
        <v>296</v>
      </c>
      <c r="B9857" s="2" t="str">
        <f>"190342"</f>
        <v>190342</v>
      </c>
      <c r="C9857" s="2" t="str">
        <f>"190342"</f>
        <v>190342</v>
      </c>
      <c r="D9857" s="2" t="s">
        <v>12431</v>
      </c>
      <c r="E9857" s="4">
        <v>5000</v>
      </c>
    </row>
    <row r="9858" spans="1:5">
      <c r="A9858" s="2" t="s">
        <v>296</v>
      </c>
      <c r="B9858" s="2" t="str">
        <f>"193604"</f>
        <v>193604</v>
      </c>
      <c r="C9858" s="2" t="str">
        <f>"193604"</f>
        <v>193604</v>
      </c>
      <c r="D9858" s="2" t="s">
        <v>12432</v>
      </c>
      <c r="E9858" s="4">
        <v>5500</v>
      </c>
    </row>
    <row r="9859" spans="1:5">
      <c r="A9859" s="2" t="s">
        <v>296</v>
      </c>
      <c r="B9859" s="2" t="str">
        <f>"300646"</f>
        <v>300646</v>
      </c>
      <c r="C9859" s="2" t="str">
        <f>"300646"</f>
        <v>300646</v>
      </c>
      <c r="D9859" s="2" t="s">
        <v>12433</v>
      </c>
      <c r="E9859" s="4">
        <v>6800</v>
      </c>
    </row>
    <row r="9860" spans="1:5">
      <c r="A9860" s="2" t="s">
        <v>296</v>
      </c>
      <c r="B9860" s="2" t="str">
        <f>"0032100"</f>
        <v>0032100</v>
      </c>
      <c r="C9860" s="2" t="str">
        <f>"0032100"</f>
        <v>0032100</v>
      </c>
      <c r="D9860" s="2" t="s">
        <v>12434</v>
      </c>
      <c r="E9860" s="4">
        <v>7500</v>
      </c>
    </row>
    <row r="9861" spans="1:5">
      <c r="A9861" s="2" t="s">
        <v>296</v>
      </c>
      <c r="B9861" s="2" t="str">
        <f>"12279"</f>
        <v>12279</v>
      </c>
      <c r="C9861" s="2" t="str">
        <f>"12279"</f>
        <v>12279</v>
      </c>
      <c r="D9861" s="2" t="s">
        <v>12435</v>
      </c>
      <c r="E9861" s="4">
        <v>4300</v>
      </c>
    </row>
    <row r="9862" spans="1:5">
      <c r="A9862" s="2" t="s">
        <v>296</v>
      </c>
      <c r="B9862" s="2" t="str">
        <f>"010680341"</f>
        <v>010680341</v>
      </c>
      <c r="C9862" s="2" t="str">
        <f>"010680341"</f>
        <v>010680341</v>
      </c>
      <c r="D9862" s="2" t="s">
        <v>12436</v>
      </c>
      <c r="E9862" s="4">
        <v>4300</v>
      </c>
    </row>
    <row r="9863" spans="1:5">
      <c r="A9863" s="2" t="s">
        <v>296</v>
      </c>
      <c r="B9863" s="2" t="str">
        <f>"170622"</f>
        <v>170622</v>
      </c>
      <c r="C9863" s="2" t="str">
        <f>"170622"</f>
        <v>170622</v>
      </c>
      <c r="D9863" s="2" t="s">
        <v>12437</v>
      </c>
      <c r="E9863" s="4">
        <v>6100</v>
      </c>
    </row>
    <row r="9864" spans="1:5">
      <c r="A9864" s="2" t="s">
        <v>296</v>
      </c>
      <c r="B9864" s="2" t="str">
        <f>"190366"</f>
        <v>190366</v>
      </c>
      <c r="C9864" s="2" t="str">
        <f>"190366"</f>
        <v>190366</v>
      </c>
      <c r="D9864" s="2" t="s">
        <v>12438</v>
      </c>
      <c r="E9864" s="4">
        <v>5200</v>
      </c>
    </row>
    <row r="9865" spans="1:5">
      <c r="A9865" s="2" t="s">
        <v>296</v>
      </c>
      <c r="B9865" s="2" t="str">
        <f>"0002919"</f>
        <v>0002919</v>
      </c>
      <c r="C9865" s="2" t="str">
        <f>"0002919"</f>
        <v>0002919</v>
      </c>
      <c r="D9865" s="2" t="s">
        <v>12439</v>
      </c>
      <c r="E9865" s="4">
        <v>3400</v>
      </c>
    </row>
    <row r="9866" spans="1:5">
      <c r="A9866" s="2" t="s">
        <v>296</v>
      </c>
      <c r="B9866" s="2" t="str">
        <f>"180275"</f>
        <v>180275</v>
      </c>
      <c r="C9866" s="2" t="str">
        <f>"180275"</f>
        <v>180275</v>
      </c>
      <c r="D9866" s="2" t="s">
        <v>12440</v>
      </c>
      <c r="E9866" s="4">
        <v>5500</v>
      </c>
    </row>
    <row r="9867" spans="1:5">
      <c r="A9867" s="2" t="s">
        <v>296</v>
      </c>
      <c r="B9867" s="2" t="str">
        <f>"288617"</f>
        <v>288617</v>
      </c>
      <c r="C9867" s="2" t="str">
        <f>"288617"</f>
        <v>288617</v>
      </c>
      <c r="D9867" s="2" t="s">
        <v>12441</v>
      </c>
      <c r="E9867" s="4">
        <v>5900</v>
      </c>
    </row>
    <row r="9868" spans="1:5">
      <c r="A9868" s="2" t="s">
        <v>296</v>
      </c>
      <c r="B9868" s="2" t="str">
        <f>"1910070"</f>
        <v>1910070</v>
      </c>
      <c r="C9868" s="2" t="str">
        <f>"1910070"</f>
        <v>1910070</v>
      </c>
      <c r="D9868" s="2" t="s">
        <v>12442</v>
      </c>
      <c r="E9868" s="4">
        <v>6000</v>
      </c>
    </row>
    <row r="9869" spans="1:5">
      <c r="A9869" s="2" t="s">
        <v>296</v>
      </c>
      <c r="B9869" s="2" t="str">
        <f>"070640"</f>
        <v>070640</v>
      </c>
      <c r="C9869" s="2" t="str">
        <f>"070640"</f>
        <v>070640</v>
      </c>
      <c r="D9869" s="2" t="s">
        <v>12443</v>
      </c>
      <c r="E9869" s="4">
        <v>6000</v>
      </c>
    </row>
    <row r="9870" spans="1:5">
      <c r="A9870" s="2" t="s">
        <v>296</v>
      </c>
      <c r="B9870" s="2" t="str">
        <f>"160705"</f>
        <v>160705</v>
      </c>
      <c r="C9870" s="2" t="str">
        <f>"160705"</f>
        <v>160705</v>
      </c>
      <c r="D9870" s="2" t="s">
        <v>12444</v>
      </c>
      <c r="E9870" s="4">
        <v>5500</v>
      </c>
    </row>
    <row r="9871" spans="1:5">
      <c r="A9871" s="2" t="s">
        <v>296</v>
      </c>
      <c r="B9871" s="2" t="str">
        <f>"180188"</f>
        <v>180188</v>
      </c>
      <c r="C9871" s="2" t="str">
        <f>"180188"</f>
        <v>180188</v>
      </c>
      <c r="D9871" s="2" t="s">
        <v>12445</v>
      </c>
      <c r="E9871" s="4">
        <v>5500</v>
      </c>
    </row>
    <row r="9872" spans="1:5">
      <c r="A9872" s="2" t="s">
        <v>3227</v>
      </c>
      <c r="B9872" s="2" t="str">
        <f>"301213"</f>
        <v>301213</v>
      </c>
      <c r="C9872" s="2" t="str">
        <f>"301213"</f>
        <v>301213</v>
      </c>
      <c r="D9872" s="2" t="s">
        <v>12446</v>
      </c>
      <c r="E9872" s="4">
        <v>4900</v>
      </c>
    </row>
    <row r="9873" spans="1:5">
      <c r="A9873" s="2" t="s">
        <v>296</v>
      </c>
      <c r="B9873" s="2" t="str">
        <f>"0114737"</f>
        <v>0114737</v>
      </c>
      <c r="C9873" s="2" t="str">
        <f>"0114737"</f>
        <v>0114737</v>
      </c>
      <c r="D9873" s="2" t="s">
        <v>12447</v>
      </c>
      <c r="E9873" s="4">
        <v>3000</v>
      </c>
    </row>
    <row r="9874" spans="1:5">
      <c r="A9874" s="2" t="s">
        <v>296</v>
      </c>
      <c r="B9874" s="2" t="str">
        <f>"170036"</f>
        <v>170036</v>
      </c>
      <c r="C9874" s="2" t="str">
        <f>"170036"</f>
        <v>170036</v>
      </c>
      <c r="D9874" s="2" t="s">
        <v>12448</v>
      </c>
      <c r="E9874" s="4">
        <v>5200</v>
      </c>
    </row>
    <row r="9875" spans="1:5">
      <c r="A9875" s="2" t="s">
        <v>296</v>
      </c>
      <c r="B9875" s="2" t="str">
        <f>"301974"</f>
        <v>301974</v>
      </c>
      <c r="C9875" s="2" t="str">
        <f>"301974"</f>
        <v>301974</v>
      </c>
      <c r="D9875" s="2" t="s">
        <v>12449</v>
      </c>
      <c r="E9875" s="4">
        <v>6100</v>
      </c>
    </row>
    <row r="9876" spans="1:5">
      <c r="A9876" s="2" t="s">
        <v>296</v>
      </c>
      <c r="B9876" s="2" t="str">
        <f>"010680634"</f>
        <v>010680634</v>
      </c>
      <c r="C9876" s="2" t="str">
        <f>"010680634"</f>
        <v>010680634</v>
      </c>
      <c r="D9876" s="2" t="s">
        <v>12450</v>
      </c>
      <c r="E9876" s="4">
        <v>4500</v>
      </c>
    </row>
    <row r="9877" spans="1:5">
      <c r="A9877" s="2" t="s">
        <v>296</v>
      </c>
      <c r="B9877" s="2" t="str">
        <f>"010680633"</f>
        <v>010680633</v>
      </c>
      <c r="C9877" s="2" t="str">
        <f>"010680633"</f>
        <v>010680633</v>
      </c>
      <c r="D9877" s="2" t="s">
        <v>12451</v>
      </c>
      <c r="E9877" s="4">
        <v>7000</v>
      </c>
    </row>
    <row r="9878" spans="1:5">
      <c r="A9878" s="2" t="s">
        <v>296</v>
      </c>
      <c r="B9878" s="2" t="str">
        <f>"4158820"</f>
        <v>4158820</v>
      </c>
      <c r="C9878" s="2" t="str">
        <f>"4158820"</f>
        <v>4158820</v>
      </c>
      <c r="D9878" s="2" t="s">
        <v>12452</v>
      </c>
      <c r="E9878" s="4">
        <v>3400</v>
      </c>
    </row>
    <row r="9879" spans="1:5">
      <c r="A9879" s="2" t="s">
        <v>296</v>
      </c>
      <c r="B9879" s="2" t="str">
        <f>"280883"</f>
        <v>280883</v>
      </c>
      <c r="C9879" s="2" t="str">
        <f>"280883"</f>
        <v>280883</v>
      </c>
      <c r="D9879" s="2" t="s">
        <v>12453</v>
      </c>
      <c r="E9879" s="4">
        <v>5500</v>
      </c>
    </row>
    <row r="9880" spans="1:5">
      <c r="A9880" s="2" t="s">
        <v>296</v>
      </c>
      <c r="B9880" s="2" t="str">
        <f>"0015566"</f>
        <v>0015566</v>
      </c>
      <c r="C9880" s="2" t="str">
        <f>"0015566"</f>
        <v>0015566</v>
      </c>
      <c r="D9880" s="2" t="s">
        <v>12454</v>
      </c>
      <c r="E9880" s="4">
        <v>7000</v>
      </c>
    </row>
    <row r="9881" spans="1:5">
      <c r="A9881" s="2" t="s">
        <v>296</v>
      </c>
      <c r="B9881" s="2" t="str">
        <f>"270516"</f>
        <v>270516</v>
      </c>
      <c r="C9881" s="2" t="str">
        <f>"270516"</f>
        <v>270516</v>
      </c>
      <c r="D9881" s="2" t="s">
        <v>12455</v>
      </c>
      <c r="E9881" s="4">
        <v>7000</v>
      </c>
    </row>
    <row r="9882" spans="1:5">
      <c r="A9882" s="2" t="s">
        <v>296</v>
      </c>
      <c r="B9882" s="2" t="str">
        <f>"289744"</f>
        <v>289744</v>
      </c>
      <c r="C9882" s="2" t="str">
        <f>"289744"</f>
        <v>289744</v>
      </c>
      <c r="D9882" s="2" t="s">
        <v>12456</v>
      </c>
      <c r="E9882" s="4">
        <v>9500</v>
      </c>
    </row>
    <row r="9883" spans="1:5">
      <c r="A9883" s="2" t="s">
        <v>296</v>
      </c>
      <c r="B9883" s="2" t="str">
        <f>"0004376"</f>
        <v>0004376</v>
      </c>
      <c r="C9883" s="2" t="str">
        <f>"0004376"</f>
        <v>0004376</v>
      </c>
      <c r="D9883" s="2" t="s">
        <v>12457</v>
      </c>
      <c r="E9883" s="4">
        <v>6100</v>
      </c>
    </row>
    <row r="9884" spans="1:5">
      <c r="A9884" s="2" t="s">
        <v>296</v>
      </c>
      <c r="B9884" s="2" t="str">
        <f>"89903"</f>
        <v>89903</v>
      </c>
      <c r="C9884" s="2" t="str">
        <f>"89903"</f>
        <v>89903</v>
      </c>
      <c r="D9884" s="2" t="s">
        <v>12458</v>
      </c>
      <c r="E9884" s="4">
        <v>3800</v>
      </c>
    </row>
    <row r="9885" spans="1:5">
      <c r="A9885" s="2" t="s">
        <v>296</v>
      </c>
      <c r="B9885" s="2" t="str">
        <f>"003457"</f>
        <v>003457</v>
      </c>
      <c r="C9885" s="2" t="str">
        <f>"003457"</f>
        <v>003457</v>
      </c>
      <c r="D9885" s="2" t="s">
        <v>12459</v>
      </c>
      <c r="E9885" s="4">
        <v>18700</v>
      </c>
    </row>
    <row r="9886" spans="1:5">
      <c r="A9886" s="2" t="s">
        <v>296</v>
      </c>
      <c r="B9886" s="2" t="str">
        <f>"302259"</f>
        <v>302259</v>
      </c>
      <c r="C9886" s="2" t="str">
        <f>"302259"</f>
        <v>302259</v>
      </c>
      <c r="D9886" s="2" t="s">
        <v>12460</v>
      </c>
      <c r="E9886" s="4">
        <v>8900</v>
      </c>
    </row>
    <row r="9887" spans="1:5">
      <c r="A9887" s="2" t="s">
        <v>296</v>
      </c>
      <c r="B9887" s="2" t="str">
        <f>"91X114"</f>
        <v>91X114</v>
      </c>
      <c r="C9887" s="2" t="str">
        <f>"91X114X9"</f>
        <v>91X114X9</v>
      </c>
      <c r="D9887" s="2" t="s">
        <v>12461</v>
      </c>
      <c r="E9887" s="4">
        <v>9500</v>
      </c>
    </row>
    <row r="9888" spans="1:5">
      <c r="A9888" s="2" t="s">
        <v>296</v>
      </c>
      <c r="B9888" s="2" t="str">
        <f>"301979"</f>
        <v>301979</v>
      </c>
      <c r="C9888" s="2" t="str">
        <f>"301979"</f>
        <v>301979</v>
      </c>
      <c r="D9888" s="2" t="s">
        <v>12462</v>
      </c>
      <c r="E9888" s="4">
        <v>9500</v>
      </c>
    </row>
    <row r="9889" spans="1:5">
      <c r="A9889" s="2" t="s">
        <v>296</v>
      </c>
      <c r="B9889" s="2" t="str">
        <f>"022834"</f>
        <v>022834</v>
      </c>
      <c r="C9889" s="2" t="str">
        <f>"022834"</f>
        <v>022834</v>
      </c>
      <c r="D9889" s="2" t="s">
        <v>12463</v>
      </c>
      <c r="E9889" s="4">
        <v>7500</v>
      </c>
    </row>
    <row r="9890" spans="1:5">
      <c r="A9890" s="2" t="s">
        <v>296</v>
      </c>
      <c r="B9890" s="2" t="str">
        <f>"280757"</f>
        <v>280757</v>
      </c>
      <c r="C9890" s="2" t="str">
        <f>"280757"</f>
        <v>280757</v>
      </c>
      <c r="D9890" s="2" t="s">
        <v>12464</v>
      </c>
      <c r="E9890" s="4">
        <v>6500</v>
      </c>
    </row>
    <row r="9891" spans="1:5">
      <c r="A9891" s="2" t="s">
        <v>296</v>
      </c>
      <c r="B9891" s="2" t="str">
        <f>"010680230"</f>
        <v>010680230</v>
      </c>
      <c r="C9891" s="2" t="str">
        <f>"010680230"</f>
        <v>010680230</v>
      </c>
      <c r="D9891" s="2" t="s">
        <v>12465</v>
      </c>
      <c r="E9891" s="4">
        <v>3900</v>
      </c>
    </row>
    <row r="9892" spans="1:5">
      <c r="A9892" s="2" t="s">
        <v>3227</v>
      </c>
      <c r="B9892" s="2" t="s">
        <v>12466</v>
      </c>
      <c r="C9892" s="2" t="s">
        <v>12466</v>
      </c>
      <c r="D9892" s="2" t="s">
        <v>12467</v>
      </c>
      <c r="E9892" s="4">
        <v>6100</v>
      </c>
    </row>
    <row r="9893" spans="1:5">
      <c r="A9893" s="2" t="s">
        <v>3227</v>
      </c>
      <c r="B9893" s="2" t="str">
        <f>"070751"</f>
        <v>070751</v>
      </c>
      <c r="C9893" s="2" t="str">
        <f>"070751"</f>
        <v>070751</v>
      </c>
      <c r="D9893" s="2" t="s">
        <v>12468</v>
      </c>
      <c r="E9893" s="2">
        <v>850</v>
      </c>
    </row>
    <row r="9894" spans="1:5">
      <c r="A9894" s="2" t="s">
        <v>296</v>
      </c>
      <c r="B9894" s="2" t="str">
        <f>"010680259"</f>
        <v>010680259</v>
      </c>
      <c r="C9894" s="2" t="str">
        <f>"010680259"</f>
        <v>010680259</v>
      </c>
      <c r="D9894" s="2" t="s">
        <v>12469</v>
      </c>
      <c r="E9894" s="4">
        <v>2500</v>
      </c>
    </row>
    <row r="9895" spans="1:5">
      <c r="A9895" s="2" t="s">
        <v>296</v>
      </c>
      <c r="B9895" s="2" t="str">
        <f>"141854"</f>
        <v>141854</v>
      </c>
      <c r="C9895" s="2" t="str">
        <f>"141854"</f>
        <v>141854</v>
      </c>
      <c r="D9895" s="2" t="s">
        <v>12470</v>
      </c>
      <c r="E9895" s="4">
        <v>125500</v>
      </c>
    </row>
    <row r="9896" spans="1:5">
      <c r="A9896" s="2" t="s">
        <v>296</v>
      </c>
      <c r="B9896" s="2" t="str">
        <f>"070641"</f>
        <v>070641</v>
      </c>
      <c r="C9896" s="2" t="str">
        <f>"070641"</f>
        <v>070641</v>
      </c>
      <c r="D9896" s="2" t="s">
        <v>12471</v>
      </c>
      <c r="E9896" s="4">
        <v>1800</v>
      </c>
    </row>
    <row r="9897" spans="1:5">
      <c r="A9897" s="2" t="s">
        <v>296</v>
      </c>
      <c r="B9897" s="2" t="str">
        <f>"0031226"</f>
        <v>0031226</v>
      </c>
      <c r="C9897" s="2" t="str">
        <f>"0031226"</f>
        <v>0031226</v>
      </c>
      <c r="D9897" s="2" t="s">
        <v>12472</v>
      </c>
      <c r="E9897" s="4">
        <v>28600</v>
      </c>
    </row>
    <row r="9898" spans="1:5">
      <c r="A9898" s="2" t="s">
        <v>296</v>
      </c>
      <c r="B9898" s="2" t="str">
        <f>"0004317"</f>
        <v>0004317</v>
      </c>
      <c r="C9898" s="2" t="str">
        <f>"0004317"</f>
        <v>0004317</v>
      </c>
      <c r="D9898" s="2" t="s">
        <v>12473</v>
      </c>
      <c r="E9898" s="4">
        <v>4300</v>
      </c>
    </row>
    <row r="9899" spans="1:5">
      <c r="A9899" s="2" t="s">
        <v>296</v>
      </c>
      <c r="B9899" s="2" t="s">
        <v>12474</v>
      </c>
      <c r="C9899" s="2" t="s">
        <v>12474</v>
      </c>
      <c r="D9899" s="2" t="s">
        <v>12475</v>
      </c>
      <c r="E9899" s="4">
        <v>1700</v>
      </c>
    </row>
    <row r="9900" spans="1:5">
      <c r="A9900" s="2" t="s">
        <v>296</v>
      </c>
      <c r="B9900" s="2" t="str">
        <f>"300796"</f>
        <v>300796</v>
      </c>
      <c r="C9900" s="2" t="str">
        <f>"300796"</f>
        <v>300796</v>
      </c>
      <c r="D9900" s="2" t="s">
        <v>12476</v>
      </c>
      <c r="E9900" s="2">
        <v>800</v>
      </c>
    </row>
    <row r="9901" spans="1:5">
      <c r="A9901" s="2" t="s">
        <v>296</v>
      </c>
      <c r="B9901" s="2" t="str">
        <f>"0015675"</f>
        <v>0015675</v>
      </c>
      <c r="C9901" s="2" t="str">
        <f>"0015675"</f>
        <v>0015675</v>
      </c>
      <c r="D9901" s="2" t="s">
        <v>12477</v>
      </c>
      <c r="E9901" s="4">
        <v>5900</v>
      </c>
    </row>
    <row r="9902" spans="1:5">
      <c r="A9902" s="2" t="s">
        <v>296</v>
      </c>
      <c r="B9902" s="2" t="str">
        <f>"0002916"</f>
        <v>0002916</v>
      </c>
      <c r="C9902" s="2" t="str">
        <f>"0002916"</f>
        <v>0002916</v>
      </c>
      <c r="D9902" s="2" t="s">
        <v>12478</v>
      </c>
      <c r="E9902" s="4">
        <v>2500</v>
      </c>
    </row>
    <row r="9903" spans="1:5">
      <c r="A9903" s="2" t="s">
        <v>296</v>
      </c>
      <c r="B9903" s="2" t="str">
        <f>"004089"</f>
        <v>004089</v>
      </c>
      <c r="C9903" s="2" t="str">
        <f>"004089"</f>
        <v>004089</v>
      </c>
      <c r="D9903" s="2" t="s">
        <v>12479</v>
      </c>
      <c r="E9903" s="4">
        <v>10500</v>
      </c>
    </row>
    <row r="9904" spans="1:5">
      <c r="A9904" s="2" t="s">
        <v>3227</v>
      </c>
      <c r="B9904" s="2" t="str">
        <f>"013447"</f>
        <v>013447</v>
      </c>
      <c r="C9904" s="2" t="str">
        <f>"013447"</f>
        <v>013447</v>
      </c>
      <c r="D9904" s="2" t="s">
        <v>12480</v>
      </c>
      <c r="E9904" s="2">
        <v>800</v>
      </c>
    </row>
    <row r="9905" spans="1:5">
      <c r="A9905" s="2" t="s">
        <v>296</v>
      </c>
      <c r="B9905" s="2" t="str">
        <f>"009011HN"</f>
        <v>009011HN</v>
      </c>
      <c r="C9905" s="2" t="str">
        <f>"009011HN"</f>
        <v>009011HN</v>
      </c>
      <c r="D9905" s="2" t="s">
        <v>12481</v>
      </c>
      <c r="E9905" s="2">
        <v>800</v>
      </c>
    </row>
    <row r="9906" spans="1:5">
      <c r="A9906" s="2" t="s">
        <v>296</v>
      </c>
      <c r="B9906" s="2" t="str">
        <f>"0101300"</f>
        <v>0101300</v>
      </c>
      <c r="C9906" s="2" t="str">
        <f>"0101300"</f>
        <v>0101300</v>
      </c>
      <c r="D9906" s="2" t="s">
        <v>12482</v>
      </c>
      <c r="E9906" s="2">
        <v>800</v>
      </c>
    </row>
    <row r="9907" spans="1:5">
      <c r="A9907" s="2" t="s">
        <v>296</v>
      </c>
      <c r="B9907" s="2" t="str">
        <f>"270207"</f>
        <v>270207</v>
      </c>
      <c r="C9907" s="2" t="str">
        <f>"270207"</f>
        <v>270207</v>
      </c>
      <c r="D9907" s="2" t="s">
        <v>12483</v>
      </c>
      <c r="E9907" s="2">
        <v>800</v>
      </c>
    </row>
    <row r="9908" spans="1:5">
      <c r="A9908" s="2" t="s">
        <v>296</v>
      </c>
      <c r="B9908" s="2" t="str">
        <f>"1700650"</f>
        <v>1700650</v>
      </c>
      <c r="C9908" s="2" t="str">
        <f>"1700650"</f>
        <v>1700650</v>
      </c>
      <c r="D9908" s="2" t="s">
        <v>12484</v>
      </c>
      <c r="E9908" s="4">
        <v>8800</v>
      </c>
    </row>
    <row r="9909" spans="1:5">
      <c r="A9909" s="2" t="s">
        <v>296</v>
      </c>
      <c r="B9909" s="2" t="str">
        <f>"0013216"</f>
        <v>0013216</v>
      </c>
      <c r="C9909" s="2" t="str">
        <f>"0013216"</f>
        <v>0013216</v>
      </c>
      <c r="D9909" s="2" t="s">
        <v>12485</v>
      </c>
      <c r="E9909" s="4">
        <v>5200</v>
      </c>
    </row>
    <row r="9910" spans="1:5">
      <c r="A9910" s="2" t="s">
        <v>296</v>
      </c>
      <c r="B9910" s="2" t="str">
        <f>"009012HNE"</f>
        <v>009012HNE</v>
      </c>
      <c r="C9910" s="2" t="str">
        <f>"009012HNE"</f>
        <v>009012HNE</v>
      </c>
      <c r="D9910" s="2" t="s">
        <v>12486</v>
      </c>
      <c r="E9910" s="2">
        <v>800</v>
      </c>
    </row>
    <row r="9911" spans="1:5">
      <c r="A9911" s="2" t="s">
        <v>296</v>
      </c>
      <c r="B9911" s="2" t="str">
        <f>"13207-H7201"</f>
        <v>13207-H7201</v>
      </c>
      <c r="C9911" s="2" t="str">
        <f>"13207-H7201"</f>
        <v>13207-H7201</v>
      </c>
      <c r="D9911" s="2" t="s">
        <v>12487</v>
      </c>
      <c r="E9911" s="2">
        <v>800</v>
      </c>
    </row>
    <row r="9912" spans="1:5">
      <c r="A9912" s="2" t="s">
        <v>296</v>
      </c>
      <c r="B9912" s="2" t="str">
        <f>"281940"</f>
        <v>281940</v>
      </c>
      <c r="C9912" s="2" t="str">
        <f>"281940"</f>
        <v>281940</v>
      </c>
      <c r="D9912" s="2" t="s">
        <v>12488</v>
      </c>
      <c r="E9912" s="2">
        <v>800</v>
      </c>
    </row>
    <row r="9913" spans="1:5">
      <c r="A9913" s="2" t="s">
        <v>296</v>
      </c>
      <c r="B9913" s="2" t="str">
        <f>"002746"</f>
        <v>002746</v>
      </c>
      <c r="C9913" s="2" t="str">
        <f>"002746"</f>
        <v>002746</v>
      </c>
      <c r="D9913" s="2" t="s">
        <v>12489</v>
      </c>
      <c r="E9913" s="2">
        <v>800</v>
      </c>
    </row>
    <row r="9914" spans="1:5">
      <c r="A9914" s="2" t="s">
        <v>3227</v>
      </c>
      <c r="B9914" s="2" t="str">
        <f>"288842"</f>
        <v>288842</v>
      </c>
      <c r="C9914" s="2" t="str">
        <f>"288842"</f>
        <v>288842</v>
      </c>
      <c r="D9914" s="2" t="s">
        <v>12490</v>
      </c>
      <c r="E9914" s="2">
        <v>800</v>
      </c>
    </row>
    <row r="9915" spans="1:5">
      <c r="A9915" s="2" t="s">
        <v>296</v>
      </c>
      <c r="B9915" s="2" t="str">
        <f>"90913-02092"</f>
        <v>90913-02092</v>
      </c>
      <c r="C9915" s="2" t="str">
        <f>"90913-02092"</f>
        <v>90913-02092</v>
      </c>
      <c r="D9915" s="2" t="s">
        <v>12491</v>
      </c>
      <c r="E9915" s="2">
        <v>800</v>
      </c>
    </row>
    <row r="9916" spans="1:5">
      <c r="A9916" s="2" t="s">
        <v>296</v>
      </c>
      <c r="B9916" s="2" t="str">
        <f>"010900027"</f>
        <v>010900027</v>
      </c>
      <c r="C9916" s="2" t="str">
        <f>"010900027"</f>
        <v>010900027</v>
      </c>
      <c r="D9916" s="2" t="s">
        <v>12492</v>
      </c>
      <c r="E9916" s="2">
        <v>800</v>
      </c>
    </row>
    <row r="9917" spans="1:5">
      <c r="A9917" s="2" t="s">
        <v>296</v>
      </c>
      <c r="B9917" s="2" t="str">
        <f>"280846"</f>
        <v>280846</v>
      </c>
      <c r="C9917" s="2" t="str">
        <f>"280846"</f>
        <v>280846</v>
      </c>
      <c r="D9917" s="2" t="s">
        <v>12493</v>
      </c>
      <c r="E9917" s="2">
        <v>900</v>
      </c>
    </row>
    <row r="9918" spans="1:5">
      <c r="A9918" s="2" t="s">
        <v>296</v>
      </c>
      <c r="B9918" s="2" t="str">
        <f>"301346"</f>
        <v>301346</v>
      </c>
      <c r="C9918" s="2" t="str">
        <f>"301346"</f>
        <v>301346</v>
      </c>
      <c r="D9918" s="2" t="s">
        <v>12494</v>
      </c>
      <c r="E9918" s="4">
        <v>1000</v>
      </c>
    </row>
    <row r="9919" spans="1:5">
      <c r="A9919" s="2" t="s">
        <v>296</v>
      </c>
      <c r="B9919" s="2" t="str">
        <f>"013381"</f>
        <v>013381</v>
      </c>
      <c r="C9919" s="2" t="str">
        <f>"013381"</f>
        <v>013381</v>
      </c>
      <c r="D9919" s="2" t="s">
        <v>12495</v>
      </c>
      <c r="E9919" s="2">
        <v>900</v>
      </c>
    </row>
    <row r="9920" spans="1:5">
      <c r="A9920" s="2" t="s">
        <v>296</v>
      </c>
      <c r="B9920" s="2" t="str">
        <f>"010900008"</f>
        <v>010900008</v>
      </c>
      <c r="C9920" s="2" t="str">
        <f>"90048-12006"</f>
        <v>90048-12006</v>
      </c>
      <c r="D9920" s="2" t="s">
        <v>12496</v>
      </c>
      <c r="E9920" s="2">
        <v>400</v>
      </c>
    </row>
    <row r="9921" spans="1:5">
      <c r="A9921" s="2" t="s">
        <v>296</v>
      </c>
      <c r="B9921" s="2" t="str">
        <f>"288223"</f>
        <v>288223</v>
      </c>
      <c r="C9921" s="2" t="str">
        <f>"288223"</f>
        <v>288223</v>
      </c>
      <c r="D9921" s="2" t="s">
        <v>12497</v>
      </c>
      <c r="E9921" s="4">
        <v>1900</v>
      </c>
    </row>
    <row r="9922" spans="1:5">
      <c r="A9922" s="2" t="s">
        <v>296</v>
      </c>
      <c r="B9922" s="2" t="str">
        <f>"4071515"</f>
        <v>4071515</v>
      </c>
      <c r="C9922" s="2" t="str">
        <f>"4071515"</f>
        <v>4071515</v>
      </c>
      <c r="D9922" s="2" t="s">
        <v>12498</v>
      </c>
      <c r="E9922" s="4">
        <v>3500</v>
      </c>
    </row>
    <row r="9923" spans="1:5">
      <c r="A9923" s="2" t="s">
        <v>296</v>
      </c>
      <c r="B9923" s="2" t="str">
        <f>"281666"</f>
        <v>281666</v>
      </c>
      <c r="C9923" s="2" t="str">
        <f>"281666"</f>
        <v>281666</v>
      </c>
      <c r="D9923" s="2" t="s">
        <v>12499</v>
      </c>
      <c r="E9923" s="2">
        <v>900</v>
      </c>
    </row>
    <row r="9924" spans="1:5">
      <c r="A9924" s="2" t="s">
        <v>296</v>
      </c>
      <c r="B9924" s="2" t="s">
        <v>12500</v>
      </c>
      <c r="C9924" s="2" t="s">
        <v>12500</v>
      </c>
      <c r="D9924" s="2" t="s">
        <v>12501</v>
      </c>
      <c r="E9924" s="2">
        <v>900</v>
      </c>
    </row>
    <row r="9925" spans="1:5">
      <c r="A9925" s="2" t="s">
        <v>296</v>
      </c>
      <c r="B9925" s="2" t="str">
        <f>"321400"</f>
        <v>321400</v>
      </c>
      <c r="C9925" s="2" t="str">
        <f>"321400"</f>
        <v>321400</v>
      </c>
      <c r="D9925" s="2" t="s">
        <v>12502</v>
      </c>
      <c r="E9925" s="2">
        <v>800</v>
      </c>
    </row>
    <row r="9926" spans="1:5">
      <c r="A9926" s="2" t="s">
        <v>296</v>
      </c>
      <c r="B9926" s="2" t="str">
        <f>"230179"</f>
        <v>230179</v>
      </c>
      <c r="C9926" s="2" t="str">
        <f>"230179"</f>
        <v>230179</v>
      </c>
      <c r="D9926" s="2" t="s">
        <v>12503</v>
      </c>
      <c r="E9926" s="2">
        <v>800</v>
      </c>
    </row>
    <row r="9927" spans="1:5">
      <c r="A9927" s="2" t="s">
        <v>296</v>
      </c>
      <c r="B9927" s="2" t="str">
        <f>"10294826"</f>
        <v>10294826</v>
      </c>
      <c r="C9927" s="2" t="str">
        <f>"10294826"</f>
        <v>10294826</v>
      </c>
      <c r="D9927" s="2" t="s">
        <v>12504</v>
      </c>
      <c r="E9927" s="2">
        <v>700</v>
      </c>
    </row>
    <row r="9928" spans="1:5">
      <c r="A9928" s="2" t="s">
        <v>296</v>
      </c>
      <c r="B9928" s="2" t="str">
        <f>"0600430"</f>
        <v>0600430</v>
      </c>
      <c r="C9928" s="2" t="str">
        <f>"0600430"</f>
        <v>0600430</v>
      </c>
      <c r="D9928" s="2" t="s">
        <v>12505</v>
      </c>
      <c r="E9928" s="2">
        <v>900</v>
      </c>
    </row>
    <row r="9929" spans="1:5">
      <c r="A9929" s="2" t="s">
        <v>296</v>
      </c>
      <c r="B9929" s="2" t="str">
        <f>"20295389"</f>
        <v>20295389</v>
      </c>
      <c r="C9929" s="2" t="str">
        <f>"20295389"</f>
        <v>20295389</v>
      </c>
      <c r="D9929" s="2" t="s">
        <v>12506</v>
      </c>
      <c r="E9929" s="2">
        <v>800</v>
      </c>
    </row>
    <row r="9930" spans="1:5">
      <c r="A9930" s="2" t="s">
        <v>296</v>
      </c>
      <c r="B9930" s="2" t="str">
        <f>"010900429"</f>
        <v>010900429</v>
      </c>
      <c r="C9930" s="2" t="str">
        <f>"90913-02093"</f>
        <v>90913-02093</v>
      </c>
      <c r="D9930" s="2" t="s">
        <v>12507</v>
      </c>
      <c r="E9930" s="2">
        <v>800</v>
      </c>
    </row>
    <row r="9931" spans="1:5">
      <c r="A9931" s="2" t="s">
        <v>296</v>
      </c>
      <c r="B9931" s="2" t="str">
        <f>"301352"</f>
        <v>301352</v>
      </c>
      <c r="C9931" s="2" t="str">
        <f>"301352"</f>
        <v>301352</v>
      </c>
      <c r="D9931" s="2" t="s">
        <v>12508</v>
      </c>
      <c r="E9931" s="4">
        <v>1000</v>
      </c>
    </row>
    <row r="9932" spans="1:5">
      <c r="A9932" s="2" t="s">
        <v>296</v>
      </c>
      <c r="B9932" s="2" t="str">
        <f>"171540"</f>
        <v>171540</v>
      </c>
      <c r="C9932" s="2" t="str">
        <f>"171540"</f>
        <v>171540</v>
      </c>
      <c r="D9932" s="2" t="s">
        <v>12509</v>
      </c>
      <c r="E9932" s="2">
        <v>900</v>
      </c>
    </row>
    <row r="9933" spans="1:5">
      <c r="A9933" s="2" t="s">
        <v>296</v>
      </c>
      <c r="B9933" s="2" t="str">
        <f>"321405"</f>
        <v>321405</v>
      </c>
      <c r="C9933" s="2" t="str">
        <f>"321405"</f>
        <v>321405</v>
      </c>
      <c r="D9933" s="2" t="s">
        <v>12510</v>
      </c>
      <c r="E9933" s="2">
        <v>800</v>
      </c>
    </row>
    <row r="9934" spans="1:5">
      <c r="A9934" s="2" t="s">
        <v>296</v>
      </c>
      <c r="B9934" s="2" t="str">
        <f>"160382"</f>
        <v>160382</v>
      </c>
      <c r="C9934" s="2" t="str">
        <f>"160382"</f>
        <v>160382</v>
      </c>
      <c r="D9934" s="2" t="s">
        <v>12511</v>
      </c>
      <c r="E9934" s="2">
        <v>850</v>
      </c>
    </row>
    <row r="9935" spans="1:5">
      <c r="A9935" s="2" t="s">
        <v>296</v>
      </c>
      <c r="B9935" s="2" t="str">
        <f>"160358"</f>
        <v>160358</v>
      </c>
      <c r="C9935" s="2" t="str">
        <f>"160358"</f>
        <v>160358</v>
      </c>
      <c r="D9935" s="2" t="s">
        <v>12512</v>
      </c>
      <c r="E9935" s="2">
        <v>900</v>
      </c>
    </row>
    <row r="9936" spans="1:5">
      <c r="A9936" s="2" t="s">
        <v>296</v>
      </c>
      <c r="B9936" s="2" t="str">
        <f>"002582"</f>
        <v>002582</v>
      </c>
      <c r="C9936" s="2" t="str">
        <f>"002582"</f>
        <v>002582</v>
      </c>
      <c r="D9936" s="2" t="s">
        <v>12513</v>
      </c>
      <c r="E9936" s="2">
        <v>900</v>
      </c>
    </row>
    <row r="9937" spans="1:5">
      <c r="A9937" s="2" t="s">
        <v>296</v>
      </c>
      <c r="B9937" s="2" t="str">
        <f>"260327"</f>
        <v>260327</v>
      </c>
      <c r="C9937" s="2" t="str">
        <f>"260327"</f>
        <v>260327</v>
      </c>
      <c r="D9937" s="2" t="s">
        <v>12514</v>
      </c>
      <c r="E9937" s="2">
        <v>900</v>
      </c>
    </row>
    <row r="9938" spans="1:5">
      <c r="A9938" s="2" t="s">
        <v>296</v>
      </c>
      <c r="B9938" s="2" t="str">
        <f>"260209"</f>
        <v>260209</v>
      </c>
      <c r="C9938" s="2" t="str">
        <f>"260209"</f>
        <v>260209</v>
      </c>
      <c r="D9938" s="2" t="s">
        <v>12515</v>
      </c>
      <c r="E9938" s="2">
        <v>800</v>
      </c>
    </row>
    <row r="9939" spans="1:5">
      <c r="A9939" s="2" t="s">
        <v>296</v>
      </c>
      <c r="B9939" s="2" t="str">
        <f>"288224"</f>
        <v>288224</v>
      </c>
      <c r="C9939" s="2" t="str">
        <f>"288224"</f>
        <v>288224</v>
      </c>
      <c r="D9939" s="2" t="s">
        <v>12516</v>
      </c>
      <c r="E9939" s="4">
        <v>1900</v>
      </c>
    </row>
    <row r="9940" spans="1:5">
      <c r="A9940" s="2" t="s">
        <v>296</v>
      </c>
      <c r="B9940" s="2" t="str">
        <f>"210327"</f>
        <v>210327</v>
      </c>
      <c r="C9940" s="2" t="str">
        <f>"210327"</f>
        <v>210327</v>
      </c>
      <c r="D9940" s="2" t="s">
        <v>12517</v>
      </c>
      <c r="E9940" s="2">
        <v>800</v>
      </c>
    </row>
    <row r="9941" spans="1:5">
      <c r="A9941" s="2" t="s">
        <v>296</v>
      </c>
      <c r="B9941" s="2" t="str">
        <f>"230056"</f>
        <v>230056</v>
      </c>
      <c r="C9941" s="2" t="str">
        <f>"230056"</f>
        <v>230056</v>
      </c>
      <c r="D9941" s="2" t="s">
        <v>12518</v>
      </c>
      <c r="E9941" s="2">
        <v>700</v>
      </c>
    </row>
    <row r="9942" spans="1:5">
      <c r="A9942" s="2" t="s">
        <v>296</v>
      </c>
      <c r="B9942" s="2" t="str">
        <f>"002581"</f>
        <v>002581</v>
      </c>
      <c r="C9942" s="2" t="str">
        <f>"002581"</f>
        <v>002581</v>
      </c>
      <c r="D9942" s="2" t="s">
        <v>12519</v>
      </c>
      <c r="E9942" s="2">
        <v>900</v>
      </c>
    </row>
    <row r="9943" spans="1:5">
      <c r="A9943" s="2" t="s">
        <v>296</v>
      </c>
      <c r="B9943" s="2" t="str">
        <f>"1601740"</f>
        <v>1601740</v>
      </c>
      <c r="C9943" s="2" t="str">
        <f>"1601740"</f>
        <v>1601740</v>
      </c>
      <c r="D9943" s="2" t="s">
        <v>12520</v>
      </c>
      <c r="E9943" s="4">
        <v>5200</v>
      </c>
    </row>
    <row r="9944" spans="1:5">
      <c r="A9944" s="2" t="s">
        <v>296</v>
      </c>
      <c r="B9944" s="2" t="str">
        <f>"10-155"</f>
        <v>10-155</v>
      </c>
      <c r="C9944" s="2" t="str">
        <f>"10-155"</f>
        <v>10-155</v>
      </c>
      <c r="D9944" s="2" t="s">
        <v>12521</v>
      </c>
      <c r="E9944" s="2">
        <v>800</v>
      </c>
    </row>
    <row r="9945" spans="1:5">
      <c r="A9945" s="2" t="s">
        <v>296</v>
      </c>
      <c r="B9945" s="2" t="s">
        <v>12522</v>
      </c>
      <c r="C9945" s="2" t="s">
        <v>12522</v>
      </c>
      <c r="D9945" s="2" t="s">
        <v>12521</v>
      </c>
      <c r="E9945" s="2">
        <v>800</v>
      </c>
    </row>
    <row r="9946" spans="1:5">
      <c r="A9946" s="2" t="s">
        <v>296</v>
      </c>
      <c r="B9946" s="2" t="str">
        <f>"070920035"</f>
        <v>070920035</v>
      </c>
      <c r="C9946" s="2" t="str">
        <f>"12-117"</f>
        <v>12-117</v>
      </c>
      <c r="D9946" s="2" t="s">
        <v>12523</v>
      </c>
      <c r="E9946" s="2">
        <v>800</v>
      </c>
    </row>
    <row r="9947" spans="1:5">
      <c r="A9947" s="2" t="s">
        <v>296</v>
      </c>
      <c r="B9947" s="2" t="str">
        <f>"180210"</f>
        <v>180210</v>
      </c>
      <c r="C9947" s="2" t="str">
        <f>"180210"</f>
        <v>180210</v>
      </c>
      <c r="D9947" s="2" t="s">
        <v>12524</v>
      </c>
      <c r="E9947" s="2">
        <v>800</v>
      </c>
    </row>
    <row r="9948" spans="1:5">
      <c r="A9948" s="2" t="s">
        <v>296</v>
      </c>
      <c r="B9948" s="2" t="str">
        <f>"183189"</f>
        <v>183189</v>
      </c>
      <c r="C9948" s="2" t="str">
        <f>"183189"</f>
        <v>183189</v>
      </c>
      <c r="D9948" s="2" t="s">
        <v>12525</v>
      </c>
      <c r="E9948" s="2">
        <v>800</v>
      </c>
    </row>
    <row r="9949" spans="1:5">
      <c r="A9949" s="2" t="s">
        <v>1478</v>
      </c>
      <c r="B9949" s="2" t="str">
        <f>"290161"</f>
        <v>290161</v>
      </c>
      <c r="C9949" s="2" t="str">
        <f>"290161"</f>
        <v>290161</v>
      </c>
      <c r="D9949" s="2" t="s">
        <v>12526</v>
      </c>
      <c r="E9949" s="2">
        <v>900</v>
      </c>
    </row>
    <row r="9950" spans="1:5">
      <c r="A9950" s="2" t="s">
        <v>296</v>
      </c>
      <c r="B9950" s="2" t="str">
        <f>"301465"</f>
        <v>301465</v>
      </c>
      <c r="C9950" s="2" t="str">
        <f>"301465"</f>
        <v>301465</v>
      </c>
      <c r="D9950" s="2" t="s">
        <v>12527</v>
      </c>
      <c r="E9950" s="2">
        <v>900</v>
      </c>
    </row>
    <row r="9951" spans="1:5">
      <c r="A9951" s="2" t="s">
        <v>296</v>
      </c>
      <c r="B9951" s="2" t="str">
        <f>"288493"</f>
        <v>288493</v>
      </c>
      <c r="C9951" s="2" t="str">
        <f>"288493"</f>
        <v>288493</v>
      </c>
      <c r="D9951" s="2" t="s">
        <v>12528</v>
      </c>
      <c r="E9951" s="2">
        <v>700</v>
      </c>
    </row>
    <row r="9952" spans="1:5">
      <c r="A9952" s="2" t="s">
        <v>296</v>
      </c>
      <c r="B9952" s="2" t="str">
        <f>"172647"</f>
        <v>172647</v>
      </c>
      <c r="C9952" s="2" t="str">
        <f>"172647"</f>
        <v>172647</v>
      </c>
      <c r="D9952" s="2" t="s">
        <v>12529</v>
      </c>
      <c r="E9952" s="2">
        <v>800</v>
      </c>
    </row>
    <row r="9953" spans="1:5">
      <c r="A9953" s="2" t="s">
        <v>296</v>
      </c>
      <c r="B9953" s="2" t="str">
        <f>"281988"</f>
        <v>281988</v>
      </c>
      <c r="C9953" s="2" t="str">
        <f>"281988"</f>
        <v>281988</v>
      </c>
      <c r="D9953" s="2" t="s">
        <v>12530</v>
      </c>
      <c r="E9953" s="2">
        <v>850</v>
      </c>
    </row>
    <row r="9954" spans="1:5">
      <c r="A9954" s="2" t="s">
        <v>296</v>
      </c>
      <c r="B9954" s="2" t="str">
        <f>"171630"</f>
        <v>171630</v>
      </c>
      <c r="C9954" s="2" t="str">
        <f>"171630"</f>
        <v>171630</v>
      </c>
      <c r="D9954" s="2" t="s">
        <v>12531</v>
      </c>
      <c r="E9954" s="2">
        <v>900</v>
      </c>
    </row>
    <row r="9955" spans="1:5">
      <c r="A9955" s="2" t="s">
        <v>296</v>
      </c>
      <c r="B9955" s="2" t="str">
        <f>"171561"</f>
        <v>171561</v>
      </c>
      <c r="C9955" s="2" t="str">
        <f>"171561"</f>
        <v>171561</v>
      </c>
      <c r="D9955" s="2" t="s">
        <v>12532</v>
      </c>
      <c r="E9955" s="2">
        <v>900</v>
      </c>
    </row>
    <row r="9956" spans="1:5">
      <c r="A9956" s="2" t="s">
        <v>296</v>
      </c>
      <c r="B9956" s="2" t="str">
        <f>"53Y00"</f>
        <v>53Y00</v>
      </c>
      <c r="C9956" s="2" t="str">
        <f>"53Y00"</f>
        <v>53Y00</v>
      </c>
      <c r="D9956" s="2" t="s">
        <v>12533</v>
      </c>
      <c r="E9956" s="2">
        <v>700</v>
      </c>
    </row>
    <row r="9957" spans="1:5">
      <c r="A9957" s="2" t="s">
        <v>296</v>
      </c>
      <c r="B9957" s="2" t="str">
        <f>"281604"</f>
        <v>281604</v>
      </c>
      <c r="C9957" s="2" t="str">
        <f>"281604"</f>
        <v>281604</v>
      </c>
      <c r="D9957" s="2" t="s">
        <v>12534</v>
      </c>
      <c r="E9957" s="2">
        <v>750</v>
      </c>
    </row>
    <row r="9958" spans="1:5">
      <c r="A9958" s="2" t="s">
        <v>296</v>
      </c>
      <c r="B9958" s="2" t="str">
        <f>"270667"</f>
        <v>270667</v>
      </c>
      <c r="C9958" s="2" t="str">
        <f>"270667"</f>
        <v>270667</v>
      </c>
      <c r="D9958" s="2" t="s">
        <v>12534</v>
      </c>
      <c r="E9958" s="2">
        <v>700</v>
      </c>
    </row>
    <row r="9959" spans="1:5">
      <c r="A9959" s="2" t="s">
        <v>296</v>
      </c>
      <c r="B9959" s="2" t="str">
        <f>"270208"</f>
        <v>270208</v>
      </c>
      <c r="C9959" s="2" t="str">
        <f>"270208"</f>
        <v>270208</v>
      </c>
      <c r="D9959" s="2" t="s">
        <v>12535</v>
      </c>
      <c r="E9959" s="2">
        <v>700</v>
      </c>
    </row>
    <row r="9960" spans="1:5">
      <c r="A9960" s="2" t="s">
        <v>296</v>
      </c>
      <c r="B9960" s="2" t="str">
        <f>"5000000132867"</f>
        <v>5000000132867</v>
      </c>
      <c r="C9960" s="2" t="str">
        <f>"280835"</f>
        <v>280835</v>
      </c>
      <c r="D9960" s="2" t="s">
        <v>12536</v>
      </c>
      <c r="E9960" s="2">
        <v>800</v>
      </c>
    </row>
    <row r="9961" spans="1:5">
      <c r="A9961" s="2" t="s">
        <v>296</v>
      </c>
      <c r="B9961" s="2" t="str">
        <f>"010900301"</f>
        <v>010900301</v>
      </c>
      <c r="C9961" s="2" t="str">
        <f>"010900301"</f>
        <v>010900301</v>
      </c>
      <c r="D9961" s="2" t="s">
        <v>12537</v>
      </c>
      <c r="E9961" s="4">
        <v>1000</v>
      </c>
    </row>
    <row r="9962" spans="1:5">
      <c r="A9962" s="2" t="s">
        <v>296</v>
      </c>
      <c r="B9962" s="2" t="str">
        <f>"010900285"</f>
        <v>010900285</v>
      </c>
      <c r="C9962" s="2" t="str">
        <f>"010900285"</f>
        <v>010900285</v>
      </c>
      <c r="D9962" s="2" t="s">
        <v>12538</v>
      </c>
      <c r="E9962" s="2">
        <v>700</v>
      </c>
    </row>
    <row r="9963" spans="1:5">
      <c r="A9963" s="2" t="s">
        <v>1478</v>
      </c>
      <c r="B9963" s="2" t="str">
        <f>"280853"</f>
        <v>280853</v>
      </c>
      <c r="C9963" s="2" t="str">
        <f>"280853"</f>
        <v>280853</v>
      </c>
      <c r="D9963" s="2" t="s">
        <v>12539</v>
      </c>
      <c r="E9963" s="2">
        <v>900</v>
      </c>
    </row>
    <row r="9964" spans="1:5">
      <c r="A9964" s="2" t="s">
        <v>296</v>
      </c>
      <c r="B9964" s="2" t="str">
        <f>"190255"</f>
        <v>190255</v>
      </c>
      <c r="C9964" s="2" t="str">
        <f>"190255"</f>
        <v>190255</v>
      </c>
      <c r="D9964" s="2" t="s">
        <v>12540</v>
      </c>
      <c r="E9964" s="2">
        <v>900</v>
      </c>
    </row>
    <row r="9965" spans="1:5">
      <c r="A9965" s="2" t="s">
        <v>296</v>
      </c>
      <c r="B9965" s="2" t="str">
        <f>"194066"</f>
        <v>194066</v>
      </c>
      <c r="C9965" s="2" t="str">
        <f>"194066"</f>
        <v>194066</v>
      </c>
      <c r="D9965" s="2" t="s">
        <v>12541</v>
      </c>
      <c r="E9965" s="2">
        <v>800</v>
      </c>
    </row>
    <row r="9966" spans="1:5">
      <c r="A9966" s="2" t="s">
        <v>296</v>
      </c>
      <c r="B9966" s="2" t="str">
        <f>"190228"</f>
        <v>190228</v>
      </c>
      <c r="C9966" s="2" t="str">
        <f>"190228"</f>
        <v>190228</v>
      </c>
      <c r="D9966" s="2" t="s">
        <v>12542</v>
      </c>
      <c r="E9966" s="2">
        <v>850</v>
      </c>
    </row>
    <row r="9967" spans="1:5">
      <c r="A9967" s="2" t="s">
        <v>3227</v>
      </c>
      <c r="B9967" s="2" t="str">
        <f>"290044"</f>
        <v>290044</v>
      </c>
      <c r="C9967" s="2" t="str">
        <f>"290044"</f>
        <v>290044</v>
      </c>
      <c r="D9967" s="2" t="s">
        <v>12543</v>
      </c>
      <c r="E9967" s="2">
        <v>900</v>
      </c>
    </row>
    <row r="9968" spans="1:5">
      <c r="A9968" s="2" t="s">
        <v>296</v>
      </c>
      <c r="B9968" s="2" t="str">
        <f>"190258"</f>
        <v>190258</v>
      </c>
      <c r="C9968" s="2" t="str">
        <f>"190258"</f>
        <v>190258</v>
      </c>
      <c r="D9968" s="2" t="s">
        <v>12544</v>
      </c>
      <c r="E9968" s="2">
        <v>800</v>
      </c>
    </row>
    <row r="9969" spans="1:5">
      <c r="A9969" s="2" t="s">
        <v>296</v>
      </c>
      <c r="B9969" s="2" t="str">
        <f>"290113"</f>
        <v>290113</v>
      </c>
      <c r="C9969" s="2" t="str">
        <f>"290113"</f>
        <v>290113</v>
      </c>
      <c r="D9969" s="2" t="s">
        <v>12545</v>
      </c>
      <c r="E9969" s="2">
        <v>900</v>
      </c>
    </row>
    <row r="9970" spans="1:5">
      <c r="A9970" s="2" t="s">
        <v>1478</v>
      </c>
      <c r="B9970" s="2" t="str">
        <f>"194065"</f>
        <v>194065</v>
      </c>
      <c r="C9970" s="2" t="str">
        <f>"194065"</f>
        <v>194065</v>
      </c>
      <c r="D9970" s="2" t="s">
        <v>12546</v>
      </c>
      <c r="E9970" s="2">
        <v>700</v>
      </c>
    </row>
    <row r="9971" spans="1:5">
      <c r="A9971" s="2" t="s">
        <v>1478</v>
      </c>
      <c r="B9971" s="2" t="str">
        <f>"194063"</f>
        <v>194063</v>
      </c>
      <c r="C9971" s="2" t="str">
        <f>"194063"</f>
        <v>194063</v>
      </c>
      <c r="D9971" s="2" t="s">
        <v>12547</v>
      </c>
      <c r="E9971" s="2">
        <v>900</v>
      </c>
    </row>
    <row r="9972" spans="1:5">
      <c r="A9972" s="2" t="s">
        <v>296</v>
      </c>
      <c r="B9972" s="2" t="str">
        <f>"290009"</f>
        <v>290009</v>
      </c>
      <c r="C9972" s="2" t="str">
        <f>"290009"</f>
        <v>290009</v>
      </c>
      <c r="D9972" s="2" t="s">
        <v>12548</v>
      </c>
      <c r="E9972" s="2">
        <v>800</v>
      </c>
    </row>
    <row r="9973" spans="1:5">
      <c r="A9973" s="2" t="s">
        <v>296</v>
      </c>
      <c r="B9973" s="2" t="str">
        <f>"0004436"</f>
        <v>0004436</v>
      </c>
      <c r="C9973" s="2" t="str">
        <f>"0004436"</f>
        <v>0004436</v>
      </c>
      <c r="D9973" s="2" t="s">
        <v>12549</v>
      </c>
      <c r="E9973" s="4">
        <v>8800</v>
      </c>
    </row>
    <row r="9974" spans="1:5">
      <c r="A9974" s="2" t="s">
        <v>296</v>
      </c>
      <c r="B9974" s="2" t="str">
        <f>"171586"</f>
        <v>171586</v>
      </c>
      <c r="C9974" s="2" t="str">
        <f>"171586"</f>
        <v>171586</v>
      </c>
      <c r="D9974" s="2" t="s">
        <v>12550</v>
      </c>
      <c r="E9974" s="2">
        <v>750</v>
      </c>
    </row>
    <row r="9975" spans="1:5">
      <c r="A9975" s="2" t="s">
        <v>296</v>
      </c>
      <c r="B9975" s="2" t="str">
        <f>"20295402"</f>
        <v>20295402</v>
      </c>
      <c r="C9975" s="2" t="str">
        <f>"20295402"</f>
        <v>20295402</v>
      </c>
      <c r="D9975" s="2" t="s">
        <v>12551</v>
      </c>
      <c r="E9975" s="2">
        <v>700</v>
      </c>
    </row>
    <row r="9976" spans="1:5">
      <c r="A9976" s="2" t="s">
        <v>296</v>
      </c>
      <c r="B9976" s="2" t="str">
        <f>"070860221"</f>
        <v>070860221</v>
      </c>
      <c r="C9976" s="2" t="str">
        <f>"070860221"</f>
        <v>070860221</v>
      </c>
      <c r="D9976" s="2" t="s">
        <v>12552</v>
      </c>
      <c r="E9976" s="2">
        <v>900</v>
      </c>
    </row>
    <row r="9977" spans="1:5">
      <c r="A9977" s="2" t="s">
        <v>296</v>
      </c>
      <c r="B9977" s="2" t="str">
        <f>"289309"</f>
        <v>289309</v>
      </c>
      <c r="C9977" s="2" t="str">
        <f>"289309"</f>
        <v>289309</v>
      </c>
      <c r="D9977" s="2" t="s">
        <v>12553</v>
      </c>
      <c r="E9977" s="4">
        <v>3200</v>
      </c>
    </row>
    <row r="9978" spans="1:5">
      <c r="A9978" s="2" t="s">
        <v>296</v>
      </c>
      <c r="B9978" s="2" t="str">
        <f>"288263"</f>
        <v>288263</v>
      </c>
      <c r="C9978" s="2" t="str">
        <f>"288263"</f>
        <v>288263</v>
      </c>
      <c r="D9978" s="2" t="s">
        <v>12554</v>
      </c>
      <c r="E9978" s="4">
        <v>1600</v>
      </c>
    </row>
    <row r="9979" spans="1:5">
      <c r="A9979" s="2" t="s">
        <v>296</v>
      </c>
      <c r="B9979" s="2" t="str">
        <f>"288251"</f>
        <v>288251</v>
      </c>
      <c r="C9979" s="2" t="str">
        <f>"288251"</f>
        <v>288251</v>
      </c>
      <c r="D9979" s="2" t="s">
        <v>12554</v>
      </c>
      <c r="E9979" s="4">
        <v>2300</v>
      </c>
    </row>
    <row r="9980" spans="1:5">
      <c r="A9980" s="2" t="s">
        <v>296</v>
      </c>
      <c r="B9980" s="2" t="str">
        <f>"013507"</f>
        <v>013507</v>
      </c>
      <c r="C9980" s="2" t="str">
        <f>"013507"</f>
        <v>013507</v>
      </c>
      <c r="D9980" s="2" t="s">
        <v>12555</v>
      </c>
      <c r="E9980" s="4">
        <v>1700</v>
      </c>
    </row>
    <row r="9981" spans="1:5">
      <c r="A9981" s="2" t="s">
        <v>296</v>
      </c>
      <c r="B9981" s="2" t="str">
        <f>"289492"</f>
        <v>289492</v>
      </c>
      <c r="C9981" s="2" t="str">
        <f>"289492"</f>
        <v>289492</v>
      </c>
      <c r="D9981" s="2" t="s">
        <v>12556</v>
      </c>
      <c r="E9981" s="4">
        <v>48000</v>
      </c>
    </row>
    <row r="9982" spans="1:5">
      <c r="A9982" s="2" t="s">
        <v>296</v>
      </c>
      <c r="B9982" s="2" t="s">
        <v>12557</v>
      </c>
      <c r="C9982" s="2" t="s">
        <v>12557</v>
      </c>
      <c r="D9982" s="2" t="s">
        <v>12558</v>
      </c>
      <c r="E9982" s="4">
        <v>1500</v>
      </c>
    </row>
    <row r="9983" spans="1:5">
      <c r="A9983" s="2" t="s">
        <v>296</v>
      </c>
      <c r="B9983" s="2" t="str">
        <f>"010900153"</f>
        <v>010900153</v>
      </c>
      <c r="C9983" s="2" t="str">
        <f>"010900153"</f>
        <v>010900153</v>
      </c>
      <c r="D9983" s="2" t="s">
        <v>12559</v>
      </c>
      <c r="E9983" s="2">
        <v>800</v>
      </c>
    </row>
    <row r="9984" spans="1:5">
      <c r="A9984" s="2" t="s">
        <v>296</v>
      </c>
      <c r="B9984" s="2" t="str">
        <f>"1100820"</f>
        <v>1100820</v>
      </c>
      <c r="C9984" s="2" t="str">
        <f>"1100820"</f>
        <v>1100820</v>
      </c>
      <c r="D9984" s="2" t="s">
        <v>12560</v>
      </c>
      <c r="E9984" s="4">
        <v>6100</v>
      </c>
    </row>
    <row r="9985" spans="1:5">
      <c r="A9985" s="2" t="s">
        <v>296</v>
      </c>
      <c r="B9985" s="2" t="str">
        <f>"070773"</f>
        <v>070773</v>
      </c>
      <c r="C9985" s="2" t="str">
        <f>"070773"</f>
        <v>070773</v>
      </c>
      <c r="D9985" s="2" t="s">
        <v>12561</v>
      </c>
      <c r="E9985" s="2">
        <v>800</v>
      </c>
    </row>
    <row r="9986" spans="1:5">
      <c r="A9986" s="2" t="s">
        <v>296</v>
      </c>
      <c r="B9986" s="2" t="str">
        <f>"013448"</f>
        <v>013448</v>
      </c>
      <c r="C9986" s="2" t="str">
        <f>"013448"</f>
        <v>013448</v>
      </c>
      <c r="D9986" s="2" t="s">
        <v>12562</v>
      </c>
      <c r="E9986" s="2">
        <v>800</v>
      </c>
    </row>
    <row r="9987" spans="1:5">
      <c r="A9987" s="2" t="s">
        <v>296</v>
      </c>
      <c r="B9987" s="2" t="str">
        <f>"290036"</f>
        <v>290036</v>
      </c>
      <c r="C9987" s="2" t="str">
        <f>"290036"</f>
        <v>290036</v>
      </c>
      <c r="D9987" s="2" t="s">
        <v>12563</v>
      </c>
      <c r="E9987" s="2">
        <v>800</v>
      </c>
    </row>
    <row r="9988" spans="1:5">
      <c r="A9988" s="2" t="s">
        <v>296</v>
      </c>
      <c r="B9988" s="2" t="str">
        <f>"160814"</f>
        <v>160814</v>
      </c>
      <c r="C9988" s="2" t="str">
        <f>"160814"</f>
        <v>160814</v>
      </c>
      <c r="D9988" s="2" t="s">
        <v>12564</v>
      </c>
      <c r="E9988" s="2">
        <v>900</v>
      </c>
    </row>
    <row r="9989" spans="1:5">
      <c r="A9989" s="2" t="s">
        <v>296</v>
      </c>
      <c r="B9989" s="2" t="str">
        <f>"281710"</f>
        <v>281710</v>
      </c>
      <c r="C9989" s="2" t="str">
        <f>"281710"</f>
        <v>281710</v>
      </c>
      <c r="D9989" s="2" t="s">
        <v>12565</v>
      </c>
      <c r="E9989" s="2">
        <v>950</v>
      </c>
    </row>
    <row r="9990" spans="1:5">
      <c r="A9990" s="2" t="s">
        <v>296</v>
      </c>
      <c r="B9990" s="2" t="str">
        <f>"00041832-2"</f>
        <v>00041832-2</v>
      </c>
      <c r="C9990" s="2" t="str">
        <f>"000418362-2"</f>
        <v>000418362-2</v>
      </c>
      <c r="D9990" s="2" t="s">
        <v>12566</v>
      </c>
      <c r="E9990" s="4">
        <v>1000</v>
      </c>
    </row>
    <row r="9991" spans="1:5">
      <c r="A9991" s="2" t="s">
        <v>296</v>
      </c>
      <c r="B9991" s="2" t="str">
        <f>"183181"</f>
        <v>183181</v>
      </c>
      <c r="C9991" s="2" t="str">
        <f>"183181"</f>
        <v>183181</v>
      </c>
      <c r="D9991" s="2" t="s">
        <v>12567</v>
      </c>
      <c r="E9991" s="2">
        <v>850</v>
      </c>
    </row>
    <row r="9992" spans="1:5">
      <c r="A9992" s="2" t="s">
        <v>1478</v>
      </c>
      <c r="B9992" s="2" t="s">
        <v>12568</v>
      </c>
      <c r="C9992" s="2" t="str">
        <f>"1715283458823"</f>
        <v>1715283458823</v>
      </c>
      <c r="D9992" s="2" t="s">
        <v>12569</v>
      </c>
      <c r="E9992" s="2">
        <v>0</v>
      </c>
    </row>
    <row r="9993" spans="1:5">
      <c r="A9993" s="2" t="s">
        <v>365</v>
      </c>
      <c r="B9993" s="2" t="str">
        <f>"53041"</f>
        <v>53041</v>
      </c>
      <c r="C9993" s="2" t="str">
        <f>"53041"</f>
        <v>53041</v>
      </c>
      <c r="D9993" s="2" t="s">
        <v>12570</v>
      </c>
      <c r="E9993" s="4">
        <v>8800</v>
      </c>
    </row>
    <row r="9994" spans="1:5">
      <c r="A9994" s="2">
        <v>0</v>
      </c>
      <c r="B9994" s="2">
        <v>0</v>
      </c>
      <c r="C9994" s="2">
        <v>0</v>
      </c>
      <c r="D9994" s="2" t="s">
        <v>12571</v>
      </c>
      <c r="E9994" s="2">
        <v>0</v>
      </c>
    </row>
    <row r="9995" spans="1:5">
      <c r="A9995" s="2" t="s">
        <v>1478</v>
      </c>
      <c r="B9995" s="2" t="str">
        <f>"10777"</f>
        <v>10777</v>
      </c>
      <c r="C9995" s="2" t="str">
        <f>"10777"</f>
        <v>10777</v>
      </c>
      <c r="D9995" s="2" t="s">
        <v>12572</v>
      </c>
      <c r="E9995" s="4">
        <v>17500</v>
      </c>
    </row>
    <row r="9996" spans="1:5">
      <c r="A9996" s="2" t="s">
        <v>296</v>
      </c>
      <c r="B9996" s="2" t="str">
        <f>"001128021-8"</f>
        <v>001128021-8</v>
      </c>
      <c r="C9996" s="2" t="str">
        <f>"1128021-8"</f>
        <v>1128021-8</v>
      </c>
      <c r="D9996" s="2" t="s">
        <v>12573</v>
      </c>
      <c r="E9996" s="4">
        <v>9700</v>
      </c>
    </row>
    <row r="9997" spans="1:5">
      <c r="A9997" s="2" t="s">
        <v>296</v>
      </c>
      <c r="B9997" s="2" t="str">
        <f>"0029769"</f>
        <v>0029769</v>
      </c>
      <c r="C9997" s="2" t="str">
        <f>"0029769"</f>
        <v>0029769</v>
      </c>
      <c r="D9997" s="2" t="s">
        <v>12574</v>
      </c>
      <c r="E9997" s="4">
        <v>12400</v>
      </c>
    </row>
    <row r="9998" spans="1:5">
      <c r="A9998" s="2" t="s">
        <v>296</v>
      </c>
      <c r="B9998" s="2" t="str">
        <f>"0001411"</f>
        <v>0001411</v>
      </c>
      <c r="C9998" s="2" t="str">
        <f>"0001411"</f>
        <v>0001411</v>
      </c>
      <c r="D9998" s="2" t="s">
        <v>12575</v>
      </c>
      <c r="E9998" s="4">
        <v>7500</v>
      </c>
    </row>
    <row r="9999" spans="1:5">
      <c r="A9999" s="2" t="s">
        <v>296</v>
      </c>
      <c r="B9999" s="2" t="str">
        <f>"016202"</f>
        <v>016202</v>
      </c>
      <c r="C9999" s="2" t="str">
        <f>"016202"</f>
        <v>016202</v>
      </c>
      <c r="D9999" s="2" t="s">
        <v>12576</v>
      </c>
      <c r="E9999" s="4">
        <v>1800</v>
      </c>
    </row>
    <row r="10000" spans="1:5">
      <c r="A10000" s="2" t="s">
        <v>296</v>
      </c>
      <c r="B10000" s="2" t="str">
        <f>"6002"</f>
        <v>6002</v>
      </c>
      <c r="C10000" s="2" t="str">
        <f>"6002"</f>
        <v>6002</v>
      </c>
      <c r="D10000" s="2" t="s">
        <v>12577</v>
      </c>
      <c r="E10000" s="4">
        <v>2000</v>
      </c>
    </row>
    <row r="10001" spans="1:5">
      <c r="A10001" s="2" t="s">
        <v>296</v>
      </c>
      <c r="B10001" s="2" t="str">
        <f>"6206'2rs c3"</f>
        <v>6206'2rs c3</v>
      </c>
      <c r="C10001" s="2" t="str">
        <f>"6206"</f>
        <v>6206</v>
      </c>
      <c r="D10001" s="2" t="s">
        <v>12578</v>
      </c>
      <c r="E10001" s="4">
        <v>4800</v>
      </c>
    </row>
    <row r="10002" spans="1:5">
      <c r="A10002" s="2" t="s">
        <v>296</v>
      </c>
      <c r="B10002" s="2" t="str">
        <f>"090790117"</f>
        <v>090790117</v>
      </c>
      <c r="C10002" s="2" t="str">
        <f>"6302"</f>
        <v>6302</v>
      </c>
      <c r="D10002" s="2" t="s">
        <v>12579</v>
      </c>
      <c r="E10002" s="4">
        <v>3400</v>
      </c>
    </row>
    <row r="10003" spans="1:5">
      <c r="A10003" s="2" t="s">
        <v>296</v>
      </c>
      <c r="B10003" s="2" t="str">
        <f>"090790118"</f>
        <v>090790118</v>
      </c>
      <c r="C10003" s="2" t="str">
        <f>"63032RS"</f>
        <v>63032RS</v>
      </c>
      <c r="D10003" s="2" t="s">
        <v>12580</v>
      </c>
      <c r="E10003" s="4">
        <v>3500</v>
      </c>
    </row>
    <row r="10004" spans="1:5">
      <c r="A10004" s="2" t="s">
        <v>296</v>
      </c>
      <c r="B10004" s="2" t="str">
        <f>"6305'2rs-c3"</f>
        <v>6305'2rs-c3</v>
      </c>
      <c r="C10004" s="2" t="str">
        <f>"090790120"</f>
        <v>090790120</v>
      </c>
      <c r="D10004" s="2" t="s">
        <v>12581</v>
      </c>
      <c r="E10004" s="4">
        <v>4500</v>
      </c>
    </row>
    <row r="10005" spans="1:5">
      <c r="A10005" s="2" t="s">
        <v>296</v>
      </c>
      <c r="B10005" s="2" t="str">
        <f>"69349"</f>
        <v>69349</v>
      </c>
      <c r="C10005" s="2" t="str">
        <f>"69349"</f>
        <v>69349</v>
      </c>
      <c r="D10005" s="2" t="s">
        <v>12582</v>
      </c>
      <c r="E10005" s="4">
        <v>9700</v>
      </c>
    </row>
    <row r="10006" spans="1:5">
      <c r="A10006" s="2" t="s">
        <v>296</v>
      </c>
      <c r="B10006" s="2" t="str">
        <f>"280351"</f>
        <v>280351</v>
      </c>
      <c r="C10006" s="2" t="str">
        <f>"280351"</f>
        <v>280351</v>
      </c>
      <c r="D10006" s="2" t="s">
        <v>12583</v>
      </c>
      <c r="E10006" s="2">
        <v>148</v>
      </c>
    </row>
    <row r="10007" spans="1:5">
      <c r="A10007" s="2" t="s">
        <v>296</v>
      </c>
      <c r="B10007" s="2" t="str">
        <f>"280166"</f>
        <v>280166</v>
      </c>
      <c r="C10007" s="2" t="str">
        <f>"280166"</f>
        <v>280166</v>
      </c>
      <c r="D10007" s="2" t="s">
        <v>12584</v>
      </c>
      <c r="E10007" s="4">
        <v>22000</v>
      </c>
    </row>
    <row r="10008" spans="1:5">
      <c r="A10008" s="2" t="s">
        <v>296</v>
      </c>
      <c r="B10008" s="2" t="str">
        <f>"5000000112111"</f>
        <v>5000000112111</v>
      </c>
      <c r="C10008" s="2" t="str">
        <f>"280391"</f>
        <v>280391</v>
      </c>
      <c r="D10008" s="2" t="s">
        <v>12585</v>
      </c>
      <c r="E10008" s="4">
        <v>12400</v>
      </c>
    </row>
    <row r="10009" spans="1:5">
      <c r="A10009" s="2" t="s">
        <v>296</v>
      </c>
      <c r="B10009" s="2" t="str">
        <f>"281441"</f>
        <v>281441</v>
      </c>
      <c r="C10009" s="2" t="str">
        <f>"281441"</f>
        <v>281441</v>
      </c>
      <c r="D10009" s="2" t="s">
        <v>12586</v>
      </c>
      <c r="E10009" s="4">
        <v>18700</v>
      </c>
    </row>
    <row r="10010" spans="1:5">
      <c r="A10010" s="2" t="s">
        <v>296</v>
      </c>
      <c r="B10010" s="2" t="str">
        <f>"0012652"</f>
        <v>0012652</v>
      </c>
      <c r="C10010" s="2" t="str">
        <f>"0012652"</f>
        <v>0012652</v>
      </c>
      <c r="D10010" s="2" t="s">
        <v>12587</v>
      </c>
      <c r="E10010" s="4">
        <v>12800</v>
      </c>
    </row>
    <row r="10011" spans="1:5">
      <c r="A10011" s="2" t="s">
        <v>296</v>
      </c>
      <c r="B10011" s="2" t="str">
        <f>"016774"</f>
        <v>016774</v>
      </c>
      <c r="C10011" s="2" t="str">
        <f>"016774"</f>
        <v>016774</v>
      </c>
      <c r="D10011" s="2" t="s">
        <v>12588</v>
      </c>
      <c r="E10011" s="4">
        <v>39000</v>
      </c>
    </row>
    <row r="10012" spans="1:5">
      <c r="A10012" s="2" t="s">
        <v>296</v>
      </c>
      <c r="B10012" s="2" t="str">
        <f>"020790069"</f>
        <v>020790069</v>
      </c>
      <c r="C10012" s="2" t="str">
        <f>"020790069"</f>
        <v>020790069</v>
      </c>
      <c r="D10012" s="2" t="s">
        <v>12589</v>
      </c>
      <c r="E10012" s="4">
        <v>34000</v>
      </c>
    </row>
    <row r="10013" spans="1:5">
      <c r="A10013" s="2" t="s">
        <v>296</v>
      </c>
      <c r="B10013" s="2" t="str">
        <f>"0020259"</f>
        <v>0020259</v>
      </c>
      <c r="C10013" s="2" t="str">
        <f>"0020259"</f>
        <v>0020259</v>
      </c>
      <c r="D10013" s="2" t="s">
        <v>12590</v>
      </c>
      <c r="E10013" s="4">
        <v>21400</v>
      </c>
    </row>
    <row r="10014" spans="1:5">
      <c r="A10014" s="2" t="s">
        <v>296</v>
      </c>
      <c r="B10014" s="2" t="s">
        <v>12591</v>
      </c>
      <c r="C10014" s="2" t="s">
        <v>12591</v>
      </c>
      <c r="D10014" s="2" t="s">
        <v>12592</v>
      </c>
      <c r="E10014" s="4">
        <v>27000</v>
      </c>
    </row>
    <row r="10015" spans="1:5">
      <c r="A10015" s="2" t="s">
        <v>296</v>
      </c>
      <c r="B10015" s="2" t="str">
        <f>"0100790"</f>
        <v>0100790</v>
      </c>
      <c r="C10015" s="2" t="str">
        <f>"0100790"</f>
        <v>0100790</v>
      </c>
      <c r="D10015" s="2" t="s">
        <v>12593</v>
      </c>
      <c r="E10015" s="4">
        <v>3400</v>
      </c>
    </row>
    <row r="10016" spans="1:5">
      <c r="A10016" s="2" t="s">
        <v>296</v>
      </c>
      <c r="B10016" s="2" t="str">
        <f>"0011270379"</f>
        <v>0011270379</v>
      </c>
      <c r="C10016" s="2" t="str">
        <f>"1127037-9"</f>
        <v>1127037-9</v>
      </c>
      <c r="D10016" s="2" t="s">
        <v>12594</v>
      </c>
      <c r="E10016" s="4">
        <v>17000</v>
      </c>
    </row>
    <row r="10017" spans="1:5">
      <c r="A10017" s="2" t="s">
        <v>296</v>
      </c>
      <c r="B10017" s="2" t="str">
        <f>"5000000111671"</f>
        <v>5000000111671</v>
      </c>
      <c r="C10017" s="2" t="str">
        <f>"1486496382781"</f>
        <v>1486496382781</v>
      </c>
      <c r="D10017" s="2" t="s">
        <v>12595</v>
      </c>
      <c r="E10017" s="4">
        <v>11500</v>
      </c>
    </row>
    <row r="10018" spans="1:5">
      <c r="A10018" s="2" t="s">
        <v>296</v>
      </c>
      <c r="B10018" s="2" t="str">
        <f>"245750"</f>
        <v>245750</v>
      </c>
      <c r="C10018" s="2" t="str">
        <f>"245750"</f>
        <v>245750</v>
      </c>
      <c r="D10018" s="2" t="s">
        <v>12596</v>
      </c>
      <c r="E10018" s="4">
        <v>16000</v>
      </c>
    </row>
    <row r="10019" spans="1:5">
      <c r="A10019" s="2" t="s">
        <v>296</v>
      </c>
      <c r="B10019" s="2" t="str">
        <f>"5000000259779"</f>
        <v>5000000259779</v>
      </c>
      <c r="C10019" s="2" t="str">
        <f>"022538"</f>
        <v>022538</v>
      </c>
      <c r="D10019" s="2" t="s">
        <v>12597</v>
      </c>
      <c r="E10019" s="4">
        <v>17900</v>
      </c>
    </row>
    <row r="10020" spans="1:5">
      <c r="A10020" s="2" t="s">
        <v>296</v>
      </c>
      <c r="B10020" s="2" t="str">
        <f>"5000000176540"</f>
        <v>5000000176540</v>
      </c>
      <c r="C10020" s="2" t="str">
        <f>"280236"</f>
        <v>280236</v>
      </c>
      <c r="D10020" s="2" t="s">
        <v>12598</v>
      </c>
      <c r="E10020" s="4">
        <v>14200</v>
      </c>
    </row>
    <row r="10021" spans="1:5">
      <c r="A10021" s="2" t="s">
        <v>296</v>
      </c>
      <c r="B10021" s="2" t="str">
        <f>"014169"</f>
        <v>014169</v>
      </c>
      <c r="C10021" s="2" t="str">
        <f>"245744"</f>
        <v>245744</v>
      </c>
      <c r="D10021" s="2" t="s">
        <v>12599</v>
      </c>
      <c r="E10021" s="4">
        <v>16000</v>
      </c>
    </row>
    <row r="10022" spans="1:5">
      <c r="A10022" s="2" t="s">
        <v>296</v>
      </c>
      <c r="B10022" s="2" t="str">
        <f>"0013218"</f>
        <v>0013218</v>
      </c>
      <c r="C10022" s="2" t="str">
        <f>"0013218"</f>
        <v>0013218</v>
      </c>
      <c r="D10022" s="2" t="s">
        <v>12600</v>
      </c>
      <c r="E10022" s="4">
        <v>16000</v>
      </c>
    </row>
    <row r="10023" spans="1:5">
      <c r="A10023" s="2" t="s">
        <v>296</v>
      </c>
      <c r="B10023" s="2" t="str">
        <f>"245502"</f>
        <v>245502</v>
      </c>
      <c r="C10023" s="2" t="str">
        <f>"245502"</f>
        <v>245502</v>
      </c>
      <c r="D10023" s="2" t="s">
        <v>12601</v>
      </c>
      <c r="E10023" s="4">
        <v>11500</v>
      </c>
    </row>
    <row r="10024" spans="1:5">
      <c r="A10024" s="2" t="s">
        <v>296</v>
      </c>
      <c r="B10024" s="2" t="str">
        <f>"260769"</f>
        <v>260769</v>
      </c>
      <c r="C10024" s="2" t="str">
        <f>"260769"</f>
        <v>260769</v>
      </c>
      <c r="D10024" s="2" t="s">
        <v>12602</v>
      </c>
      <c r="E10024" s="4">
        <v>10600</v>
      </c>
    </row>
    <row r="10025" spans="1:5">
      <c r="A10025" s="2" t="s">
        <v>296</v>
      </c>
      <c r="B10025" s="2" t="str">
        <f>"8123992-6"</f>
        <v>8123992-6</v>
      </c>
      <c r="C10025" s="2" t="str">
        <f>"8123992-6"</f>
        <v>8123992-6</v>
      </c>
      <c r="D10025" s="2" t="s">
        <v>12603</v>
      </c>
      <c r="E10025" s="4">
        <v>6902</v>
      </c>
    </row>
    <row r="10026" spans="1:5">
      <c r="A10026" s="2" t="s">
        <v>296</v>
      </c>
      <c r="B10026" s="2" t="str">
        <f>"260739"</f>
        <v>260739</v>
      </c>
      <c r="C10026" s="2" t="str">
        <f>"260739"</f>
        <v>260739</v>
      </c>
      <c r="D10026" s="2" t="s">
        <v>12604</v>
      </c>
      <c r="E10026" s="4">
        <v>14900</v>
      </c>
    </row>
    <row r="10027" spans="1:5">
      <c r="A10027" s="2" t="s">
        <v>296</v>
      </c>
      <c r="B10027" s="2" t="str">
        <f>"5000000267422"</f>
        <v>5000000267422</v>
      </c>
      <c r="C10027" s="2" t="str">
        <f>"054677"</f>
        <v>054677</v>
      </c>
      <c r="D10027" s="2" t="s">
        <v>12605</v>
      </c>
      <c r="E10027" s="4">
        <v>20500</v>
      </c>
    </row>
    <row r="10028" spans="1:5">
      <c r="A10028" s="2" t="s">
        <v>296</v>
      </c>
      <c r="B10028" s="2" t="str">
        <f>"245541"</f>
        <v>245541</v>
      </c>
      <c r="C10028" s="2" t="str">
        <f>"245541"</f>
        <v>245541</v>
      </c>
      <c r="D10028" s="2" t="s">
        <v>12606</v>
      </c>
      <c r="E10028" s="4">
        <v>24100</v>
      </c>
    </row>
    <row r="10029" spans="1:5">
      <c r="A10029" s="2" t="s">
        <v>296</v>
      </c>
      <c r="B10029" s="2" t="str">
        <f>"1283934"</f>
        <v>1283934</v>
      </c>
      <c r="C10029" s="2" t="str">
        <f>"1283934"</f>
        <v>1283934</v>
      </c>
      <c r="D10029" s="2" t="s">
        <v>12607</v>
      </c>
      <c r="E10029" s="4">
        <v>7000</v>
      </c>
    </row>
    <row r="10030" spans="1:5">
      <c r="A10030" s="2" t="s">
        <v>296</v>
      </c>
      <c r="B10030" s="2" t="str">
        <f>"245571"</f>
        <v>245571</v>
      </c>
      <c r="C10030" s="2" t="str">
        <f>"245571"</f>
        <v>245571</v>
      </c>
      <c r="D10030" s="2" t="s">
        <v>12608</v>
      </c>
      <c r="E10030" s="4">
        <v>14399</v>
      </c>
    </row>
    <row r="10031" spans="1:5">
      <c r="A10031" s="2" t="s">
        <v>296</v>
      </c>
      <c r="B10031" s="2" t="str">
        <f>"412379-4"</f>
        <v>412379-4</v>
      </c>
      <c r="C10031" s="2" t="str">
        <f>"412379-4"</f>
        <v>412379-4</v>
      </c>
      <c r="D10031" s="2" t="s">
        <v>12609</v>
      </c>
      <c r="E10031" s="4">
        <v>14875</v>
      </c>
    </row>
    <row r="10032" spans="1:5">
      <c r="A10032" s="2" t="s">
        <v>296</v>
      </c>
      <c r="B10032" s="2" t="str">
        <f>"24553"</f>
        <v>24553</v>
      </c>
      <c r="C10032" s="2" t="str">
        <f>"24553"</f>
        <v>24553</v>
      </c>
      <c r="D10032" s="2" t="s">
        <v>12610</v>
      </c>
      <c r="E10032" s="2">
        <v>0</v>
      </c>
    </row>
    <row r="10033" spans="1:5">
      <c r="A10033" s="2" t="s">
        <v>296</v>
      </c>
      <c r="B10033" s="2" t="str">
        <f>"812392-6"</f>
        <v>812392-6</v>
      </c>
      <c r="C10033" s="2" t="str">
        <f>"812392-6"</f>
        <v>812392-6</v>
      </c>
      <c r="D10033" s="2" t="s">
        <v>12611</v>
      </c>
      <c r="E10033" s="4">
        <v>7900</v>
      </c>
    </row>
    <row r="10034" spans="1:5">
      <c r="A10034" s="2" t="s">
        <v>296</v>
      </c>
      <c r="B10034" s="2" t="str">
        <f>"014933"</f>
        <v>014933</v>
      </c>
      <c r="C10034" s="2" t="str">
        <f>"014933"</f>
        <v>014933</v>
      </c>
      <c r="D10034" s="2" t="s">
        <v>12612</v>
      </c>
      <c r="E10034" s="4">
        <v>18000</v>
      </c>
    </row>
    <row r="10035" spans="1:5">
      <c r="A10035" s="2" t="s">
        <v>296</v>
      </c>
      <c r="B10035" s="2" t="str">
        <f>"0812395-0"</f>
        <v>0812395-0</v>
      </c>
      <c r="C10035" s="2" t="str">
        <f>"0812395-0"</f>
        <v>0812395-0</v>
      </c>
      <c r="D10035" s="2" t="s">
        <v>12613</v>
      </c>
      <c r="E10035" s="4">
        <v>13500</v>
      </c>
    </row>
    <row r="10036" spans="1:5">
      <c r="A10036" s="2" t="s">
        <v>296</v>
      </c>
      <c r="B10036" s="2" t="str">
        <f>"7902168"</f>
        <v>7902168</v>
      </c>
      <c r="C10036" s="2" t="str">
        <f>"7902168"</f>
        <v>7902168</v>
      </c>
      <c r="D10036" s="2" t="s">
        <v>12614</v>
      </c>
      <c r="E10036" s="4">
        <v>1369</v>
      </c>
    </row>
    <row r="10037" spans="1:5">
      <c r="A10037" s="2" t="s">
        <v>296</v>
      </c>
      <c r="B10037" s="2" t="str">
        <f>"2227000"</f>
        <v>2227000</v>
      </c>
      <c r="C10037" s="2" t="str">
        <f>"2227000"</f>
        <v>2227000</v>
      </c>
      <c r="D10037" s="2" t="s">
        <v>12615</v>
      </c>
      <c r="E10037" s="4">
        <v>4584</v>
      </c>
    </row>
    <row r="10038" spans="1:5">
      <c r="A10038" s="2" t="s">
        <v>296</v>
      </c>
      <c r="B10038" s="2" t="str">
        <f>"678978019463"</f>
        <v>678978019463</v>
      </c>
      <c r="C10038" s="2" t="str">
        <f>"0780-280"</f>
        <v>0780-280</v>
      </c>
      <c r="D10038" s="2" t="s">
        <v>12616</v>
      </c>
      <c r="E10038" s="4">
        <v>68200</v>
      </c>
    </row>
    <row r="10039" spans="1:5">
      <c r="A10039" s="2" t="s">
        <v>296</v>
      </c>
      <c r="B10039" s="2" t="str">
        <f>"245635"</f>
        <v>245635</v>
      </c>
      <c r="C10039" s="2" t="str">
        <f>"245635"</f>
        <v>245635</v>
      </c>
      <c r="D10039" s="2" t="s">
        <v>12617</v>
      </c>
      <c r="E10039" s="4">
        <v>23428</v>
      </c>
    </row>
    <row r="10040" spans="1:5">
      <c r="A10040" s="2" t="s">
        <v>296</v>
      </c>
      <c r="B10040" s="2" t="str">
        <f>"00704HAC"</f>
        <v>00704HAC</v>
      </c>
      <c r="C10040" s="2" t="str">
        <f>"00704HAC"</f>
        <v>00704HAC</v>
      </c>
      <c r="D10040" s="2" t="s">
        <v>12618</v>
      </c>
      <c r="E10040" s="4">
        <v>13500</v>
      </c>
    </row>
    <row r="10041" spans="1:5">
      <c r="A10041" s="2" t="s">
        <v>296</v>
      </c>
      <c r="B10041" s="2" t="str">
        <f>"1227025-9"</f>
        <v>1227025-9</v>
      </c>
      <c r="C10041" s="2" t="str">
        <f>"1227025-9"</f>
        <v>1227025-9</v>
      </c>
      <c r="D10041" s="2" t="s">
        <v>12619</v>
      </c>
      <c r="E10041" s="4">
        <v>13300</v>
      </c>
    </row>
    <row r="10042" spans="1:5">
      <c r="A10042" s="2" t="s">
        <v>296</v>
      </c>
      <c r="B10042" s="2" t="str">
        <f>"245467"</f>
        <v>245467</v>
      </c>
      <c r="C10042" s="2" t="str">
        <f>"245467"</f>
        <v>245467</v>
      </c>
      <c r="D10042" s="2" t="s">
        <v>12619</v>
      </c>
      <c r="E10042" s="4">
        <v>18900</v>
      </c>
    </row>
    <row r="10043" spans="1:5">
      <c r="A10043" s="2" t="s">
        <v>296</v>
      </c>
      <c r="B10043" s="2" t="str">
        <f>"1127034"</f>
        <v>1127034</v>
      </c>
      <c r="C10043" s="2" t="str">
        <f>"1127034"</f>
        <v>1127034</v>
      </c>
      <c r="D10043" s="2" t="s">
        <v>12620</v>
      </c>
      <c r="E10043" s="4">
        <v>15827</v>
      </c>
    </row>
    <row r="10044" spans="1:5">
      <c r="A10044" s="2" t="s">
        <v>296</v>
      </c>
      <c r="B10044" s="2" t="str">
        <f>"245544"</f>
        <v>245544</v>
      </c>
      <c r="C10044" s="2" t="str">
        <f>"245544"</f>
        <v>245544</v>
      </c>
      <c r="D10044" s="2" t="s">
        <v>12621</v>
      </c>
      <c r="E10044" s="4">
        <v>10500</v>
      </c>
    </row>
    <row r="10045" spans="1:5">
      <c r="A10045" s="2" t="s">
        <v>296</v>
      </c>
      <c r="B10045" s="2" t="str">
        <f>"1127008-5"</f>
        <v>1127008-5</v>
      </c>
      <c r="C10045" s="2" t="str">
        <f>"1127008-5"</f>
        <v>1127008-5</v>
      </c>
      <c r="D10045" s="2" t="s">
        <v>12622</v>
      </c>
      <c r="E10045" s="4">
        <v>8800</v>
      </c>
    </row>
    <row r="10046" spans="1:5">
      <c r="A10046" s="2" t="s">
        <v>296</v>
      </c>
      <c r="B10046" s="2" t="str">
        <f>"1127062"</f>
        <v>1127062</v>
      </c>
      <c r="C10046" s="2" t="str">
        <f>"1127062"</f>
        <v>1127062</v>
      </c>
      <c r="D10046" s="2" t="s">
        <v>12623</v>
      </c>
      <c r="E10046" s="4">
        <v>25466</v>
      </c>
    </row>
    <row r="10047" spans="1:5">
      <c r="A10047" s="2" t="s">
        <v>296</v>
      </c>
      <c r="B10047" s="2" t="str">
        <f>"1127036-0"</f>
        <v>1127036-0</v>
      </c>
      <c r="C10047" s="2" t="str">
        <f>"1127036-0"</f>
        <v>1127036-0</v>
      </c>
      <c r="D10047" s="2" t="s">
        <v>12624</v>
      </c>
      <c r="E10047" s="4">
        <v>14756</v>
      </c>
    </row>
    <row r="10048" spans="1:5">
      <c r="A10048" s="2" t="s">
        <v>296</v>
      </c>
      <c r="B10048" s="2" t="str">
        <f>"016069"</f>
        <v>016069</v>
      </c>
      <c r="C10048" s="2" t="str">
        <f>"016069"</f>
        <v>016069</v>
      </c>
      <c r="D10048" s="2" t="s">
        <v>12625</v>
      </c>
      <c r="E10048" s="4">
        <v>57596</v>
      </c>
    </row>
    <row r="10049" spans="1:5">
      <c r="A10049" s="2" t="s">
        <v>296</v>
      </c>
      <c r="B10049" s="2" t="str">
        <f>"260745"</f>
        <v>260745</v>
      </c>
      <c r="C10049" s="2" t="str">
        <f>"260745"</f>
        <v>260745</v>
      </c>
      <c r="D10049" s="2" t="s">
        <v>12626</v>
      </c>
      <c r="E10049" s="4">
        <v>9800</v>
      </c>
    </row>
    <row r="10050" spans="1:5">
      <c r="A10050" s="2" t="s">
        <v>296</v>
      </c>
      <c r="B10050" s="2" t="str">
        <f>"016771"</f>
        <v>016771</v>
      </c>
      <c r="C10050" s="2" t="str">
        <f>"016771"</f>
        <v>016771</v>
      </c>
      <c r="D10050" s="2" t="s">
        <v>12627</v>
      </c>
      <c r="E10050" s="4">
        <v>21400</v>
      </c>
    </row>
    <row r="10051" spans="1:5">
      <c r="A10051" s="2" t="s">
        <v>296</v>
      </c>
      <c r="B10051" s="2" t="str">
        <f>"0152018"</f>
        <v>0152018</v>
      </c>
      <c r="C10051" s="2" t="str">
        <f>"0152018"</f>
        <v>0152018</v>
      </c>
      <c r="D10051" s="2" t="s">
        <v>12628</v>
      </c>
      <c r="E10051" s="4">
        <v>7000</v>
      </c>
    </row>
    <row r="10052" spans="1:5">
      <c r="A10052" s="2" t="s">
        <v>296</v>
      </c>
      <c r="B10052" s="2" t="str">
        <f>"0412370-0"</f>
        <v>0412370-0</v>
      </c>
      <c r="C10052" s="2" t="str">
        <f>"412370-0"</f>
        <v>412370-0</v>
      </c>
      <c r="D10052" s="2" t="s">
        <v>12629</v>
      </c>
      <c r="E10052" s="4">
        <v>7000</v>
      </c>
    </row>
    <row r="10053" spans="1:5">
      <c r="A10053" s="2" t="s">
        <v>296</v>
      </c>
      <c r="B10053" s="2" t="str">
        <f>"01520189"</f>
        <v>01520189</v>
      </c>
      <c r="C10053" s="2" t="str">
        <f>"01520189"</f>
        <v>01520189</v>
      </c>
      <c r="D10053" s="2" t="s">
        <v>12630</v>
      </c>
      <c r="E10053" s="4">
        <v>7000</v>
      </c>
    </row>
    <row r="10054" spans="1:5">
      <c r="A10054" s="2" t="s">
        <v>296</v>
      </c>
      <c r="B10054" s="2" t="str">
        <f>"245554"</f>
        <v>245554</v>
      </c>
      <c r="C10054" s="2" t="str">
        <f>"245554"</f>
        <v>245554</v>
      </c>
      <c r="D10054" s="2" t="s">
        <v>12631</v>
      </c>
      <c r="E10054" s="4">
        <v>12900</v>
      </c>
    </row>
    <row r="10055" spans="1:5">
      <c r="A10055" s="2" t="s">
        <v>296</v>
      </c>
      <c r="B10055" s="2" t="str">
        <f>"412399-9"</f>
        <v>412399-9</v>
      </c>
      <c r="C10055" s="2" t="str">
        <f>"412399-9"</f>
        <v>412399-9</v>
      </c>
      <c r="D10055" s="2" t="s">
        <v>12632</v>
      </c>
      <c r="E10055" s="4">
        <v>12400</v>
      </c>
    </row>
    <row r="10056" spans="1:5">
      <c r="A10056" s="2" t="s">
        <v>296</v>
      </c>
      <c r="B10056" s="2" t="str">
        <f>"0151013"</f>
        <v>0151013</v>
      </c>
      <c r="C10056" s="2" t="str">
        <f>"0151013"</f>
        <v>0151013</v>
      </c>
      <c r="D10056" s="2" t="s">
        <v>12633</v>
      </c>
      <c r="E10056" s="4">
        <v>8800</v>
      </c>
    </row>
    <row r="10057" spans="1:5">
      <c r="A10057" s="2" t="s">
        <v>296</v>
      </c>
      <c r="B10057" s="2" t="str">
        <f>"0151010"</f>
        <v>0151010</v>
      </c>
      <c r="C10057" s="2" t="str">
        <f>"0151010"</f>
        <v>0151010</v>
      </c>
      <c r="D10057" s="2" t="s">
        <v>12634</v>
      </c>
      <c r="E10057" s="4">
        <v>12400</v>
      </c>
    </row>
    <row r="10058" spans="1:5">
      <c r="A10058" s="2" t="s">
        <v>296</v>
      </c>
      <c r="B10058" s="2" t="str">
        <f>"212686-9"</f>
        <v>212686-9</v>
      </c>
      <c r="C10058" s="2" t="str">
        <f>"212686-9"</f>
        <v>212686-9</v>
      </c>
      <c r="D10058" s="2" t="s">
        <v>12635</v>
      </c>
      <c r="E10058" s="4">
        <v>11543</v>
      </c>
    </row>
    <row r="10059" spans="1:5">
      <c r="A10059" s="2" t="s">
        <v>296</v>
      </c>
      <c r="B10059" s="2" t="str">
        <f>"260762"</f>
        <v>260762</v>
      </c>
      <c r="C10059" s="2" t="str">
        <f>"260762"</f>
        <v>260762</v>
      </c>
      <c r="D10059" s="2" t="s">
        <v>12636</v>
      </c>
      <c r="E10059" s="4">
        <v>12400</v>
      </c>
    </row>
    <row r="10060" spans="1:5">
      <c r="A10060" s="2" t="s">
        <v>296</v>
      </c>
      <c r="B10060" s="2" t="str">
        <f>"245556"</f>
        <v>245556</v>
      </c>
      <c r="C10060" s="2" t="str">
        <f>"245556"</f>
        <v>245556</v>
      </c>
      <c r="D10060" s="2" t="s">
        <v>12637</v>
      </c>
      <c r="E10060" s="4">
        <v>10500</v>
      </c>
    </row>
    <row r="10061" spans="1:5">
      <c r="A10061" s="2" t="s">
        <v>296</v>
      </c>
      <c r="B10061" s="2" t="str">
        <f>"001727010-9"</f>
        <v>001727010-9</v>
      </c>
      <c r="C10061" s="2" t="str">
        <f>"1727010-9"</f>
        <v>1727010-9</v>
      </c>
      <c r="D10061" s="2" t="s">
        <v>12638</v>
      </c>
      <c r="E10061" s="4">
        <v>14500</v>
      </c>
    </row>
    <row r="10062" spans="1:5">
      <c r="A10062" s="2" t="s">
        <v>296</v>
      </c>
      <c r="B10062" s="2" t="str">
        <f>"013774"</f>
        <v>013774</v>
      </c>
      <c r="C10062" s="2" t="str">
        <f>"013774"</f>
        <v>013774</v>
      </c>
      <c r="D10062" s="2" t="s">
        <v>12639</v>
      </c>
      <c r="E10062" s="4">
        <v>14200</v>
      </c>
    </row>
    <row r="10063" spans="1:5">
      <c r="A10063" s="2" t="s">
        <v>296</v>
      </c>
      <c r="B10063" s="2" t="str">
        <f>"245561"</f>
        <v>245561</v>
      </c>
      <c r="C10063" s="2" t="str">
        <f>"245561"</f>
        <v>245561</v>
      </c>
      <c r="D10063" s="2" t="s">
        <v>12640</v>
      </c>
      <c r="E10063" s="4">
        <v>19600</v>
      </c>
    </row>
    <row r="10064" spans="1:5">
      <c r="A10064" s="2" t="s">
        <v>296</v>
      </c>
      <c r="B10064" s="2" t="str">
        <f>"912414-4"</f>
        <v>912414-4</v>
      </c>
      <c r="C10064" s="2" t="str">
        <f>"912414-4"</f>
        <v>912414-4</v>
      </c>
      <c r="D10064" s="2" t="s">
        <v>12641</v>
      </c>
      <c r="E10064" s="4">
        <v>16000</v>
      </c>
    </row>
    <row r="10065" spans="1:5">
      <c r="A10065" s="2" t="s">
        <v>296</v>
      </c>
      <c r="B10065" s="2" t="str">
        <f>"013787"</f>
        <v>013787</v>
      </c>
      <c r="C10065" s="2" t="str">
        <f>"013787"</f>
        <v>013787</v>
      </c>
      <c r="D10065" s="2" t="s">
        <v>12642</v>
      </c>
      <c r="E10065" s="4">
        <v>9900</v>
      </c>
    </row>
    <row r="10066" spans="1:5">
      <c r="A10066" s="2" t="s">
        <v>296</v>
      </c>
      <c r="B10066" s="2" t="str">
        <f>"248496"</f>
        <v>248496</v>
      </c>
      <c r="C10066" s="2" t="str">
        <f>"248496"</f>
        <v>248496</v>
      </c>
      <c r="D10066" s="2" t="s">
        <v>12643</v>
      </c>
      <c r="E10066" s="4">
        <v>16662</v>
      </c>
    </row>
    <row r="10067" spans="1:5">
      <c r="A10067" s="2" t="s">
        <v>296</v>
      </c>
      <c r="B10067" s="2" t="str">
        <f>"1727016-8"</f>
        <v>1727016-8</v>
      </c>
      <c r="C10067" s="2" t="str">
        <f>"1727016-8"</f>
        <v>1727016-8</v>
      </c>
      <c r="D10067" s="2" t="s">
        <v>12644</v>
      </c>
      <c r="E10067" s="4">
        <v>10472</v>
      </c>
    </row>
    <row r="10068" spans="1:5">
      <c r="A10068" s="2" t="s">
        <v>296</v>
      </c>
      <c r="B10068" s="2" t="str">
        <f>"245631"</f>
        <v>245631</v>
      </c>
      <c r="C10068" s="2" t="str">
        <f>"245631"</f>
        <v>245631</v>
      </c>
      <c r="D10068" s="2" t="s">
        <v>12645</v>
      </c>
      <c r="E10068" s="4">
        <v>28000</v>
      </c>
    </row>
    <row r="10069" spans="1:5">
      <c r="A10069" s="2" t="s">
        <v>296</v>
      </c>
      <c r="B10069" s="2" t="str">
        <f>"20245084"</f>
        <v>20245084</v>
      </c>
      <c r="C10069" s="2" t="str">
        <f>"20245084"</f>
        <v>20245084</v>
      </c>
      <c r="D10069" s="2" t="s">
        <v>12646</v>
      </c>
      <c r="E10069" s="4">
        <v>9000</v>
      </c>
    </row>
    <row r="10070" spans="1:5">
      <c r="A10070" s="2" t="s">
        <v>296</v>
      </c>
      <c r="B10070" s="2" t="str">
        <f>"245462"</f>
        <v>245462</v>
      </c>
      <c r="C10070" s="2" t="str">
        <f>"245462"</f>
        <v>245462</v>
      </c>
      <c r="D10070" s="2" t="s">
        <v>12647</v>
      </c>
      <c r="E10070" s="4">
        <v>16000</v>
      </c>
    </row>
    <row r="10071" spans="1:5">
      <c r="A10071" s="2" t="s">
        <v>296</v>
      </c>
      <c r="B10071" s="2" t="str">
        <f>"013832"</f>
        <v>013832</v>
      </c>
      <c r="C10071" s="2" t="str">
        <f>"013832"</f>
        <v>013832</v>
      </c>
      <c r="D10071" s="2" t="s">
        <v>12648</v>
      </c>
      <c r="E10071" s="4">
        <v>15100</v>
      </c>
    </row>
    <row r="10072" spans="1:5">
      <c r="A10072" s="2" t="s">
        <v>296</v>
      </c>
      <c r="B10072" s="2" t="str">
        <f>"245474"</f>
        <v>245474</v>
      </c>
      <c r="C10072" s="2" t="str">
        <f>"245474"</f>
        <v>245474</v>
      </c>
      <c r="D10072" s="2" t="s">
        <v>12649</v>
      </c>
      <c r="E10072" s="4">
        <v>12400</v>
      </c>
    </row>
    <row r="10073" spans="1:5">
      <c r="A10073" s="2" t="s">
        <v>296</v>
      </c>
      <c r="B10073" s="2" t="str">
        <f>"015381"</f>
        <v>015381</v>
      </c>
      <c r="C10073" s="2" t="str">
        <f>"015381"</f>
        <v>015381</v>
      </c>
      <c r="D10073" s="2" t="s">
        <v>12650</v>
      </c>
      <c r="E10073" s="4">
        <v>28600</v>
      </c>
    </row>
    <row r="10074" spans="1:5">
      <c r="A10074" s="2" t="s">
        <v>296</v>
      </c>
      <c r="B10074" s="2" t="str">
        <f>"4227005-9"</f>
        <v>4227005-9</v>
      </c>
      <c r="C10074" s="2" t="str">
        <f>"4227005-9"</f>
        <v>4227005-9</v>
      </c>
      <c r="D10074" s="2" t="s">
        <v>12651</v>
      </c>
      <c r="E10074" s="4">
        <v>9700</v>
      </c>
    </row>
    <row r="10075" spans="1:5">
      <c r="A10075" s="2" t="s">
        <v>296</v>
      </c>
      <c r="B10075" s="2" t="str">
        <f>"1284014"</f>
        <v>1284014</v>
      </c>
      <c r="C10075" s="2" t="str">
        <f>"1284014"</f>
        <v>1284014</v>
      </c>
      <c r="D10075" s="2" t="s">
        <v>12652</v>
      </c>
      <c r="E10075" s="4">
        <v>7000</v>
      </c>
    </row>
    <row r="10076" spans="1:5">
      <c r="A10076" s="2" t="s">
        <v>296</v>
      </c>
      <c r="B10076" s="2" t="str">
        <f>"0799-002"</f>
        <v>0799-002</v>
      </c>
      <c r="C10076" s="2" t="str">
        <f>"0799-002"</f>
        <v>0799-002</v>
      </c>
      <c r="D10076" s="2" t="s">
        <v>12653</v>
      </c>
      <c r="E10076" s="4">
        <v>12400</v>
      </c>
    </row>
    <row r="10077" spans="1:5">
      <c r="A10077" s="2" t="s">
        <v>296</v>
      </c>
      <c r="B10077" s="2" t="str">
        <f>"1220278"</f>
        <v>1220278</v>
      </c>
      <c r="C10077" s="2" t="str">
        <f>"1220278"</f>
        <v>1220278</v>
      </c>
      <c r="D10077" s="2" t="s">
        <v>12654</v>
      </c>
      <c r="E10077" s="4">
        <v>32200</v>
      </c>
    </row>
    <row r="10078" spans="1:5">
      <c r="A10078" s="2" t="s">
        <v>296</v>
      </c>
      <c r="B10078" s="2" t="s">
        <v>12655</v>
      </c>
      <c r="C10078" s="2" t="s">
        <v>12655</v>
      </c>
      <c r="D10078" s="2" t="s">
        <v>12656</v>
      </c>
      <c r="E10078" s="4">
        <v>12000</v>
      </c>
    </row>
    <row r="10079" spans="1:5">
      <c r="A10079" s="2" t="s">
        <v>296</v>
      </c>
      <c r="B10079" s="2" t="str">
        <f>"013784"</f>
        <v>013784</v>
      </c>
      <c r="C10079" s="2" t="str">
        <f>"013784"</f>
        <v>013784</v>
      </c>
      <c r="D10079" s="2" t="s">
        <v>12657</v>
      </c>
      <c r="E10079" s="4">
        <v>9700</v>
      </c>
    </row>
    <row r="10080" spans="1:5">
      <c r="A10080" s="2" t="s">
        <v>296</v>
      </c>
      <c r="B10080" s="2" t="str">
        <f>"013835"</f>
        <v>013835</v>
      </c>
      <c r="C10080" s="2" t="str">
        <f>"013835"</f>
        <v>013835</v>
      </c>
      <c r="D10080" s="2" t="s">
        <v>12658</v>
      </c>
      <c r="E10080" s="4">
        <v>16000</v>
      </c>
    </row>
    <row r="10081" spans="1:5">
      <c r="A10081" s="2" t="s">
        <v>296</v>
      </c>
      <c r="B10081" s="2" t="str">
        <f>"0799-060"</f>
        <v>0799-060</v>
      </c>
      <c r="C10081" s="2" t="str">
        <f>"0799-060"</f>
        <v>0799-060</v>
      </c>
      <c r="D10081" s="2" t="s">
        <v>12659</v>
      </c>
      <c r="E10081" s="4">
        <v>9700</v>
      </c>
    </row>
    <row r="10082" spans="1:5">
      <c r="A10082" s="2" t="s">
        <v>296</v>
      </c>
      <c r="B10082" s="2" t="str">
        <f>"1327000-7"</f>
        <v>1327000-7</v>
      </c>
      <c r="C10082" s="2" t="str">
        <f>"1327000-7"</f>
        <v>1327000-7</v>
      </c>
      <c r="D10082" s="2" t="s">
        <v>12660</v>
      </c>
      <c r="E10082" s="4">
        <v>11500</v>
      </c>
    </row>
    <row r="10083" spans="1:5">
      <c r="A10083" s="2" t="s">
        <v>296</v>
      </c>
      <c r="B10083" s="2" t="str">
        <f>"260725"</f>
        <v>260725</v>
      </c>
      <c r="C10083" s="2" t="str">
        <f>"260725"</f>
        <v>260725</v>
      </c>
      <c r="D10083" s="2" t="s">
        <v>12661</v>
      </c>
      <c r="E10083" s="4">
        <v>13300</v>
      </c>
    </row>
    <row r="10084" spans="1:5">
      <c r="A10084" s="2" t="s">
        <v>296</v>
      </c>
      <c r="B10084" s="2" t="str">
        <f>"013799"</f>
        <v>013799</v>
      </c>
      <c r="C10084" s="2" t="str">
        <f>"013799"</f>
        <v>013799</v>
      </c>
      <c r="D10084" s="2" t="s">
        <v>12661</v>
      </c>
      <c r="E10084" s="4">
        <v>15100</v>
      </c>
    </row>
    <row r="10085" spans="1:5">
      <c r="A10085" s="2" t="s">
        <v>296</v>
      </c>
      <c r="B10085" s="2" t="str">
        <f>"1127063-8"</f>
        <v>1127063-8</v>
      </c>
      <c r="C10085" s="2" t="str">
        <f>"1127063-8"</f>
        <v>1127063-8</v>
      </c>
      <c r="D10085" s="2" t="s">
        <v>12662</v>
      </c>
      <c r="E10085" s="4">
        <v>17000</v>
      </c>
    </row>
    <row r="10086" spans="1:5">
      <c r="A10086" s="2" t="s">
        <v>296</v>
      </c>
      <c r="B10086" s="2" t="str">
        <f>"002227000-1"</f>
        <v>002227000-1</v>
      </c>
      <c r="C10086" s="2" t="str">
        <f>"002227000-1"</f>
        <v>002227000-1</v>
      </c>
      <c r="D10086" s="2" t="s">
        <v>12663</v>
      </c>
      <c r="E10086" s="4">
        <v>8800</v>
      </c>
    </row>
    <row r="10087" spans="1:5">
      <c r="A10087" s="2" t="s">
        <v>296</v>
      </c>
      <c r="B10087" s="2" t="str">
        <f>"0008508"</f>
        <v>0008508</v>
      </c>
      <c r="C10087" s="2" t="str">
        <f>"0008508"</f>
        <v>0008508</v>
      </c>
      <c r="D10087" s="2" t="s">
        <v>12664</v>
      </c>
      <c r="E10087" s="4">
        <v>34000</v>
      </c>
    </row>
    <row r="10088" spans="1:5">
      <c r="A10088" s="2" t="s">
        <v>296</v>
      </c>
      <c r="B10088" s="2" t="str">
        <f>"260766"</f>
        <v>260766</v>
      </c>
      <c r="C10088" s="2" t="str">
        <f>"260766"</f>
        <v>260766</v>
      </c>
      <c r="D10088" s="2" t="s">
        <v>12665</v>
      </c>
      <c r="E10088" s="4">
        <v>34000</v>
      </c>
    </row>
    <row r="10089" spans="1:5">
      <c r="A10089" s="2" t="s">
        <v>296</v>
      </c>
      <c r="B10089" s="2" t="str">
        <f>"1727034-6"</f>
        <v>1727034-6</v>
      </c>
      <c r="C10089" s="2" t="str">
        <f>"1727034-6"</f>
        <v>1727034-6</v>
      </c>
      <c r="D10089" s="2" t="s">
        <v>12666</v>
      </c>
      <c r="E10089" s="4">
        <v>14200</v>
      </c>
    </row>
    <row r="10090" spans="1:5">
      <c r="A10090" s="2" t="s">
        <v>296</v>
      </c>
      <c r="B10090" s="2" t="str">
        <f>"245630"</f>
        <v>245630</v>
      </c>
      <c r="C10090" s="2" t="str">
        <f>"245630"</f>
        <v>245630</v>
      </c>
      <c r="D10090" s="2" t="s">
        <v>12667</v>
      </c>
      <c r="E10090" s="4">
        <v>28600</v>
      </c>
    </row>
    <row r="10091" spans="1:5">
      <c r="A10091" s="2" t="s">
        <v>296</v>
      </c>
      <c r="B10091" s="2" t="str">
        <f>"245490"</f>
        <v>245490</v>
      </c>
      <c r="C10091" s="2" t="str">
        <f>"245490"</f>
        <v>245490</v>
      </c>
      <c r="D10091" s="2" t="s">
        <v>12668</v>
      </c>
      <c r="E10091" s="4">
        <v>11500</v>
      </c>
    </row>
    <row r="10092" spans="1:5">
      <c r="A10092" s="2" t="s">
        <v>296</v>
      </c>
      <c r="B10092" s="2" t="str">
        <f>"013830"</f>
        <v>013830</v>
      </c>
      <c r="C10092" s="2" t="str">
        <f>"013830"</f>
        <v>013830</v>
      </c>
      <c r="D10092" s="2" t="s">
        <v>12669</v>
      </c>
      <c r="E10092" s="4">
        <v>16900</v>
      </c>
    </row>
    <row r="10093" spans="1:5">
      <c r="A10093" s="2" t="s">
        <v>296</v>
      </c>
      <c r="B10093" s="2" t="str">
        <f>"013839"</f>
        <v>013839</v>
      </c>
      <c r="C10093" s="2" t="str">
        <f>"013839"</f>
        <v>013839</v>
      </c>
      <c r="D10093" s="2" t="s">
        <v>12670</v>
      </c>
      <c r="E10093" s="4">
        <v>18700</v>
      </c>
    </row>
    <row r="10094" spans="1:5">
      <c r="A10094" s="2" t="s">
        <v>296</v>
      </c>
      <c r="B10094" s="2" t="str">
        <f>"245639"</f>
        <v>245639</v>
      </c>
      <c r="C10094" s="2" t="str">
        <f>"245639"</f>
        <v>245639</v>
      </c>
      <c r="D10094" s="2" t="s">
        <v>12671</v>
      </c>
      <c r="E10094" s="4">
        <v>17800</v>
      </c>
    </row>
    <row r="10095" spans="1:5">
      <c r="A10095" s="2" t="s">
        <v>296</v>
      </c>
      <c r="B10095" s="2" t="str">
        <f>"260759"</f>
        <v>260759</v>
      </c>
      <c r="C10095" s="2" t="str">
        <f>"260759"</f>
        <v>260759</v>
      </c>
      <c r="D10095" s="2" t="s">
        <v>12672</v>
      </c>
      <c r="E10095" s="4">
        <v>18700</v>
      </c>
    </row>
    <row r="10096" spans="1:5">
      <c r="A10096" s="2" t="s">
        <v>296</v>
      </c>
      <c r="B10096" s="2" t="str">
        <f>"013785"</f>
        <v>013785</v>
      </c>
      <c r="C10096" s="2" t="str">
        <f>"013785"</f>
        <v>013785</v>
      </c>
      <c r="D10096" s="2" t="s">
        <v>12673</v>
      </c>
      <c r="E10096" s="4">
        <v>11500</v>
      </c>
    </row>
    <row r="10097" spans="1:5">
      <c r="A10097" s="2" t="s">
        <v>296</v>
      </c>
      <c r="B10097" s="2" t="str">
        <f>"013837"</f>
        <v>013837</v>
      </c>
      <c r="C10097" s="2" t="str">
        <f>"013837"</f>
        <v>013837</v>
      </c>
      <c r="D10097" s="2" t="s">
        <v>12674</v>
      </c>
      <c r="E10097" s="4">
        <v>16000</v>
      </c>
    </row>
    <row r="10098" spans="1:5">
      <c r="A10098" s="2" t="s">
        <v>296</v>
      </c>
      <c r="B10098" s="2" t="str">
        <f>"1227070-4"</f>
        <v>1227070-4</v>
      </c>
      <c r="C10098" s="2" t="str">
        <f>"1227070-4 9951745"</f>
        <v>1227070-4 9951745</v>
      </c>
      <c r="D10098" s="2" t="s">
        <v>12675</v>
      </c>
      <c r="E10098" s="4">
        <v>8800</v>
      </c>
    </row>
    <row r="10099" spans="1:5">
      <c r="A10099" s="2" t="s">
        <v>296</v>
      </c>
      <c r="B10099" s="2" t="str">
        <f>"2127025-3"</f>
        <v>2127025-3</v>
      </c>
      <c r="C10099" s="2" t="str">
        <f>"2127025-3"</f>
        <v>2127025-3</v>
      </c>
      <c r="D10099" s="2" t="s">
        <v>12676</v>
      </c>
      <c r="E10099" s="4">
        <v>13300</v>
      </c>
    </row>
    <row r="10100" spans="1:5">
      <c r="A10100" s="2" t="s">
        <v>296</v>
      </c>
      <c r="B10100" s="2" t="str">
        <f>"1127001-8"</f>
        <v>1127001-8</v>
      </c>
      <c r="C10100" s="2" t="str">
        <f>"1127001-8"</f>
        <v>1127001-8</v>
      </c>
      <c r="D10100" s="2" t="s">
        <v>12677</v>
      </c>
      <c r="E10100" s="4">
        <v>8800</v>
      </c>
    </row>
    <row r="10101" spans="1:5">
      <c r="A10101" s="2" t="s">
        <v>296</v>
      </c>
      <c r="B10101" s="2" t="str">
        <f>"1127000-K"</f>
        <v>1127000-K</v>
      </c>
      <c r="C10101" s="2" t="str">
        <f>"1127000-K"</f>
        <v>1127000-K</v>
      </c>
      <c r="D10101" s="2" t="s">
        <v>12677</v>
      </c>
      <c r="E10101" s="4">
        <v>7500</v>
      </c>
    </row>
    <row r="10102" spans="1:5">
      <c r="A10102" s="2" t="s">
        <v>296</v>
      </c>
      <c r="B10102" s="2" t="str">
        <f>"260715"</f>
        <v>260715</v>
      </c>
      <c r="C10102" s="2" t="str">
        <f>"260715"</f>
        <v>260715</v>
      </c>
      <c r="D10102" s="2" t="s">
        <v>12678</v>
      </c>
      <c r="E10102" s="4">
        <v>16000</v>
      </c>
    </row>
    <row r="10103" spans="1:5">
      <c r="A10103" s="2" t="s">
        <v>296</v>
      </c>
      <c r="B10103" s="2" t="str">
        <f>"015384"</f>
        <v>015384</v>
      </c>
      <c r="C10103" s="2" t="str">
        <f>"015384"</f>
        <v>015384</v>
      </c>
      <c r="D10103" s="2" t="s">
        <v>12679</v>
      </c>
      <c r="E10103" s="4">
        <v>11500</v>
      </c>
    </row>
    <row r="10104" spans="1:5">
      <c r="A10104" s="2" t="s">
        <v>296</v>
      </c>
      <c r="B10104" s="2" t="str">
        <f>"412357-5"</f>
        <v>412357-5</v>
      </c>
      <c r="C10104" s="2" t="str">
        <f>"412357-5"</f>
        <v>412357-5</v>
      </c>
      <c r="D10104" s="2" t="s">
        <v>12679</v>
      </c>
      <c r="E10104" s="4">
        <v>11000</v>
      </c>
    </row>
    <row r="10105" spans="1:5">
      <c r="A10105" s="2" t="s">
        <v>296</v>
      </c>
      <c r="B10105" s="2" t="s">
        <v>12680</v>
      </c>
      <c r="C10105" s="2" t="s">
        <v>12680</v>
      </c>
      <c r="D10105" s="2" t="s">
        <v>12681</v>
      </c>
      <c r="E10105" s="4">
        <v>8000</v>
      </c>
    </row>
    <row r="10106" spans="1:5">
      <c r="A10106" s="2" t="s">
        <v>296</v>
      </c>
      <c r="B10106" s="2" t="str">
        <f>"24TK308B-2"</f>
        <v>24TK308B-2</v>
      </c>
      <c r="C10106" s="2" t="str">
        <f>"24TK308B-2"</f>
        <v>24TK308B-2</v>
      </c>
      <c r="D10106" s="2" t="s">
        <v>12682</v>
      </c>
      <c r="E10106" s="4">
        <v>7000</v>
      </c>
    </row>
    <row r="10107" spans="1:5">
      <c r="A10107" s="2" t="s">
        <v>296</v>
      </c>
      <c r="B10107" s="2" t="str">
        <f>"245629"</f>
        <v>245629</v>
      </c>
      <c r="C10107" s="2" t="str">
        <f>"245629"</f>
        <v>245629</v>
      </c>
      <c r="D10107" s="2" t="s">
        <v>12683</v>
      </c>
      <c r="E10107" s="4">
        <v>29000</v>
      </c>
    </row>
    <row r="10108" spans="1:5">
      <c r="A10108" s="2" t="s">
        <v>296</v>
      </c>
      <c r="B10108" s="2" t="str">
        <f>"016487"</f>
        <v>016487</v>
      </c>
      <c r="C10108" s="2" t="str">
        <f>"016487"</f>
        <v>016487</v>
      </c>
      <c r="D10108" s="2" t="s">
        <v>12684</v>
      </c>
      <c r="E10108" s="4">
        <v>11500</v>
      </c>
    </row>
    <row r="10109" spans="1:5">
      <c r="A10109" s="2" t="s">
        <v>296</v>
      </c>
      <c r="B10109" s="2" t="str">
        <f>"245545"</f>
        <v>245545</v>
      </c>
      <c r="C10109" s="2" t="str">
        <f>"245545"</f>
        <v>245545</v>
      </c>
      <c r="D10109" s="2" t="s">
        <v>12685</v>
      </c>
      <c r="E10109" s="4">
        <v>16000</v>
      </c>
    </row>
    <row r="10110" spans="1:5">
      <c r="A10110" s="2" t="s">
        <v>296</v>
      </c>
      <c r="B10110" s="2" t="str">
        <f>"7003583"</f>
        <v>7003583</v>
      </c>
      <c r="C10110" s="2" t="str">
        <f>"7003583"</f>
        <v>7003583</v>
      </c>
      <c r="D10110" s="2" t="s">
        <v>12686</v>
      </c>
      <c r="E10110" s="4">
        <v>19000</v>
      </c>
    </row>
    <row r="10111" spans="1:5">
      <c r="A10111" s="2" t="s">
        <v>296</v>
      </c>
      <c r="B10111" s="2" t="str">
        <f>"000412369-7"</f>
        <v>000412369-7</v>
      </c>
      <c r="C10111" s="2" t="str">
        <f>"000412369-7"</f>
        <v>000412369-7</v>
      </c>
      <c r="D10111" s="2" t="s">
        <v>12687</v>
      </c>
      <c r="E10111" s="4">
        <v>8800</v>
      </c>
    </row>
    <row r="10112" spans="1:5">
      <c r="A10112" s="2" t="s">
        <v>296</v>
      </c>
      <c r="B10112" s="2" t="str">
        <f>"015291"</f>
        <v>015291</v>
      </c>
      <c r="C10112" s="2" t="str">
        <f>"015291"</f>
        <v>015291</v>
      </c>
      <c r="D10112" s="2" t="s">
        <v>12688</v>
      </c>
      <c r="E10112" s="4">
        <v>9700</v>
      </c>
    </row>
    <row r="10113" spans="1:5">
      <c r="A10113" s="2" t="s">
        <v>296</v>
      </c>
      <c r="B10113" s="2" t="str">
        <f>"245475"</f>
        <v>245475</v>
      </c>
      <c r="C10113" s="2" t="str">
        <f>"245475"</f>
        <v>245475</v>
      </c>
      <c r="D10113" s="2" t="s">
        <v>12688</v>
      </c>
      <c r="E10113" s="4">
        <v>7000</v>
      </c>
    </row>
    <row r="10114" spans="1:5">
      <c r="A10114" s="2" t="s">
        <v>296</v>
      </c>
      <c r="B10114" s="2" t="str">
        <f>"1024-4461"</f>
        <v>1024-4461</v>
      </c>
      <c r="C10114" s="2" t="str">
        <f>"1024-4461"</f>
        <v>1024-4461</v>
      </c>
      <c r="D10114" s="2" t="s">
        <v>12688</v>
      </c>
      <c r="E10114" s="4">
        <v>6000</v>
      </c>
    </row>
    <row r="10115" spans="1:5">
      <c r="A10115" s="2" t="s">
        <v>296</v>
      </c>
      <c r="B10115" s="2" t="str">
        <f>"245482"</f>
        <v>245482</v>
      </c>
      <c r="C10115" s="2" t="str">
        <f>"245482"</f>
        <v>245482</v>
      </c>
      <c r="D10115" s="2" t="s">
        <v>12689</v>
      </c>
      <c r="E10115" s="4">
        <v>8800</v>
      </c>
    </row>
    <row r="10116" spans="1:5">
      <c r="A10116" s="2" t="s">
        <v>296</v>
      </c>
      <c r="B10116" s="2" t="str">
        <f>"015603"</f>
        <v>015603</v>
      </c>
      <c r="C10116" s="2" t="str">
        <f>"015603"</f>
        <v>015603</v>
      </c>
      <c r="D10116" s="2" t="s">
        <v>12690</v>
      </c>
      <c r="E10116" s="4">
        <v>14200</v>
      </c>
    </row>
    <row r="10117" spans="1:5">
      <c r="A10117" s="2" t="s">
        <v>296</v>
      </c>
      <c r="B10117" s="2" t="str">
        <f>"0152417"</f>
        <v>0152417</v>
      </c>
      <c r="C10117" s="2" t="str">
        <f>"0152417"</f>
        <v>0152417</v>
      </c>
      <c r="D10117" s="2" t="s">
        <v>12691</v>
      </c>
      <c r="E10117" s="4">
        <v>8800</v>
      </c>
    </row>
    <row r="10118" spans="1:5">
      <c r="A10118" s="2" t="s">
        <v>296</v>
      </c>
      <c r="B10118" s="2" t="str">
        <f>"1024-4470"</f>
        <v>1024-4470</v>
      </c>
      <c r="C10118" s="2" t="str">
        <f>"1024-4470"</f>
        <v>1024-4470</v>
      </c>
      <c r="D10118" s="2" t="s">
        <v>12692</v>
      </c>
      <c r="E10118" s="4">
        <v>7000</v>
      </c>
    </row>
    <row r="10119" spans="1:5">
      <c r="A10119" s="2" t="s">
        <v>296</v>
      </c>
      <c r="B10119" s="2" t="str">
        <f>"002227016-8"</f>
        <v>002227016-8</v>
      </c>
      <c r="C10119" s="2" t="str">
        <f>"002227016-8"</f>
        <v>002227016-8</v>
      </c>
      <c r="D10119" s="2" t="s">
        <v>12693</v>
      </c>
      <c r="E10119" s="4">
        <v>10600</v>
      </c>
    </row>
    <row r="10120" spans="1:5">
      <c r="A10120" s="2" t="s">
        <v>296</v>
      </c>
      <c r="B10120" s="2" t="str">
        <f>"7902523"</f>
        <v>7902523</v>
      </c>
      <c r="C10120" s="2" t="str">
        <f>"7902523"</f>
        <v>7902523</v>
      </c>
      <c r="D10120" s="2" t="s">
        <v>12694</v>
      </c>
      <c r="E10120" s="4">
        <v>8500</v>
      </c>
    </row>
    <row r="10121" spans="1:5">
      <c r="A10121" s="2" t="s">
        <v>296</v>
      </c>
      <c r="B10121" s="2" t="str">
        <f>"3727001-6"</f>
        <v>3727001-6</v>
      </c>
      <c r="C10121" s="2" t="str">
        <f>"3727001-6"</f>
        <v>3727001-6</v>
      </c>
      <c r="D10121" s="2" t="s">
        <v>12695</v>
      </c>
      <c r="E10121" s="4">
        <v>24900</v>
      </c>
    </row>
    <row r="10122" spans="1:5">
      <c r="A10122" s="2" t="s">
        <v>296</v>
      </c>
      <c r="B10122" s="2" t="str">
        <f>"1726501-6"</f>
        <v>1726501-6</v>
      </c>
      <c r="C10122" s="2" t="str">
        <f>"1726501-6"</f>
        <v>1726501-6</v>
      </c>
      <c r="D10122" s="2" t="s">
        <v>12696</v>
      </c>
      <c r="E10122" s="4">
        <v>12400</v>
      </c>
    </row>
    <row r="10123" spans="1:5">
      <c r="A10123" s="2" t="s">
        <v>296</v>
      </c>
      <c r="B10123" s="2" t="str">
        <f>"013842"</f>
        <v>013842</v>
      </c>
      <c r="C10123" s="2" t="str">
        <f>"013842"</f>
        <v>013842</v>
      </c>
      <c r="D10123" s="2" t="s">
        <v>12697</v>
      </c>
      <c r="E10123" s="4">
        <v>24100</v>
      </c>
    </row>
    <row r="10124" spans="1:5">
      <c r="A10124" s="2" t="s">
        <v>296</v>
      </c>
      <c r="B10124" s="2" t="str">
        <f>"001727033-8"</f>
        <v>001727033-8</v>
      </c>
      <c r="C10124" s="2" t="str">
        <f>"001727033-8"</f>
        <v>001727033-8</v>
      </c>
      <c r="D10124" s="2" t="s">
        <v>12698</v>
      </c>
      <c r="E10124" s="4">
        <v>24000</v>
      </c>
    </row>
    <row r="10125" spans="1:5">
      <c r="A10125" s="2" t="s">
        <v>296</v>
      </c>
      <c r="B10125" s="2" t="str">
        <f>"017147"</f>
        <v>017147</v>
      </c>
      <c r="C10125" s="2" t="str">
        <f>"017147"</f>
        <v>017147</v>
      </c>
      <c r="D10125" s="2" t="s">
        <v>12699</v>
      </c>
      <c r="E10125" s="4">
        <v>15100</v>
      </c>
    </row>
    <row r="10126" spans="1:5">
      <c r="A10126" s="2" t="s">
        <v>296</v>
      </c>
      <c r="B10126" s="2" t="str">
        <f>"0713775"</f>
        <v>0713775</v>
      </c>
      <c r="C10126" s="2" t="str">
        <f>"0713775"</f>
        <v>0713775</v>
      </c>
      <c r="D10126" s="2" t="s">
        <v>12700</v>
      </c>
      <c r="E10126" s="4">
        <v>12400</v>
      </c>
    </row>
    <row r="10127" spans="1:5">
      <c r="A10127" s="2" t="s">
        <v>296</v>
      </c>
      <c r="B10127" s="2" t="str">
        <f>"1727027-3"</f>
        <v>1727027-3</v>
      </c>
      <c r="C10127" s="2" t="str">
        <f>"1727027-3"</f>
        <v>1727027-3</v>
      </c>
      <c r="D10127" s="2" t="s">
        <v>12701</v>
      </c>
      <c r="E10127" s="4">
        <v>16000</v>
      </c>
    </row>
    <row r="10128" spans="1:5">
      <c r="A10128" s="2" t="s">
        <v>296</v>
      </c>
      <c r="B10128" s="2" t="str">
        <f>"1727042-7"</f>
        <v>1727042-7</v>
      </c>
      <c r="C10128" s="2" t="str">
        <f>"1727042-7"</f>
        <v>1727042-7</v>
      </c>
      <c r="D10128" s="2" t="s">
        <v>12702</v>
      </c>
      <c r="E10128" s="4">
        <v>8800</v>
      </c>
    </row>
    <row r="10129" spans="1:5">
      <c r="A10129" s="2" t="s">
        <v>296</v>
      </c>
      <c r="B10129" s="2" t="str">
        <f>"245557"</f>
        <v>245557</v>
      </c>
      <c r="C10129" s="2" t="str">
        <f>"245557"</f>
        <v>245557</v>
      </c>
      <c r="D10129" s="2" t="s">
        <v>12703</v>
      </c>
      <c r="E10129" s="4">
        <v>10900</v>
      </c>
    </row>
    <row r="10130" spans="1:5">
      <c r="A10130" s="2" t="s">
        <v>296</v>
      </c>
      <c r="B10130" s="2" t="str">
        <f>"1427005-1"</f>
        <v>1427005-1</v>
      </c>
      <c r="C10130" s="2" t="str">
        <f>"1427005-1"</f>
        <v>1427005-1</v>
      </c>
      <c r="D10130" s="2" t="s">
        <v>12704</v>
      </c>
      <c r="E10130" s="4">
        <v>11500</v>
      </c>
    </row>
    <row r="10131" spans="1:5">
      <c r="A10131" s="2" t="s">
        <v>296</v>
      </c>
      <c r="B10131" s="2" t="str">
        <f>"015024"</f>
        <v>015024</v>
      </c>
      <c r="C10131" s="2" t="str">
        <f>"015024"</f>
        <v>015024</v>
      </c>
      <c r="D10131" s="2" t="s">
        <v>12705</v>
      </c>
      <c r="E10131" s="4">
        <v>9700</v>
      </c>
    </row>
    <row r="10132" spans="1:5">
      <c r="A10132" s="2" t="s">
        <v>296</v>
      </c>
      <c r="B10132" s="2" t="str">
        <f>"245637"</f>
        <v>245637</v>
      </c>
      <c r="C10132" s="2" t="str">
        <f>"245637"</f>
        <v>245637</v>
      </c>
      <c r="D10132" s="2" t="s">
        <v>12706</v>
      </c>
      <c r="E10132" s="4">
        <v>15000</v>
      </c>
    </row>
    <row r="10133" spans="1:5">
      <c r="A10133" s="2" t="s">
        <v>296</v>
      </c>
      <c r="B10133" s="2" t="str">
        <f>"799-302"</f>
        <v>799-302</v>
      </c>
      <c r="C10133" s="2" t="str">
        <f>"799-302"</f>
        <v>799-302</v>
      </c>
      <c r="D10133" s="2" t="s">
        <v>12707</v>
      </c>
      <c r="E10133" s="4">
        <v>8500</v>
      </c>
    </row>
    <row r="10134" spans="1:5">
      <c r="A10134" s="2" t="s">
        <v>296</v>
      </c>
      <c r="B10134" s="2" t="str">
        <f>"015516"</f>
        <v>015516</v>
      </c>
      <c r="C10134" s="2" t="str">
        <f>"015516"</f>
        <v>015516</v>
      </c>
      <c r="D10134" s="2" t="s">
        <v>12708</v>
      </c>
      <c r="E10134" s="4">
        <v>18700</v>
      </c>
    </row>
    <row r="10135" spans="1:5">
      <c r="A10135" s="2" t="s">
        <v>296</v>
      </c>
      <c r="B10135" s="2" t="s">
        <v>12709</v>
      </c>
      <c r="C10135" s="2" t="s">
        <v>12709</v>
      </c>
      <c r="D10135" s="2" t="s">
        <v>12710</v>
      </c>
      <c r="E10135" s="4">
        <v>19500</v>
      </c>
    </row>
    <row r="10136" spans="1:5">
      <c r="A10136" s="2" t="s">
        <v>296</v>
      </c>
      <c r="B10136" s="2" t="str">
        <f>"013791"</f>
        <v>013791</v>
      </c>
      <c r="C10136" s="2" t="str">
        <f>"013791"</f>
        <v>013791</v>
      </c>
      <c r="D10136" s="2" t="s">
        <v>12710</v>
      </c>
      <c r="E10136" s="4">
        <v>22800</v>
      </c>
    </row>
    <row r="10137" spans="1:5">
      <c r="A10137" s="2" t="s">
        <v>296</v>
      </c>
      <c r="B10137" s="2" t="str">
        <f>"000920010-K"</f>
        <v>000920010-K</v>
      </c>
      <c r="C10137" s="2" t="str">
        <f>"000920010-K"</f>
        <v>000920010-K</v>
      </c>
      <c r="D10137" s="2" t="s">
        <v>12711</v>
      </c>
      <c r="E10137" s="4">
        <v>17800</v>
      </c>
    </row>
    <row r="10138" spans="1:5">
      <c r="A10138" s="2" t="s">
        <v>296</v>
      </c>
      <c r="B10138" s="2" t="str">
        <f>"245487"</f>
        <v>245487</v>
      </c>
      <c r="C10138" s="2" t="str">
        <f>"245487"</f>
        <v>245487</v>
      </c>
      <c r="D10138" s="2" t="s">
        <v>12711</v>
      </c>
      <c r="E10138" s="4">
        <v>11500</v>
      </c>
    </row>
    <row r="10139" spans="1:5">
      <c r="A10139" s="2" t="s">
        <v>296</v>
      </c>
      <c r="B10139" s="2" t="str">
        <f>"7003672"</f>
        <v>7003672</v>
      </c>
      <c r="C10139" s="2" t="str">
        <f>"7003672"</f>
        <v>7003672</v>
      </c>
      <c r="D10139" s="2" t="s">
        <v>12712</v>
      </c>
      <c r="E10139" s="4">
        <v>26800</v>
      </c>
    </row>
    <row r="10140" spans="1:5">
      <c r="A10140" s="2" t="s">
        <v>296</v>
      </c>
      <c r="B10140" s="2" t="str">
        <f>"013758"</f>
        <v>013758</v>
      </c>
      <c r="C10140" s="2" t="str">
        <f>"013758"</f>
        <v>013758</v>
      </c>
      <c r="D10140" s="2" t="s">
        <v>12712</v>
      </c>
      <c r="E10140" s="4">
        <v>22300</v>
      </c>
    </row>
    <row r="10141" spans="1:5">
      <c r="A10141" s="2" t="s">
        <v>296</v>
      </c>
      <c r="B10141" s="2" t="str">
        <f>"230016"</f>
        <v>230016</v>
      </c>
      <c r="C10141" s="2" t="str">
        <f>"230016"</f>
        <v>230016</v>
      </c>
      <c r="D10141" s="2" t="s">
        <v>12713</v>
      </c>
      <c r="E10141" s="4">
        <v>28600</v>
      </c>
    </row>
    <row r="10142" spans="1:5">
      <c r="A10142" s="2" t="s">
        <v>296</v>
      </c>
      <c r="B10142" s="2" t="str">
        <f>"013804"</f>
        <v>013804</v>
      </c>
      <c r="C10142" s="2" t="str">
        <f>"013804"</f>
        <v>013804</v>
      </c>
      <c r="D10142" s="2" t="s">
        <v>12714</v>
      </c>
      <c r="E10142" s="4">
        <v>9800</v>
      </c>
    </row>
    <row r="10143" spans="1:5">
      <c r="A10143" s="2" t="s">
        <v>296</v>
      </c>
      <c r="B10143" s="2" t="str">
        <f>"245496"</f>
        <v>245496</v>
      </c>
      <c r="C10143" s="2" t="str">
        <f>"245496"</f>
        <v>245496</v>
      </c>
      <c r="D10143" s="2" t="s">
        <v>12715</v>
      </c>
      <c r="E10143" s="4">
        <v>16500</v>
      </c>
    </row>
    <row r="10144" spans="1:5">
      <c r="A10144" s="2" t="s">
        <v>296</v>
      </c>
      <c r="B10144" s="2" t="str">
        <f>"245559"</f>
        <v>245559</v>
      </c>
      <c r="C10144" s="2" t="str">
        <f>"245559"</f>
        <v>245559</v>
      </c>
      <c r="D10144" s="2" t="s">
        <v>12716</v>
      </c>
      <c r="E10144" s="4">
        <v>10600</v>
      </c>
    </row>
    <row r="10145" spans="1:5">
      <c r="A10145" s="2" t="s">
        <v>296</v>
      </c>
      <c r="B10145" s="2" t="str">
        <f>"002227020-6"</f>
        <v>002227020-6</v>
      </c>
      <c r="C10145" s="2" t="str">
        <f>"002227020-6"</f>
        <v>002227020-6</v>
      </c>
      <c r="D10145" s="2" t="s">
        <v>12717</v>
      </c>
      <c r="E10145" s="4">
        <v>17800</v>
      </c>
    </row>
    <row r="10146" spans="1:5">
      <c r="A10146" s="2" t="s">
        <v>296</v>
      </c>
      <c r="B10146" s="2" t="str">
        <f>"4284810"</f>
        <v>4284810</v>
      </c>
      <c r="C10146" s="2" t="str">
        <f>"4284810"</f>
        <v>4284810</v>
      </c>
      <c r="D10146" s="2" t="s">
        <v>12718</v>
      </c>
      <c r="E10146" s="4">
        <v>11500</v>
      </c>
    </row>
    <row r="10147" spans="1:5">
      <c r="A10147" s="2" t="s">
        <v>296</v>
      </c>
      <c r="B10147" s="2" t="str">
        <f>"4027013-2"</f>
        <v>4027013-2</v>
      </c>
      <c r="C10147" s="2" t="str">
        <f>"4027013-2"</f>
        <v>4027013-2</v>
      </c>
      <c r="D10147" s="2" t="s">
        <v>12719</v>
      </c>
      <c r="E10147" s="4">
        <v>9700</v>
      </c>
    </row>
    <row r="10148" spans="1:5">
      <c r="A10148" s="2" t="s">
        <v>296</v>
      </c>
      <c r="B10148" s="2" t="s">
        <v>12720</v>
      </c>
      <c r="C10148" s="2" t="str">
        <f>"1442533429"</f>
        <v>1442533429</v>
      </c>
      <c r="D10148" s="2" t="s">
        <v>12721</v>
      </c>
      <c r="E10148" s="4">
        <v>6100</v>
      </c>
    </row>
    <row r="10149" spans="1:5">
      <c r="A10149" s="2" t="s">
        <v>296</v>
      </c>
      <c r="B10149" s="2" t="str">
        <f>"7906410"</f>
        <v>7906410</v>
      </c>
      <c r="C10149" s="2" t="str">
        <f>"7906410"</f>
        <v>7906410</v>
      </c>
      <c r="D10149" s="2" t="s">
        <v>12722</v>
      </c>
      <c r="E10149" s="4">
        <v>9700</v>
      </c>
    </row>
    <row r="10150" spans="1:5">
      <c r="A10150" s="2" t="s">
        <v>296</v>
      </c>
      <c r="B10150" s="2" t="str">
        <f>"007043501"</f>
        <v>007043501</v>
      </c>
      <c r="C10150" s="2" t="str">
        <f>"007043501"</f>
        <v>007043501</v>
      </c>
      <c r="D10150" s="2" t="s">
        <v>12723</v>
      </c>
      <c r="E10150" s="4">
        <v>12800</v>
      </c>
    </row>
    <row r="10151" spans="1:5">
      <c r="A10151" s="2" t="s">
        <v>296</v>
      </c>
      <c r="B10151" s="2" t="s">
        <v>12724</v>
      </c>
      <c r="C10151" s="2" t="s">
        <v>12724</v>
      </c>
      <c r="D10151" s="2" t="s">
        <v>12725</v>
      </c>
      <c r="E10151" s="4">
        <v>7500</v>
      </c>
    </row>
    <row r="10152" spans="1:5">
      <c r="A10152" s="2" t="s">
        <v>296</v>
      </c>
      <c r="B10152" s="2" t="str">
        <f>"080410443"</f>
        <v>080410443</v>
      </c>
      <c r="C10152" s="2" t="str">
        <f>"080410443"</f>
        <v>080410443</v>
      </c>
      <c r="D10152" s="2" t="s">
        <v>12726</v>
      </c>
      <c r="E10152" s="4">
        <v>98800</v>
      </c>
    </row>
    <row r="10153" spans="1:5">
      <c r="A10153" s="2" t="s">
        <v>296</v>
      </c>
      <c r="B10153" s="2" t="str">
        <f>"260734"</f>
        <v>260734</v>
      </c>
      <c r="C10153" s="2" t="str">
        <f>"260734"</f>
        <v>260734</v>
      </c>
      <c r="D10153" s="2" t="s">
        <v>12727</v>
      </c>
      <c r="E10153" s="4">
        <v>43000</v>
      </c>
    </row>
    <row r="10154" spans="1:5">
      <c r="A10154" s="2" t="s">
        <v>296</v>
      </c>
      <c r="B10154" s="2" t="str">
        <f>"1471218"</f>
        <v>1471218</v>
      </c>
      <c r="C10154" s="2" t="str">
        <f>"1471218"</f>
        <v>1471218</v>
      </c>
      <c r="D10154" s="2" t="s">
        <v>12728</v>
      </c>
      <c r="E10154" s="4">
        <v>3400</v>
      </c>
    </row>
    <row r="10155" spans="1:5">
      <c r="A10155" s="2" t="s">
        <v>296</v>
      </c>
      <c r="B10155" s="2" t="str">
        <f>"7044649"</f>
        <v>7044649</v>
      </c>
      <c r="C10155" s="2" t="str">
        <f>"7044649"</f>
        <v>7044649</v>
      </c>
      <c r="D10155" s="2" t="s">
        <v>12729</v>
      </c>
      <c r="E10155" s="4">
        <v>4300</v>
      </c>
    </row>
    <row r="10156" spans="1:5">
      <c r="A10156" s="2" t="s">
        <v>296</v>
      </c>
      <c r="B10156" s="2" t="str">
        <f>"0016339"</f>
        <v>0016339</v>
      </c>
      <c r="C10156" s="2" t="str">
        <f>"0016339"</f>
        <v>0016339</v>
      </c>
      <c r="D10156" s="2" t="s">
        <v>12730</v>
      </c>
      <c r="E10156" s="4">
        <v>9700</v>
      </c>
    </row>
    <row r="10157" spans="1:5">
      <c r="A10157" s="2" t="s">
        <v>296</v>
      </c>
      <c r="B10157" s="2" t="s">
        <v>12731</v>
      </c>
      <c r="C10157" s="2" t="s">
        <v>12731</v>
      </c>
      <c r="D10157" s="2" t="s">
        <v>12730</v>
      </c>
      <c r="E10157" s="4">
        <v>10600</v>
      </c>
    </row>
    <row r="10158" spans="1:5">
      <c r="A10158" s="2" t="s">
        <v>296</v>
      </c>
      <c r="B10158" s="2" t="str">
        <f>"6068149"</f>
        <v>6068149</v>
      </c>
      <c r="C10158" s="2" t="str">
        <f>"6068149"</f>
        <v>6068149</v>
      </c>
      <c r="D10158" s="2" t="s">
        <v>12732</v>
      </c>
      <c r="E10158" s="4">
        <v>14000</v>
      </c>
    </row>
    <row r="10159" spans="1:5">
      <c r="A10159" s="2" t="s">
        <v>296</v>
      </c>
      <c r="B10159" s="2" t="str">
        <f>"716811"</f>
        <v>716811</v>
      </c>
      <c r="C10159" s="2" t="str">
        <f>"716811"</f>
        <v>716811</v>
      </c>
      <c r="D10159" s="2" t="s">
        <v>12733</v>
      </c>
      <c r="E10159" s="4">
        <v>5200</v>
      </c>
    </row>
    <row r="10160" spans="1:5">
      <c r="A10160" s="2" t="s">
        <v>296</v>
      </c>
      <c r="B10160" s="2" t="str">
        <f>"7255548"</f>
        <v>7255548</v>
      </c>
      <c r="C10160" s="2" t="str">
        <f>"7255548"</f>
        <v>7255548</v>
      </c>
      <c r="D10160" s="2" t="s">
        <v>12734</v>
      </c>
      <c r="E10160" s="4">
        <v>43000</v>
      </c>
    </row>
    <row r="10161" spans="1:5">
      <c r="A10161" s="2" t="s">
        <v>296</v>
      </c>
      <c r="B10161" s="2" t="str">
        <f>"7186647"</f>
        <v>7186647</v>
      </c>
      <c r="C10161" s="2" t="str">
        <f>"7186647"</f>
        <v>7186647</v>
      </c>
      <c r="D10161" s="2" t="s">
        <v>12735</v>
      </c>
      <c r="E10161" s="4">
        <v>12500</v>
      </c>
    </row>
    <row r="10162" spans="1:5">
      <c r="A10162" s="2" t="s">
        <v>296</v>
      </c>
      <c r="B10162" s="2" t="s">
        <v>12736</v>
      </c>
      <c r="C10162" s="2" t="s">
        <v>12737</v>
      </c>
      <c r="D10162" s="2" t="s">
        <v>12738</v>
      </c>
      <c r="E10162" s="4">
        <v>5500</v>
      </c>
    </row>
    <row r="10163" spans="1:5">
      <c r="A10163" s="2" t="s">
        <v>296</v>
      </c>
      <c r="B10163" s="2" t="str">
        <f>"245748"</f>
        <v>245748</v>
      </c>
      <c r="C10163" s="2" t="str">
        <f>"245748"</f>
        <v>245748</v>
      </c>
      <c r="D10163" s="2" t="s">
        <v>12739</v>
      </c>
      <c r="E10163" s="4">
        <v>18500</v>
      </c>
    </row>
    <row r="10164" spans="1:5">
      <c r="A10164" s="2" t="s">
        <v>296</v>
      </c>
      <c r="B10164" s="2" t="str">
        <f>"7407539"</f>
        <v>7407539</v>
      </c>
      <c r="C10164" s="2" t="str">
        <f>"7407539"</f>
        <v>7407539</v>
      </c>
      <c r="D10164" s="2" t="s">
        <v>12740</v>
      </c>
      <c r="E10164" s="4">
        <v>9700</v>
      </c>
    </row>
    <row r="10165" spans="1:5">
      <c r="A10165" s="2" t="s">
        <v>296</v>
      </c>
      <c r="B10165" s="2" t="str">
        <f>"090790165"</f>
        <v>090790165</v>
      </c>
      <c r="C10165" s="2" t="str">
        <f>"43215"</f>
        <v>43215</v>
      </c>
      <c r="D10165" s="2" t="s">
        <v>12741</v>
      </c>
      <c r="E10165" s="4">
        <v>9700</v>
      </c>
    </row>
    <row r="10166" spans="1:5">
      <c r="A10166" s="2" t="s">
        <v>296</v>
      </c>
      <c r="B10166" s="2" t="str">
        <f>"0006999"</f>
        <v>0006999</v>
      </c>
      <c r="C10166" s="2" t="str">
        <f>"0006999"</f>
        <v>0006999</v>
      </c>
      <c r="D10166" s="2" t="s">
        <v>12742</v>
      </c>
      <c r="E10166" s="4">
        <v>8800</v>
      </c>
    </row>
    <row r="10167" spans="1:5">
      <c r="A10167" s="2" t="s">
        <v>296</v>
      </c>
      <c r="B10167" s="2" t="str">
        <f>"1584690"</f>
        <v>1584690</v>
      </c>
      <c r="C10167" s="2" t="str">
        <f>"1584690"</f>
        <v>1584690</v>
      </c>
      <c r="D10167" s="2" t="s">
        <v>12743</v>
      </c>
      <c r="E10167" s="4">
        <v>9700</v>
      </c>
    </row>
    <row r="10168" spans="1:5">
      <c r="A10168" s="2" t="s">
        <v>296</v>
      </c>
      <c r="B10168" s="2" t="str">
        <f>"703209"</f>
        <v>703209</v>
      </c>
      <c r="C10168" s="2" t="str">
        <f>"703209"</f>
        <v>703209</v>
      </c>
      <c r="D10168" s="2" t="s">
        <v>12744</v>
      </c>
      <c r="E10168" s="4">
        <v>12175</v>
      </c>
    </row>
    <row r="10169" spans="1:5">
      <c r="A10169" s="2" t="s">
        <v>296</v>
      </c>
      <c r="B10169" s="2" t="str">
        <f>"7030208"</f>
        <v>7030208</v>
      </c>
      <c r="C10169" s="2" t="str">
        <f>"7030208"</f>
        <v>7030208</v>
      </c>
      <c r="D10169" s="2" t="s">
        <v>12745</v>
      </c>
      <c r="E10169" s="4">
        <v>15100</v>
      </c>
    </row>
    <row r="10170" spans="1:5">
      <c r="A10170" s="2" t="s">
        <v>296</v>
      </c>
      <c r="B10170" s="2" t="str">
        <f>"1808920"</f>
        <v>1808920</v>
      </c>
      <c r="C10170" s="2" t="str">
        <f>"1808920"</f>
        <v>1808920</v>
      </c>
      <c r="D10170" s="2" t="s">
        <v>12746</v>
      </c>
      <c r="E10170" s="2">
        <v>0</v>
      </c>
    </row>
    <row r="10171" spans="1:5">
      <c r="A10171" s="2" t="s">
        <v>296</v>
      </c>
      <c r="B10171" s="2" t="str">
        <f>"1584680"</f>
        <v>1584680</v>
      </c>
      <c r="C10171" s="2" t="str">
        <f>"1584680"</f>
        <v>1584680</v>
      </c>
      <c r="D10171" s="2" t="s">
        <v>12747</v>
      </c>
      <c r="E10171" s="4">
        <v>18000</v>
      </c>
    </row>
    <row r="10172" spans="1:5">
      <c r="A10172" s="2" t="s">
        <v>296</v>
      </c>
      <c r="B10172" s="2" t="str">
        <f>"8018920"</f>
        <v>8018920</v>
      </c>
      <c r="C10172" s="2" t="str">
        <f>"8018920"</f>
        <v>8018920</v>
      </c>
      <c r="D10172" s="2" t="s">
        <v>12748</v>
      </c>
      <c r="E10172" s="4">
        <v>8800</v>
      </c>
    </row>
    <row r="10173" spans="1:5">
      <c r="A10173" s="2" t="s">
        <v>296</v>
      </c>
      <c r="B10173" s="2" t="str">
        <f>"76336096"</f>
        <v>76336096</v>
      </c>
      <c r="C10173" s="2" t="str">
        <f>"76336096"</f>
        <v>76336096</v>
      </c>
      <c r="D10173" s="2" t="s">
        <v>12749</v>
      </c>
      <c r="E10173" s="4">
        <v>15888</v>
      </c>
    </row>
    <row r="10174" spans="1:5">
      <c r="A10174" s="2" t="s">
        <v>296</v>
      </c>
      <c r="B10174" s="2" t="s">
        <v>12750</v>
      </c>
      <c r="C10174" s="2" t="s">
        <v>12750</v>
      </c>
      <c r="D10174" s="2" t="s">
        <v>12751</v>
      </c>
      <c r="E10174" s="4">
        <v>24800</v>
      </c>
    </row>
    <row r="10175" spans="1:5">
      <c r="A10175" s="2" t="s">
        <v>296</v>
      </c>
      <c r="B10175" s="2" t="str">
        <f>"014140"</f>
        <v>014140</v>
      </c>
      <c r="C10175" s="2" t="str">
        <f>"014140"</f>
        <v>014140</v>
      </c>
      <c r="D10175" s="2" t="s">
        <v>12752</v>
      </c>
      <c r="E10175" s="4">
        <v>36500</v>
      </c>
    </row>
    <row r="10176" spans="1:5">
      <c r="A10176" s="2" t="s">
        <v>296</v>
      </c>
      <c r="B10176" s="2" t="str">
        <f>"7007312"</f>
        <v>7007312</v>
      </c>
      <c r="C10176" s="2" t="str">
        <f>"7007312"</f>
        <v>7007312</v>
      </c>
      <c r="D10176" s="2" t="s">
        <v>12753</v>
      </c>
      <c r="E10176" s="4">
        <v>9800</v>
      </c>
    </row>
    <row r="10177" spans="1:5">
      <c r="A10177" s="2" t="s">
        <v>296</v>
      </c>
      <c r="B10177" s="2" t="str">
        <f>"301792"</f>
        <v>301792</v>
      </c>
      <c r="C10177" s="2" t="str">
        <f>"301792"</f>
        <v>301792</v>
      </c>
      <c r="D10177" s="2" t="s">
        <v>12754</v>
      </c>
      <c r="E10177" s="4">
        <v>16000</v>
      </c>
    </row>
    <row r="10178" spans="1:5">
      <c r="A10178" s="2" t="s">
        <v>296</v>
      </c>
      <c r="B10178" s="2" t="str">
        <f>"6387236"</f>
        <v>6387236</v>
      </c>
      <c r="C10178" s="2" t="str">
        <f>"6387236"</f>
        <v>6387236</v>
      </c>
      <c r="D10178" s="2" t="s">
        <v>12755</v>
      </c>
      <c r="E10178" s="4">
        <v>14900</v>
      </c>
    </row>
    <row r="10179" spans="1:5">
      <c r="A10179" s="2" t="s">
        <v>296</v>
      </c>
      <c r="B10179" s="2" t="s">
        <v>12756</v>
      </c>
      <c r="C10179" s="2" t="s">
        <v>12756</v>
      </c>
      <c r="D10179" s="2" t="s">
        <v>12757</v>
      </c>
      <c r="E10179" s="4">
        <v>26800</v>
      </c>
    </row>
    <row r="10180" spans="1:5">
      <c r="A10180" s="2" t="s">
        <v>296</v>
      </c>
      <c r="B10180" s="2" t="str">
        <f>"7636193"</f>
        <v>7636193</v>
      </c>
      <c r="C10180" s="2" t="str">
        <f>"9942223"</f>
        <v>9942223</v>
      </c>
      <c r="D10180" s="2" t="s">
        <v>12758</v>
      </c>
      <c r="E10180" s="4">
        <v>25000</v>
      </c>
    </row>
    <row r="10181" spans="1:5">
      <c r="A10181" s="2" t="s">
        <v>296</v>
      </c>
      <c r="B10181" s="2" t="s">
        <v>12759</v>
      </c>
      <c r="C10181" s="2" t="s">
        <v>12759</v>
      </c>
      <c r="D10181" s="2" t="s">
        <v>12760</v>
      </c>
      <c r="E10181" s="4">
        <v>8800</v>
      </c>
    </row>
    <row r="10182" spans="1:5">
      <c r="A10182" s="2" t="s">
        <v>296</v>
      </c>
      <c r="B10182" s="2" t="str">
        <f>"015101"</f>
        <v>015101</v>
      </c>
      <c r="C10182" s="2" t="str">
        <f>"015101"</f>
        <v>015101</v>
      </c>
      <c r="D10182" s="2" t="s">
        <v>12761</v>
      </c>
      <c r="E10182" s="4">
        <v>19600</v>
      </c>
    </row>
    <row r="10183" spans="1:5">
      <c r="A10183" s="2" t="s">
        <v>296</v>
      </c>
      <c r="B10183" s="2" t="str">
        <f>"1103730"</f>
        <v>1103730</v>
      </c>
      <c r="C10183" s="2" t="str">
        <f>"1103730"</f>
        <v>1103730</v>
      </c>
      <c r="D10183" s="2" t="s">
        <v>12762</v>
      </c>
      <c r="E10183" s="4">
        <v>19700</v>
      </c>
    </row>
    <row r="10184" spans="1:5">
      <c r="A10184" s="2" t="s">
        <v>296</v>
      </c>
      <c r="B10184" s="2" t="str">
        <f>"014204"</f>
        <v>014204</v>
      </c>
      <c r="C10184" s="2" t="str">
        <f>"014204"</f>
        <v>014204</v>
      </c>
      <c r="D10184" s="2" t="s">
        <v>12763</v>
      </c>
      <c r="E10184" s="4">
        <v>25000</v>
      </c>
    </row>
    <row r="10185" spans="1:5">
      <c r="A10185" s="2" t="s">
        <v>296</v>
      </c>
      <c r="B10185" s="2" t="str">
        <f>"8407436"</f>
        <v>8407436</v>
      </c>
      <c r="C10185" s="2" t="str">
        <f>"8407436"</f>
        <v>8407436</v>
      </c>
      <c r="D10185" s="2" t="s">
        <v>12764</v>
      </c>
      <c r="E10185" s="4">
        <v>28000</v>
      </c>
    </row>
    <row r="10186" spans="1:5">
      <c r="A10186" s="2" t="s">
        <v>296</v>
      </c>
      <c r="B10186" s="2" t="str">
        <f>"7407435"</f>
        <v>7407435</v>
      </c>
      <c r="C10186" s="2" t="str">
        <f>"7407435"</f>
        <v>7407435</v>
      </c>
      <c r="D10186" s="2" t="s">
        <v>12765</v>
      </c>
      <c r="E10186" s="4">
        <v>28000</v>
      </c>
    </row>
    <row r="10187" spans="1:5">
      <c r="A10187" s="2" t="s">
        <v>296</v>
      </c>
      <c r="B10187" s="2" t="str">
        <f>"7446047SKF"</f>
        <v>7446047SKF</v>
      </c>
      <c r="C10187" s="2" t="str">
        <f>"7446047SKF"</f>
        <v>7446047SKF</v>
      </c>
      <c r="D10187" s="2" t="s">
        <v>12766</v>
      </c>
      <c r="E10187" s="4">
        <v>28600</v>
      </c>
    </row>
    <row r="10188" spans="1:5">
      <c r="A10188" s="2" t="s">
        <v>296</v>
      </c>
      <c r="B10188" s="2" t="str">
        <f>"6407436"</f>
        <v>6407436</v>
      </c>
      <c r="C10188" s="2" t="str">
        <f>"6407436"</f>
        <v>6407436</v>
      </c>
      <c r="D10188" s="2" t="s">
        <v>12767</v>
      </c>
      <c r="E10188" s="4">
        <v>10600</v>
      </c>
    </row>
    <row r="10189" spans="1:5">
      <c r="A10189" s="2" t="s">
        <v>296</v>
      </c>
      <c r="B10189" s="2" t="str">
        <f>"7356742"</f>
        <v>7356742</v>
      </c>
      <c r="C10189" s="2" t="str">
        <f>"7356742"</f>
        <v>7356742</v>
      </c>
      <c r="D10189" s="2" t="s">
        <v>12768</v>
      </c>
      <c r="E10189" s="4">
        <v>10600</v>
      </c>
    </row>
    <row r="10190" spans="1:5">
      <c r="A10190" s="2" t="s">
        <v>296</v>
      </c>
      <c r="B10190" s="2" t="str">
        <f>"7800448"</f>
        <v>7800448</v>
      </c>
      <c r="C10190" s="2" t="str">
        <f>"7800448"</f>
        <v>7800448</v>
      </c>
      <c r="D10190" s="2" t="s">
        <v>12769</v>
      </c>
      <c r="E10190" s="4">
        <v>9700</v>
      </c>
    </row>
    <row r="10191" spans="1:5">
      <c r="A10191" s="2" t="s">
        <v>296</v>
      </c>
      <c r="B10191" s="2" t="str">
        <f>"7838712"</f>
        <v>7838712</v>
      </c>
      <c r="C10191" s="2" t="str">
        <f>"7838712"</f>
        <v>7838712</v>
      </c>
      <c r="D10191" s="2" t="s">
        <v>12770</v>
      </c>
      <c r="E10191" s="4">
        <v>8800</v>
      </c>
    </row>
    <row r="10192" spans="1:5">
      <c r="A10192" s="2" t="s">
        <v>296</v>
      </c>
      <c r="B10192" s="2" t="str">
        <f>"090790204"</f>
        <v>090790204</v>
      </c>
      <c r="C10192" s="2" t="str">
        <f>"090790204"</f>
        <v>090790204</v>
      </c>
      <c r="D10192" s="2" t="s">
        <v>12771</v>
      </c>
      <c r="E10192" s="4">
        <v>9700</v>
      </c>
    </row>
    <row r="10193" spans="1:5">
      <c r="A10193" s="2" t="s">
        <v>296</v>
      </c>
      <c r="B10193" s="2" t="str">
        <f>"7838713"</f>
        <v>7838713</v>
      </c>
      <c r="C10193" s="2" t="str">
        <f>"7838713"</f>
        <v>7838713</v>
      </c>
      <c r="D10193" s="2" t="s">
        <v>12772</v>
      </c>
      <c r="E10193" s="4">
        <v>10600</v>
      </c>
    </row>
    <row r="10194" spans="1:5">
      <c r="A10194" s="2" t="s">
        <v>296</v>
      </c>
      <c r="B10194" s="2" t="str">
        <f>"090790199"</f>
        <v>090790199</v>
      </c>
      <c r="C10194" s="2" t="str">
        <f>"090790199"</f>
        <v>090790199</v>
      </c>
      <c r="D10194" s="2" t="s">
        <v>12773</v>
      </c>
      <c r="E10194" s="4">
        <v>8800</v>
      </c>
    </row>
    <row r="10195" spans="1:5">
      <c r="A10195" s="2" t="s">
        <v>296</v>
      </c>
      <c r="B10195" s="2" t="str">
        <f>"0006990"</f>
        <v>0006990</v>
      </c>
      <c r="C10195" s="2" t="str">
        <f>"0006990"</f>
        <v>0006990</v>
      </c>
      <c r="D10195" s="2" t="s">
        <v>12774</v>
      </c>
      <c r="E10195" s="4">
        <v>10600</v>
      </c>
    </row>
    <row r="10196" spans="1:5">
      <c r="A10196" s="2" t="s">
        <v>296</v>
      </c>
      <c r="B10196" s="2" t="str">
        <f>"1469718"</f>
        <v>1469718</v>
      </c>
      <c r="C10196" s="2" t="str">
        <f>"1469718"</f>
        <v>1469718</v>
      </c>
      <c r="D10196" s="2" t="s">
        <v>12775</v>
      </c>
      <c r="E10196" s="4">
        <v>11500</v>
      </c>
    </row>
    <row r="10197" spans="1:5">
      <c r="A10197" s="2" t="s">
        <v>296</v>
      </c>
      <c r="B10197" s="2" t="str">
        <f>"302745"</f>
        <v>302745</v>
      </c>
      <c r="C10197" s="2" t="str">
        <f>"302745"</f>
        <v>302745</v>
      </c>
      <c r="D10197" s="2" t="s">
        <v>12776</v>
      </c>
      <c r="E10197" s="4">
        <v>16900</v>
      </c>
    </row>
    <row r="10198" spans="1:5">
      <c r="A10198" s="2" t="s">
        <v>296</v>
      </c>
      <c r="B10198" s="2" t="str">
        <f>"015491"</f>
        <v>015491</v>
      </c>
      <c r="C10198" s="2" t="str">
        <f>"015491"</f>
        <v>015491</v>
      </c>
      <c r="D10198" s="2" t="s">
        <v>12777</v>
      </c>
      <c r="E10198" s="4">
        <v>14200</v>
      </c>
    </row>
    <row r="10199" spans="1:5">
      <c r="A10199" s="2" t="s">
        <v>296</v>
      </c>
      <c r="B10199" s="2" t="str">
        <f>"7024920"</f>
        <v>7024920</v>
      </c>
      <c r="C10199" s="2" t="str">
        <f>"7024920"</f>
        <v>7024920</v>
      </c>
      <c r="D10199" s="2" t="s">
        <v>12778</v>
      </c>
      <c r="E10199" s="4">
        <v>19600</v>
      </c>
    </row>
    <row r="10200" spans="1:5">
      <c r="A10200" s="2" t="s">
        <v>296</v>
      </c>
      <c r="B10200" s="2" t="str">
        <f>"7011206"</f>
        <v>7011206</v>
      </c>
      <c r="C10200" s="2" t="str">
        <f>"7011206"</f>
        <v>7011206</v>
      </c>
      <c r="D10200" s="2" t="s">
        <v>12779</v>
      </c>
      <c r="E10200" s="4">
        <v>21400</v>
      </c>
    </row>
    <row r="10201" spans="1:5">
      <c r="A10201" s="2" t="s">
        <v>296</v>
      </c>
      <c r="B10201" s="2" t="s">
        <v>12780</v>
      </c>
      <c r="C10201" s="2" t="s">
        <v>12780</v>
      </c>
      <c r="D10201" s="2" t="s">
        <v>12781</v>
      </c>
      <c r="E10201" s="4">
        <v>89000</v>
      </c>
    </row>
    <row r="10202" spans="1:5" ht="27.6">
      <c r="A10202" s="2" t="s">
        <v>296</v>
      </c>
      <c r="B10202" s="2" t="s">
        <v>12782</v>
      </c>
      <c r="C10202" s="2" t="str">
        <f>"7399360"</f>
        <v>7399360</v>
      </c>
      <c r="D10202" s="2" t="s">
        <v>12783</v>
      </c>
      <c r="E10202" s="4">
        <v>9800</v>
      </c>
    </row>
    <row r="10203" spans="1:5">
      <c r="A10203" s="2" t="s">
        <v>296</v>
      </c>
      <c r="B10203" s="2" t="str">
        <f>"010400222"</f>
        <v>010400222</v>
      </c>
      <c r="C10203" s="2" t="str">
        <f>"010400222"</f>
        <v>010400222</v>
      </c>
      <c r="D10203" s="2" t="s">
        <v>12784</v>
      </c>
      <c r="E10203" s="4">
        <v>16000</v>
      </c>
    </row>
    <row r="10204" spans="1:5">
      <c r="A10204" s="2" t="s">
        <v>296</v>
      </c>
      <c r="B10204" s="2" t="str">
        <f>"6387450"</f>
        <v>6387450</v>
      </c>
      <c r="C10204" s="2" t="str">
        <f>"6387450"</f>
        <v>6387450</v>
      </c>
      <c r="D10204" s="2" t="s">
        <v>12785</v>
      </c>
      <c r="E10204" s="4">
        <v>19000</v>
      </c>
    </row>
    <row r="10205" spans="1:5">
      <c r="A10205" s="2" t="s">
        <v>296</v>
      </c>
      <c r="B10205" s="2" t="str">
        <f>"7030205"</f>
        <v>7030205</v>
      </c>
      <c r="C10205" s="2" t="str">
        <f>"1488619396795 014063"</f>
        <v>1488619396795 014063</v>
      </c>
      <c r="D10205" s="2" t="s">
        <v>12786</v>
      </c>
      <c r="E10205" s="4">
        <v>10600</v>
      </c>
    </row>
    <row r="10206" spans="1:5">
      <c r="A10206" s="2" t="s">
        <v>296</v>
      </c>
      <c r="B10206" s="2" t="str">
        <f>"8028330"</f>
        <v>8028330</v>
      </c>
      <c r="C10206" s="2" t="str">
        <f>"7030204"</f>
        <v>7030204</v>
      </c>
      <c r="D10206" s="2" t="s">
        <v>12787</v>
      </c>
      <c r="E10206" s="4">
        <v>7900</v>
      </c>
    </row>
    <row r="10207" spans="1:5">
      <c r="A10207" s="2" t="s">
        <v>296</v>
      </c>
      <c r="B10207" s="2" t="str">
        <f>"0016341"</f>
        <v>0016341</v>
      </c>
      <c r="C10207" s="2" t="str">
        <f>"0016341"</f>
        <v>0016341</v>
      </c>
      <c r="D10207" s="2" t="s">
        <v>12788</v>
      </c>
      <c r="E10207" s="4">
        <v>9700</v>
      </c>
    </row>
    <row r="10208" spans="1:5">
      <c r="A10208" s="2" t="s">
        <v>296</v>
      </c>
      <c r="B10208" s="2" t="str">
        <f>"301791"</f>
        <v>301791</v>
      </c>
      <c r="C10208" s="2" t="str">
        <f>"301791 0022011"</f>
        <v>301791 0022011</v>
      </c>
      <c r="D10208" s="2" t="s">
        <v>12789</v>
      </c>
      <c r="E10208" s="4">
        <v>34000</v>
      </c>
    </row>
    <row r="10209" spans="1:5">
      <c r="A10209" s="2" t="s">
        <v>296</v>
      </c>
      <c r="B10209" s="2" t="str">
        <f>"7409023"</f>
        <v>7409023</v>
      </c>
      <c r="C10209" s="2" t="str">
        <f>"7409023"</f>
        <v>7409023</v>
      </c>
      <c r="D10209" s="2" t="s">
        <v>12790</v>
      </c>
      <c r="E10209" s="4">
        <v>18700</v>
      </c>
    </row>
    <row r="10210" spans="1:5">
      <c r="A10210" s="2" t="s">
        <v>296</v>
      </c>
      <c r="B10210" s="2" t="str">
        <f>"016392"</f>
        <v>016392</v>
      </c>
      <c r="C10210" s="2" t="str">
        <f>"016392"</f>
        <v>016392</v>
      </c>
      <c r="D10210" s="2" t="s">
        <v>12791</v>
      </c>
      <c r="E10210" s="4">
        <v>58300</v>
      </c>
    </row>
    <row r="10211" spans="1:5">
      <c r="A10211" s="2" t="s">
        <v>296</v>
      </c>
      <c r="B10211" s="2" t="s">
        <v>12792</v>
      </c>
      <c r="C10211" s="2" t="s">
        <v>12792</v>
      </c>
      <c r="D10211" s="2" t="s">
        <v>12793</v>
      </c>
      <c r="E10211" s="4">
        <v>9700</v>
      </c>
    </row>
    <row r="10212" spans="1:5">
      <c r="A10212" s="2" t="s">
        <v>296</v>
      </c>
      <c r="B10212" s="2" t="str">
        <f>"014145"</f>
        <v>014145</v>
      </c>
      <c r="C10212" s="2" t="str">
        <f>"014145"</f>
        <v>014145</v>
      </c>
      <c r="D10212" s="2" t="s">
        <v>12794</v>
      </c>
      <c r="E10212" s="4">
        <v>14000</v>
      </c>
    </row>
    <row r="10213" spans="1:5">
      <c r="A10213" s="2" t="s">
        <v>296</v>
      </c>
      <c r="B10213" s="2" t="str">
        <f>"1726501"</f>
        <v>1726501</v>
      </c>
      <c r="C10213" s="2" t="str">
        <f>"1726501"</f>
        <v>1726501</v>
      </c>
      <c r="D10213" s="2" t="s">
        <v>12795</v>
      </c>
      <c r="E10213" s="4">
        <v>6320</v>
      </c>
    </row>
    <row r="10214" spans="1:5">
      <c r="A10214" s="2" t="s">
        <v>296</v>
      </c>
      <c r="B10214" s="2" t="str">
        <f>"280165"</f>
        <v>280165</v>
      </c>
      <c r="C10214" s="2" t="str">
        <f>"280165"</f>
        <v>280165</v>
      </c>
      <c r="D10214" s="2" t="s">
        <v>12796</v>
      </c>
      <c r="E10214" s="4">
        <v>18500</v>
      </c>
    </row>
    <row r="10215" spans="1:5">
      <c r="A10215" s="2" t="s">
        <v>296</v>
      </c>
      <c r="B10215" s="2" t="str">
        <f>"16758-4"</f>
        <v>16758-4</v>
      </c>
      <c r="C10215" s="2" t="str">
        <f>"16758-4"</f>
        <v>16758-4</v>
      </c>
      <c r="D10215" s="2" t="s">
        <v>12797</v>
      </c>
      <c r="E10215" s="4">
        <v>230000</v>
      </c>
    </row>
    <row r="10216" spans="1:5">
      <c r="A10216" s="2" t="s">
        <v>296</v>
      </c>
      <c r="B10216" s="2" t="str">
        <f>"16702-9"</f>
        <v>16702-9</v>
      </c>
      <c r="C10216" s="2" t="str">
        <f>"16702-9"</f>
        <v>16702-9</v>
      </c>
      <c r="D10216" s="2" t="s">
        <v>12798</v>
      </c>
      <c r="E10216" s="4">
        <v>197000</v>
      </c>
    </row>
    <row r="10217" spans="1:5">
      <c r="A10217" s="2" t="s">
        <v>296</v>
      </c>
      <c r="B10217" s="2" t="str">
        <f>"0003757"</f>
        <v>0003757</v>
      </c>
      <c r="C10217" s="2" t="str">
        <f>"0003757"</f>
        <v>0003757</v>
      </c>
      <c r="D10217" s="2" t="s">
        <v>12799</v>
      </c>
      <c r="E10217" s="4">
        <v>18088</v>
      </c>
    </row>
    <row r="10218" spans="1:5">
      <c r="A10218" s="2" t="s">
        <v>296</v>
      </c>
      <c r="B10218" s="2" t="str">
        <f>"0000005"</f>
        <v>0000005</v>
      </c>
      <c r="C10218" s="2" t="str">
        <f>"0000005"</f>
        <v>0000005</v>
      </c>
      <c r="D10218" s="2" t="s">
        <v>12800</v>
      </c>
      <c r="E10218" s="4">
        <v>8800</v>
      </c>
    </row>
    <row r="10219" spans="1:5">
      <c r="A10219" s="2" t="s">
        <v>296</v>
      </c>
      <c r="B10219" s="2" t="str">
        <f>"280181"</f>
        <v>280181</v>
      </c>
      <c r="C10219" s="2" t="str">
        <f>"280181"</f>
        <v>280181</v>
      </c>
      <c r="D10219" s="2" t="s">
        <v>12801</v>
      </c>
      <c r="E10219" s="4">
        <v>18500</v>
      </c>
    </row>
    <row r="10220" spans="1:5">
      <c r="A10220" s="2" t="s">
        <v>296</v>
      </c>
      <c r="B10220" s="2" t="str">
        <f>"3024-2518"</f>
        <v>3024-2518</v>
      </c>
      <c r="C10220" s="2" t="str">
        <f>"3024-2518"</f>
        <v>3024-2518</v>
      </c>
      <c r="D10220" s="2" t="s">
        <v>12802</v>
      </c>
      <c r="E10220" s="4">
        <v>11900</v>
      </c>
    </row>
    <row r="10221" spans="1:5">
      <c r="A10221" s="2" t="s">
        <v>296</v>
      </c>
      <c r="B10221" s="2" t="str">
        <f>"8056010"</f>
        <v>8056010</v>
      </c>
      <c r="C10221" s="2" t="str">
        <f>"8056010"</f>
        <v>8056010</v>
      </c>
      <c r="D10221" s="2" t="s">
        <v>12803</v>
      </c>
      <c r="E10221" s="4">
        <v>9700</v>
      </c>
    </row>
    <row r="10222" spans="1:5">
      <c r="A10222" s="2" t="s">
        <v>296</v>
      </c>
      <c r="B10222" s="2" t="str">
        <f>"7015121"</f>
        <v>7015121</v>
      </c>
      <c r="C10222" s="2" t="str">
        <f>"7015121"</f>
        <v>7015121</v>
      </c>
      <c r="D10222" s="2" t="s">
        <v>12804</v>
      </c>
      <c r="E10222" s="4">
        <v>13900</v>
      </c>
    </row>
    <row r="10223" spans="1:5">
      <c r="A10223" s="2" t="s">
        <v>296</v>
      </c>
      <c r="B10223" s="2" t="str">
        <f>"286594"</f>
        <v>286594</v>
      </c>
      <c r="C10223" s="2" t="str">
        <f>"286594"</f>
        <v>286594</v>
      </c>
      <c r="D10223" s="2" t="s">
        <v>12805</v>
      </c>
      <c r="E10223" s="4">
        <v>19900</v>
      </c>
    </row>
    <row r="10224" spans="1:5">
      <c r="A10224" s="2" t="s">
        <v>296</v>
      </c>
      <c r="B10224" s="2" t="str">
        <f>"245573"</f>
        <v>245573</v>
      </c>
      <c r="C10224" s="2" t="str">
        <f>"245573"</f>
        <v>245573</v>
      </c>
      <c r="D10224" s="2" t="s">
        <v>12806</v>
      </c>
      <c r="E10224" s="4">
        <v>12500</v>
      </c>
    </row>
    <row r="10225" spans="1:5">
      <c r="A10225" s="2" t="s">
        <v>296</v>
      </c>
      <c r="B10225" s="2" t="str">
        <f>"280141"</f>
        <v>280141</v>
      </c>
      <c r="C10225" s="2" t="str">
        <f>"280141"</f>
        <v>280141</v>
      </c>
      <c r="D10225" s="2" t="s">
        <v>12807</v>
      </c>
      <c r="E10225" s="4">
        <v>19500</v>
      </c>
    </row>
    <row r="10226" spans="1:5">
      <c r="A10226" s="2" t="s">
        <v>296</v>
      </c>
      <c r="B10226" s="2" t="str">
        <f>"8034720"</f>
        <v>8034720</v>
      </c>
      <c r="C10226" s="2" t="str">
        <f>"8034720"</f>
        <v>8034720</v>
      </c>
      <c r="D10226" s="2" t="s">
        <v>12808</v>
      </c>
      <c r="E10226" s="4">
        <v>9700</v>
      </c>
    </row>
    <row r="10227" spans="1:5">
      <c r="A10227" s="2" t="s">
        <v>296</v>
      </c>
      <c r="B10227" s="2" t="str">
        <f>"261265"</f>
        <v>261265</v>
      </c>
      <c r="C10227" s="2" t="str">
        <f>"261265"</f>
        <v>261265</v>
      </c>
      <c r="D10227" s="2" t="s">
        <v>12809</v>
      </c>
      <c r="E10227" s="4">
        <v>11900</v>
      </c>
    </row>
    <row r="10228" spans="1:5">
      <c r="A10228" s="2" t="s">
        <v>296</v>
      </c>
      <c r="B10228" s="2" t="str">
        <f>"5000000110704"</f>
        <v>5000000110704</v>
      </c>
      <c r="C10228" s="2" t="str">
        <f>"245563"</f>
        <v>245563</v>
      </c>
      <c r="D10228" s="2" t="s">
        <v>12810</v>
      </c>
      <c r="E10228" s="4">
        <v>14900</v>
      </c>
    </row>
    <row r="10229" spans="1:5">
      <c r="A10229" s="2" t="s">
        <v>296</v>
      </c>
      <c r="B10229" s="2" t="str">
        <f>"5000000110612"</f>
        <v>5000000110612</v>
      </c>
      <c r="C10229" s="2" t="str">
        <f>"231156"</f>
        <v>231156</v>
      </c>
      <c r="D10229" s="2" t="s">
        <v>12811</v>
      </c>
      <c r="E10229" s="4">
        <v>16900</v>
      </c>
    </row>
    <row r="10230" spans="1:5">
      <c r="A10230" s="2" t="s">
        <v>296</v>
      </c>
      <c r="B10230" s="2" t="str">
        <f>"302270"</f>
        <v>302270</v>
      </c>
      <c r="C10230" s="2" t="str">
        <f>"302270"</f>
        <v>302270</v>
      </c>
      <c r="D10230" s="2" t="s">
        <v>12812</v>
      </c>
      <c r="E10230" s="4">
        <v>18500</v>
      </c>
    </row>
    <row r="10231" spans="1:5">
      <c r="A10231" s="2" t="s">
        <v>296</v>
      </c>
      <c r="B10231" s="2" t="str">
        <f>"280223"</f>
        <v>280223</v>
      </c>
      <c r="C10231" s="2" t="str">
        <f>"280223"</f>
        <v>280223</v>
      </c>
      <c r="D10231" s="2" t="s">
        <v>12813</v>
      </c>
      <c r="E10231" s="4">
        <v>10600</v>
      </c>
    </row>
    <row r="10232" spans="1:5">
      <c r="A10232" s="2" t="s">
        <v>296</v>
      </c>
      <c r="B10232" s="2" t="str">
        <f>"231157"</f>
        <v>231157</v>
      </c>
      <c r="C10232" s="2" t="str">
        <f>"231157"</f>
        <v>231157</v>
      </c>
      <c r="D10232" s="2" t="s">
        <v>12814</v>
      </c>
      <c r="E10232" s="4">
        <v>9700</v>
      </c>
    </row>
    <row r="10233" spans="1:5">
      <c r="A10233" s="2" t="s">
        <v>296</v>
      </c>
      <c r="B10233" s="2" t="str">
        <f>"245569"</f>
        <v>245569</v>
      </c>
      <c r="C10233" s="2" t="str">
        <f>"245569"</f>
        <v>245569</v>
      </c>
      <c r="D10233" s="2" t="s">
        <v>12815</v>
      </c>
      <c r="E10233" s="4">
        <v>12800</v>
      </c>
    </row>
    <row r="10234" spans="1:5">
      <c r="A10234" s="2" t="s">
        <v>296</v>
      </c>
      <c r="B10234" s="2" t="str">
        <f>"247772"</f>
        <v>247772</v>
      </c>
      <c r="C10234" s="2" t="str">
        <f>"247772"</f>
        <v>247772</v>
      </c>
      <c r="D10234" s="2" t="s">
        <v>12816</v>
      </c>
      <c r="E10234" s="4">
        <v>9700</v>
      </c>
    </row>
    <row r="10235" spans="1:5">
      <c r="A10235" s="2" t="s">
        <v>296</v>
      </c>
      <c r="B10235" s="2" t="str">
        <f>"280169"</f>
        <v>280169</v>
      </c>
      <c r="C10235" s="2" t="str">
        <f>"280169"</f>
        <v>280169</v>
      </c>
      <c r="D10235" s="2" t="s">
        <v>12817</v>
      </c>
      <c r="E10235" s="4">
        <v>9500</v>
      </c>
    </row>
    <row r="10236" spans="1:5">
      <c r="A10236" s="2" t="s">
        <v>296</v>
      </c>
      <c r="B10236" s="2" t="str">
        <f>"231201"</f>
        <v>231201</v>
      </c>
      <c r="C10236" s="2" t="str">
        <f>"231201"</f>
        <v>231201</v>
      </c>
      <c r="D10236" s="2" t="s">
        <v>12818</v>
      </c>
      <c r="E10236" s="4">
        <v>11251</v>
      </c>
    </row>
    <row r="10237" spans="1:5">
      <c r="A10237" s="2" t="s">
        <v>296</v>
      </c>
      <c r="B10237" s="2" t="str">
        <f>"245576"</f>
        <v>245576</v>
      </c>
      <c r="C10237" s="2" t="str">
        <f>"245576"</f>
        <v>245576</v>
      </c>
      <c r="D10237" s="2" t="s">
        <v>12819</v>
      </c>
      <c r="E10237" s="4">
        <v>15100</v>
      </c>
    </row>
    <row r="10238" spans="1:5">
      <c r="A10238" s="2" t="s">
        <v>296</v>
      </c>
      <c r="B10238" s="2" t="str">
        <f>"180413"</f>
        <v>180413</v>
      </c>
      <c r="C10238" s="2" t="str">
        <f>"180413"</f>
        <v>180413</v>
      </c>
      <c r="D10238" s="2" t="s">
        <v>12820</v>
      </c>
      <c r="E10238" s="4">
        <v>10600</v>
      </c>
    </row>
    <row r="10239" spans="1:5">
      <c r="A10239" s="2" t="s">
        <v>296</v>
      </c>
      <c r="B10239" s="2" t="str">
        <f>"010400009"</f>
        <v>010400009</v>
      </c>
      <c r="C10239" s="2" t="str">
        <f>"010400009"</f>
        <v>010400009</v>
      </c>
      <c r="D10239" s="2" t="s">
        <v>12821</v>
      </c>
      <c r="E10239" s="4">
        <v>6100</v>
      </c>
    </row>
    <row r="10240" spans="1:5">
      <c r="A10240" s="2" t="s">
        <v>296</v>
      </c>
      <c r="B10240" s="2" t="str">
        <f>"5000000111312"</f>
        <v>5000000111312</v>
      </c>
      <c r="C10240" s="2" t="str">
        <f>"270310"</f>
        <v>270310</v>
      </c>
      <c r="D10240" s="2" t="s">
        <v>12822</v>
      </c>
      <c r="E10240" s="4">
        <v>12800</v>
      </c>
    </row>
    <row r="10241" spans="1:5">
      <c r="A10241" s="2" t="s">
        <v>296</v>
      </c>
      <c r="B10241" s="2" t="str">
        <f>"014231"</f>
        <v>014231</v>
      </c>
      <c r="C10241" s="2" t="str">
        <f>"014231"</f>
        <v>014231</v>
      </c>
      <c r="D10241" s="2" t="s">
        <v>12823</v>
      </c>
      <c r="E10241" s="4">
        <v>17500</v>
      </c>
    </row>
    <row r="10242" spans="1:5">
      <c r="A10242" s="2" t="s">
        <v>296</v>
      </c>
      <c r="B10242" s="2" t="str">
        <f>"015069"</f>
        <v>015069</v>
      </c>
      <c r="C10242" s="2" t="str">
        <f>"015069"</f>
        <v>015069</v>
      </c>
      <c r="D10242" s="2" t="s">
        <v>12824</v>
      </c>
      <c r="E10242" s="4">
        <v>14200</v>
      </c>
    </row>
    <row r="10243" spans="1:5">
      <c r="A10243" s="2" t="s">
        <v>296</v>
      </c>
      <c r="B10243" s="2" t="str">
        <f>"280131"</f>
        <v>280131</v>
      </c>
      <c r="C10243" s="2" t="str">
        <f>"280131"</f>
        <v>280131</v>
      </c>
      <c r="D10243" s="2" t="s">
        <v>12825</v>
      </c>
      <c r="E10243" s="4">
        <v>16000</v>
      </c>
    </row>
    <row r="10244" spans="1:5">
      <c r="A10244" s="2" t="s">
        <v>296</v>
      </c>
      <c r="B10244" s="2" t="str">
        <f>"5000000231232"</f>
        <v>5000000231232</v>
      </c>
      <c r="C10244" s="2" t="str">
        <f>"302777"</f>
        <v>302777</v>
      </c>
      <c r="D10244" s="2" t="s">
        <v>12826</v>
      </c>
      <c r="E10244" s="4">
        <v>13300</v>
      </c>
    </row>
    <row r="10245" spans="1:5">
      <c r="A10245" s="2" t="s">
        <v>296</v>
      </c>
      <c r="B10245" s="2" t="s">
        <v>12827</v>
      </c>
      <c r="C10245" s="2" t="s">
        <v>12827</v>
      </c>
      <c r="D10245" s="2" t="s">
        <v>12828</v>
      </c>
      <c r="E10245" s="4">
        <v>14200</v>
      </c>
    </row>
    <row r="10246" spans="1:5">
      <c r="A10246" s="2" t="s">
        <v>296</v>
      </c>
      <c r="B10246" s="2" t="str">
        <f>"286598"</f>
        <v>286598</v>
      </c>
      <c r="C10246" s="2" t="str">
        <f>"286598"</f>
        <v>286598</v>
      </c>
      <c r="D10246" s="2" t="s">
        <v>12829</v>
      </c>
      <c r="E10246" s="4">
        <v>17800</v>
      </c>
    </row>
    <row r="10247" spans="1:5">
      <c r="A10247" s="2" t="s">
        <v>296</v>
      </c>
      <c r="B10247" s="2" t="str">
        <f>"245737"</f>
        <v>245737</v>
      </c>
      <c r="C10247" s="2" t="str">
        <f>"245737"</f>
        <v>245737</v>
      </c>
      <c r="D10247" s="2" t="s">
        <v>12830</v>
      </c>
      <c r="E10247" s="4">
        <v>9700</v>
      </c>
    </row>
    <row r="10248" spans="1:5">
      <c r="A10248" s="2" t="s">
        <v>296</v>
      </c>
      <c r="B10248" s="2" t="str">
        <f>"245734"</f>
        <v>245734</v>
      </c>
      <c r="C10248" s="2" t="str">
        <f>"245734"</f>
        <v>245734</v>
      </c>
      <c r="D10248" s="2" t="s">
        <v>12831</v>
      </c>
      <c r="E10248" s="4">
        <v>16500</v>
      </c>
    </row>
    <row r="10249" spans="1:5">
      <c r="A10249" s="2" t="s">
        <v>296</v>
      </c>
      <c r="B10249" s="2" t="str">
        <f>"280238"</f>
        <v>280238</v>
      </c>
      <c r="C10249" s="2" t="str">
        <f>"280238"</f>
        <v>280238</v>
      </c>
      <c r="D10249" s="2" t="s">
        <v>12831</v>
      </c>
      <c r="E10249" s="4">
        <v>16000</v>
      </c>
    </row>
    <row r="10250" spans="1:5">
      <c r="A10250" s="2" t="s">
        <v>296</v>
      </c>
      <c r="B10250" s="2" t="str">
        <f>"5000000111046"</f>
        <v>5000000111046</v>
      </c>
      <c r="C10250" s="2" t="str">
        <f>"245728"</f>
        <v>245728</v>
      </c>
      <c r="D10250" s="2" t="s">
        <v>12832</v>
      </c>
      <c r="E10250" s="4">
        <v>14200</v>
      </c>
    </row>
    <row r="10251" spans="1:5">
      <c r="A10251" s="2" t="s">
        <v>10250</v>
      </c>
      <c r="B10251" s="2" t="str">
        <f>"001476005-9"</f>
        <v>001476005-9</v>
      </c>
      <c r="C10251" s="2" t="str">
        <f>"001476005-9"</f>
        <v>001476005-9</v>
      </c>
      <c r="D10251" s="2" t="s">
        <v>12833</v>
      </c>
      <c r="E10251" s="4">
        <v>4300</v>
      </c>
    </row>
    <row r="10252" spans="1:5">
      <c r="A10252" s="2" t="s">
        <v>10250</v>
      </c>
      <c r="B10252" s="2" t="str">
        <f>"0033420"</f>
        <v>0033420</v>
      </c>
      <c r="C10252" s="2" t="str">
        <f>"0033420"</f>
        <v>0033420</v>
      </c>
      <c r="D10252" s="2" t="s">
        <v>12834</v>
      </c>
      <c r="E10252" s="4">
        <v>2500</v>
      </c>
    </row>
    <row r="10253" spans="1:5">
      <c r="A10253" s="2" t="s">
        <v>10250</v>
      </c>
      <c r="B10253" s="2" t="str">
        <f>"0008633"</f>
        <v>0008633</v>
      </c>
      <c r="C10253" s="2" t="str">
        <f>"0008633"</f>
        <v>0008633</v>
      </c>
      <c r="D10253" s="2" t="s">
        <v>12835</v>
      </c>
      <c r="E10253" s="4">
        <v>3400</v>
      </c>
    </row>
    <row r="10254" spans="1:5">
      <c r="A10254" s="2" t="s">
        <v>10250</v>
      </c>
      <c r="B10254" s="2" t="str">
        <f>"9951893"</f>
        <v>9951893</v>
      </c>
      <c r="C10254" s="2" t="str">
        <f>"9951893"</f>
        <v>9951893</v>
      </c>
      <c r="D10254" s="2" t="s">
        <v>12836</v>
      </c>
      <c r="E10254" s="4">
        <v>2500</v>
      </c>
    </row>
    <row r="10255" spans="1:5">
      <c r="A10255" s="2" t="s">
        <v>9317</v>
      </c>
      <c r="B10255" s="2" t="str">
        <f>"003712652-7"</f>
        <v>003712652-7</v>
      </c>
      <c r="C10255" s="2" t="str">
        <f>"003712652-7"</f>
        <v>003712652-7</v>
      </c>
      <c r="D10255" s="2" t="s">
        <v>12837</v>
      </c>
      <c r="E10255" s="4">
        <v>16000</v>
      </c>
    </row>
    <row r="10256" spans="1:5">
      <c r="A10256" s="2" t="s">
        <v>10250</v>
      </c>
      <c r="B10256" s="2" t="str">
        <f>"4379940"</f>
        <v>4379940</v>
      </c>
      <c r="C10256" s="2" t="str">
        <f>"4379940"</f>
        <v>4379940</v>
      </c>
      <c r="D10256" s="2" t="s">
        <v>12838</v>
      </c>
      <c r="E10256" s="4">
        <v>12400</v>
      </c>
    </row>
    <row r="10257" spans="1:5">
      <c r="A10257" s="2" t="s">
        <v>10250</v>
      </c>
      <c r="B10257" s="2" t="str">
        <f>"010400126"</f>
        <v>010400126</v>
      </c>
      <c r="C10257" s="2" t="str">
        <f>"010400126"</f>
        <v>010400126</v>
      </c>
      <c r="D10257" s="2" t="s">
        <v>12839</v>
      </c>
      <c r="E10257" s="4">
        <v>11500</v>
      </c>
    </row>
    <row r="10258" spans="1:5">
      <c r="A10258" s="2" t="s">
        <v>10250</v>
      </c>
      <c r="B10258" s="2" t="str">
        <f>"7846046"</f>
        <v>7846046</v>
      </c>
      <c r="C10258" s="2" t="str">
        <f>"784606"</f>
        <v>784606</v>
      </c>
      <c r="D10258" s="2" t="s">
        <v>12840</v>
      </c>
      <c r="E10258" s="4">
        <v>9700</v>
      </c>
    </row>
    <row r="10259" spans="1:5">
      <c r="A10259" s="2" t="s">
        <v>10250</v>
      </c>
      <c r="B10259" s="2" t="str">
        <f>"0016217"</f>
        <v>0016217</v>
      </c>
      <c r="C10259" s="2" t="str">
        <f>"0016217"</f>
        <v>0016217</v>
      </c>
      <c r="D10259" s="2" t="s">
        <v>12841</v>
      </c>
      <c r="E10259" s="4">
        <v>28600</v>
      </c>
    </row>
    <row r="10260" spans="1:5">
      <c r="A10260" s="2" t="s">
        <v>10250</v>
      </c>
      <c r="B10260" s="2" t="str">
        <f>"0025805"</f>
        <v>0025805</v>
      </c>
      <c r="C10260" s="2" t="str">
        <f>"0025805"</f>
        <v>0025805</v>
      </c>
      <c r="D10260" s="2" t="s">
        <v>12842</v>
      </c>
      <c r="E10260" s="4">
        <v>8800</v>
      </c>
    </row>
    <row r="10261" spans="1:5">
      <c r="A10261" s="2" t="s">
        <v>10250</v>
      </c>
      <c r="B10261" s="2" t="str">
        <f>"001425911-2"</f>
        <v>001425911-2</v>
      </c>
      <c r="C10261" s="2" t="str">
        <f>"001425911-2"</f>
        <v>001425911-2</v>
      </c>
      <c r="D10261" s="2" t="s">
        <v>12843</v>
      </c>
      <c r="E10261" s="4">
        <v>11500</v>
      </c>
    </row>
    <row r="10262" spans="1:5">
      <c r="A10262" s="2" t="s">
        <v>10250</v>
      </c>
      <c r="B10262" s="2" t="str">
        <f>"010400160"</f>
        <v>010400160</v>
      </c>
      <c r="C10262" s="2" t="str">
        <f>"010400160"</f>
        <v>010400160</v>
      </c>
      <c r="D10262" s="2" t="s">
        <v>12844</v>
      </c>
      <c r="E10262" s="4">
        <v>12400</v>
      </c>
    </row>
    <row r="10263" spans="1:5">
      <c r="A10263" s="2" t="s">
        <v>2076</v>
      </c>
      <c r="B10263" s="2" t="str">
        <f>"0032305"</f>
        <v>0032305</v>
      </c>
      <c r="C10263" s="2" t="str">
        <f>"0032305"</f>
        <v>0032305</v>
      </c>
      <c r="D10263" s="2" t="s">
        <v>12845</v>
      </c>
      <c r="E10263" s="4">
        <v>16000</v>
      </c>
    </row>
    <row r="10264" spans="1:5">
      <c r="A10264" s="2" t="s">
        <v>2076</v>
      </c>
      <c r="B10264" s="2" t="str">
        <f>"000812380-2"</f>
        <v>000812380-2</v>
      </c>
      <c r="C10264" s="2" t="str">
        <f>"812380-2"</f>
        <v>812380-2</v>
      </c>
      <c r="D10264" s="2" t="s">
        <v>12846</v>
      </c>
      <c r="E10264" s="4">
        <v>7900</v>
      </c>
    </row>
    <row r="10265" spans="1:5">
      <c r="A10265" s="2" t="s">
        <v>2076</v>
      </c>
      <c r="B10265" s="2" t="str">
        <f>"245647"</f>
        <v>245647</v>
      </c>
      <c r="C10265" s="2" t="str">
        <f>"245647"</f>
        <v>245647</v>
      </c>
      <c r="D10265" s="2" t="s">
        <v>12847</v>
      </c>
      <c r="E10265" s="4">
        <v>8800</v>
      </c>
    </row>
    <row r="10266" spans="1:5">
      <c r="A10266" s="2" t="s">
        <v>2076</v>
      </c>
      <c r="B10266" s="2" t="str">
        <f>"0011270093"</f>
        <v>0011270093</v>
      </c>
      <c r="C10266" s="2" t="str">
        <f>"11270093"</f>
        <v>11270093</v>
      </c>
      <c r="D10266" s="2" t="s">
        <v>12848</v>
      </c>
      <c r="E10266" s="4">
        <v>9700</v>
      </c>
    </row>
    <row r="10267" spans="1:5">
      <c r="A10267" s="2" t="s">
        <v>2076</v>
      </c>
      <c r="B10267" s="2" t="str">
        <f>"070790629"</f>
        <v>070790629</v>
      </c>
      <c r="C10267" s="2" t="str">
        <f>"070790629"</f>
        <v>070790629</v>
      </c>
      <c r="D10267" s="2" t="s">
        <v>12849</v>
      </c>
      <c r="E10267" s="4">
        <v>7900</v>
      </c>
    </row>
    <row r="10268" spans="1:5">
      <c r="A10268" s="2" t="s">
        <v>2076</v>
      </c>
      <c r="B10268" s="2" t="s">
        <v>12850</v>
      </c>
      <c r="C10268" s="2" t="s">
        <v>12850</v>
      </c>
      <c r="D10268" s="2" t="s">
        <v>12851</v>
      </c>
      <c r="E10268" s="4">
        <v>8800</v>
      </c>
    </row>
    <row r="10269" spans="1:5">
      <c r="A10269" s="2" t="s">
        <v>2076</v>
      </c>
      <c r="B10269" s="2" t="str">
        <f>"001427006-k"</f>
        <v>001427006-k</v>
      </c>
      <c r="C10269" s="2" t="str">
        <f>"1427006-K"</f>
        <v>1427006-K</v>
      </c>
      <c r="D10269" s="2" t="s">
        <v>12852</v>
      </c>
      <c r="E10269" s="4">
        <v>10900</v>
      </c>
    </row>
    <row r="10270" spans="1:5">
      <c r="A10270" s="2" t="s">
        <v>2076</v>
      </c>
      <c r="B10270" s="2" t="str">
        <f>"260743"</f>
        <v>260743</v>
      </c>
      <c r="C10270" s="2" t="str">
        <f>"260743"</f>
        <v>260743</v>
      </c>
      <c r="D10270" s="2" t="s">
        <v>12853</v>
      </c>
      <c r="E10270" s="4">
        <v>12900</v>
      </c>
    </row>
    <row r="10271" spans="1:5">
      <c r="A10271" s="2" t="s">
        <v>2076</v>
      </c>
      <c r="B10271" s="2" t="str">
        <f>"017371"</f>
        <v>017371</v>
      </c>
      <c r="C10271" s="2" t="str">
        <f>"017371"</f>
        <v>017371</v>
      </c>
      <c r="D10271" s="2" t="s">
        <v>12854</v>
      </c>
      <c r="E10271" s="4">
        <v>39500</v>
      </c>
    </row>
    <row r="10272" spans="1:5">
      <c r="A10272" s="2" t="s">
        <v>2076</v>
      </c>
      <c r="B10272" s="2" t="str">
        <f>"0799-004"</f>
        <v>0799-004</v>
      </c>
      <c r="C10272" s="2" t="str">
        <f>"0799-004"</f>
        <v>0799-004</v>
      </c>
      <c r="D10272" s="2" t="s">
        <v>12855</v>
      </c>
      <c r="E10272" s="4">
        <v>11500</v>
      </c>
    </row>
    <row r="10273" spans="1:5">
      <c r="A10273" s="2" t="s">
        <v>2076</v>
      </c>
      <c r="B10273" s="2" t="str">
        <f>"1284070"</f>
        <v>1284070</v>
      </c>
      <c r="C10273" s="2" t="str">
        <f>"1284070"</f>
        <v>1284070</v>
      </c>
      <c r="D10273" s="2" t="s">
        <v>12856</v>
      </c>
      <c r="E10273" s="4">
        <v>14200</v>
      </c>
    </row>
    <row r="10274" spans="1:5">
      <c r="A10274" s="2" t="s">
        <v>2076</v>
      </c>
      <c r="B10274" s="2" t="str">
        <f>"005765"</f>
        <v>005765</v>
      </c>
      <c r="C10274" s="2" t="str">
        <f>"005765"</f>
        <v>005765</v>
      </c>
      <c r="D10274" s="2" t="s">
        <v>12857</v>
      </c>
      <c r="E10274" s="4">
        <v>15100</v>
      </c>
    </row>
    <row r="10275" spans="1:5">
      <c r="A10275" s="2" t="s">
        <v>2076</v>
      </c>
      <c r="B10275" s="2" t="str">
        <f>"7003201"</f>
        <v>7003201</v>
      </c>
      <c r="C10275" s="2" t="str">
        <f>"7003201"</f>
        <v>7003201</v>
      </c>
      <c r="D10275" s="2" t="s">
        <v>12858</v>
      </c>
      <c r="E10275" s="4">
        <v>14200</v>
      </c>
    </row>
    <row r="10276" spans="1:5">
      <c r="A10276" s="2" t="s">
        <v>2076</v>
      </c>
      <c r="B10276" s="2" t="str">
        <f>"1604063"</f>
        <v>1604063</v>
      </c>
      <c r="C10276" s="2" t="str">
        <f>"1604063"</f>
        <v>1604063</v>
      </c>
      <c r="D10276" s="2" t="s">
        <v>12859</v>
      </c>
      <c r="E10276" s="4">
        <v>29500</v>
      </c>
    </row>
    <row r="10277" spans="1:5">
      <c r="A10277" s="2" t="s">
        <v>2076</v>
      </c>
      <c r="B10277" s="2" t="s">
        <v>12860</v>
      </c>
      <c r="C10277" s="2" t="str">
        <f>"1127034-4"</f>
        <v>1127034-4</v>
      </c>
      <c r="D10277" s="2" t="s">
        <v>12861</v>
      </c>
      <c r="E10277" s="4">
        <v>9700</v>
      </c>
    </row>
    <row r="10278" spans="1:5">
      <c r="A10278" s="2" t="s">
        <v>2076</v>
      </c>
      <c r="B10278" s="2" t="str">
        <f>"0008498"</f>
        <v>0008498</v>
      </c>
      <c r="C10278" s="2" t="str">
        <f>"0008498"</f>
        <v>0008498</v>
      </c>
      <c r="D10278" s="2" t="s">
        <v>12862</v>
      </c>
      <c r="E10278" s="4">
        <v>29000</v>
      </c>
    </row>
    <row r="10279" spans="1:5">
      <c r="A10279" s="2" t="s">
        <v>2076</v>
      </c>
      <c r="B10279" s="2" t="str">
        <f>"0006989"</f>
        <v>0006989</v>
      </c>
      <c r="C10279" s="2" t="str">
        <f>"0006989"</f>
        <v>0006989</v>
      </c>
      <c r="D10279" s="2" t="s">
        <v>12863</v>
      </c>
      <c r="E10279" s="4">
        <v>8800</v>
      </c>
    </row>
    <row r="10280" spans="1:5">
      <c r="A10280" s="2" t="s">
        <v>2076</v>
      </c>
      <c r="B10280" s="2" t="str">
        <f>"0008497"</f>
        <v>0008497</v>
      </c>
      <c r="C10280" s="2" t="str">
        <f>"0008497"</f>
        <v>0008497</v>
      </c>
      <c r="D10280" s="2" t="s">
        <v>12864</v>
      </c>
      <c r="E10280" s="4">
        <v>38500</v>
      </c>
    </row>
    <row r="10281" spans="1:5">
      <c r="A10281" s="2" t="s">
        <v>2076</v>
      </c>
      <c r="B10281" s="2" t="str">
        <f>"0016208"</f>
        <v>0016208</v>
      </c>
      <c r="C10281" s="2" t="str">
        <f>"0016208"</f>
        <v>0016208</v>
      </c>
      <c r="D10281" s="2" t="s">
        <v>12865</v>
      </c>
      <c r="E10281" s="4">
        <v>290000</v>
      </c>
    </row>
    <row r="10282" spans="1:5">
      <c r="A10282" s="2" t="s">
        <v>2076</v>
      </c>
      <c r="B10282" s="2" t="str">
        <f>"9071623"</f>
        <v>9071623</v>
      </c>
      <c r="C10282" s="2" t="str">
        <f>"9071623"</f>
        <v>9071623</v>
      </c>
      <c r="D10282" s="2" t="s">
        <v>12866</v>
      </c>
      <c r="E10282" s="4">
        <v>18700</v>
      </c>
    </row>
    <row r="10283" spans="1:5">
      <c r="A10283" s="2" t="s">
        <v>2076</v>
      </c>
      <c r="B10283" s="2" t="str">
        <f>"162350"</f>
        <v>162350</v>
      </c>
      <c r="C10283" s="2" t="str">
        <f>"162350"</f>
        <v>162350</v>
      </c>
      <c r="D10283" s="2" t="s">
        <v>12867</v>
      </c>
      <c r="E10283" s="4">
        <v>12400</v>
      </c>
    </row>
    <row r="10284" spans="1:5">
      <c r="A10284" s="2" t="s">
        <v>2076</v>
      </c>
      <c r="B10284" s="2" t="str">
        <f>"070870289"</f>
        <v>070870289</v>
      </c>
      <c r="C10284" s="2" t="str">
        <f>"070870289"</f>
        <v>070870289</v>
      </c>
      <c r="D10284" s="2" t="s">
        <v>12868</v>
      </c>
      <c r="E10284" s="4">
        <v>12400</v>
      </c>
    </row>
    <row r="10285" spans="1:5">
      <c r="A10285" s="2" t="s">
        <v>2076</v>
      </c>
      <c r="B10285" s="2" t="str">
        <f>"0017026"</f>
        <v>0017026</v>
      </c>
      <c r="C10285" s="2" t="str">
        <f>"0017026"</f>
        <v>0017026</v>
      </c>
      <c r="D10285" s="2" t="s">
        <v>12869</v>
      </c>
      <c r="E10285" s="4">
        <v>18700</v>
      </c>
    </row>
    <row r="10286" spans="1:5">
      <c r="A10286" s="2" t="s">
        <v>2076</v>
      </c>
      <c r="B10286" s="2" t="str">
        <f>"013915"</f>
        <v>013915</v>
      </c>
      <c r="C10286" s="2" t="str">
        <f>"013915"</f>
        <v>013915</v>
      </c>
      <c r="D10286" s="2" t="s">
        <v>12870</v>
      </c>
      <c r="E10286" s="4">
        <v>9900</v>
      </c>
    </row>
    <row r="10287" spans="1:5">
      <c r="A10287" s="2" t="s">
        <v>2076</v>
      </c>
      <c r="B10287" s="2" t="str">
        <f>"1284078"</f>
        <v>1284078</v>
      </c>
      <c r="C10287" s="2" t="str">
        <f>"1284078"</f>
        <v>1284078</v>
      </c>
      <c r="D10287" s="2" t="s">
        <v>12871</v>
      </c>
      <c r="E10287" s="4">
        <v>8800</v>
      </c>
    </row>
    <row r="10288" spans="1:5">
      <c r="A10288" s="2" t="s">
        <v>2076</v>
      </c>
      <c r="B10288" s="2" t="str">
        <f>"000812371-3"</f>
        <v>000812371-3</v>
      </c>
      <c r="C10288" s="2" t="str">
        <f>"00812371-3"</f>
        <v>00812371-3</v>
      </c>
      <c r="D10288" s="2" t="s">
        <v>12872</v>
      </c>
      <c r="E10288" s="4">
        <v>15100</v>
      </c>
    </row>
    <row r="10289" spans="1:5">
      <c r="A10289" s="2" t="s">
        <v>2076</v>
      </c>
      <c r="B10289" s="2" t="str">
        <f>"1827010-2"</f>
        <v>1827010-2</v>
      </c>
      <c r="C10289" s="2" t="str">
        <f>"1827010-2"</f>
        <v>1827010-2</v>
      </c>
      <c r="D10289" s="2" t="s">
        <v>12873</v>
      </c>
      <c r="E10289" s="4">
        <v>17900</v>
      </c>
    </row>
    <row r="10290" spans="1:5">
      <c r="A10290" s="2" t="s">
        <v>2076</v>
      </c>
      <c r="B10290" s="2" t="str">
        <f>"013802"</f>
        <v>013802</v>
      </c>
      <c r="C10290" s="2" t="str">
        <f>"013802"</f>
        <v>013802</v>
      </c>
      <c r="D10290" s="2" t="s">
        <v>12874</v>
      </c>
      <c r="E10290" s="4">
        <v>8800</v>
      </c>
    </row>
    <row r="10291" spans="1:5">
      <c r="A10291" s="2" t="s">
        <v>2076</v>
      </c>
      <c r="B10291" s="2" t="str">
        <f>"2524-2029"</f>
        <v>2524-2029</v>
      </c>
      <c r="C10291" s="2" t="str">
        <f>"2524-2029"</f>
        <v>2524-2029</v>
      </c>
      <c r="D10291" s="2" t="s">
        <v>12875</v>
      </c>
      <c r="E10291" s="4">
        <v>5900</v>
      </c>
    </row>
    <row r="10292" spans="1:5">
      <c r="A10292" s="2" t="s">
        <v>2076</v>
      </c>
      <c r="B10292" s="2" t="str">
        <f>"1062-042"</f>
        <v>1062-042</v>
      </c>
      <c r="C10292" s="2" t="str">
        <f>"1062-042"</f>
        <v>1062-042</v>
      </c>
      <c r="D10292" s="2" t="s">
        <v>12876</v>
      </c>
      <c r="E10292" s="4">
        <v>13300</v>
      </c>
    </row>
    <row r="10293" spans="1:5">
      <c r="A10293" s="2" t="s">
        <v>2076</v>
      </c>
      <c r="B10293" s="2" t="str">
        <f>"245476"</f>
        <v>245476</v>
      </c>
      <c r="C10293" s="2" t="str">
        <f>"245476"</f>
        <v>245476</v>
      </c>
      <c r="D10293" s="2" t="s">
        <v>12877</v>
      </c>
      <c r="E10293" s="4">
        <v>5500</v>
      </c>
    </row>
    <row r="10294" spans="1:5">
      <c r="A10294" s="2" t="s">
        <v>2076</v>
      </c>
      <c r="B10294" s="2" t="str">
        <f>"1127005-0"</f>
        <v>1127005-0</v>
      </c>
      <c r="C10294" s="2" t="str">
        <f>"1127005-0"</f>
        <v>1127005-0</v>
      </c>
      <c r="D10294" s="2" t="s">
        <v>12878</v>
      </c>
      <c r="E10294" s="4">
        <v>11000</v>
      </c>
    </row>
    <row r="10295" spans="1:5">
      <c r="A10295" s="2" t="s">
        <v>2076</v>
      </c>
      <c r="B10295" s="2" t="str">
        <f>"260755"</f>
        <v>260755</v>
      </c>
      <c r="C10295" s="2" t="str">
        <f>"260755"</f>
        <v>260755</v>
      </c>
      <c r="D10295" s="2" t="s">
        <v>12879</v>
      </c>
      <c r="E10295" s="4">
        <v>12800</v>
      </c>
    </row>
    <row r="10296" spans="1:5">
      <c r="A10296" s="2" t="s">
        <v>2076</v>
      </c>
      <c r="B10296" s="2" t="str">
        <f>"245546"</f>
        <v>245546</v>
      </c>
      <c r="C10296" s="2" t="str">
        <f>"245546"</f>
        <v>245546</v>
      </c>
      <c r="D10296" s="2" t="s">
        <v>12880</v>
      </c>
      <c r="E10296" s="4">
        <v>14200</v>
      </c>
    </row>
    <row r="10297" spans="1:5">
      <c r="A10297" s="2" t="s">
        <v>2076</v>
      </c>
      <c r="B10297" s="2" t="str">
        <f>"260749"</f>
        <v>260749</v>
      </c>
      <c r="C10297" s="2" t="str">
        <f>"260749"</f>
        <v>260749</v>
      </c>
      <c r="D10297" s="2" t="s">
        <v>12881</v>
      </c>
      <c r="E10297" s="4">
        <v>14000</v>
      </c>
    </row>
    <row r="10298" spans="1:5">
      <c r="A10298" s="2" t="s">
        <v>2076</v>
      </c>
      <c r="B10298" s="2" t="str">
        <f>"013781"</f>
        <v>013781</v>
      </c>
      <c r="C10298" s="2" t="str">
        <f>"013781"</f>
        <v>013781</v>
      </c>
      <c r="D10298" s="2" t="s">
        <v>12882</v>
      </c>
      <c r="E10298" s="4">
        <v>18700</v>
      </c>
    </row>
    <row r="10299" spans="1:5">
      <c r="A10299" s="2" t="s">
        <v>2076</v>
      </c>
      <c r="B10299" s="2" t="str">
        <f>"412387-5"</f>
        <v>412387-5</v>
      </c>
      <c r="C10299" s="2" t="str">
        <f>"412387-5"</f>
        <v>412387-5</v>
      </c>
      <c r="D10299" s="2" t="s">
        <v>12883</v>
      </c>
      <c r="E10299" s="4">
        <v>16500</v>
      </c>
    </row>
    <row r="10300" spans="1:5">
      <c r="A10300" s="2" t="s">
        <v>2076</v>
      </c>
      <c r="B10300" s="2" t="str">
        <f>"0152023"</f>
        <v>0152023</v>
      </c>
      <c r="C10300" s="2" t="str">
        <f>"0152023"</f>
        <v>0152023</v>
      </c>
      <c r="D10300" s="2" t="s">
        <v>12884</v>
      </c>
      <c r="E10300" s="4">
        <v>11500</v>
      </c>
    </row>
    <row r="10301" spans="1:5">
      <c r="A10301" s="2" t="s">
        <v>2076</v>
      </c>
      <c r="B10301" s="2" t="str">
        <f>"402135-5"</f>
        <v>402135-5</v>
      </c>
      <c r="C10301" s="2" t="str">
        <f>"280011"</f>
        <v>280011</v>
      </c>
      <c r="D10301" s="2" t="s">
        <v>12885</v>
      </c>
      <c r="E10301" s="4">
        <v>79000</v>
      </c>
    </row>
    <row r="10302" spans="1:5">
      <c r="A10302" s="2" t="s">
        <v>2076</v>
      </c>
      <c r="B10302" s="2" t="str">
        <f>"1727015-K"</f>
        <v>1727015-K</v>
      </c>
      <c r="C10302" s="2" t="str">
        <f>"1727015-K"</f>
        <v>1727015-K</v>
      </c>
      <c r="D10302" s="2" t="s">
        <v>12886</v>
      </c>
      <c r="E10302" s="4">
        <v>13300</v>
      </c>
    </row>
    <row r="10303" spans="1:5">
      <c r="A10303" s="2" t="s">
        <v>2076</v>
      </c>
      <c r="B10303" s="2" t="str">
        <f>"000912414-4"</f>
        <v>000912414-4</v>
      </c>
      <c r="C10303" s="2" t="str">
        <f>"000912414-4"</f>
        <v>000912414-4</v>
      </c>
      <c r="D10303" s="2" t="s">
        <v>12887</v>
      </c>
      <c r="E10303" s="4">
        <v>16000</v>
      </c>
    </row>
    <row r="10304" spans="1:5">
      <c r="A10304" s="2" t="s">
        <v>2076</v>
      </c>
      <c r="B10304" s="2" t="str">
        <f>"245646"</f>
        <v>245646</v>
      </c>
      <c r="C10304" s="2" t="str">
        <f>"245646"</f>
        <v>245646</v>
      </c>
      <c r="D10304" s="2" t="s">
        <v>12888</v>
      </c>
      <c r="E10304" s="4">
        <v>11500</v>
      </c>
    </row>
    <row r="10305" spans="1:5">
      <c r="A10305" s="2" t="s">
        <v>2076</v>
      </c>
      <c r="B10305" s="2" t="s">
        <v>12889</v>
      </c>
      <c r="C10305" s="2" t="str">
        <f>"015023"</f>
        <v>015023</v>
      </c>
      <c r="D10305" s="2" t="s">
        <v>12890</v>
      </c>
      <c r="E10305" s="4">
        <v>11500</v>
      </c>
    </row>
    <row r="10306" spans="1:5">
      <c r="A10306" s="2" t="s">
        <v>2076</v>
      </c>
      <c r="B10306" s="2" t="str">
        <f>"013775"</f>
        <v>013775</v>
      </c>
      <c r="C10306" s="2" t="str">
        <f>"013775"</f>
        <v>013775</v>
      </c>
      <c r="D10306" s="2" t="s">
        <v>12891</v>
      </c>
      <c r="E10306" s="4">
        <v>15200</v>
      </c>
    </row>
    <row r="10307" spans="1:5">
      <c r="A10307" s="2" t="s">
        <v>2076</v>
      </c>
      <c r="B10307" s="2" t="s">
        <v>12892</v>
      </c>
      <c r="C10307" s="2" t="s">
        <v>12892</v>
      </c>
      <c r="D10307" s="2" t="s">
        <v>12893</v>
      </c>
      <c r="E10307" s="4">
        <v>8800</v>
      </c>
    </row>
    <row r="10308" spans="1:5">
      <c r="A10308" s="2" t="s">
        <v>2076</v>
      </c>
      <c r="B10308" s="2" t="s">
        <v>12894</v>
      </c>
      <c r="C10308" s="2" t="s">
        <v>12894</v>
      </c>
      <c r="D10308" s="2" t="s">
        <v>12895</v>
      </c>
      <c r="E10308" s="4">
        <v>39400</v>
      </c>
    </row>
    <row r="10309" spans="1:5">
      <c r="A10309" s="2" t="s">
        <v>2076</v>
      </c>
      <c r="B10309" s="2" t="str">
        <f>"017039"</f>
        <v>017039</v>
      </c>
      <c r="C10309" s="2" t="str">
        <f>"017039"</f>
        <v>017039</v>
      </c>
      <c r="D10309" s="2" t="s">
        <v>12896</v>
      </c>
      <c r="E10309" s="4">
        <v>43000</v>
      </c>
    </row>
    <row r="10310" spans="1:5">
      <c r="A10310" s="2" t="s">
        <v>2076</v>
      </c>
      <c r="B10310" s="2" t="str">
        <f>"017037"</f>
        <v>017037</v>
      </c>
      <c r="C10310" s="2" t="str">
        <f>"017037"</f>
        <v>017037</v>
      </c>
      <c r="D10310" s="2" t="s">
        <v>12897</v>
      </c>
      <c r="E10310" s="4">
        <v>43000</v>
      </c>
    </row>
    <row r="10311" spans="1:5">
      <c r="A10311" s="2" t="s">
        <v>2076</v>
      </c>
      <c r="B10311" s="2" t="str">
        <f>"016773"</f>
        <v>016773</v>
      </c>
      <c r="C10311" s="2" t="str">
        <f>"016773"</f>
        <v>016773</v>
      </c>
      <c r="D10311" s="2" t="s">
        <v>12898</v>
      </c>
      <c r="E10311" s="4">
        <v>58300</v>
      </c>
    </row>
    <row r="10312" spans="1:5">
      <c r="A10312" s="2" t="s">
        <v>2076</v>
      </c>
      <c r="B10312" s="2" t="str">
        <f>"0780-036"</f>
        <v>0780-036</v>
      </c>
      <c r="C10312" s="2" t="str">
        <f>"0780-036"</f>
        <v>0780-036</v>
      </c>
      <c r="D10312" s="2" t="s">
        <v>12899</v>
      </c>
      <c r="E10312" s="4">
        <v>52000</v>
      </c>
    </row>
    <row r="10313" spans="1:5">
      <c r="A10313" s="2" t="s">
        <v>2076</v>
      </c>
      <c r="B10313" s="2" t="str">
        <f>"016184"</f>
        <v>016184</v>
      </c>
      <c r="C10313" s="2" t="str">
        <f>"016184"</f>
        <v>016184</v>
      </c>
      <c r="D10313" s="2" t="s">
        <v>12900</v>
      </c>
      <c r="E10313" s="4">
        <v>59000</v>
      </c>
    </row>
    <row r="10314" spans="1:5">
      <c r="A10314" s="2" t="s">
        <v>2076</v>
      </c>
      <c r="B10314" s="2" t="str">
        <f>"260674"</f>
        <v>260674</v>
      </c>
      <c r="C10314" s="2" t="str">
        <f>"260674"</f>
        <v>260674</v>
      </c>
      <c r="D10314" s="2" t="s">
        <v>12901</v>
      </c>
      <c r="E10314" s="4">
        <v>19900</v>
      </c>
    </row>
    <row r="10315" spans="1:5">
      <c r="A10315" s="2" t="s">
        <v>2076</v>
      </c>
      <c r="B10315" s="2" t="str">
        <f>"013829"</f>
        <v>013829</v>
      </c>
      <c r="C10315" s="2" t="str">
        <f>"013829"</f>
        <v>013829</v>
      </c>
      <c r="D10315" s="2" t="s">
        <v>12902</v>
      </c>
      <c r="E10315" s="4">
        <v>14200</v>
      </c>
    </row>
    <row r="10316" spans="1:5">
      <c r="A10316" s="2" t="s">
        <v>2076</v>
      </c>
      <c r="B10316" s="2" t="s">
        <v>12903</v>
      </c>
      <c r="C10316" s="2" t="s">
        <v>12903</v>
      </c>
      <c r="D10316" s="2" t="s">
        <v>12904</v>
      </c>
      <c r="E10316" s="4">
        <v>16000</v>
      </c>
    </row>
    <row r="10317" spans="1:5">
      <c r="A10317" s="2" t="s">
        <v>2076</v>
      </c>
      <c r="B10317" s="2" t="str">
        <f>"1227015-1"</f>
        <v>1227015-1</v>
      </c>
      <c r="C10317" s="2" t="str">
        <f>"1227015-1"</f>
        <v>1227015-1</v>
      </c>
      <c r="D10317" s="2" t="s">
        <v>12905</v>
      </c>
      <c r="E10317" s="4">
        <v>14900</v>
      </c>
    </row>
    <row r="10318" spans="1:5">
      <c r="A10318" s="2" t="s">
        <v>2076</v>
      </c>
      <c r="B10318" s="2" t="str">
        <f>"9951746"</f>
        <v>9951746</v>
      </c>
      <c r="C10318" s="2" t="str">
        <f>"9951746"</f>
        <v>9951746</v>
      </c>
      <c r="D10318" s="2" t="s">
        <v>12906</v>
      </c>
      <c r="E10318" s="4">
        <v>12400</v>
      </c>
    </row>
    <row r="10319" spans="1:5">
      <c r="A10319" s="2" t="s">
        <v>2076</v>
      </c>
      <c r="B10319" s="2" t="str">
        <f>"245503"</f>
        <v>245503</v>
      </c>
      <c r="C10319" s="2" t="str">
        <f>"245503"</f>
        <v>245503</v>
      </c>
      <c r="D10319" s="2" t="s">
        <v>12907</v>
      </c>
      <c r="E10319" s="4">
        <v>14200</v>
      </c>
    </row>
    <row r="10320" spans="1:5">
      <c r="A10320" s="2" t="s">
        <v>2076</v>
      </c>
      <c r="B10320" s="2" t="str">
        <f>"070790642"</f>
        <v>070790642</v>
      </c>
      <c r="C10320" s="2" t="str">
        <f>"070790642"</f>
        <v>070790642</v>
      </c>
      <c r="D10320" s="2" t="s">
        <v>12908</v>
      </c>
      <c r="E10320" s="4">
        <v>10600</v>
      </c>
    </row>
    <row r="10321" spans="1:5">
      <c r="A10321" s="2" t="s">
        <v>2076</v>
      </c>
      <c r="B10321" s="2" t="str">
        <f>"005746"</f>
        <v>005746</v>
      </c>
      <c r="C10321" s="2" t="str">
        <f>"005746"</f>
        <v>005746</v>
      </c>
      <c r="D10321" s="2" t="s">
        <v>12909</v>
      </c>
      <c r="E10321" s="4">
        <v>8800</v>
      </c>
    </row>
    <row r="10322" spans="1:5">
      <c r="A10322" s="2" t="s">
        <v>2076</v>
      </c>
      <c r="B10322" s="2" t="s">
        <v>12910</v>
      </c>
      <c r="C10322" s="2" t="s">
        <v>12910</v>
      </c>
      <c r="D10322" s="2" t="s">
        <v>12911</v>
      </c>
      <c r="E10322" s="4">
        <v>22300</v>
      </c>
    </row>
    <row r="10323" spans="1:5">
      <c r="A10323" s="2" t="s">
        <v>2076</v>
      </c>
      <c r="B10323" s="2" t="str">
        <f>"005783"</f>
        <v>005783</v>
      </c>
      <c r="C10323" s="2" t="str">
        <f>"005783"</f>
        <v>005783</v>
      </c>
      <c r="D10323" s="2" t="s">
        <v>12912</v>
      </c>
      <c r="E10323" s="4">
        <v>8800</v>
      </c>
    </row>
    <row r="10324" spans="1:5">
      <c r="A10324" s="2" t="s">
        <v>2076</v>
      </c>
      <c r="B10324" s="2" t="str">
        <f>"0008507"</f>
        <v>0008507</v>
      </c>
      <c r="C10324" s="2" t="str">
        <f>"0008507"</f>
        <v>0008507</v>
      </c>
      <c r="D10324" s="2" t="s">
        <v>12913</v>
      </c>
      <c r="E10324" s="4">
        <v>48000</v>
      </c>
    </row>
    <row r="10325" spans="1:5">
      <c r="A10325" s="2" t="s">
        <v>2076</v>
      </c>
      <c r="B10325" s="2" t="str">
        <f>"1227000-3"</f>
        <v>1227000-3</v>
      </c>
      <c r="C10325" s="2" t="str">
        <f>"1227000-3"</f>
        <v>1227000-3</v>
      </c>
      <c r="D10325" s="2" t="s">
        <v>12914</v>
      </c>
      <c r="E10325" s="4">
        <v>9900</v>
      </c>
    </row>
    <row r="10326" spans="1:5">
      <c r="A10326" s="2" t="s">
        <v>2076</v>
      </c>
      <c r="B10326" s="2" t="str">
        <f>"7003603"</f>
        <v>7003603</v>
      </c>
      <c r="C10326" s="2" t="str">
        <f>"14000"</f>
        <v>14000</v>
      </c>
      <c r="D10326" s="2" t="s">
        <v>12915</v>
      </c>
      <c r="E10326" s="4">
        <v>14000</v>
      </c>
    </row>
    <row r="10327" spans="1:5">
      <c r="A10327" s="2" t="s">
        <v>2076</v>
      </c>
      <c r="B10327" s="2" t="str">
        <f>"013834"</f>
        <v>013834</v>
      </c>
      <c r="C10327" s="2" t="str">
        <f>"013834"</f>
        <v>013834</v>
      </c>
      <c r="D10327" s="2" t="s">
        <v>12916</v>
      </c>
      <c r="E10327" s="4">
        <v>11500</v>
      </c>
    </row>
    <row r="10328" spans="1:5">
      <c r="A10328" s="2" t="s">
        <v>2076</v>
      </c>
      <c r="B10328" s="2" t="str">
        <f>"015589"</f>
        <v>015589</v>
      </c>
      <c r="C10328" s="2" t="str">
        <f>"015589"</f>
        <v>015589</v>
      </c>
      <c r="D10328" s="2" t="s">
        <v>12917</v>
      </c>
      <c r="E10328" s="4">
        <v>15500</v>
      </c>
    </row>
    <row r="10329" spans="1:5">
      <c r="A10329" s="2" t="s">
        <v>2076</v>
      </c>
      <c r="B10329" s="2" t="str">
        <f>"0021962"</f>
        <v>0021962</v>
      </c>
      <c r="C10329" s="2" t="str">
        <f>"0021962"</f>
        <v>0021962</v>
      </c>
      <c r="D10329" s="2" t="s">
        <v>12918</v>
      </c>
      <c r="E10329" s="4">
        <v>79000</v>
      </c>
    </row>
    <row r="10330" spans="1:5">
      <c r="A10330" s="2" t="s">
        <v>2076</v>
      </c>
      <c r="B10330" s="2" t="str">
        <f>"070790603"</f>
        <v>070790603</v>
      </c>
      <c r="C10330" s="2" t="str">
        <f>"070790603"</f>
        <v>070790603</v>
      </c>
      <c r="D10330" s="2" t="s">
        <v>12919</v>
      </c>
      <c r="E10330" s="4">
        <v>12400</v>
      </c>
    </row>
    <row r="10331" spans="1:5">
      <c r="A10331" s="2" t="s">
        <v>2076</v>
      </c>
      <c r="B10331" s="2" t="str">
        <f>"2927045-7"</f>
        <v>2927045-7</v>
      </c>
      <c r="C10331" s="2" t="str">
        <f>"2927045-7"</f>
        <v>2927045-7</v>
      </c>
      <c r="D10331" s="2" t="s">
        <v>12920</v>
      </c>
      <c r="E10331" s="4">
        <v>19000</v>
      </c>
    </row>
    <row r="10332" spans="1:5">
      <c r="A10332" s="2" t="s">
        <v>2076</v>
      </c>
      <c r="B10332" s="2" t="str">
        <f>"013741"</f>
        <v>013741</v>
      </c>
      <c r="C10332" s="2" t="str">
        <f>"013741"</f>
        <v>013741</v>
      </c>
      <c r="D10332" s="2" t="s">
        <v>12921</v>
      </c>
      <c r="E10332" s="4">
        <v>17900</v>
      </c>
    </row>
    <row r="10333" spans="1:5">
      <c r="A10333" s="2" t="s">
        <v>2076</v>
      </c>
      <c r="B10333" s="2" t="str">
        <f>"013793"</f>
        <v>013793</v>
      </c>
      <c r="C10333" s="2" t="str">
        <f>"013793"</f>
        <v>013793</v>
      </c>
      <c r="D10333" s="2" t="s">
        <v>12922</v>
      </c>
      <c r="E10333" s="4">
        <v>12400</v>
      </c>
    </row>
    <row r="10334" spans="1:5">
      <c r="A10334" s="2" t="s">
        <v>2076</v>
      </c>
      <c r="B10334" s="2" t="str">
        <f>"7003581"</f>
        <v>7003581</v>
      </c>
      <c r="C10334" s="2" t="str">
        <f>"7003581"</f>
        <v>7003581</v>
      </c>
      <c r="D10334" s="2" t="s">
        <v>12923</v>
      </c>
      <c r="E10334" s="4">
        <v>11500</v>
      </c>
    </row>
    <row r="10335" spans="1:5">
      <c r="A10335" s="2" t="s">
        <v>2076</v>
      </c>
      <c r="B10335" s="2" t="str">
        <f>"412373-5"</f>
        <v>412373-5</v>
      </c>
      <c r="C10335" s="2" t="str">
        <f>"010790033"</f>
        <v>010790033</v>
      </c>
      <c r="D10335" s="2" t="s">
        <v>12924</v>
      </c>
      <c r="E10335" s="4">
        <v>9700</v>
      </c>
    </row>
    <row r="10336" spans="1:5">
      <c r="A10336" s="2" t="s">
        <v>2076</v>
      </c>
      <c r="B10336" s="2" t="str">
        <f>"090790102"</f>
        <v>090790102</v>
      </c>
      <c r="C10336" s="2" t="str">
        <f>"412366-2"</f>
        <v>412366-2</v>
      </c>
      <c r="D10336" s="2" t="s">
        <v>12924</v>
      </c>
      <c r="E10336" s="4">
        <v>8800</v>
      </c>
    </row>
    <row r="10337" spans="1:5">
      <c r="A10337" s="2" t="s">
        <v>2076</v>
      </c>
      <c r="B10337" s="2" t="str">
        <f>"0000004"</f>
        <v>0000004</v>
      </c>
      <c r="C10337" s="2" t="str">
        <f>"0000004"</f>
        <v>0000004</v>
      </c>
      <c r="D10337" s="2" t="s">
        <v>12925</v>
      </c>
      <c r="E10337" s="4">
        <v>8800</v>
      </c>
    </row>
    <row r="10338" spans="1:5">
      <c r="A10338" s="2" t="s">
        <v>2076</v>
      </c>
      <c r="B10338" s="2" t="str">
        <f>"7013563"</f>
        <v>7013563</v>
      </c>
      <c r="C10338" s="2" t="str">
        <f>"7013563"</f>
        <v>7013563</v>
      </c>
      <c r="D10338" s="2" t="s">
        <v>12926</v>
      </c>
      <c r="E10338" s="4">
        <v>17000</v>
      </c>
    </row>
    <row r="10339" spans="1:5">
      <c r="A10339" s="2" t="s">
        <v>2076</v>
      </c>
      <c r="B10339" s="2" t="str">
        <f>"260754"</f>
        <v>260754</v>
      </c>
      <c r="C10339" s="2" t="str">
        <f>"260754"</f>
        <v>260754</v>
      </c>
      <c r="D10339" s="2" t="s">
        <v>12927</v>
      </c>
      <c r="E10339" s="4">
        <v>11500</v>
      </c>
    </row>
    <row r="10340" spans="1:5">
      <c r="A10340" s="2" t="s">
        <v>2076</v>
      </c>
      <c r="B10340" s="2" t="s">
        <v>12928</v>
      </c>
      <c r="C10340" s="2" t="s">
        <v>12929</v>
      </c>
      <c r="D10340" s="2" t="s">
        <v>12927</v>
      </c>
      <c r="E10340" s="4">
        <v>9700</v>
      </c>
    </row>
    <row r="10341" spans="1:5">
      <c r="A10341" s="2" t="s">
        <v>2076</v>
      </c>
      <c r="B10341" s="2" t="s">
        <v>12930</v>
      </c>
      <c r="C10341" s="2" t="str">
        <f>"260695"</f>
        <v>260695</v>
      </c>
      <c r="D10341" s="2" t="s">
        <v>12931</v>
      </c>
      <c r="E10341" s="4">
        <v>13500</v>
      </c>
    </row>
    <row r="10342" spans="1:5">
      <c r="A10342" s="2" t="s">
        <v>2076</v>
      </c>
      <c r="B10342" s="2" t="str">
        <f>"9951747"</f>
        <v>9951747</v>
      </c>
      <c r="C10342" s="2" t="str">
        <f>"9951747"</f>
        <v>9951747</v>
      </c>
      <c r="D10342" s="2" t="s">
        <v>12931</v>
      </c>
      <c r="E10342" s="4">
        <v>9700</v>
      </c>
    </row>
    <row r="10343" spans="1:5">
      <c r="A10343" s="2" t="s">
        <v>2076</v>
      </c>
      <c r="B10343" s="2" t="str">
        <f>"010790280"</f>
        <v>010790280</v>
      </c>
      <c r="C10343" s="2" t="str">
        <f>"010790280"</f>
        <v>010790280</v>
      </c>
      <c r="D10343" s="2" t="s">
        <v>12932</v>
      </c>
      <c r="E10343" s="4">
        <v>16000</v>
      </c>
    </row>
    <row r="10344" spans="1:5">
      <c r="A10344" s="2" t="s">
        <v>2076</v>
      </c>
      <c r="B10344" s="2" t="str">
        <f>"000412413-8"</f>
        <v>000412413-8</v>
      </c>
      <c r="C10344" s="2" t="str">
        <f>"000412413-8"</f>
        <v>000412413-8</v>
      </c>
      <c r="D10344" s="2" t="s">
        <v>12933</v>
      </c>
      <c r="E10344" s="4">
        <v>43000</v>
      </c>
    </row>
    <row r="10345" spans="1:5">
      <c r="A10345" s="2" t="s">
        <v>2076</v>
      </c>
      <c r="B10345" s="2" t="str">
        <f>"000412388-3"</f>
        <v>000412388-3</v>
      </c>
      <c r="C10345" s="2" t="str">
        <f>"000412388-3"</f>
        <v>000412388-3</v>
      </c>
      <c r="D10345" s="2" t="s">
        <v>12934</v>
      </c>
      <c r="E10345" s="4">
        <v>80000</v>
      </c>
    </row>
    <row r="10346" spans="1:5">
      <c r="A10346" s="2" t="s">
        <v>2076</v>
      </c>
      <c r="B10346" s="2" t="str">
        <f>"0152028"</f>
        <v>0152028</v>
      </c>
      <c r="C10346" s="2" t="str">
        <f>"0152028"</f>
        <v>0152028</v>
      </c>
      <c r="D10346" s="2" t="s">
        <v>12935</v>
      </c>
      <c r="E10346" s="4">
        <v>9700</v>
      </c>
    </row>
    <row r="10347" spans="1:5">
      <c r="A10347" s="2" t="s">
        <v>2076</v>
      </c>
      <c r="B10347" s="2" t="str">
        <f>"160231"</f>
        <v>160231</v>
      </c>
      <c r="C10347" s="2" t="str">
        <f>"160231"</f>
        <v>160231</v>
      </c>
      <c r="D10347" s="2" t="s">
        <v>12936</v>
      </c>
      <c r="E10347" s="4">
        <v>52000</v>
      </c>
    </row>
    <row r="10348" spans="1:5">
      <c r="A10348" s="2" t="s">
        <v>2076</v>
      </c>
      <c r="B10348" s="2" t="str">
        <f>"245029"</f>
        <v>245029</v>
      </c>
      <c r="C10348" s="2" t="str">
        <f>"245029"</f>
        <v>245029</v>
      </c>
      <c r="D10348" s="2" t="s">
        <v>12937</v>
      </c>
      <c r="E10348" s="4">
        <v>79000</v>
      </c>
    </row>
    <row r="10349" spans="1:5">
      <c r="A10349" s="2" t="s">
        <v>2076</v>
      </c>
      <c r="B10349" s="2" t="s">
        <v>12938</v>
      </c>
      <c r="C10349" s="2" t="s">
        <v>12939</v>
      </c>
      <c r="D10349" s="2" t="s">
        <v>12940</v>
      </c>
      <c r="E10349" s="4">
        <v>100000</v>
      </c>
    </row>
    <row r="10350" spans="1:5">
      <c r="A10350" s="2" t="s">
        <v>2076</v>
      </c>
      <c r="B10350" s="2" t="str">
        <f>"260779"</f>
        <v>260779</v>
      </c>
      <c r="C10350" s="2" t="str">
        <f>"260779"</f>
        <v>260779</v>
      </c>
      <c r="D10350" s="2" t="s">
        <v>12941</v>
      </c>
      <c r="E10350" s="4">
        <v>15000</v>
      </c>
    </row>
    <row r="10351" spans="1:5">
      <c r="A10351" s="2" t="s">
        <v>2076</v>
      </c>
      <c r="B10351" s="2" t="str">
        <f>"013801"</f>
        <v>013801</v>
      </c>
      <c r="C10351" s="2" t="str">
        <f>"013801"</f>
        <v>013801</v>
      </c>
      <c r="D10351" s="2" t="s">
        <v>12942</v>
      </c>
      <c r="E10351" s="4">
        <v>11500</v>
      </c>
    </row>
    <row r="10352" spans="1:5">
      <c r="A10352" s="2" t="s">
        <v>2076</v>
      </c>
      <c r="B10352" s="2" t="str">
        <f>"1727013-3"</f>
        <v>1727013-3</v>
      </c>
      <c r="C10352" s="2" t="str">
        <f>"1727013-3"</f>
        <v>1727013-3</v>
      </c>
      <c r="D10352" s="2" t="s">
        <v>12943</v>
      </c>
      <c r="E10352" s="4">
        <v>9700</v>
      </c>
    </row>
    <row r="10353" spans="1:5">
      <c r="A10353" s="2" t="s">
        <v>2076</v>
      </c>
      <c r="B10353" s="2" t="str">
        <f>"1727031-1"</f>
        <v>1727031-1</v>
      </c>
      <c r="C10353" s="2" t="str">
        <f>"1727031-1"</f>
        <v>1727031-1</v>
      </c>
      <c r="D10353" s="2" t="s">
        <v>12944</v>
      </c>
      <c r="E10353" s="4">
        <v>13900</v>
      </c>
    </row>
    <row r="10354" spans="1:5">
      <c r="A10354" s="2" t="s">
        <v>2076</v>
      </c>
      <c r="B10354" s="2" t="str">
        <f>"005750"</f>
        <v>005750</v>
      </c>
      <c r="C10354" s="2" t="str">
        <f>"005750"</f>
        <v>005750</v>
      </c>
      <c r="D10354" s="2" t="s">
        <v>12945</v>
      </c>
      <c r="E10354" s="4">
        <v>7000</v>
      </c>
    </row>
    <row r="10355" spans="1:5">
      <c r="A10355" s="2" t="s">
        <v>2076</v>
      </c>
      <c r="B10355" s="2" t="str">
        <f>"001727030-3"</f>
        <v>001727030-3</v>
      </c>
      <c r="C10355" s="2" t="str">
        <f>"001727030-3"</f>
        <v>001727030-3</v>
      </c>
      <c r="D10355" s="2" t="s">
        <v>12946</v>
      </c>
      <c r="E10355" s="4">
        <v>9700</v>
      </c>
    </row>
    <row r="10356" spans="1:5">
      <c r="A10356" s="2" t="s">
        <v>2076</v>
      </c>
      <c r="B10356" s="2" t="str">
        <f>"245486"</f>
        <v>245486</v>
      </c>
      <c r="C10356" s="2" t="str">
        <f>"245486"</f>
        <v>245486</v>
      </c>
      <c r="D10356" s="2" t="s">
        <v>12947</v>
      </c>
      <c r="E10356" s="4">
        <v>8900</v>
      </c>
    </row>
    <row r="10357" spans="1:5">
      <c r="A10357" s="2" t="s">
        <v>2076</v>
      </c>
      <c r="B10357" s="2" t="str">
        <f>"7003962"</f>
        <v>7003962</v>
      </c>
      <c r="C10357" s="2" t="str">
        <f>"7003962"</f>
        <v>7003962</v>
      </c>
      <c r="D10357" s="2" t="s">
        <v>12948</v>
      </c>
      <c r="E10357" s="4">
        <v>9700</v>
      </c>
    </row>
    <row r="10358" spans="1:5">
      <c r="A10358" s="2" t="s">
        <v>2076</v>
      </c>
      <c r="B10358" s="2" t="str">
        <f>"764839K"</f>
        <v>764839K</v>
      </c>
      <c r="C10358" s="2" t="str">
        <f>"764839K"</f>
        <v>764839K</v>
      </c>
      <c r="D10358" s="2" t="s">
        <v>12949</v>
      </c>
      <c r="E10358" s="4">
        <v>19600</v>
      </c>
    </row>
    <row r="10359" spans="1:5">
      <c r="A10359" s="2" t="s">
        <v>2076</v>
      </c>
      <c r="B10359" s="2" t="str">
        <f>"005751"</f>
        <v>005751</v>
      </c>
      <c r="C10359" s="2" t="str">
        <f>"005751"</f>
        <v>005751</v>
      </c>
      <c r="D10359" s="2" t="s">
        <v>12950</v>
      </c>
      <c r="E10359" s="4">
        <v>6900</v>
      </c>
    </row>
    <row r="10360" spans="1:5">
      <c r="A10360" s="2" t="s">
        <v>2076</v>
      </c>
      <c r="B10360" s="2" t="str">
        <f>"245464"</f>
        <v>245464</v>
      </c>
      <c r="C10360" s="2" t="str">
        <f>"245464"</f>
        <v>245464</v>
      </c>
      <c r="D10360" s="2" t="s">
        <v>12951</v>
      </c>
      <c r="E10360" s="4">
        <v>11500</v>
      </c>
    </row>
    <row r="10361" spans="1:5">
      <c r="A10361" s="2" t="s">
        <v>2076</v>
      </c>
      <c r="B10361" s="2" t="str">
        <f>"7800068"</f>
        <v>7800068</v>
      </c>
      <c r="C10361" s="2" t="str">
        <f>"7800068"</f>
        <v>7800068</v>
      </c>
      <c r="D10361" s="2" t="s">
        <v>12952</v>
      </c>
      <c r="E10361" s="4">
        <v>9700</v>
      </c>
    </row>
    <row r="10362" spans="1:5">
      <c r="A10362" s="2" t="s">
        <v>2076</v>
      </c>
      <c r="B10362" s="2" t="str">
        <f>"015563"</f>
        <v>015563</v>
      </c>
      <c r="C10362" s="2" t="str">
        <f>"015563"</f>
        <v>015563</v>
      </c>
      <c r="D10362" s="2" t="s">
        <v>12953</v>
      </c>
      <c r="E10362" s="4">
        <v>17900</v>
      </c>
    </row>
    <row r="10363" spans="1:5">
      <c r="A10363" s="2" t="s">
        <v>2076</v>
      </c>
      <c r="B10363" s="2" t="str">
        <f>"0022500"</f>
        <v>0022500</v>
      </c>
      <c r="C10363" s="2" t="str">
        <f>"0022500"</f>
        <v>0022500</v>
      </c>
      <c r="D10363" s="2" t="s">
        <v>12954</v>
      </c>
      <c r="E10363" s="4">
        <v>38500</v>
      </c>
    </row>
    <row r="10364" spans="1:5">
      <c r="A10364" s="2" t="s">
        <v>2076</v>
      </c>
      <c r="B10364" s="2" t="str">
        <f>"1727039-7"</f>
        <v>1727039-7</v>
      </c>
      <c r="C10364" s="2" t="str">
        <f>"1727039-7"</f>
        <v>1727039-7</v>
      </c>
      <c r="D10364" s="2" t="s">
        <v>12955</v>
      </c>
      <c r="E10364" s="4">
        <v>26000</v>
      </c>
    </row>
    <row r="10365" spans="1:5">
      <c r="A10365" s="2" t="s">
        <v>2076</v>
      </c>
      <c r="B10365" s="2" t="str">
        <f>"005306"</f>
        <v>005306</v>
      </c>
      <c r="C10365" s="2" t="str">
        <f>"005306"</f>
        <v>005306</v>
      </c>
      <c r="D10365" s="2" t="s">
        <v>12956</v>
      </c>
      <c r="E10365" s="4">
        <v>38000</v>
      </c>
    </row>
    <row r="10366" spans="1:5">
      <c r="A10366" s="2" t="s">
        <v>2076</v>
      </c>
      <c r="B10366" s="2" t="str">
        <f>"1727041-9"</f>
        <v>1727041-9</v>
      </c>
      <c r="C10366" s="2" t="str">
        <f>"1727041-9"</f>
        <v>1727041-9</v>
      </c>
      <c r="D10366" s="2" t="s">
        <v>12705</v>
      </c>
      <c r="E10366" s="4">
        <v>18000</v>
      </c>
    </row>
    <row r="10367" spans="1:5">
      <c r="A10367" s="2" t="s">
        <v>2076</v>
      </c>
      <c r="B10367" s="2" t="str">
        <f>"7473001"</f>
        <v>7473001</v>
      </c>
      <c r="C10367" s="2" t="str">
        <f>"7473001"</f>
        <v>7473001</v>
      </c>
      <c r="D10367" s="2" t="s">
        <v>12957</v>
      </c>
      <c r="E10367" s="4">
        <v>8900</v>
      </c>
    </row>
    <row r="10368" spans="1:5">
      <c r="A10368" s="2" t="s">
        <v>2076</v>
      </c>
      <c r="B10368" s="2" t="str">
        <f>"001727013-3"</f>
        <v>001727013-3</v>
      </c>
      <c r="C10368" s="2" t="str">
        <f>"001727013-3"</f>
        <v>001727013-3</v>
      </c>
      <c r="D10368" s="2" t="s">
        <v>12958</v>
      </c>
      <c r="E10368" s="4">
        <v>10600</v>
      </c>
    </row>
    <row r="10369" spans="1:5">
      <c r="A10369" s="2" t="s">
        <v>2076</v>
      </c>
      <c r="B10369" s="2" t="str">
        <f>"000412387-5"</f>
        <v>000412387-5</v>
      </c>
      <c r="C10369" s="2" t="str">
        <f>"000412387-5"</f>
        <v>000412387-5</v>
      </c>
      <c r="D10369" s="2" t="s">
        <v>12959</v>
      </c>
      <c r="E10369" s="4">
        <v>17500</v>
      </c>
    </row>
    <row r="10370" spans="1:5">
      <c r="A10370" s="2" t="s">
        <v>2076</v>
      </c>
      <c r="B10370" s="2" t="str">
        <f>"245477"</f>
        <v>245477</v>
      </c>
      <c r="C10370" s="2" t="str">
        <f>"245477"</f>
        <v>245477</v>
      </c>
      <c r="D10370" s="2" t="s">
        <v>12960</v>
      </c>
      <c r="E10370" s="4">
        <v>8800</v>
      </c>
    </row>
    <row r="10371" spans="1:5">
      <c r="A10371" s="2" t="s">
        <v>2076</v>
      </c>
      <c r="B10371" s="2" t="str">
        <f>"7003622"</f>
        <v>7003622</v>
      </c>
      <c r="C10371" s="2" t="str">
        <f>"7003622"</f>
        <v>7003622</v>
      </c>
      <c r="D10371" s="2" t="s">
        <v>12961</v>
      </c>
      <c r="E10371" s="4">
        <v>22900</v>
      </c>
    </row>
    <row r="10372" spans="1:5">
      <c r="A10372" s="2" t="s">
        <v>2076</v>
      </c>
      <c r="B10372" s="2" t="str">
        <f>"260757"</f>
        <v>260757</v>
      </c>
      <c r="C10372" s="2" t="str">
        <f>"260757"</f>
        <v>260757</v>
      </c>
      <c r="D10372" s="2" t="s">
        <v>12962</v>
      </c>
      <c r="E10372" s="4">
        <v>19600</v>
      </c>
    </row>
    <row r="10373" spans="1:5">
      <c r="A10373" s="2" t="s">
        <v>2076</v>
      </c>
      <c r="B10373" s="2" t="str">
        <f>"912409-8"</f>
        <v>912409-8</v>
      </c>
      <c r="C10373" s="2" t="str">
        <f>"912409-8"</f>
        <v>912409-8</v>
      </c>
      <c r="D10373" s="2" t="s">
        <v>12963</v>
      </c>
      <c r="E10373" s="4">
        <v>16900</v>
      </c>
    </row>
    <row r="10374" spans="1:5">
      <c r="A10374" s="2" t="s">
        <v>2076</v>
      </c>
      <c r="B10374" s="2" t="str">
        <f>"99425875"</f>
        <v>99425875</v>
      </c>
      <c r="C10374" s="2" t="str">
        <f>"9942875"</f>
        <v>9942875</v>
      </c>
      <c r="D10374" s="2" t="s">
        <v>12964</v>
      </c>
      <c r="E10374" s="4">
        <v>28600</v>
      </c>
    </row>
    <row r="10375" spans="1:5">
      <c r="A10375" s="2" t="s">
        <v>2076</v>
      </c>
      <c r="B10375" s="2" t="str">
        <f>"765831K"</f>
        <v>765831K</v>
      </c>
      <c r="C10375" s="2" t="str">
        <f>"765831K"</f>
        <v>765831K</v>
      </c>
      <c r="D10375" s="2" t="s">
        <v>12965</v>
      </c>
      <c r="E10375" s="4">
        <v>19600</v>
      </c>
    </row>
    <row r="10376" spans="1:5">
      <c r="A10376" s="2" t="s">
        <v>2076</v>
      </c>
      <c r="B10376" s="2" t="str">
        <f>"7003557"</f>
        <v>7003557</v>
      </c>
      <c r="C10376" s="2" t="str">
        <f>"7003557"</f>
        <v>7003557</v>
      </c>
      <c r="D10376" s="2" t="s">
        <v>12966</v>
      </c>
      <c r="E10376" s="4">
        <v>11500</v>
      </c>
    </row>
    <row r="10377" spans="1:5">
      <c r="A10377" s="2" t="s">
        <v>2076</v>
      </c>
      <c r="B10377" s="2" t="str">
        <f>"0008499"</f>
        <v>0008499</v>
      </c>
      <c r="C10377" s="2" t="str">
        <f>"1685629635641"</f>
        <v>1685629635641</v>
      </c>
      <c r="D10377" s="2" t="s">
        <v>12967</v>
      </c>
      <c r="E10377" s="4">
        <v>45000</v>
      </c>
    </row>
    <row r="10378" spans="1:5">
      <c r="A10378" s="2" t="s">
        <v>9317</v>
      </c>
      <c r="B10378" s="2" t="str">
        <f>"011011"</f>
        <v>011011</v>
      </c>
      <c r="C10378" s="2" t="str">
        <f>"1685545027913"</f>
        <v>1685545027913</v>
      </c>
      <c r="D10378" s="2" t="s">
        <v>12968</v>
      </c>
      <c r="E10378" s="4">
        <v>52000</v>
      </c>
    </row>
    <row r="10379" spans="1:5">
      <c r="A10379" s="2" t="s">
        <v>9317</v>
      </c>
      <c r="B10379" s="2" t="str">
        <f>"1648914689353"</f>
        <v>1648914689353</v>
      </c>
      <c r="C10379" s="2" t="str">
        <f>"1648914689353"</f>
        <v>1648914689353</v>
      </c>
      <c r="D10379" s="2" t="s">
        <v>12969</v>
      </c>
      <c r="E10379" s="4">
        <v>73950</v>
      </c>
    </row>
    <row r="10380" spans="1:5">
      <c r="A10380" s="2" t="s">
        <v>9317</v>
      </c>
      <c r="B10380" s="2">
        <v>0</v>
      </c>
      <c r="C10380" s="2" t="str">
        <f>"00219022"</f>
        <v>00219022</v>
      </c>
      <c r="D10380" s="2" t="s">
        <v>12970</v>
      </c>
      <c r="E10380" s="4">
        <v>88000</v>
      </c>
    </row>
    <row r="10381" spans="1:5">
      <c r="A10381" s="2" t="s">
        <v>9317</v>
      </c>
      <c r="B10381" s="2" t="str">
        <f>"000412389-1"</f>
        <v>000412389-1</v>
      </c>
      <c r="C10381" s="2" t="str">
        <f>"000412389-1"</f>
        <v>000412389-1</v>
      </c>
      <c r="D10381" s="2" t="s">
        <v>12971</v>
      </c>
      <c r="E10381" s="4">
        <v>45000</v>
      </c>
    </row>
    <row r="10382" spans="1:5">
      <c r="A10382" s="2" t="s">
        <v>9317</v>
      </c>
      <c r="B10382" s="2" t="str">
        <f>"001425933-3"</f>
        <v>001425933-3</v>
      </c>
      <c r="C10382" s="2" t="str">
        <f>"001425933-3"</f>
        <v>001425933-3</v>
      </c>
      <c r="D10382" s="2" t="s">
        <v>12972</v>
      </c>
      <c r="E10382" s="4">
        <v>18700</v>
      </c>
    </row>
    <row r="10383" spans="1:5">
      <c r="A10383" s="2" t="s">
        <v>9317</v>
      </c>
      <c r="B10383" s="2" t="str">
        <f>"7840723"</f>
        <v>7840723</v>
      </c>
      <c r="C10383" s="2" t="str">
        <f>"7840723"</f>
        <v>7840723</v>
      </c>
      <c r="D10383" s="2" t="s">
        <v>12973</v>
      </c>
      <c r="E10383" s="4">
        <v>12400</v>
      </c>
    </row>
    <row r="10384" spans="1:5">
      <c r="A10384" s="2" t="s">
        <v>10250</v>
      </c>
      <c r="B10384" s="2" t="str">
        <f>"0012664"</f>
        <v>0012664</v>
      </c>
      <c r="C10384" s="2" t="str">
        <f>"0012664"</f>
        <v>0012664</v>
      </c>
      <c r="D10384" s="2" t="s">
        <v>12974</v>
      </c>
      <c r="E10384" s="4">
        <v>7900</v>
      </c>
    </row>
    <row r="10385" spans="1:5">
      <c r="A10385" s="2" t="s">
        <v>10250</v>
      </c>
      <c r="B10385" s="2" t="s">
        <v>12975</v>
      </c>
      <c r="C10385" s="2" t="s">
        <v>12975</v>
      </c>
      <c r="D10385" s="2" t="s">
        <v>12976</v>
      </c>
      <c r="E10385" s="4">
        <v>4300</v>
      </c>
    </row>
    <row r="10386" spans="1:5">
      <c r="A10386" s="2" t="s">
        <v>10250</v>
      </c>
      <c r="B10386" s="2" t="str">
        <f>"14138A"</f>
        <v>14138A</v>
      </c>
      <c r="C10386" s="2" t="str">
        <f>"14138A"</f>
        <v>14138A</v>
      </c>
      <c r="D10386" s="2" t="s">
        <v>12977</v>
      </c>
      <c r="E10386" s="4">
        <v>12500</v>
      </c>
    </row>
    <row r="10387" spans="1:5">
      <c r="A10387" s="2" t="s">
        <v>10250</v>
      </c>
      <c r="B10387" s="2" t="str">
        <f>"013858"</f>
        <v>013858</v>
      </c>
      <c r="C10387" s="2" t="str">
        <f>"013858"</f>
        <v>013858</v>
      </c>
      <c r="D10387" s="2" t="s">
        <v>12978</v>
      </c>
      <c r="E10387" s="4">
        <v>7500</v>
      </c>
    </row>
    <row r="10388" spans="1:5">
      <c r="A10388" s="2" t="s">
        <v>10250</v>
      </c>
      <c r="B10388" s="2" t="str">
        <f>"290609"</f>
        <v>290609</v>
      </c>
      <c r="C10388" s="2" t="str">
        <f>"290609"</f>
        <v>290609</v>
      </c>
      <c r="D10388" s="2" t="s">
        <v>12979</v>
      </c>
      <c r="E10388" s="4">
        <v>11500</v>
      </c>
    </row>
    <row r="10389" spans="1:5">
      <c r="A10389" s="2" t="s">
        <v>10250</v>
      </c>
      <c r="B10389" s="2" t="s">
        <v>12980</v>
      </c>
      <c r="C10389" s="2" t="s">
        <v>12980</v>
      </c>
      <c r="D10389" s="2" t="s">
        <v>12981</v>
      </c>
      <c r="E10389" s="4">
        <v>5200</v>
      </c>
    </row>
    <row r="10390" spans="1:5">
      <c r="A10390" s="2" t="s">
        <v>10250</v>
      </c>
      <c r="B10390" s="2" t="str">
        <f>"001128018-8"</f>
        <v>001128018-8</v>
      </c>
      <c r="C10390" s="2" t="str">
        <f>"001128018-8"</f>
        <v>001128018-8</v>
      </c>
      <c r="D10390" s="2" t="s">
        <v>12982</v>
      </c>
      <c r="E10390" s="4">
        <v>16000</v>
      </c>
    </row>
    <row r="10391" spans="1:5">
      <c r="A10391" s="2" t="s">
        <v>10250</v>
      </c>
      <c r="B10391" s="2" t="s">
        <v>12983</v>
      </c>
      <c r="C10391" s="2" t="s">
        <v>12983</v>
      </c>
      <c r="D10391" s="2" t="s">
        <v>12984</v>
      </c>
      <c r="E10391" s="4">
        <v>4000</v>
      </c>
    </row>
    <row r="10392" spans="1:5">
      <c r="A10392" s="2" t="s">
        <v>10250</v>
      </c>
      <c r="B10392" s="2" t="str">
        <f>"013922"</f>
        <v>013922</v>
      </c>
      <c r="C10392" s="2" t="str">
        <f>"013922"</f>
        <v>013922</v>
      </c>
      <c r="D10392" s="2" t="s">
        <v>12985</v>
      </c>
      <c r="E10392" s="4">
        <v>3000</v>
      </c>
    </row>
    <row r="10393" spans="1:5">
      <c r="A10393" s="2" t="s">
        <v>10250</v>
      </c>
      <c r="B10393" s="2" t="str">
        <f>"013932"</f>
        <v>013932</v>
      </c>
      <c r="C10393" s="2" t="str">
        <f>"013932"</f>
        <v>013932</v>
      </c>
      <c r="D10393" s="2" t="s">
        <v>12986</v>
      </c>
      <c r="E10393" s="4">
        <v>3400</v>
      </c>
    </row>
    <row r="10394" spans="1:5">
      <c r="A10394" s="2" t="s">
        <v>10250</v>
      </c>
      <c r="B10394" s="2" t="str">
        <f>"013939"</f>
        <v>013939</v>
      </c>
      <c r="C10394" s="2" t="str">
        <f>"013939"</f>
        <v>013939</v>
      </c>
      <c r="D10394" s="2" t="s">
        <v>12987</v>
      </c>
      <c r="E10394" s="4">
        <v>4800</v>
      </c>
    </row>
    <row r="10395" spans="1:5">
      <c r="A10395" s="2" t="s">
        <v>10250</v>
      </c>
      <c r="B10395" s="2" t="str">
        <f>"013945"</f>
        <v>013945</v>
      </c>
      <c r="C10395" s="2" t="str">
        <f>"013945"</f>
        <v>013945</v>
      </c>
      <c r="D10395" s="2" t="s">
        <v>12988</v>
      </c>
      <c r="E10395" s="4">
        <v>5200</v>
      </c>
    </row>
    <row r="10396" spans="1:5">
      <c r="A10396" s="2" t="s">
        <v>10250</v>
      </c>
      <c r="B10396" s="2" t="str">
        <f>"013941"</f>
        <v>013941</v>
      </c>
      <c r="C10396" s="2" t="str">
        <f>"013941"</f>
        <v>013941</v>
      </c>
      <c r="D10396" s="2" t="s">
        <v>12989</v>
      </c>
      <c r="E10396" s="4">
        <v>4300</v>
      </c>
    </row>
    <row r="10397" spans="1:5">
      <c r="A10397" s="2" t="s">
        <v>10250</v>
      </c>
      <c r="B10397" s="2" t="str">
        <f>"016310"</f>
        <v>016310</v>
      </c>
      <c r="C10397" s="2" t="str">
        <f>"014174"</f>
        <v>014174</v>
      </c>
      <c r="D10397" s="2" t="s">
        <v>12990</v>
      </c>
      <c r="E10397" s="4">
        <v>8800</v>
      </c>
    </row>
    <row r="10398" spans="1:5">
      <c r="A10398" s="2" t="s">
        <v>10250</v>
      </c>
      <c r="B10398" s="2" t="str">
        <f>"8059101"</f>
        <v>8059101</v>
      </c>
      <c r="C10398" s="2" t="str">
        <f>"8059101"</f>
        <v>8059101</v>
      </c>
      <c r="D10398" s="2" t="s">
        <v>12991</v>
      </c>
      <c r="E10398" s="4">
        <v>21400</v>
      </c>
    </row>
    <row r="10399" spans="1:5">
      <c r="A10399" s="2" t="s">
        <v>10250</v>
      </c>
      <c r="B10399" s="2" t="str">
        <f>"437890"</f>
        <v>437890</v>
      </c>
      <c r="C10399" s="2" t="str">
        <f>"437890"</f>
        <v>437890</v>
      </c>
      <c r="D10399" s="2" t="s">
        <v>12992</v>
      </c>
      <c r="E10399" s="4">
        <v>19500</v>
      </c>
    </row>
    <row r="10400" spans="1:5">
      <c r="A10400" s="2" t="s">
        <v>10250</v>
      </c>
      <c r="B10400" s="2" t="str">
        <f>"8058210"</f>
        <v>8058210</v>
      </c>
      <c r="C10400" s="2" t="str">
        <f>"8058210"</f>
        <v>8058210</v>
      </c>
      <c r="D10400" s="2" t="s">
        <v>12993</v>
      </c>
      <c r="E10400" s="4">
        <v>8800</v>
      </c>
    </row>
    <row r="10401" spans="1:5">
      <c r="A10401" s="2" t="s">
        <v>10250</v>
      </c>
      <c r="B10401" s="2" t="str">
        <f>"001128023-4"</f>
        <v>001128023-4</v>
      </c>
      <c r="C10401" s="2" t="str">
        <f>"001128023-4"</f>
        <v>001128023-4</v>
      </c>
      <c r="D10401" s="2" t="s">
        <v>12994</v>
      </c>
      <c r="E10401" s="4">
        <v>12400</v>
      </c>
    </row>
    <row r="10402" spans="1:5">
      <c r="A10402" s="2" t="s">
        <v>10250</v>
      </c>
      <c r="B10402" s="2" t="s">
        <v>12995</v>
      </c>
      <c r="C10402" s="2" t="s">
        <v>12995</v>
      </c>
      <c r="D10402" s="2" t="s">
        <v>12996</v>
      </c>
      <c r="E10402" s="4">
        <v>9000</v>
      </c>
    </row>
    <row r="10403" spans="1:5">
      <c r="A10403" s="2" t="s">
        <v>10250</v>
      </c>
      <c r="B10403" s="2" t="str">
        <f>"002028602-4"</f>
        <v>002028602-4</v>
      </c>
      <c r="C10403" s="2" t="str">
        <f>"002028602-4"</f>
        <v>002028602-4</v>
      </c>
      <c r="D10403" s="2" t="s">
        <v>12997</v>
      </c>
      <c r="E10403" s="4">
        <v>21400</v>
      </c>
    </row>
    <row r="10404" spans="1:5">
      <c r="A10404" s="2" t="s">
        <v>10250</v>
      </c>
      <c r="B10404" s="2" t="str">
        <f>"7004015"</f>
        <v>7004015</v>
      </c>
      <c r="C10404" s="2" t="str">
        <f>"7004015"</f>
        <v>7004015</v>
      </c>
      <c r="D10404" s="2" t="s">
        <v>12998</v>
      </c>
      <c r="E10404" s="4">
        <v>43000</v>
      </c>
    </row>
    <row r="10405" spans="1:5">
      <c r="A10405" s="2" t="s">
        <v>10250</v>
      </c>
      <c r="B10405" s="2" t="str">
        <f>"014123"</f>
        <v>014123</v>
      </c>
      <c r="C10405" s="2" t="str">
        <f>"014123"</f>
        <v>014123</v>
      </c>
      <c r="D10405" s="2" t="s">
        <v>12999</v>
      </c>
      <c r="E10405" s="4">
        <v>14000</v>
      </c>
    </row>
    <row r="10406" spans="1:5">
      <c r="A10406" s="2" t="s">
        <v>10250</v>
      </c>
      <c r="B10406" s="2" t="s">
        <v>13000</v>
      </c>
      <c r="C10406" s="2" t="s">
        <v>13000</v>
      </c>
      <c r="D10406" s="2" t="s">
        <v>13001</v>
      </c>
      <c r="E10406" s="4">
        <v>28600</v>
      </c>
    </row>
    <row r="10407" spans="1:5">
      <c r="A10407" s="2" t="s">
        <v>10250</v>
      </c>
      <c r="B10407" s="2" t="str">
        <f>"6458441"</f>
        <v>6458441</v>
      </c>
      <c r="C10407" s="2" t="str">
        <f>"6458441"</f>
        <v>6458441</v>
      </c>
      <c r="D10407" s="2" t="s">
        <v>13002</v>
      </c>
      <c r="E10407" s="4">
        <v>29500</v>
      </c>
    </row>
    <row r="10408" spans="1:5">
      <c r="A10408" s="2" t="s">
        <v>10250</v>
      </c>
      <c r="B10408" s="2" t="str">
        <f>"302700"</f>
        <v>302700</v>
      </c>
      <c r="C10408" s="2" t="str">
        <f>"302700"</f>
        <v>302700</v>
      </c>
      <c r="D10408" s="2" t="s">
        <v>13003</v>
      </c>
      <c r="E10408" s="4">
        <v>15500</v>
      </c>
    </row>
    <row r="10409" spans="1:5">
      <c r="A10409" s="2" t="s">
        <v>10250</v>
      </c>
      <c r="B10409" s="2" t="s">
        <v>13004</v>
      </c>
      <c r="C10409" s="2" t="s">
        <v>13004</v>
      </c>
      <c r="D10409" s="2" t="s">
        <v>13005</v>
      </c>
      <c r="E10409" s="4">
        <v>18000</v>
      </c>
    </row>
    <row r="10410" spans="1:5">
      <c r="A10410" s="2" t="s">
        <v>10250</v>
      </c>
      <c r="B10410" s="2" t="s">
        <v>13006</v>
      </c>
      <c r="C10410" s="2" t="s">
        <v>13006</v>
      </c>
      <c r="D10410" s="2" t="s">
        <v>13007</v>
      </c>
      <c r="E10410" s="4">
        <v>81000</v>
      </c>
    </row>
    <row r="10411" spans="1:5">
      <c r="A10411" s="2" t="s">
        <v>10250</v>
      </c>
      <c r="B10411" s="2" t="str">
        <f>"7930205"</f>
        <v>7930205</v>
      </c>
      <c r="C10411" s="2" t="str">
        <f>"7930205"</f>
        <v>7930205</v>
      </c>
      <c r="D10411" s="2" t="s">
        <v>13008</v>
      </c>
      <c r="E10411" s="4">
        <v>4300</v>
      </c>
    </row>
    <row r="10412" spans="1:5">
      <c r="A10412" s="2" t="s">
        <v>10250</v>
      </c>
      <c r="B10412" s="2" t="s">
        <v>13009</v>
      </c>
      <c r="C10412" s="2" t="s">
        <v>13009</v>
      </c>
      <c r="D10412" s="2" t="s">
        <v>13010</v>
      </c>
      <c r="E10412" s="4">
        <v>34000</v>
      </c>
    </row>
    <row r="10413" spans="1:5">
      <c r="A10413" s="2" t="s">
        <v>10250</v>
      </c>
      <c r="B10413" s="2" t="str">
        <f>"014046"</f>
        <v>014046</v>
      </c>
      <c r="C10413" s="2" t="str">
        <f>"014046"</f>
        <v>014046</v>
      </c>
      <c r="D10413" s="2" t="s">
        <v>13011</v>
      </c>
      <c r="E10413" s="4">
        <v>5200</v>
      </c>
    </row>
    <row r="10414" spans="1:5">
      <c r="A10414" s="2" t="s">
        <v>10250</v>
      </c>
      <c r="B10414" s="2" t="str">
        <f>"290608"</f>
        <v>290608</v>
      </c>
      <c r="C10414" s="2" t="str">
        <f>"290608"</f>
        <v>290608</v>
      </c>
      <c r="D10414" s="2" t="s">
        <v>13012</v>
      </c>
      <c r="E10414" s="4">
        <v>18000</v>
      </c>
    </row>
    <row r="10415" spans="1:5">
      <c r="A10415" s="2" t="s">
        <v>10250</v>
      </c>
      <c r="B10415" s="2" t="str">
        <f>"015027"</f>
        <v>015027</v>
      </c>
      <c r="C10415" s="2" t="str">
        <f>"015027"</f>
        <v>015027</v>
      </c>
      <c r="D10415" s="2" t="s">
        <v>13013</v>
      </c>
      <c r="E10415" s="4">
        <v>19000</v>
      </c>
    </row>
    <row r="10416" spans="1:5">
      <c r="A10416" s="2" t="s">
        <v>10250</v>
      </c>
      <c r="B10416" s="2" t="str">
        <f>"7010055"</f>
        <v>7010055</v>
      </c>
      <c r="C10416" s="2" t="str">
        <f>"7010055"</f>
        <v>7010055</v>
      </c>
      <c r="D10416" s="2" t="s">
        <v>13014</v>
      </c>
      <c r="E10416" s="4">
        <v>34000</v>
      </c>
    </row>
    <row r="10417" spans="1:5">
      <c r="A10417" s="2" t="s">
        <v>10250</v>
      </c>
      <c r="B10417" s="2" t="str">
        <f>"6427638"</f>
        <v>6427638</v>
      </c>
      <c r="C10417" s="2" t="str">
        <f>"6427638"</f>
        <v>6427638</v>
      </c>
      <c r="D10417" s="2" t="s">
        <v>13015</v>
      </c>
      <c r="E10417" s="4">
        <v>18900</v>
      </c>
    </row>
    <row r="10418" spans="1:5">
      <c r="A10418" s="2" t="s">
        <v>10250</v>
      </c>
      <c r="B10418" s="2" t="str">
        <f>"000412462-6"</f>
        <v>000412462-6</v>
      </c>
      <c r="C10418" s="2" t="str">
        <f>"412462-6"</f>
        <v>412462-6</v>
      </c>
      <c r="D10418" s="2" t="s">
        <v>13016</v>
      </c>
      <c r="E10418" s="4">
        <v>11500</v>
      </c>
    </row>
    <row r="10419" spans="1:5">
      <c r="A10419" s="2" t="s">
        <v>10250</v>
      </c>
      <c r="B10419" s="2" t="str">
        <f>"0014976"</f>
        <v>0014976</v>
      </c>
      <c r="C10419" s="2" t="str">
        <f>"0014976"</f>
        <v>0014976</v>
      </c>
      <c r="D10419" s="2" t="s">
        <v>13017</v>
      </c>
      <c r="E10419" s="4">
        <v>11500</v>
      </c>
    </row>
    <row r="10420" spans="1:5">
      <c r="A10420" s="2" t="s">
        <v>10250</v>
      </c>
      <c r="B10420" s="2" t="str">
        <f>"9945222"</f>
        <v>9945222</v>
      </c>
      <c r="C10420" s="2" t="str">
        <f>"9945222"</f>
        <v>9945222</v>
      </c>
      <c r="D10420" s="2" t="s">
        <v>13018</v>
      </c>
      <c r="E10420" s="4">
        <v>11500</v>
      </c>
    </row>
    <row r="10421" spans="1:5">
      <c r="A10421" s="2" t="s">
        <v>10250</v>
      </c>
      <c r="B10421" s="2" t="str">
        <f>"7397439"</f>
        <v>7397439</v>
      </c>
      <c r="C10421" s="2" t="str">
        <f>"7397439"</f>
        <v>7397439</v>
      </c>
      <c r="D10421" s="2" t="s">
        <v>13019</v>
      </c>
      <c r="E10421" s="4">
        <v>11500</v>
      </c>
    </row>
    <row r="10422" spans="1:5">
      <c r="A10422" s="2" t="s">
        <v>10250</v>
      </c>
      <c r="B10422" s="2" t="str">
        <f>"7006762"</f>
        <v>7006762</v>
      </c>
      <c r="C10422" s="2" t="str">
        <f>"7006762"</f>
        <v>7006762</v>
      </c>
      <c r="D10422" s="2" t="s">
        <v>13020</v>
      </c>
      <c r="E10422" s="4">
        <v>7900</v>
      </c>
    </row>
    <row r="10423" spans="1:5">
      <c r="A10423" s="2" t="s">
        <v>10250</v>
      </c>
      <c r="B10423" s="2" t="str">
        <f>"7636096"</f>
        <v>7636096</v>
      </c>
      <c r="C10423" s="2" t="str">
        <f>"7636096"</f>
        <v>7636096</v>
      </c>
      <c r="D10423" s="2" t="s">
        <v>13021</v>
      </c>
      <c r="E10423" s="4">
        <v>25000</v>
      </c>
    </row>
    <row r="10424" spans="1:5">
      <c r="A10424" s="2" t="s">
        <v>10250</v>
      </c>
      <c r="B10424" s="2" t="str">
        <f>"302484"</f>
        <v>302484</v>
      </c>
      <c r="C10424" s="2" t="str">
        <f>"302484"</f>
        <v>302484</v>
      </c>
      <c r="D10424" s="2" t="s">
        <v>13022</v>
      </c>
      <c r="E10424" s="4">
        <v>19200</v>
      </c>
    </row>
    <row r="10425" spans="1:5">
      <c r="A10425" s="2" t="s">
        <v>10250</v>
      </c>
      <c r="B10425" s="2" t="s">
        <v>13023</v>
      </c>
      <c r="C10425" s="2" t="s">
        <v>13023</v>
      </c>
      <c r="D10425" s="2" t="s">
        <v>13024</v>
      </c>
      <c r="E10425" s="4">
        <v>19600</v>
      </c>
    </row>
    <row r="10426" spans="1:5">
      <c r="A10426" s="2" t="s">
        <v>10250</v>
      </c>
      <c r="B10426" s="2" t="s">
        <v>13025</v>
      </c>
      <c r="C10426" s="2" t="s">
        <v>13025</v>
      </c>
      <c r="D10426" s="2" t="s">
        <v>13026</v>
      </c>
      <c r="E10426" s="4">
        <v>2800</v>
      </c>
    </row>
    <row r="10427" spans="1:5">
      <c r="A10427" s="2" t="s">
        <v>10250</v>
      </c>
      <c r="B10427" s="2" t="s">
        <v>13027</v>
      </c>
      <c r="C10427" s="2" t="s">
        <v>13027</v>
      </c>
      <c r="D10427" s="2" t="s">
        <v>13028</v>
      </c>
      <c r="E10427" s="4">
        <v>5900</v>
      </c>
    </row>
    <row r="10428" spans="1:5">
      <c r="A10428" s="2" t="s">
        <v>10250</v>
      </c>
      <c r="B10428" s="2" t="str">
        <f>"328688"</f>
        <v>328688</v>
      </c>
      <c r="C10428" s="2" t="str">
        <f>"328688"</f>
        <v>328688</v>
      </c>
      <c r="D10428" s="2" t="s">
        <v>13029</v>
      </c>
      <c r="E10428" s="4">
        <v>5800</v>
      </c>
    </row>
    <row r="10429" spans="1:5">
      <c r="A10429" s="2" t="s">
        <v>9317</v>
      </c>
      <c r="B10429" s="2" t="str">
        <f>"1442840397"</f>
        <v>1442840397</v>
      </c>
      <c r="C10429" s="2" t="str">
        <f>"014789"</f>
        <v>014789</v>
      </c>
      <c r="D10429" s="2" t="s">
        <v>13030</v>
      </c>
      <c r="E10429" s="4">
        <v>19600</v>
      </c>
    </row>
    <row r="10430" spans="1:5">
      <c r="A10430" s="2" t="s">
        <v>10250</v>
      </c>
      <c r="B10430" s="2" t="str">
        <f>"010011571"</f>
        <v>010011571</v>
      </c>
      <c r="C10430" s="2" t="str">
        <f>"010011571"</f>
        <v>010011571</v>
      </c>
      <c r="D10430" s="2" t="s">
        <v>13031</v>
      </c>
      <c r="E10430" s="4">
        <v>12800</v>
      </c>
    </row>
    <row r="10431" spans="1:5">
      <c r="A10431" s="2" t="s">
        <v>10250</v>
      </c>
      <c r="B10431" s="2" t="str">
        <f>"0126247"</f>
        <v>0126247</v>
      </c>
      <c r="C10431" s="2" t="str">
        <f>"0126247"</f>
        <v>0126247</v>
      </c>
      <c r="D10431" s="2" t="s">
        <v>13032</v>
      </c>
      <c r="E10431" s="4">
        <v>18700</v>
      </c>
    </row>
    <row r="10432" spans="1:5">
      <c r="A10432" s="2" t="s">
        <v>10250</v>
      </c>
      <c r="B10432" s="2" t="str">
        <f>"000452204-4"</f>
        <v>000452204-4</v>
      </c>
      <c r="C10432" s="2" t="str">
        <f>"7800228"</f>
        <v>7800228</v>
      </c>
      <c r="D10432" s="2" t="s">
        <v>13033</v>
      </c>
      <c r="E10432" s="4">
        <v>9700</v>
      </c>
    </row>
    <row r="10433" spans="1:5">
      <c r="A10433" s="2" t="s">
        <v>10250</v>
      </c>
      <c r="B10433" s="2" t="str">
        <f>"7387133"</f>
        <v>7387133</v>
      </c>
      <c r="C10433" s="2" t="str">
        <f>"7387133"</f>
        <v>7387133</v>
      </c>
      <c r="D10433" s="2" t="s">
        <v>13034</v>
      </c>
      <c r="E10433" s="4">
        <v>16000</v>
      </c>
    </row>
    <row r="10434" spans="1:5">
      <c r="A10434" s="2" t="s">
        <v>10250</v>
      </c>
      <c r="B10434" s="2" t="str">
        <f>"7003979"</f>
        <v>7003979</v>
      </c>
      <c r="C10434" s="2" t="str">
        <f>"7003979"</f>
        <v>7003979</v>
      </c>
      <c r="D10434" s="2" t="s">
        <v>13035</v>
      </c>
      <c r="E10434" s="4">
        <v>38000</v>
      </c>
    </row>
    <row r="10435" spans="1:5">
      <c r="A10435" s="2" t="s">
        <v>10250</v>
      </c>
      <c r="B10435" s="2" t="str">
        <f>"7387139"</f>
        <v>7387139</v>
      </c>
      <c r="C10435" s="2" t="str">
        <f>"7387139"</f>
        <v>7387139</v>
      </c>
      <c r="D10435" s="2" t="s">
        <v>13036</v>
      </c>
      <c r="E10435" s="4">
        <v>16000</v>
      </c>
    </row>
    <row r="10436" spans="1:5">
      <c r="A10436" s="2" t="s">
        <v>10250</v>
      </c>
      <c r="B10436" s="2" t="str">
        <f>"302807"</f>
        <v>302807</v>
      </c>
      <c r="C10436" s="2" t="str">
        <f>"302807"</f>
        <v>302807</v>
      </c>
      <c r="D10436" s="2" t="s">
        <v>13037</v>
      </c>
      <c r="E10436" s="4">
        <v>18700</v>
      </c>
    </row>
    <row r="10437" spans="1:5">
      <c r="A10437" s="2" t="s">
        <v>10250</v>
      </c>
      <c r="B10437" s="2" t="str">
        <f>"245555"</f>
        <v>245555</v>
      </c>
      <c r="C10437" s="2" t="str">
        <f>"245555"</f>
        <v>245555</v>
      </c>
      <c r="D10437" s="2" t="s">
        <v>13038</v>
      </c>
      <c r="E10437" s="4">
        <v>13000</v>
      </c>
    </row>
    <row r="10438" spans="1:5">
      <c r="A10438" s="2" t="s">
        <v>10250</v>
      </c>
      <c r="B10438" s="2" t="str">
        <f>"7000104"</f>
        <v>7000104</v>
      </c>
      <c r="C10438" s="2" t="str">
        <f>"7000104"</f>
        <v>7000104</v>
      </c>
      <c r="D10438" s="2" t="s">
        <v>13039</v>
      </c>
      <c r="E10438" s="4">
        <v>19700</v>
      </c>
    </row>
    <row r="10439" spans="1:5">
      <c r="A10439" s="2" t="s">
        <v>10250</v>
      </c>
      <c r="B10439" s="2" t="str">
        <f>"010400150"</f>
        <v>010400150</v>
      </c>
      <c r="C10439" s="2" t="str">
        <f>"010400150"</f>
        <v>010400150</v>
      </c>
      <c r="D10439" s="2" t="s">
        <v>13040</v>
      </c>
      <c r="E10439" s="4">
        <v>16000</v>
      </c>
    </row>
    <row r="10440" spans="1:5">
      <c r="A10440" s="2" t="s">
        <v>10250</v>
      </c>
      <c r="B10440" s="2" t="s">
        <v>13041</v>
      </c>
      <c r="C10440" s="2" t="s">
        <v>13041</v>
      </c>
      <c r="D10440" s="2" t="s">
        <v>13042</v>
      </c>
      <c r="E10440" s="4">
        <v>22000</v>
      </c>
    </row>
    <row r="10441" spans="1:5">
      <c r="A10441" s="2" t="s">
        <v>10250</v>
      </c>
      <c r="B10441" s="2" t="str">
        <f>"302770"</f>
        <v>302770</v>
      </c>
      <c r="C10441" s="2" t="str">
        <f>"302770"</f>
        <v>302770</v>
      </c>
      <c r="D10441" s="2" t="s">
        <v>13043</v>
      </c>
      <c r="E10441" s="4">
        <v>14200</v>
      </c>
    </row>
    <row r="10442" spans="1:5">
      <c r="A10442" s="2" t="s">
        <v>10250</v>
      </c>
      <c r="B10442" s="2" t="str">
        <f>"7417441"</f>
        <v>7417441</v>
      </c>
      <c r="C10442" s="2" t="str">
        <f>"7417441"</f>
        <v>7417441</v>
      </c>
      <c r="D10442" s="2" t="s">
        <v>13044</v>
      </c>
      <c r="E10442" s="4">
        <v>19900</v>
      </c>
    </row>
    <row r="10443" spans="1:5">
      <c r="A10443" s="2" t="s">
        <v>10250</v>
      </c>
      <c r="B10443" s="2" t="str">
        <f>"0014972"</f>
        <v>0014972</v>
      </c>
      <c r="C10443" s="2" t="str">
        <f>"0014972"</f>
        <v>0014972</v>
      </c>
      <c r="D10443" s="2" t="s">
        <v>13045</v>
      </c>
      <c r="E10443" s="4">
        <v>19600</v>
      </c>
    </row>
    <row r="10444" spans="1:5">
      <c r="A10444" s="2" t="s">
        <v>10250</v>
      </c>
      <c r="B10444" s="2" t="str">
        <f>"0014977"</f>
        <v>0014977</v>
      </c>
      <c r="C10444" s="2" t="str">
        <f>"0014977"</f>
        <v>0014977</v>
      </c>
      <c r="D10444" s="2" t="s">
        <v>13046</v>
      </c>
      <c r="E10444" s="4">
        <v>19600</v>
      </c>
    </row>
    <row r="10445" spans="1:5">
      <c r="A10445" s="2" t="s">
        <v>10250</v>
      </c>
      <c r="B10445" s="2" t="s">
        <v>13047</v>
      </c>
      <c r="C10445" s="2" t="s">
        <v>13048</v>
      </c>
      <c r="D10445" s="2" t="s">
        <v>13049</v>
      </c>
      <c r="E10445" s="4">
        <v>19600</v>
      </c>
    </row>
    <row r="10446" spans="1:5">
      <c r="A10446" s="2" t="s">
        <v>10250</v>
      </c>
      <c r="B10446" s="2" t="str">
        <f>"9942228"</f>
        <v>9942228</v>
      </c>
      <c r="C10446" s="2" t="str">
        <f>"9942228"</f>
        <v>9942228</v>
      </c>
      <c r="D10446" s="2" t="s">
        <v>13050</v>
      </c>
      <c r="E10446" s="4">
        <v>29500</v>
      </c>
    </row>
    <row r="10447" spans="1:5">
      <c r="A10447" s="2" t="s">
        <v>10250</v>
      </c>
      <c r="B10447" s="2" t="str">
        <f>"004340"</f>
        <v>004340</v>
      </c>
      <c r="C10447" s="2" t="str">
        <f>"004340"</f>
        <v>004340</v>
      </c>
      <c r="D10447" s="2" t="s">
        <v>13051</v>
      </c>
      <c r="E10447" s="4">
        <v>22300</v>
      </c>
    </row>
    <row r="10448" spans="1:5">
      <c r="A10448" s="2" t="s">
        <v>10250</v>
      </c>
      <c r="B10448" s="2" t="str">
        <f>"000912622-8"</f>
        <v>000912622-8</v>
      </c>
      <c r="C10448" s="2" t="str">
        <f>"000912622-8"</f>
        <v>000912622-8</v>
      </c>
      <c r="D10448" s="2" t="s">
        <v>13052</v>
      </c>
      <c r="E10448" s="4">
        <v>18700</v>
      </c>
    </row>
    <row r="10449" spans="1:5">
      <c r="A10449" s="2" t="s">
        <v>10250</v>
      </c>
      <c r="B10449" s="2" t="str">
        <f>"4765910"</f>
        <v>4765910</v>
      </c>
      <c r="C10449" s="2" t="str">
        <f>"4765910"</f>
        <v>4765910</v>
      </c>
      <c r="D10449" s="2" t="s">
        <v>13053</v>
      </c>
      <c r="E10449" s="4">
        <v>18500</v>
      </c>
    </row>
    <row r="10450" spans="1:5">
      <c r="A10450" s="2" t="s">
        <v>10250</v>
      </c>
      <c r="B10450" s="2" t="str">
        <f>"4378940"</f>
        <v>4378940</v>
      </c>
      <c r="C10450" s="2" t="str">
        <f>"4378940"</f>
        <v>4378940</v>
      </c>
      <c r="D10450" s="2" t="s">
        <v>13054</v>
      </c>
      <c r="E10450" s="4">
        <v>19600</v>
      </c>
    </row>
    <row r="10451" spans="1:5">
      <c r="A10451" s="2" t="s">
        <v>1478</v>
      </c>
      <c r="B10451" s="2" t="s">
        <v>13055</v>
      </c>
      <c r="C10451" s="2" t="s">
        <v>13056</v>
      </c>
      <c r="D10451" s="2" t="s">
        <v>13057</v>
      </c>
      <c r="E10451" s="4">
        <v>10000</v>
      </c>
    </row>
    <row r="10452" spans="1:5">
      <c r="A10452" s="2" t="s">
        <v>1478</v>
      </c>
      <c r="B10452" s="2" t="str">
        <f>"288140"</f>
        <v>288140</v>
      </c>
      <c r="C10452" s="2" t="str">
        <f>"288140"</f>
        <v>288140</v>
      </c>
      <c r="D10452" s="2" t="s">
        <v>13058</v>
      </c>
      <c r="E10452" s="4">
        <v>68500</v>
      </c>
    </row>
    <row r="10453" spans="1:5">
      <c r="A10453" s="2" t="s">
        <v>1478</v>
      </c>
      <c r="B10453" s="2" t="str">
        <f>"5000000315666"</f>
        <v>5000000315666</v>
      </c>
      <c r="C10453" s="2" t="str">
        <f>"015337"</f>
        <v>015337</v>
      </c>
      <c r="D10453" s="2" t="s">
        <v>13059</v>
      </c>
      <c r="E10453" s="4">
        <v>19600</v>
      </c>
    </row>
    <row r="10454" spans="1:5">
      <c r="A10454" s="2" t="s">
        <v>1478</v>
      </c>
      <c r="B10454" s="2" t="str">
        <f>"003024"</f>
        <v>003024</v>
      </c>
      <c r="C10454" s="2" t="str">
        <f>"003024"</f>
        <v>003024</v>
      </c>
      <c r="D10454" s="2" t="s">
        <v>13060</v>
      </c>
      <c r="E10454" s="4">
        <v>19000</v>
      </c>
    </row>
    <row r="10455" spans="1:5">
      <c r="A10455" s="2" t="s">
        <v>1478</v>
      </c>
      <c r="B10455" s="2" t="str">
        <f>"301923"</f>
        <v>301923</v>
      </c>
      <c r="C10455" s="2" t="str">
        <f>"30193"</f>
        <v>30193</v>
      </c>
      <c r="D10455" s="2" t="s">
        <v>13061</v>
      </c>
      <c r="E10455" s="4">
        <v>19600</v>
      </c>
    </row>
    <row r="10456" spans="1:5">
      <c r="A10456" s="2" t="s">
        <v>1478</v>
      </c>
      <c r="B10456" s="2" t="str">
        <f>"010400084"</f>
        <v>010400084</v>
      </c>
      <c r="C10456" s="2" t="str">
        <f>"010400084"</f>
        <v>010400084</v>
      </c>
      <c r="D10456" s="2" t="s">
        <v>13062</v>
      </c>
      <c r="E10456" s="4">
        <v>14500</v>
      </c>
    </row>
    <row r="10457" spans="1:5">
      <c r="A10457" s="2" t="s">
        <v>1478</v>
      </c>
      <c r="B10457" s="2" t="str">
        <f>"90412730"</f>
        <v>90412730</v>
      </c>
      <c r="C10457" s="2" t="str">
        <f>"90412730"</f>
        <v>90412730</v>
      </c>
      <c r="D10457" s="2" t="s">
        <v>13063</v>
      </c>
      <c r="E10457" s="4">
        <v>9800</v>
      </c>
    </row>
    <row r="10458" spans="1:5">
      <c r="A10458" s="2" t="s">
        <v>1478</v>
      </c>
      <c r="B10458" s="2" t="str">
        <f>"280176"</f>
        <v>280176</v>
      </c>
      <c r="C10458" s="2" t="str">
        <f>"280176"</f>
        <v>280176</v>
      </c>
      <c r="D10458" s="2" t="s">
        <v>13064</v>
      </c>
      <c r="E10458" s="4">
        <v>10500</v>
      </c>
    </row>
    <row r="10459" spans="1:5">
      <c r="A10459" s="2" t="s">
        <v>1478</v>
      </c>
      <c r="B10459" s="2" t="str">
        <f>"280383"</f>
        <v>280383</v>
      </c>
      <c r="C10459" s="2" t="str">
        <f>"280383"</f>
        <v>280383</v>
      </c>
      <c r="D10459" s="2" t="s">
        <v>13065</v>
      </c>
      <c r="E10459" s="4">
        <v>15000</v>
      </c>
    </row>
    <row r="10460" spans="1:5">
      <c r="A10460" s="2" t="s">
        <v>1478</v>
      </c>
      <c r="B10460" s="2" t="str">
        <f>"070870584"</f>
        <v>070870584</v>
      </c>
      <c r="C10460" s="2" t="str">
        <f>"070870584 010400124"</f>
        <v>070870584 010400124</v>
      </c>
      <c r="D10460" s="2" t="s">
        <v>13066</v>
      </c>
      <c r="E10460" s="4">
        <v>13300</v>
      </c>
    </row>
    <row r="10461" spans="1:5">
      <c r="A10461" s="2" t="s">
        <v>1478</v>
      </c>
      <c r="B10461" s="2" t="str">
        <f>"1176730"</f>
        <v>1176730</v>
      </c>
      <c r="C10461" s="2" t="str">
        <f>"1176730"</f>
        <v>1176730</v>
      </c>
      <c r="D10461" s="2" t="s">
        <v>13067</v>
      </c>
      <c r="E10461" s="4">
        <v>9800</v>
      </c>
    </row>
    <row r="10462" spans="1:5">
      <c r="A10462" s="2" t="s">
        <v>1478</v>
      </c>
      <c r="B10462" s="2" t="str">
        <f>"091790029"</f>
        <v>091790029</v>
      </c>
      <c r="C10462" s="2" t="str">
        <f>"091790029"</f>
        <v>091790029</v>
      </c>
      <c r="D10462" s="2" t="s">
        <v>13068</v>
      </c>
      <c r="E10462" s="4">
        <v>9700</v>
      </c>
    </row>
    <row r="10463" spans="1:5">
      <c r="A10463" s="2" t="s">
        <v>1478</v>
      </c>
      <c r="B10463" s="2" t="str">
        <f>"010400167"</f>
        <v>010400167</v>
      </c>
      <c r="C10463" s="2" t="str">
        <f>"010400167"</f>
        <v>010400167</v>
      </c>
      <c r="D10463" s="2" t="s">
        <v>13069</v>
      </c>
      <c r="E10463" s="4">
        <v>14200</v>
      </c>
    </row>
    <row r="10464" spans="1:5">
      <c r="A10464" s="2" t="s">
        <v>1478</v>
      </c>
      <c r="B10464" s="2" t="str">
        <f>"010400196"</f>
        <v>010400196</v>
      </c>
      <c r="C10464" s="2" t="str">
        <f>"003901"</f>
        <v>003901</v>
      </c>
      <c r="D10464" s="2" t="s">
        <v>13070</v>
      </c>
      <c r="E10464" s="4">
        <v>25000</v>
      </c>
    </row>
    <row r="10465" spans="1:5">
      <c r="A10465" s="2" t="s">
        <v>1478</v>
      </c>
      <c r="B10465" s="2" t="str">
        <f>"160048"</f>
        <v>160048</v>
      </c>
      <c r="C10465" s="2" t="str">
        <f>"160048"</f>
        <v>160048</v>
      </c>
      <c r="D10465" s="2" t="s">
        <v>13071</v>
      </c>
      <c r="E10465" s="4">
        <v>12500</v>
      </c>
    </row>
    <row r="10466" spans="1:5">
      <c r="A10466" s="2" t="s">
        <v>1478</v>
      </c>
      <c r="B10466" s="2" t="str">
        <f>"091790047"</f>
        <v>091790047</v>
      </c>
      <c r="C10466" s="2" t="str">
        <f>"091790047"</f>
        <v>091790047</v>
      </c>
      <c r="D10466" s="2" t="s">
        <v>13071</v>
      </c>
      <c r="E10466" s="4">
        <v>9700</v>
      </c>
    </row>
    <row r="10467" spans="1:5">
      <c r="A10467" s="2" t="s">
        <v>1478</v>
      </c>
      <c r="B10467" s="2" t="str">
        <f>"010400038"</f>
        <v>010400038</v>
      </c>
      <c r="C10467" s="2" t="str">
        <f>"00400038"</f>
        <v>00400038</v>
      </c>
      <c r="D10467" s="2" t="s">
        <v>12806</v>
      </c>
      <c r="E10467" s="4">
        <v>16000</v>
      </c>
    </row>
    <row r="10468" spans="1:5">
      <c r="A10468" s="2" t="s">
        <v>1478</v>
      </c>
      <c r="B10468" s="2" t="str">
        <f>"1413405-0"</f>
        <v>1413405-0</v>
      </c>
      <c r="C10468" s="2" t="str">
        <f>"1413405-0"</f>
        <v>1413405-0</v>
      </c>
      <c r="D10468" s="2" t="s">
        <v>13072</v>
      </c>
      <c r="E10468" s="4">
        <v>18000</v>
      </c>
    </row>
    <row r="10469" spans="1:5">
      <c r="A10469" s="2" t="s">
        <v>1478</v>
      </c>
      <c r="B10469" s="2" t="str">
        <f>"070777"</f>
        <v>070777</v>
      </c>
      <c r="C10469" s="2" t="str">
        <f>"070777"</f>
        <v>070777</v>
      </c>
      <c r="D10469" s="2" t="s">
        <v>13073</v>
      </c>
      <c r="E10469" s="4">
        <v>12400</v>
      </c>
    </row>
    <row r="10470" spans="1:5">
      <c r="A10470" s="2" t="s">
        <v>1478</v>
      </c>
      <c r="B10470" s="2" t="str">
        <f>"231158"</f>
        <v>231158</v>
      </c>
      <c r="C10470" s="2" t="str">
        <f>"231158"</f>
        <v>231158</v>
      </c>
      <c r="D10470" s="2" t="s">
        <v>13074</v>
      </c>
      <c r="E10470" s="4">
        <v>13500</v>
      </c>
    </row>
    <row r="10471" spans="1:5">
      <c r="A10471" s="2" t="s">
        <v>1478</v>
      </c>
      <c r="B10471" s="2" t="str">
        <f>"260259"</f>
        <v>260259</v>
      </c>
      <c r="C10471" s="2" t="str">
        <f>"260259"</f>
        <v>260259</v>
      </c>
      <c r="D10471" s="2" t="s">
        <v>13075</v>
      </c>
      <c r="E10471" s="4">
        <v>21500</v>
      </c>
    </row>
    <row r="10472" spans="1:5">
      <c r="A10472" s="2" t="s">
        <v>1478</v>
      </c>
      <c r="B10472" s="2" t="str">
        <f>"5000000111237"</f>
        <v>5000000111237</v>
      </c>
      <c r="C10472" s="2" t="str">
        <f>"247770"</f>
        <v>247770</v>
      </c>
      <c r="D10472" s="2" t="s">
        <v>13076</v>
      </c>
      <c r="E10472" s="4">
        <v>14200</v>
      </c>
    </row>
    <row r="10473" spans="1:5">
      <c r="A10473" s="2" t="s">
        <v>1478</v>
      </c>
      <c r="B10473" s="2" t="str">
        <f>"280175"</f>
        <v>280175</v>
      </c>
      <c r="C10473" s="2" t="str">
        <f>"280175"</f>
        <v>280175</v>
      </c>
      <c r="D10473" s="2" t="s">
        <v>13077</v>
      </c>
      <c r="E10473" s="4">
        <v>10600</v>
      </c>
    </row>
    <row r="10474" spans="1:5">
      <c r="A10474" s="2" t="s">
        <v>1478</v>
      </c>
      <c r="B10474" s="2" t="str">
        <f>"280266"</f>
        <v>280266</v>
      </c>
      <c r="C10474" s="2" t="str">
        <f>"280266"</f>
        <v>280266</v>
      </c>
      <c r="D10474" s="2" t="s">
        <v>13078</v>
      </c>
      <c r="E10474" s="4">
        <v>19800</v>
      </c>
    </row>
    <row r="10475" spans="1:5">
      <c r="A10475" s="2" t="s">
        <v>1478</v>
      </c>
      <c r="B10475" s="2" t="str">
        <f>"5000000110599"</f>
        <v>5000000110599</v>
      </c>
      <c r="C10475" s="2" t="str">
        <f>"230157"</f>
        <v>230157</v>
      </c>
      <c r="D10475" s="2" t="s">
        <v>13079</v>
      </c>
      <c r="E10475" s="4">
        <v>18700</v>
      </c>
    </row>
    <row r="10476" spans="1:5">
      <c r="A10476" s="2" t="s">
        <v>1478</v>
      </c>
      <c r="B10476" s="2" t="str">
        <f>"014175"</f>
        <v>014175</v>
      </c>
      <c r="C10476" s="2" t="str">
        <f>"014175"</f>
        <v>014175</v>
      </c>
      <c r="D10476" s="2" t="s">
        <v>13080</v>
      </c>
      <c r="E10476" s="4">
        <v>17800</v>
      </c>
    </row>
    <row r="10477" spans="1:5">
      <c r="A10477" s="2" t="s">
        <v>1478</v>
      </c>
      <c r="B10477" s="2" t="str">
        <f>"245596"</f>
        <v>245596</v>
      </c>
      <c r="C10477" s="2" t="str">
        <f>"245596"</f>
        <v>245596</v>
      </c>
      <c r="D10477" s="2" t="s">
        <v>13081</v>
      </c>
      <c r="E10477" s="4">
        <v>16000</v>
      </c>
    </row>
    <row r="10478" spans="1:5">
      <c r="A10478" s="2" t="s">
        <v>1478</v>
      </c>
      <c r="B10478" s="2" t="str">
        <f>"280267"</f>
        <v>280267</v>
      </c>
      <c r="C10478" s="2" t="str">
        <f>"280267"</f>
        <v>280267</v>
      </c>
      <c r="D10478" s="2" t="s">
        <v>13082</v>
      </c>
      <c r="E10478" s="4">
        <v>19500</v>
      </c>
    </row>
    <row r="10479" spans="1:5">
      <c r="A10479" s="2" t="s">
        <v>1478</v>
      </c>
      <c r="B10479" s="2" t="str">
        <f>"0013222"</f>
        <v>0013222</v>
      </c>
      <c r="C10479" s="2" t="str">
        <f>"0013222"</f>
        <v>0013222</v>
      </c>
      <c r="D10479" s="2" t="s">
        <v>13083</v>
      </c>
      <c r="E10479" s="4">
        <v>17800</v>
      </c>
    </row>
    <row r="10480" spans="1:5">
      <c r="A10480" s="2" t="s">
        <v>1478</v>
      </c>
      <c r="B10480" s="2" t="str">
        <f>"5 00000 224647"</f>
        <v>5 00000 224647</v>
      </c>
      <c r="C10480" s="2" t="str">
        <f>"302743"</f>
        <v>302743</v>
      </c>
      <c r="D10480" s="2" t="s">
        <v>12809</v>
      </c>
      <c r="E10480" s="4">
        <v>12400</v>
      </c>
    </row>
    <row r="10481" spans="1:5">
      <c r="A10481" s="2" t="s">
        <v>1478</v>
      </c>
      <c r="B10481" s="2" t="str">
        <f>"245562"</f>
        <v>245562</v>
      </c>
      <c r="C10481" s="2" t="str">
        <f>"245562"</f>
        <v>245562</v>
      </c>
      <c r="D10481" s="2" t="s">
        <v>13084</v>
      </c>
      <c r="E10481" s="4">
        <v>12900</v>
      </c>
    </row>
    <row r="10482" spans="1:5">
      <c r="A10482" s="2" t="s">
        <v>1478</v>
      </c>
      <c r="B10482" s="2" t="str">
        <f>"5000000176489"</f>
        <v>5000000176489</v>
      </c>
      <c r="C10482" s="2" t="str">
        <f>"280148"</f>
        <v>280148</v>
      </c>
      <c r="D10482" s="2" t="s">
        <v>13085</v>
      </c>
      <c r="E10482" s="4">
        <v>12900</v>
      </c>
    </row>
    <row r="10483" spans="1:5">
      <c r="A10483" s="2" t="s">
        <v>1478</v>
      </c>
      <c r="B10483" s="2" t="str">
        <f>"302507"</f>
        <v>302507</v>
      </c>
      <c r="C10483" s="2" t="str">
        <f>"302507"</f>
        <v>302507</v>
      </c>
      <c r="D10483" s="2" t="s">
        <v>13086</v>
      </c>
      <c r="E10483" s="4">
        <v>16000</v>
      </c>
    </row>
    <row r="10484" spans="1:5">
      <c r="A10484" s="2" t="s">
        <v>1478</v>
      </c>
      <c r="B10484" s="2" t="str">
        <f>"5000000214662"</f>
        <v>5000000214662</v>
      </c>
      <c r="C10484" s="2" t="str">
        <f>"302686"</f>
        <v>302686</v>
      </c>
      <c r="D10484" s="2" t="s">
        <v>13087</v>
      </c>
      <c r="E10484" s="4">
        <v>8900</v>
      </c>
    </row>
    <row r="10485" spans="1:5">
      <c r="A10485" s="2" t="s">
        <v>1478</v>
      </c>
      <c r="B10485" s="2" t="str">
        <f>"280349"</f>
        <v>280349</v>
      </c>
      <c r="C10485" s="2" t="str">
        <f>"280349"</f>
        <v>280349</v>
      </c>
      <c r="D10485" s="2" t="s">
        <v>13088</v>
      </c>
      <c r="E10485" s="4">
        <v>9700</v>
      </c>
    </row>
    <row r="10486" spans="1:5">
      <c r="A10486" s="2" t="s">
        <v>1478</v>
      </c>
      <c r="B10486" s="2" t="str">
        <f>"003025"</f>
        <v>003025</v>
      </c>
      <c r="C10486" s="2" t="str">
        <f>"003025"</f>
        <v>003025</v>
      </c>
      <c r="D10486" s="2" t="s">
        <v>13089</v>
      </c>
      <c r="E10486" s="4">
        <v>58000</v>
      </c>
    </row>
    <row r="10487" spans="1:5">
      <c r="A10487" s="2" t="s">
        <v>1478</v>
      </c>
      <c r="B10487" s="2" t="str">
        <f>"7013264"</f>
        <v>7013264</v>
      </c>
      <c r="C10487" s="2" t="str">
        <f>"7013264"</f>
        <v>7013264</v>
      </c>
      <c r="D10487" s="2" t="s">
        <v>13090</v>
      </c>
      <c r="E10487" s="4">
        <v>25900</v>
      </c>
    </row>
    <row r="10488" spans="1:5">
      <c r="A10488" s="2" t="s">
        <v>1478</v>
      </c>
      <c r="B10488" s="2" t="str">
        <f>"280206"</f>
        <v>280206</v>
      </c>
      <c r="C10488" s="2" t="str">
        <f>"280206"</f>
        <v>280206</v>
      </c>
      <c r="D10488" s="2" t="s">
        <v>13091</v>
      </c>
      <c r="E10488" s="4">
        <v>16000</v>
      </c>
    </row>
    <row r="10489" spans="1:5">
      <c r="A10489" s="2" t="s">
        <v>1478</v>
      </c>
      <c r="B10489" s="2" t="str">
        <f>"280234"</f>
        <v>280234</v>
      </c>
      <c r="C10489" s="2" t="str">
        <f>"280234"</f>
        <v>280234</v>
      </c>
      <c r="D10489" s="2" t="s">
        <v>13092</v>
      </c>
      <c r="E10489" s="4">
        <v>18700</v>
      </c>
    </row>
    <row r="10490" spans="1:5">
      <c r="A10490" s="2" t="s">
        <v>1478</v>
      </c>
      <c r="B10490" s="2" t="str">
        <f>"7074604"</f>
        <v>7074604</v>
      </c>
      <c r="C10490" s="2" t="str">
        <f>"7074604"</f>
        <v>7074604</v>
      </c>
      <c r="D10490" s="2" t="s">
        <v>13093</v>
      </c>
      <c r="E10490" s="4">
        <v>34000</v>
      </c>
    </row>
    <row r="10491" spans="1:5">
      <c r="A10491" s="2" t="s">
        <v>1478</v>
      </c>
      <c r="B10491" s="2" t="str">
        <f>"1602363"</f>
        <v>1602363</v>
      </c>
      <c r="C10491" s="2" t="str">
        <f>"1602363"</f>
        <v>1602363</v>
      </c>
      <c r="D10491" s="2" t="s">
        <v>13094</v>
      </c>
      <c r="E10491" s="4">
        <v>12400</v>
      </c>
    </row>
    <row r="10492" spans="1:5">
      <c r="A10492" s="2" t="s">
        <v>1478</v>
      </c>
      <c r="B10492" s="2" t="str">
        <f>"16049-0"</f>
        <v>16049-0</v>
      </c>
      <c r="C10492" s="2" t="str">
        <f>"16049-0"</f>
        <v>16049-0</v>
      </c>
      <c r="D10492" s="2" t="s">
        <v>13095</v>
      </c>
      <c r="E10492" s="4">
        <v>18000</v>
      </c>
    </row>
    <row r="10493" spans="1:5">
      <c r="A10493" s="2" t="s">
        <v>1478</v>
      </c>
      <c r="B10493" s="2" t="str">
        <f>"302822"</f>
        <v>302822</v>
      </c>
      <c r="C10493" s="2" t="str">
        <f>"302822"</f>
        <v>302822</v>
      </c>
      <c r="D10493" s="2" t="s">
        <v>13096</v>
      </c>
      <c r="E10493" s="4">
        <v>11500</v>
      </c>
    </row>
    <row r="10494" spans="1:5">
      <c r="A10494" s="2" t="s">
        <v>1478</v>
      </c>
      <c r="B10494" s="2" t="s">
        <v>13097</v>
      </c>
      <c r="C10494" s="2" t="s">
        <v>13097</v>
      </c>
      <c r="D10494" s="2" t="s">
        <v>13098</v>
      </c>
      <c r="E10494" s="4">
        <v>9700</v>
      </c>
    </row>
    <row r="10495" spans="1:5">
      <c r="A10495" s="2" t="s">
        <v>1478</v>
      </c>
      <c r="B10495" s="2" t="str">
        <f>"180412"</f>
        <v>180412</v>
      </c>
      <c r="C10495" s="2" t="str">
        <f>"180412"</f>
        <v>180412</v>
      </c>
      <c r="D10495" s="2" t="s">
        <v>13099</v>
      </c>
      <c r="E10495" s="4">
        <v>11500</v>
      </c>
    </row>
    <row r="10496" spans="1:5">
      <c r="A10496" s="2" t="s">
        <v>1478</v>
      </c>
      <c r="B10496" s="2" t="str">
        <f>"5 00000 113019"</f>
        <v>5 00000 113019</v>
      </c>
      <c r="C10496" s="2" t="str">
        <f>"280374"</f>
        <v>280374</v>
      </c>
      <c r="D10496" s="2" t="s">
        <v>13100</v>
      </c>
      <c r="E10496" s="4">
        <v>42100</v>
      </c>
    </row>
    <row r="10497" spans="1:5">
      <c r="A10497" s="2" t="s">
        <v>1478</v>
      </c>
      <c r="B10497" s="2" t="str">
        <f>"302684"</f>
        <v>302684</v>
      </c>
      <c r="C10497" s="2" t="str">
        <f>"302684"</f>
        <v>302684</v>
      </c>
      <c r="D10497" s="2" t="s">
        <v>13101</v>
      </c>
      <c r="E10497" s="4">
        <v>18700</v>
      </c>
    </row>
    <row r="10498" spans="1:5">
      <c r="A10498" s="2" t="s">
        <v>1478</v>
      </c>
      <c r="B10498" s="2" t="s">
        <v>13102</v>
      </c>
      <c r="C10498" s="2" t="s">
        <v>13102</v>
      </c>
      <c r="D10498" s="2" t="s">
        <v>13103</v>
      </c>
      <c r="E10498" s="4">
        <v>11500</v>
      </c>
    </row>
    <row r="10499" spans="1:5">
      <c r="A10499" s="2" t="s">
        <v>1478</v>
      </c>
      <c r="B10499" s="2" t="str">
        <f>"302673"</f>
        <v>302673</v>
      </c>
      <c r="C10499" s="2" t="str">
        <f>"1443799000"</f>
        <v>1443799000</v>
      </c>
      <c r="D10499" s="2" t="s">
        <v>13104</v>
      </c>
      <c r="E10499" s="4">
        <v>28000</v>
      </c>
    </row>
    <row r="10500" spans="1:5">
      <c r="A10500" s="2" t="s">
        <v>1478</v>
      </c>
      <c r="B10500" s="2" t="str">
        <f>"5000000346714"</f>
        <v>5000000346714</v>
      </c>
      <c r="C10500" s="2" t="str">
        <f>"016438"</f>
        <v>016438</v>
      </c>
      <c r="D10500" s="2" t="s">
        <v>13105</v>
      </c>
      <c r="E10500" s="4">
        <v>9700</v>
      </c>
    </row>
    <row r="10501" spans="1:5">
      <c r="A10501" s="2" t="s">
        <v>1478</v>
      </c>
      <c r="B10501" s="2" t="str">
        <f>"230150"</f>
        <v>230150</v>
      </c>
      <c r="C10501" s="2" t="str">
        <f>"230150"</f>
        <v>230150</v>
      </c>
      <c r="D10501" s="2" t="s">
        <v>13106</v>
      </c>
      <c r="E10501" s="4">
        <v>16000</v>
      </c>
    </row>
    <row r="10502" spans="1:5">
      <c r="A10502" s="2" t="s">
        <v>1478</v>
      </c>
      <c r="B10502" s="2" t="str">
        <f>"280146"</f>
        <v>280146</v>
      </c>
      <c r="C10502" s="2" t="str">
        <f>"280146"</f>
        <v>280146</v>
      </c>
      <c r="D10502" s="2" t="s">
        <v>13107</v>
      </c>
      <c r="E10502" s="4">
        <v>14500</v>
      </c>
    </row>
    <row r="10503" spans="1:5">
      <c r="A10503" s="2" t="s">
        <v>1478</v>
      </c>
      <c r="B10503" s="2" t="s">
        <v>13108</v>
      </c>
      <c r="C10503" s="2" t="s">
        <v>13108</v>
      </c>
      <c r="D10503" s="2" t="s">
        <v>13109</v>
      </c>
      <c r="E10503" s="4">
        <v>11500</v>
      </c>
    </row>
    <row r="10504" spans="1:5">
      <c r="A10504" s="2" t="s">
        <v>1478</v>
      </c>
      <c r="B10504" s="2" t="str">
        <f>"5 00000 110674"</f>
        <v>5 00000 110674</v>
      </c>
      <c r="C10504" s="2" t="str">
        <f>"231204"</f>
        <v>231204</v>
      </c>
      <c r="D10504" s="2" t="s">
        <v>13110</v>
      </c>
      <c r="E10504" s="4">
        <v>21500</v>
      </c>
    </row>
    <row r="10505" spans="1:5">
      <c r="A10505" s="2" t="s">
        <v>1478</v>
      </c>
      <c r="B10505" s="2" t="str">
        <f>"301802"</f>
        <v>301802</v>
      </c>
      <c r="C10505" s="2" t="str">
        <f>"301802"</f>
        <v>301802</v>
      </c>
      <c r="D10505" s="2" t="s">
        <v>13111</v>
      </c>
      <c r="E10505" s="4">
        <v>12400</v>
      </c>
    </row>
    <row r="10506" spans="1:5">
      <c r="A10506" s="2" t="s">
        <v>1478</v>
      </c>
      <c r="B10506" s="2" t="s">
        <v>13112</v>
      </c>
      <c r="C10506" s="2" t="s">
        <v>13112</v>
      </c>
      <c r="D10506" s="2" t="s">
        <v>13113</v>
      </c>
      <c r="E10506" s="4">
        <v>17800</v>
      </c>
    </row>
    <row r="10507" spans="1:5">
      <c r="A10507" s="2" t="s">
        <v>1478</v>
      </c>
      <c r="B10507" s="2" t="str">
        <f>"245620"</f>
        <v>245620</v>
      </c>
      <c r="C10507" s="2" t="str">
        <f>"245620"</f>
        <v>245620</v>
      </c>
      <c r="D10507" s="2" t="s">
        <v>13114</v>
      </c>
      <c r="E10507" s="4">
        <v>8800</v>
      </c>
    </row>
    <row r="10508" spans="1:5">
      <c r="A10508" s="2" t="s">
        <v>1478</v>
      </c>
      <c r="B10508" s="2" t="str">
        <f>"0152343"</f>
        <v>0152343</v>
      </c>
      <c r="C10508" s="2" t="str">
        <f>"0152343"</f>
        <v>0152343</v>
      </c>
      <c r="D10508" s="2" t="s">
        <v>13115</v>
      </c>
      <c r="E10508" s="4">
        <v>11500</v>
      </c>
    </row>
    <row r="10509" spans="1:5">
      <c r="A10509" s="2" t="s">
        <v>1478</v>
      </c>
      <c r="B10509" s="2" t="str">
        <f>"010400042 MTDT113733"</f>
        <v>010400042 MTDT113733</v>
      </c>
      <c r="C10509" s="2" t="str">
        <f>"0109960"</f>
        <v>0109960</v>
      </c>
      <c r="D10509" s="2" t="s">
        <v>13116</v>
      </c>
      <c r="E10509" s="4">
        <v>7000</v>
      </c>
    </row>
    <row r="10510" spans="1:5">
      <c r="A10510" s="2" t="s">
        <v>1478</v>
      </c>
      <c r="B10510" s="2" t="str">
        <f>"3024-2510"</f>
        <v>3024-2510</v>
      </c>
      <c r="C10510" s="2" t="str">
        <f>"3024-2510"</f>
        <v>3024-2510</v>
      </c>
      <c r="D10510" s="2" t="s">
        <v>13117</v>
      </c>
      <c r="E10510" s="4">
        <v>9800</v>
      </c>
    </row>
    <row r="10511" spans="1:5">
      <c r="A10511" s="2" t="s">
        <v>1478</v>
      </c>
      <c r="B10511" s="2" t="str">
        <f>"7825155"</f>
        <v>7825155</v>
      </c>
      <c r="C10511" s="2" t="str">
        <f>"7825155"</f>
        <v>7825155</v>
      </c>
      <c r="D10511" s="2" t="s">
        <v>13118</v>
      </c>
      <c r="E10511" s="4">
        <v>10600</v>
      </c>
    </row>
    <row r="10512" spans="1:5">
      <c r="A10512" s="2" t="s">
        <v>1478</v>
      </c>
      <c r="B10512" s="2" t="str">
        <f>"5 000000 111381 "</f>
        <v xml:space="preserve">5 000000 111381 </v>
      </c>
      <c r="C10512" s="2" t="str">
        <f>"280132"</f>
        <v>280132</v>
      </c>
      <c r="D10512" s="2" t="s">
        <v>13119</v>
      </c>
      <c r="E10512" s="4">
        <v>12400</v>
      </c>
    </row>
    <row r="10513" spans="1:5">
      <c r="A10513" s="2" t="s">
        <v>1478</v>
      </c>
      <c r="B10513" s="2" t="s">
        <v>13120</v>
      </c>
      <c r="C10513" s="2" t="str">
        <f>"010400070"</f>
        <v>010400070</v>
      </c>
      <c r="D10513" s="2" t="s">
        <v>13119</v>
      </c>
      <c r="E10513" s="4">
        <v>9700</v>
      </c>
    </row>
    <row r="10514" spans="1:5">
      <c r="A10514" s="2" t="s">
        <v>1478</v>
      </c>
      <c r="B10514" s="2" t="str">
        <f>"245726"</f>
        <v>245726</v>
      </c>
      <c r="C10514" s="2" t="str">
        <f>"245726"</f>
        <v>245726</v>
      </c>
      <c r="D10514" s="2" t="s">
        <v>13121</v>
      </c>
      <c r="E10514" s="4">
        <v>9700</v>
      </c>
    </row>
    <row r="10515" spans="1:5">
      <c r="A10515" s="2" t="s">
        <v>1478</v>
      </c>
      <c r="B10515" s="2" t="str">
        <f>"302272"</f>
        <v>302272</v>
      </c>
      <c r="C10515" s="2" t="str">
        <f>"302272"</f>
        <v>302272</v>
      </c>
      <c r="D10515" s="2" t="s">
        <v>13122</v>
      </c>
      <c r="E10515" s="4">
        <v>18500</v>
      </c>
    </row>
    <row r="10516" spans="1:5">
      <c r="A10516" s="2" t="s">
        <v>1478</v>
      </c>
      <c r="B10516" s="2" t="str">
        <f>"7115402"</f>
        <v>7115402</v>
      </c>
      <c r="C10516" s="2" t="str">
        <f>"7115402"</f>
        <v>7115402</v>
      </c>
      <c r="D10516" s="2" t="s">
        <v>13123</v>
      </c>
      <c r="E10516" s="4">
        <v>11500</v>
      </c>
    </row>
    <row r="10517" spans="1:5">
      <c r="A10517" s="2" t="s">
        <v>1478</v>
      </c>
      <c r="B10517" s="2" t="str">
        <f>"7015405"</f>
        <v>7015405</v>
      </c>
      <c r="C10517" s="2" t="str">
        <f>"7015405"</f>
        <v>7015405</v>
      </c>
      <c r="D10517" s="2" t="s">
        <v>13124</v>
      </c>
      <c r="E10517" s="4">
        <v>18700</v>
      </c>
    </row>
    <row r="10518" spans="1:5">
      <c r="A10518" s="2" t="s">
        <v>1478</v>
      </c>
      <c r="B10518" s="2" t="str">
        <f>"280226"</f>
        <v>280226</v>
      </c>
      <c r="C10518" s="2" t="str">
        <f>"280226"</f>
        <v>280226</v>
      </c>
      <c r="D10518" s="2" t="s">
        <v>13125</v>
      </c>
      <c r="E10518" s="4">
        <v>19500</v>
      </c>
    </row>
    <row r="10519" spans="1:5">
      <c r="A10519" s="2" t="s">
        <v>1478</v>
      </c>
      <c r="B10519" s="2" t="s">
        <v>13126</v>
      </c>
      <c r="C10519" s="2" t="s">
        <v>13126</v>
      </c>
      <c r="D10519" s="2" t="s">
        <v>13127</v>
      </c>
      <c r="E10519" s="4">
        <v>11500</v>
      </c>
    </row>
    <row r="10520" spans="1:5">
      <c r="A10520" s="2" t="s">
        <v>1478</v>
      </c>
      <c r="B10520" s="2" t="str">
        <f>"014484"</f>
        <v>014484</v>
      </c>
      <c r="C10520" s="2" t="str">
        <f>"014484"</f>
        <v>014484</v>
      </c>
      <c r="D10520" s="2" t="s">
        <v>13128</v>
      </c>
      <c r="E10520" s="4">
        <v>34000</v>
      </c>
    </row>
    <row r="10521" spans="1:5">
      <c r="A10521" s="2" t="s">
        <v>1478</v>
      </c>
      <c r="B10521" s="2" t="str">
        <f>"245735"</f>
        <v>245735</v>
      </c>
      <c r="C10521" s="2" t="str">
        <f>"245735"</f>
        <v>245735</v>
      </c>
      <c r="D10521" s="2" t="s">
        <v>13129</v>
      </c>
      <c r="E10521" s="4">
        <v>14200</v>
      </c>
    </row>
    <row r="10522" spans="1:5">
      <c r="A10522" s="2" t="s">
        <v>1478</v>
      </c>
      <c r="B10522" s="2" t="str">
        <f>"20242030"</f>
        <v>20242030</v>
      </c>
      <c r="C10522" s="2" t="str">
        <f>"20242030"</f>
        <v>20242030</v>
      </c>
      <c r="D10522" s="2" t="s">
        <v>13130</v>
      </c>
      <c r="E10522" s="4">
        <v>14900</v>
      </c>
    </row>
    <row r="10523" spans="1:5">
      <c r="A10523" s="2" t="s">
        <v>1478</v>
      </c>
      <c r="B10523" s="2" t="str">
        <f>"301803"</f>
        <v>301803</v>
      </c>
      <c r="C10523" s="2" t="str">
        <f>"301803"</f>
        <v>301803</v>
      </c>
      <c r="D10523" s="2" t="s">
        <v>12831</v>
      </c>
      <c r="E10523" s="4">
        <v>16000</v>
      </c>
    </row>
    <row r="10524" spans="1:5">
      <c r="A10524" s="2" t="s">
        <v>1478</v>
      </c>
      <c r="B10524" s="2" t="str">
        <f>"0013238"</f>
        <v>0013238</v>
      </c>
      <c r="C10524" s="2" t="str">
        <f>"0013238"</f>
        <v>0013238</v>
      </c>
      <c r="D10524" s="2" t="s">
        <v>13131</v>
      </c>
      <c r="E10524" s="4">
        <v>12500</v>
      </c>
    </row>
    <row r="10525" spans="1:5">
      <c r="A10525" s="2" t="s">
        <v>9317</v>
      </c>
      <c r="B10525" s="2" t="str">
        <f>"054961"</f>
        <v>054961</v>
      </c>
      <c r="C10525" s="2" t="str">
        <f>"054961"</f>
        <v>054961</v>
      </c>
      <c r="D10525" s="2" t="s">
        <v>13132</v>
      </c>
      <c r="E10525" s="4">
        <v>19000</v>
      </c>
    </row>
    <row r="10526" spans="1:5">
      <c r="A10526" s="2" t="s">
        <v>9317</v>
      </c>
      <c r="B10526" s="2" t="str">
        <f>"6000-2RS"</f>
        <v>6000-2RS</v>
      </c>
      <c r="C10526" s="2" t="str">
        <f>"6000 2RS"</f>
        <v>6000 2RS</v>
      </c>
      <c r="D10526" s="2" t="s">
        <v>13133</v>
      </c>
      <c r="E10526" s="4">
        <v>1800</v>
      </c>
    </row>
    <row r="10527" spans="1:5">
      <c r="A10527" s="2" t="s">
        <v>9317</v>
      </c>
      <c r="B10527" s="2" t="str">
        <f>"016204"</f>
        <v>016204</v>
      </c>
      <c r="C10527" s="2" t="str">
        <f>"016204"</f>
        <v>016204</v>
      </c>
      <c r="D10527" s="2" t="s">
        <v>13134</v>
      </c>
      <c r="E10527" s="4">
        <v>2000</v>
      </c>
    </row>
    <row r="10528" spans="1:5">
      <c r="A10528" s="2" t="s">
        <v>9317</v>
      </c>
      <c r="B10528" s="2" t="str">
        <f>"9006003"</f>
        <v>9006003</v>
      </c>
      <c r="C10528" s="2" t="str">
        <f>"9006003"</f>
        <v>9006003</v>
      </c>
      <c r="D10528" s="2" t="s">
        <v>13135</v>
      </c>
      <c r="E10528" s="4">
        <v>2800</v>
      </c>
    </row>
    <row r="10529" spans="1:5">
      <c r="A10529" s="2" t="s">
        <v>9317</v>
      </c>
      <c r="B10529" s="2" t="str">
        <f>"010790207"</f>
        <v>010790207</v>
      </c>
      <c r="C10529" s="2" t="str">
        <f>"013908"</f>
        <v>013908</v>
      </c>
      <c r="D10529" s="2" t="s">
        <v>13136</v>
      </c>
      <c r="E10529" s="4">
        <v>2500</v>
      </c>
    </row>
    <row r="10530" spans="1:5">
      <c r="A10530" s="2" t="s">
        <v>9317</v>
      </c>
      <c r="B10530" s="2" t="str">
        <f>"013910"</f>
        <v>013910</v>
      </c>
      <c r="C10530" s="2" t="str">
        <f>"013910"</f>
        <v>013910</v>
      </c>
      <c r="D10530" s="2" t="s">
        <v>13137</v>
      </c>
      <c r="E10530" s="4">
        <v>2800</v>
      </c>
    </row>
    <row r="10531" spans="1:5">
      <c r="A10531" s="2" t="s">
        <v>9317</v>
      </c>
      <c r="B10531" s="2" t="str">
        <f>"62012rs"</f>
        <v>62012rs</v>
      </c>
      <c r="C10531" s="2" t="str">
        <f>"010790208"</f>
        <v>010790208</v>
      </c>
      <c r="D10531" s="2" t="s">
        <v>13138</v>
      </c>
      <c r="E10531" s="4">
        <v>4300</v>
      </c>
    </row>
    <row r="10532" spans="1:5">
      <c r="A10532" s="2" t="s">
        <v>9317</v>
      </c>
      <c r="B10532" s="2" t="str">
        <f>"013916"</f>
        <v>013916</v>
      </c>
      <c r="C10532" s="2" t="str">
        <f>"013916"</f>
        <v>013916</v>
      </c>
      <c r="D10532" s="2" t="s">
        <v>13139</v>
      </c>
      <c r="E10532" s="4">
        <v>2800</v>
      </c>
    </row>
    <row r="10533" spans="1:5">
      <c r="A10533" s="2" t="s">
        <v>9317</v>
      </c>
      <c r="B10533" s="2" t="str">
        <f>"090790009"</f>
        <v>090790009</v>
      </c>
      <c r="C10533" s="2" t="s">
        <v>13140</v>
      </c>
      <c r="D10533" s="2" t="s">
        <v>13141</v>
      </c>
      <c r="E10533" s="4">
        <v>2500</v>
      </c>
    </row>
    <row r="10534" spans="1:5">
      <c r="A10534" s="2" t="s">
        <v>9317</v>
      </c>
      <c r="B10534" s="2" t="str">
        <f>"6202'2rs-c3"</f>
        <v>6202'2rs-c3</v>
      </c>
      <c r="C10534" s="2" t="str">
        <f>"010790210"</f>
        <v>010790210</v>
      </c>
      <c r="D10534" s="2" t="s">
        <v>13142</v>
      </c>
      <c r="E10534" s="4">
        <v>4500</v>
      </c>
    </row>
    <row r="10535" spans="1:5">
      <c r="A10535" s="2" t="s">
        <v>9317</v>
      </c>
      <c r="B10535" s="2" t="str">
        <f>"070390042"</f>
        <v>070390042</v>
      </c>
      <c r="C10535" s="2" t="str">
        <f>"6203 2RS PFI"</f>
        <v>6203 2RS PFI</v>
      </c>
      <c r="D10535" s="2" t="s">
        <v>13143</v>
      </c>
      <c r="E10535" s="4">
        <v>2500</v>
      </c>
    </row>
    <row r="10536" spans="1:5">
      <c r="A10536" s="2" t="s">
        <v>9317</v>
      </c>
      <c r="B10536" s="2" t="str">
        <f>"013928"</f>
        <v>013928</v>
      </c>
      <c r="C10536" s="2" t="str">
        <f>"013928"</f>
        <v>013928</v>
      </c>
      <c r="D10536" s="2" t="s">
        <v>13144</v>
      </c>
      <c r="E10536" s="4">
        <v>3000</v>
      </c>
    </row>
    <row r="10537" spans="1:5">
      <c r="A10537" s="2" t="s">
        <v>9317</v>
      </c>
      <c r="B10537" s="2" t="str">
        <f>"6204'2rs c3"</f>
        <v>6204'2rs c3</v>
      </c>
      <c r="C10537" s="2" t="s">
        <v>13145</v>
      </c>
      <c r="D10537" s="2" t="s">
        <v>13146</v>
      </c>
      <c r="E10537" s="4">
        <v>3500</v>
      </c>
    </row>
    <row r="10538" spans="1:5">
      <c r="A10538" s="2" t="s">
        <v>9317</v>
      </c>
      <c r="B10538" s="2" t="str">
        <f>"7106205"</f>
        <v>7106205</v>
      </c>
      <c r="C10538" s="2" t="str">
        <f>"7016205"</f>
        <v>7016205</v>
      </c>
      <c r="D10538" s="2" t="s">
        <v>13147</v>
      </c>
      <c r="E10538" s="4">
        <v>5500</v>
      </c>
    </row>
    <row r="10539" spans="1:5">
      <c r="A10539" s="2" t="s">
        <v>9317</v>
      </c>
      <c r="B10539" s="2" t="s">
        <v>13148</v>
      </c>
      <c r="C10539" s="2" t="str">
        <f>"6207"</f>
        <v>6207</v>
      </c>
      <c r="D10539" s="2" t="s">
        <v>13149</v>
      </c>
      <c r="E10539" s="4">
        <v>5900</v>
      </c>
    </row>
    <row r="10540" spans="1:5">
      <c r="A10540" s="2" t="s">
        <v>9317</v>
      </c>
      <c r="B10540" s="2" t="str">
        <f>"7906300"</f>
        <v>7906300</v>
      </c>
      <c r="C10540" s="2" t="s">
        <v>13150</v>
      </c>
      <c r="D10540" s="2" t="s">
        <v>13151</v>
      </c>
      <c r="E10540" s="4">
        <v>3800</v>
      </c>
    </row>
    <row r="10541" spans="1:5">
      <c r="A10541" s="2" t="s">
        <v>9317</v>
      </c>
      <c r="B10541" s="2" t="s">
        <v>13152</v>
      </c>
      <c r="C10541" s="2" t="s">
        <v>13152</v>
      </c>
      <c r="D10541" s="2" t="s">
        <v>13153</v>
      </c>
      <c r="E10541" s="4">
        <v>2500</v>
      </c>
    </row>
    <row r="10542" spans="1:5">
      <c r="A10542" s="2" t="s">
        <v>9317</v>
      </c>
      <c r="B10542" s="2" t="str">
        <f>"6304'2rs c3"</f>
        <v>6304'2rs c3</v>
      </c>
      <c r="C10542" s="2" t="str">
        <f>"013990"</f>
        <v>013990</v>
      </c>
      <c r="D10542" s="2" t="s">
        <v>13154</v>
      </c>
      <c r="E10542" s="4">
        <v>4000</v>
      </c>
    </row>
    <row r="10543" spans="1:5">
      <c r="A10543" s="2" t="s">
        <v>9317</v>
      </c>
      <c r="B10543" s="2" t="str">
        <f>"090790014"</f>
        <v>090790014</v>
      </c>
      <c r="C10543" s="2" t="str">
        <f>"090790014"</f>
        <v>090790014</v>
      </c>
      <c r="D10543" s="2" t="s">
        <v>13155</v>
      </c>
      <c r="E10543" s="4">
        <v>4300</v>
      </c>
    </row>
    <row r="10544" spans="1:5">
      <c r="A10544" s="2" t="s">
        <v>9317</v>
      </c>
      <c r="B10544" s="2" t="str">
        <f>"285569"</f>
        <v>285569</v>
      </c>
      <c r="C10544" s="2" t="str">
        <f>"285569"</f>
        <v>285569</v>
      </c>
      <c r="D10544" s="2" t="s">
        <v>13156</v>
      </c>
      <c r="E10544" s="4">
        <v>10500</v>
      </c>
    </row>
    <row r="10545" spans="1:5">
      <c r="A10545" s="2" t="s">
        <v>9317</v>
      </c>
      <c r="B10545" s="2" t="str">
        <f>"010790270"</f>
        <v>010790270</v>
      </c>
      <c r="C10545" s="2" t="s">
        <v>13157</v>
      </c>
      <c r="D10545" s="2" t="s">
        <v>13158</v>
      </c>
      <c r="E10545" s="4">
        <v>25000</v>
      </c>
    </row>
    <row r="10546" spans="1:5">
      <c r="A10546" s="2" t="s">
        <v>9317</v>
      </c>
      <c r="B10546" s="2" t="str">
        <f>"014234"</f>
        <v>014234</v>
      </c>
      <c r="C10546" s="2" t="str">
        <f>"014234"</f>
        <v>014234</v>
      </c>
      <c r="D10546" s="2" t="s">
        <v>13159</v>
      </c>
      <c r="E10546" s="4">
        <v>43000</v>
      </c>
    </row>
    <row r="10547" spans="1:5">
      <c r="A10547" s="2" t="s">
        <v>9317</v>
      </c>
      <c r="B10547" s="2" t="str">
        <f>"017486"</f>
        <v>017486</v>
      </c>
      <c r="C10547" s="2" t="str">
        <f>"017486"</f>
        <v>017486</v>
      </c>
      <c r="D10547" s="2" t="s">
        <v>13160</v>
      </c>
      <c r="E10547" s="4">
        <v>145000</v>
      </c>
    </row>
    <row r="10548" spans="1:5">
      <c r="A10548" s="2" t="s">
        <v>9317</v>
      </c>
      <c r="B10548" s="2" t="str">
        <f>"016350"</f>
        <v>016350</v>
      </c>
      <c r="C10548" s="2" t="str">
        <f>"016350"</f>
        <v>016350</v>
      </c>
      <c r="D10548" s="2" t="s">
        <v>13161</v>
      </c>
      <c r="E10548" s="4">
        <v>2500</v>
      </c>
    </row>
    <row r="10549" spans="1:5">
      <c r="A10549" s="2" t="s">
        <v>9317</v>
      </c>
      <c r="B10549" s="2" t="str">
        <f>"1470830"</f>
        <v>1470830</v>
      </c>
      <c r="C10549" s="2" t="str">
        <f>"1470870"</f>
        <v>1470870</v>
      </c>
      <c r="D10549" s="2" t="s">
        <v>13162</v>
      </c>
      <c r="E10549" s="4">
        <v>2500</v>
      </c>
    </row>
    <row r="10550" spans="1:5">
      <c r="A10550" s="2" t="s">
        <v>9317</v>
      </c>
      <c r="B10550" s="2" t="str">
        <f>"4872110"</f>
        <v>4872110</v>
      </c>
      <c r="C10550" s="2" t="str">
        <f>"4872110"</f>
        <v>4872110</v>
      </c>
      <c r="D10550" s="2" t="s">
        <v>13163</v>
      </c>
      <c r="E10550" s="4">
        <v>7900</v>
      </c>
    </row>
    <row r="10551" spans="1:5">
      <c r="A10551" s="2" t="s">
        <v>9317</v>
      </c>
      <c r="B10551" s="2" t="str">
        <f>"247166"</f>
        <v>247166</v>
      </c>
      <c r="C10551" s="2" t="str">
        <f>"247166"</f>
        <v>247166</v>
      </c>
      <c r="D10551" s="2" t="s">
        <v>13164</v>
      </c>
      <c r="E10551" s="4">
        <v>4200</v>
      </c>
    </row>
    <row r="10552" spans="1:5">
      <c r="A10552" s="2" t="s">
        <v>9317</v>
      </c>
      <c r="B10552" s="2" t="str">
        <f>"014057"</f>
        <v>014057</v>
      </c>
      <c r="C10552" s="2" t="str">
        <f>"014057"</f>
        <v>014057</v>
      </c>
      <c r="D10552" s="2" t="s">
        <v>13165</v>
      </c>
      <c r="E10552" s="4">
        <v>5200</v>
      </c>
    </row>
    <row r="10553" spans="1:5">
      <c r="A10553" s="2" t="s">
        <v>9317</v>
      </c>
      <c r="B10553" s="2" t="str">
        <f>"7800348"</f>
        <v>7800348</v>
      </c>
      <c r="C10553" s="2" t="str">
        <f>"7800348"</f>
        <v>7800348</v>
      </c>
      <c r="D10553" s="2" t="s">
        <v>13166</v>
      </c>
      <c r="E10553" s="4">
        <v>3400</v>
      </c>
    </row>
    <row r="10554" spans="1:5">
      <c r="A10554" s="2" t="s">
        <v>9317</v>
      </c>
      <c r="B10554" s="2" t="str">
        <f>"437571"</f>
        <v>437571</v>
      </c>
      <c r="C10554" s="2" t="str">
        <f>"437571"</f>
        <v>437571</v>
      </c>
      <c r="D10554" s="2" t="s">
        <v>13167</v>
      </c>
      <c r="E10554" s="4">
        <v>5200</v>
      </c>
    </row>
    <row r="10555" spans="1:5">
      <c r="A10555" s="2" t="s">
        <v>9317</v>
      </c>
      <c r="B10555" s="2" t="str">
        <f>"016308"</f>
        <v>016308</v>
      </c>
      <c r="C10555" s="2" t="str">
        <f>"7800548"</f>
        <v>7800548</v>
      </c>
      <c r="D10555" s="2" t="s">
        <v>13168</v>
      </c>
      <c r="E10555" s="4">
        <v>4300</v>
      </c>
    </row>
    <row r="10556" spans="1:5">
      <c r="A10556" s="2" t="s">
        <v>9317</v>
      </c>
      <c r="B10556" s="2" t="str">
        <f>"247165"</f>
        <v>247165</v>
      </c>
      <c r="C10556" s="2" t="str">
        <f>"247165"</f>
        <v>247165</v>
      </c>
      <c r="D10556" s="2" t="s">
        <v>13169</v>
      </c>
      <c r="E10556" s="4">
        <v>8500</v>
      </c>
    </row>
    <row r="10557" spans="1:5">
      <c r="A10557" s="2" t="s">
        <v>9317</v>
      </c>
      <c r="B10557" s="2" t="str">
        <f>"7024925"</f>
        <v>7024925</v>
      </c>
      <c r="C10557" s="2" t="str">
        <f>"7024925"</f>
        <v>7024925</v>
      </c>
      <c r="D10557" s="2" t="s">
        <v>13170</v>
      </c>
      <c r="E10557" s="4">
        <v>16000</v>
      </c>
    </row>
    <row r="10558" spans="1:5">
      <c r="A10558" s="2" t="s">
        <v>9317</v>
      </c>
      <c r="B10558" s="2" t="str">
        <f>"014142"</f>
        <v>014142</v>
      </c>
      <c r="C10558" s="2" t="str">
        <f>"014142"</f>
        <v>014142</v>
      </c>
      <c r="D10558" s="2" t="s">
        <v>13171</v>
      </c>
      <c r="E10558" s="4">
        <v>16500</v>
      </c>
    </row>
    <row r="10559" spans="1:5">
      <c r="A10559" s="2" t="s">
        <v>9317</v>
      </c>
      <c r="B10559" s="2" t="str">
        <f>"288157"</f>
        <v>288157</v>
      </c>
      <c r="C10559" s="2" t="str">
        <f>"288157"</f>
        <v>288157</v>
      </c>
      <c r="D10559" s="2" t="s">
        <v>13172</v>
      </c>
      <c r="E10559" s="4">
        <v>47000</v>
      </c>
    </row>
    <row r="10560" spans="1:5">
      <c r="A10560" s="2" t="s">
        <v>296</v>
      </c>
      <c r="B10560" s="2" t="str">
        <f>"6174-040-01"</f>
        <v>6174-040-01</v>
      </c>
      <c r="C10560" s="2" t="str">
        <f>"6174-040-01"</f>
        <v>6174-040-01</v>
      </c>
      <c r="D10560" s="2" t="s">
        <v>13173</v>
      </c>
      <c r="E10560" s="4">
        <v>19000</v>
      </c>
    </row>
    <row r="10561" spans="1:5">
      <c r="A10561" s="2" t="s">
        <v>296</v>
      </c>
      <c r="B10561" s="2" t="str">
        <f>"6164-023-05"</f>
        <v>6164-023-05</v>
      </c>
      <c r="C10561" s="2" t="str">
        <f>"6164-023-05"</f>
        <v>6164-023-05</v>
      </c>
      <c r="D10561" s="2" t="s">
        <v>13174</v>
      </c>
      <c r="E10561" s="4">
        <v>14800</v>
      </c>
    </row>
    <row r="10562" spans="1:5">
      <c r="A10562" s="2" t="s">
        <v>296</v>
      </c>
      <c r="B10562" s="2" t="str">
        <f>"6174-004-05"</f>
        <v>6174-004-05</v>
      </c>
      <c r="C10562" s="2" t="str">
        <f>"6174-004-05"</f>
        <v>6174-004-05</v>
      </c>
      <c r="D10562" s="2" t="s">
        <v>13175</v>
      </c>
      <c r="E10562" s="4">
        <v>12800</v>
      </c>
    </row>
    <row r="10563" spans="1:5">
      <c r="A10563" s="2" t="s">
        <v>296</v>
      </c>
      <c r="B10563" s="2" t="str">
        <f>"301041"</f>
        <v>301041</v>
      </c>
      <c r="C10563" s="2" t="str">
        <f>"301041"</f>
        <v>301041</v>
      </c>
      <c r="D10563" s="2" t="s">
        <v>13176</v>
      </c>
      <c r="E10563" s="4">
        <v>3800</v>
      </c>
    </row>
    <row r="10564" spans="1:5">
      <c r="A10564" s="2" t="s">
        <v>296</v>
      </c>
      <c r="B10564" s="2" t="str">
        <f>"301031"</f>
        <v>301031</v>
      </c>
      <c r="C10564" s="2" t="str">
        <f>"301031"</f>
        <v>301031</v>
      </c>
      <c r="D10564" s="2" t="s">
        <v>13177</v>
      </c>
      <c r="E10564" s="4">
        <v>5800</v>
      </c>
    </row>
    <row r="10565" spans="1:5">
      <c r="A10565" s="2" t="s">
        <v>296</v>
      </c>
      <c r="B10565" s="2" t="str">
        <f>"282139"</f>
        <v>282139</v>
      </c>
      <c r="C10565" s="2" t="str">
        <f>"282139"</f>
        <v>282139</v>
      </c>
      <c r="D10565" s="2" t="s">
        <v>13178</v>
      </c>
      <c r="E10565" s="4">
        <v>15000</v>
      </c>
    </row>
    <row r="10566" spans="1:5">
      <c r="A10566" s="2" t="s">
        <v>296</v>
      </c>
      <c r="B10566" s="2" t="str">
        <f>"015047"</f>
        <v>015047</v>
      </c>
      <c r="C10566" s="2" t="str">
        <f>"015047"</f>
        <v>015047</v>
      </c>
      <c r="D10566" s="2" t="s">
        <v>13179</v>
      </c>
      <c r="E10566" s="4">
        <v>6800</v>
      </c>
    </row>
    <row r="10567" spans="1:5">
      <c r="A10567" s="2" t="s">
        <v>296</v>
      </c>
      <c r="B10567" s="2" t="str">
        <f>"288456"</f>
        <v>288456</v>
      </c>
      <c r="C10567" s="2" t="str">
        <f>"288456"</f>
        <v>288456</v>
      </c>
      <c r="D10567" s="2" t="s">
        <v>13180</v>
      </c>
      <c r="E10567" s="4">
        <v>14200</v>
      </c>
    </row>
    <row r="10568" spans="1:5">
      <c r="A10568" s="2" t="s">
        <v>296</v>
      </c>
      <c r="B10568" s="2" t="str">
        <f>"301113"</f>
        <v>301113</v>
      </c>
      <c r="C10568" s="2" t="str">
        <f>"301113"</f>
        <v>301113</v>
      </c>
      <c r="D10568" s="2" t="s">
        <v>13181</v>
      </c>
      <c r="E10568" s="4">
        <v>8900</v>
      </c>
    </row>
    <row r="10569" spans="1:5">
      <c r="A10569" s="2" t="s">
        <v>296</v>
      </c>
      <c r="B10569" s="2" t="str">
        <f>"176308"</f>
        <v>176308</v>
      </c>
      <c r="C10569" s="2" t="str">
        <f>"176308"</f>
        <v>176308</v>
      </c>
      <c r="D10569" s="2" t="s">
        <v>13182</v>
      </c>
      <c r="E10569" s="4">
        <v>13060</v>
      </c>
    </row>
    <row r="10570" spans="1:5">
      <c r="A10570" s="2" t="s">
        <v>296</v>
      </c>
      <c r="B10570" s="2" t="str">
        <f>"170219"</f>
        <v>170219</v>
      </c>
      <c r="C10570" s="2" t="str">
        <f>"170219"</f>
        <v>170219</v>
      </c>
      <c r="D10570" s="2" t="s">
        <v>13183</v>
      </c>
      <c r="E10570" s="4">
        <v>15500</v>
      </c>
    </row>
    <row r="10571" spans="1:5">
      <c r="A10571" s="2" t="s">
        <v>296</v>
      </c>
      <c r="B10571" s="2" t="str">
        <f>"301054"</f>
        <v>301054</v>
      </c>
      <c r="C10571" s="2" t="str">
        <f>"301054"</f>
        <v>301054</v>
      </c>
      <c r="D10571" s="2" t="s">
        <v>13184</v>
      </c>
      <c r="E10571" s="4">
        <v>4900</v>
      </c>
    </row>
    <row r="10572" spans="1:5">
      <c r="A10572" s="2" t="s">
        <v>296</v>
      </c>
      <c r="B10572" s="2" t="str">
        <f>"301275"</f>
        <v>301275</v>
      </c>
      <c r="C10572" s="2" t="str">
        <f>"301275"</f>
        <v>301275</v>
      </c>
      <c r="D10572" s="2" t="s">
        <v>13185</v>
      </c>
      <c r="E10572" s="4">
        <v>9500</v>
      </c>
    </row>
    <row r="10573" spans="1:5">
      <c r="A10573" s="2" t="s">
        <v>296</v>
      </c>
      <c r="B10573" s="2" t="str">
        <f>"070336"</f>
        <v>070336</v>
      </c>
      <c r="C10573" s="2" t="str">
        <f>"070336"</f>
        <v>070336</v>
      </c>
      <c r="D10573" s="2" t="s">
        <v>13186</v>
      </c>
      <c r="E10573" s="4">
        <v>9800</v>
      </c>
    </row>
    <row r="10574" spans="1:5">
      <c r="A10574" s="2" t="s">
        <v>296</v>
      </c>
      <c r="B10574" s="2" t="str">
        <f>"282140"</f>
        <v>282140</v>
      </c>
      <c r="C10574" s="2" t="str">
        <f>"282140"</f>
        <v>282140</v>
      </c>
      <c r="D10574" s="2" t="s">
        <v>13187</v>
      </c>
      <c r="E10574" s="4">
        <v>9500</v>
      </c>
    </row>
    <row r="10575" spans="1:5">
      <c r="A10575" s="2" t="s">
        <v>296</v>
      </c>
      <c r="B10575" s="2" t="str">
        <f>"288790"</f>
        <v>288790</v>
      </c>
      <c r="C10575" s="2" t="str">
        <f>"288790"</f>
        <v>288790</v>
      </c>
      <c r="D10575" s="2" t="s">
        <v>13188</v>
      </c>
      <c r="E10575" s="4">
        <v>16800</v>
      </c>
    </row>
    <row r="10576" spans="1:5">
      <c r="A10576" s="2" t="s">
        <v>296</v>
      </c>
      <c r="B10576" s="2" t="str">
        <f>"6174-024-05"</f>
        <v>6174-024-05</v>
      </c>
      <c r="C10576" s="2" t="str">
        <f>"6174-024-05"</f>
        <v>6174-024-05</v>
      </c>
      <c r="D10576" s="2" t="s">
        <v>13189</v>
      </c>
      <c r="E10576" s="4">
        <v>15000</v>
      </c>
    </row>
    <row r="10577" spans="1:5">
      <c r="A10577" s="2" t="s">
        <v>296</v>
      </c>
      <c r="B10577" s="2" t="str">
        <f>"281535"</f>
        <v>281535</v>
      </c>
      <c r="C10577" s="2" t="str">
        <f>"281535"</f>
        <v>281535</v>
      </c>
      <c r="D10577" s="2" t="s">
        <v>13190</v>
      </c>
      <c r="E10577" s="4">
        <v>18700</v>
      </c>
    </row>
    <row r="10578" spans="1:5">
      <c r="A10578" s="2" t="s">
        <v>296</v>
      </c>
      <c r="B10578" s="2" t="str">
        <f>"301036"</f>
        <v>301036</v>
      </c>
      <c r="C10578" s="2" t="str">
        <f>"301036"</f>
        <v>301036</v>
      </c>
      <c r="D10578" s="2" t="s">
        <v>13191</v>
      </c>
      <c r="E10578" s="4">
        <v>12400</v>
      </c>
    </row>
    <row r="10579" spans="1:5">
      <c r="A10579" s="2" t="s">
        <v>296</v>
      </c>
      <c r="B10579" s="2" t="s">
        <v>13192</v>
      </c>
      <c r="C10579" s="2" t="s">
        <v>13192</v>
      </c>
      <c r="D10579" s="2" t="s">
        <v>13193</v>
      </c>
      <c r="E10579" s="4">
        <v>10500</v>
      </c>
    </row>
    <row r="10580" spans="1:5">
      <c r="A10580" s="2" t="s">
        <v>296</v>
      </c>
      <c r="B10580" s="2" t="str">
        <f>"288861"</f>
        <v>288861</v>
      </c>
      <c r="C10580" s="2" t="str">
        <f>"288861"</f>
        <v>288861</v>
      </c>
      <c r="D10580" s="2" t="s">
        <v>13194</v>
      </c>
      <c r="E10580" s="4">
        <v>8000</v>
      </c>
    </row>
    <row r="10581" spans="1:5">
      <c r="A10581" s="2" t="s">
        <v>296</v>
      </c>
      <c r="B10581" s="2" t="str">
        <f>"301123"</f>
        <v>301123</v>
      </c>
      <c r="C10581" s="2" t="str">
        <f>"301123"</f>
        <v>301123</v>
      </c>
      <c r="D10581" s="2" t="s">
        <v>13195</v>
      </c>
      <c r="E10581" s="4">
        <v>9700</v>
      </c>
    </row>
    <row r="10582" spans="1:5">
      <c r="A10582" s="2" t="s">
        <v>296</v>
      </c>
      <c r="B10582" s="2" t="str">
        <f>"288450"</f>
        <v>288450</v>
      </c>
      <c r="C10582" s="2" t="str">
        <f>"288450"</f>
        <v>288450</v>
      </c>
      <c r="D10582" s="2" t="s">
        <v>13196</v>
      </c>
      <c r="E10582" s="4">
        <v>16000</v>
      </c>
    </row>
    <row r="10583" spans="1:5">
      <c r="A10583" s="2" t="s">
        <v>296</v>
      </c>
      <c r="B10583" s="2" t="str">
        <f>"230230"</f>
        <v>230230</v>
      </c>
      <c r="C10583" s="2" t="str">
        <f>"230230"</f>
        <v>230230</v>
      </c>
      <c r="D10583" s="2" t="s">
        <v>13196</v>
      </c>
      <c r="E10583" s="4">
        <v>24500</v>
      </c>
    </row>
    <row r="10584" spans="1:5">
      <c r="A10584" s="2" t="s">
        <v>296</v>
      </c>
      <c r="B10584" s="2" t="str">
        <f>"0301138"</f>
        <v>0301138</v>
      </c>
      <c r="C10584" s="2" t="str">
        <f>"0301138"</f>
        <v>0301138</v>
      </c>
      <c r="D10584" s="2" t="s">
        <v>13197</v>
      </c>
      <c r="E10584" s="2">
        <v>1</v>
      </c>
    </row>
    <row r="10585" spans="1:5">
      <c r="A10585" s="2" t="s">
        <v>296</v>
      </c>
      <c r="B10585" s="2" t="str">
        <f>"301138"</f>
        <v>301138</v>
      </c>
      <c r="C10585" s="2" t="str">
        <f>"301138"</f>
        <v>301138</v>
      </c>
      <c r="D10585" s="2" t="s">
        <v>13198</v>
      </c>
      <c r="E10585" s="4">
        <v>15190</v>
      </c>
    </row>
    <row r="10586" spans="1:5">
      <c r="A10586" s="2" t="s">
        <v>296</v>
      </c>
      <c r="B10586" s="2" t="str">
        <f>"070337"</f>
        <v>070337</v>
      </c>
      <c r="C10586" s="2" t="str">
        <f>"070337"</f>
        <v>070337</v>
      </c>
      <c r="D10586" s="2" t="s">
        <v>13199</v>
      </c>
      <c r="E10586" s="4">
        <v>6800</v>
      </c>
    </row>
    <row r="10587" spans="1:5">
      <c r="A10587" s="2" t="s">
        <v>296</v>
      </c>
      <c r="B10587" s="2" t="str">
        <f>"247596"</f>
        <v>247596</v>
      </c>
      <c r="C10587" s="2" t="str">
        <f>"247596"</f>
        <v>247596</v>
      </c>
      <c r="D10587" s="2" t="s">
        <v>13200</v>
      </c>
      <c r="E10587" s="4">
        <v>9700</v>
      </c>
    </row>
    <row r="10588" spans="1:5">
      <c r="A10588" s="2" t="s">
        <v>296</v>
      </c>
      <c r="B10588" s="2" t="s">
        <v>13201</v>
      </c>
      <c r="C10588" s="2" t="s">
        <v>13201</v>
      </c>
      <c r="D10588" s="2" t="s">
        <v>13202</v>
      </c>
      <c r="E10588" s="4">
        <v>6900</v>
      </c>
    </row>
    <row r="10589" spans="1:5">
      <c r="A10589" s="2" t="s">
        <v>296</v>
      </c>
      <c r="B10589" s="2" t="str">
        <f>"0012116"</f>
        <v>0012116</v>
      </c>
      <c r="C10589" s="2" t="str">
        <f>"0012116"</f>
        <v>0012116</v>
      </c>
      <c r="D10589" s="2" t="s">
        <v>13203</v>
      </c>
      <c r="E10589" s="4">
        <v>14200</v>
      </c>
    </row>
    <row r="10590" spans="1:5">
      <c r="A10590" s="2" t="s">
        <v>296</v>
      </c>
      <c r="B10590" s="2" t="str">
        <f>"000477956-8"</f>
        <v>000477956-8</v>
      </c>
      <c r="C10590" s="2" t="str">
        <f>"000477956-8"</f>
        <v>000477956-8</v>
      </c>
      <c r="D10590" s="2" t="s">
        <v>13204</v>
      </c>
      <c r="E10590" s="4">
        <v>14000</v>
      </c>
    </row>
    <row r="10591" spans="1:5">
      <c r="A10591" s="2" t="s">
        <v>296</v>
      </c>
      <c r="B10591" s="2" t="str">
        <f>"0016457"</f>
        <v>0016457</v>
      </c>
      <c r="C10591" s="2" t="str">
        <f>"0016457"</f>
        <v>0016457</v>
      </c>
      <c r="D10591" s="2" t="s">
        <v>13205</v>
      </c>
      <c r="E10591" s="4">
        <v>7500</v>
      </c>
    </row>
    <row r="10592" spans="1:5">
      <c r="A10592" s="2" t="s">
        <v>296</v>
      </c>
      <c r="B10592" s="2" t="str">
        <f>"21558"</f>
        <v>21558</v>
      </c>
      <c r="C10592" s="2" t="str">
        <f>"21558"</f>
        <v>21558</v>
      </c>
      <c r="D10592" s="2" t="s">
        <v>13206</v>
      </c>
      <c r="E10592" s="4">
        <v>2000</v>
      </c>
    </row>
    <row r="10593" spans="1:5">
      <c r="A10593" s="2" t="s">
        <v>296</v>
      </c>
      <c r="B10593" s="2" t="s">
        <v>13207</v>
      </c>
      <c r="C10593" s="2" t="s">
        <v>13207</v>
      </c>
      <c r="D10593" s="2" t="s">
        <v>13208</v>
      </c>
      <c r="E10593" s="4">
        <v>2261</v>
      </c>
    </row>
    <row r="10594" spans="1:5">
      <c r="A10594" s="2" t="s">
        <v>296</v>
      </c>
      <c r="B10594" s="2" t="str">
        <f>"0122883"</f>
        <v>0122883</v>
      </c>
      <c r="C10594" s="2" t="str">
        <f>"0122883"</f>
        <v>0122883</v>
      </c>
      <c r="D10594" s="2" t="s">
        <v>13209</v>
      </c>
      <c r="E10594" s="4">
        <v>2380</v>
      </c>
    </row>
    <row r="10595" spans="1:5">
      <c r="A10595" s="2" t="s">
        <v>296</v>
      </c>
      <c r="B10595" s="2" t="str">
        <f>"012277"</f>
        <v>012277</v>
      </c>
      <c r="C10595" s="2" t="str">
        <f>"012277"</f>
        <v>012277</v>
      </c>
      <c r="D10595" s="2" t="s">
        <v>13210</v>
      </c>
      <c r="E10595" s="4">
        <v>2000</v>
      </c>
    </row>
    <row r="10596" spans="1:5">
      <c r="A10596" s="2" t="s">
        <v>2544</v>
      </c>
      <c r="B10596" s="2" t="s">
        <v>13211</v>
      </c>
      <c r="C10596" s="2" t="s">
        <v>13211</v>
      </c>
      <c r="D10596" s="2" t="s">
        <v>13212</v>
      </c>
      <c r="E10596" s="4">
        <v>2380</v>
      </c>
    </row>
    <row r="10597" spans="1:5">
      <c r="A10597" s="2" t="s">
        <v>296</v>
      </c>
      <c r="B10597" s="2" t="str">
        <f>"012228"</f>
        <v>012228</v>
      </c>
      <c r="C10597" s="2" t="str">
        <f>"012228"</f>
        <v>012228</v>
      </c>
      <c r="D10597" s="2" t="s">
        <v>13213</v>
      </c>
      <c r="E10597" s="4">
        <v>2500</v>
      </c>
    </row>
    <row r="10598" spans="1:5">
      <c r="A10598" s="2" t="s">
        <v>296</v>
      </c>
      <c r="B10598" s="2" t="str">
        <f>"012294"</f>
        <v>012294</v>
      </c>
      <c r="C10598" s="2" t="str">
        <f>"012294"</f>
        <v>012294</v>
      </c>
      <c r="D10598" s="2" t="s">
        <v>13214</v>
      </c>
      <c r="E10598" s="4">
        <v>2500</v>
      </c>
    </row>
    <row r="10599" spans="1:5">
      <c r="A10599" s="2" t="s">
        <v>296</v>
      </c>
      <c r="B10599" s="2" t="str">
        <f>"012233"</f>
        <v>012233</v>
      </c>
      <c r="C10599" s="2" t="str">
        <f>"012233"</f>
        <v>012233</v>
      </c>
      <c r="D10599" s="2" t="s">
        <v>13215</v>
      </c>
      <c r="E10599" s="4">
        <v>4500</v>
      </c>
    </row>
    <row r="10600" spans="1:5">
      <c r="A10600" s="2" t="s">
        <v>296</v>
      </c>
      <c r="B10600" s="2" t="s">
        <v>13216</v>
      </c>
      <c r="C10600" s="2" t="str">
        <f>"2382-002"</f>
        <v>2382-002</v>
      </c>
      <c r="D10600" s="2" t="s">
        <v>13217</v>
      </c>
      <c r="E10600" s="4">
        <v>3500</v>
      </c>
    </row>
    <row r="10601" spans="1:5">
      <c r="A10601" s="2" t="s">
        <v>296</v>
      </c>
      <c r="B10601" s="2" t="str">
        <f>"1681410"</f>
        <v>1681410</v>
      </c>
      <c r="C10601" s="2" t="str">
        <f>"1681410"</f>
        <v>1681410</v>
      </c>
      <c r="D10601" s="2" t="s">
        <v>13218</v>
      </c>
      <c r="E10601" s="4">
        <v>2500</v>
      </c>
    </row>
    <row r="10602" spans="1:5">
      <c r="A10602" s="2" t="s">
        <v>296</v>
      </c>
      <c r="B10602" s="2" t="str">
        <f>"012937"</f>
        <v>012937</v>
      </c>
      <c r="C10602" s="2" t="str">
        <f>"7900"</f>
        <v>7900</v>
      </c>
      <c r="D10602" s="2" t="s">
        <v>13219</v>
      </c>
      <c r="E10602" s="4">
        <v>7900</v>
      </c>
    </row>
    <row r="10603" spans="1:5">
      <c r="A10603" s="2" t="s">
        <v>296</v>
      </c>
      <c r="B10603" s="2" t="str">
        <f>"012280"</f>
        <v>012280</v>
      </c>
      <c r="C10603" s="2" t="str">
        <f>"012280"</f>
        <v>012280</v>
      </c>
      <c r="D10603" s="2" t="s">
        <v>13220</v>
      </c>
      <c r="E10603" s="4">
        <v>2000</v>
      </c>
    </row>
    <row r="10604" spans="1:5">
      <c r="A10604" s="2" t="s">
        <v>296</v>
      </c>
      <c r="B10604" s="2" t="str">
        <f>"010690004"</f>
        <v>010690004</v>
      </c>
      <c r="C10604" s="2" t="str">
        <f>"010690004"</f>
        <v>010690004</v>
      </c>
      <c r="D10604" s="2" t="s">
        <v>13221</v>
      </c>
      <c r="E10604" s="4">
        <v>3400</v>
      </c>
    </row>
    <row r="10605" spans="1:5">
      <c r="A10605" s="2" t="s">
        <v>296</v>
      </c>
      <c r="B10605" s="2" t="str">
        <f>"012307"</f>
        <v>012307</v>
      </c>
      <c r="C10605" s="2" t="str">
        <f>"012307"</f>
        <v>012307</v>
      </c>
      <c r="D10605" s="2" t="s">
        <v>13222</v>
      </c>
      <c r="E10605" s="4">
        <v>5500</v>
      </c>
    </row>
    <row r="10606" spans="1:5">
      <c r="A10606" s="2" t="s">
        <v>421</v>
      </c>
      <c r="B10606" s="2" t="str">
        <f>"7601250"</f>
        <v>7601250</v>
      </c>
      <c r="C10606" s="2" t="str">
        <f>"7601250"</f>
        <v>7601250</v>
      </c>
      <c r="D10606" s="2" t="s">
        <v>13223</v>
      </c>
      <c r="E10606" s="4">
        <v>10500</v>
      </c>
    </row>
    <row r="10607" spans="1:5">
      <c r="A10607" s="2" t="s">
        <v>296</v>
      </c>
      <c r="B10607" s="2" t="str">
        <f>"015989"</f>
        <v>015989</v>
      </c>
      <c r="C10607" s="2" t="str">
        <f>"015989"</f>
        <v>015989</v>
      </c>
      <c r="D10607" s="2" t="s">
        <v>13224</v>
      </c>
      <c r="E10607" s="4">
        <v>18000</v>
      </c>
    </row>
    <row r="10608" spans="1:5">
      <c r="A10608" s="2" t="s">
        <v>421</v>
      </c>
      <c r="B10608" s="2" t="str">
        <f>"1023130"</f>
        <v>1023130</v>
      </c>
      <c r="C10608" s="2" t="str">
        <f>"1023130"</f>
        <v>1023130</v>
      </c>
      <c r="D10608" s="2" t="s">
        <v>13225</v>
      </c>
      <c r="E10608" s="4">
        <v>4300</v>
      </c>
    </row>
    <row r="10609" spans="1:5">
      <c r="A10609" s="2" t="s">
        <v>421</v>
      </c>
      <c r="B10609" s="2" t="str">
        <f>"020620128"</f>
        <v>020620128</v>
      </c>
      <c r="C10609" s="2" t="str">
        <f>"020620128"</f>
        <v>020620128</v>
      </c>
      <c r="D10609" s="2" t="s">
        <v>13226</v>
      </c>
      <c r="E10609" s="4">
        <v>8800</v>
      </c>
    </row>
    <row r="10610" spans="1:5">
      <c r="A10610" s="2" t="s">
        <v>296</v>
      </c>
      <c r="B10610" s="2" t="str">
        <f>"301986"</f>
        <v>301986</v>
      </c>
      <c r="C10610" s="2" t="str">
        <f>"301986"</f>
        <v>301986</v>
      </c>
      <c r="D10610" s="2" t="s">
        <v>13227</v>
      </c>
      <c r="E10610" s="4">
        <v>7000</v>
      </c>
    </row>
    <row r="10611" spans="1:5">
      <c r="A10611" s="2" t="s">
        <v>296</v>
      </c>
      <c r="B10611" s="2" t="str">
        <f>"0012104"</f>
        <v>0012104</v>
      </c>
      <c r="C10611" s="2" t="str">
        <f>"0012104"</f>
        <v>0012104</v>
      </c>
      <c r="D10611" s="2" t="s">
        <v>13228</v>
      </c>
      <c r="E10611" s="4">
        <v>5200</v>
      </c>
    </row>
    <row r="10612" spans="1:5">
      <c r="A10612" s="2" t="s">
        <v>296</v>
      </c>
      <c r="B10612" s="2" t="str">
        <f>"9953657"</f>
        <v>9953657</v>
      </c>
      <c r="C10612" s="2" t="str">
        <f>"9953657"</f>
        <v>9953657</v>
      </c>
      <c r="D10612" s="2" t="s">
        <v>13229</v>
      </c>
      <c r="E10612" s="4">
        <v>12400</v>
      </c>
    </row>
    <row r="10613" spans="1:5">
      <c r="A10613" s="2" t="s">
        <v>296</v>
      </c>
      <c r="B10613" s="2" t="str">
        <f>"005233"</f>
        <v>005233</v>
      </c>
      <c r="C10613" s="2" t="str">
        <f>"005233"</f>
        <v>005233</v>
      </c>
      <c r="D10613" s="2" t="s">
        <v>13230</v>
      </c>
      <c r="E10613" s="4">
        <v>11500</v>
      </c>
    </row>
    <row r="10614" spans="1:5">
      <c r="A10614" s="2" t="s">
        <v>296</v>
      </c>
      <c r="B10614" s="2" t="str">
        <f>"9953620"</f>
        <v>9953620</v>
      </c>
      <c r="C10614" s="2" t="str">
        <f>"9953620"</f>
        <v>9953620</v>
      </c>
      <c r="D10614" s="2" t="s">
        <v>13231</v>
      </c>
      <c r="E10614" s="4">
        <v>16000</v>
      </c>
    </row>
    <row r="10615" spans="1:5">
      <c r="A10615" s="2" t="s">
        <v>421</v>
      </c>
      <c r="B10615" s="2" t="str">
        <f>"020620448"</f>
        <v>020620448</v>
      </c>
      <c r="C10615" s="2" t="str">
        <f>"020620448"</f>
        <v>020620448</v>
      </c>
      <c r="D10615" s="2" t="s">
        <v>13232</v>
      </c>
      <c r="E10615" s="4">
        <v>14000</v>
      </c>
    </row>
    <row r="10616" spans="1:5">
      <c r="A10616" s="2" t="s">
        <v>296</v>
      </c>
      <c r="B10616" s="2" t="str">
        <f>"0008002"</f>
        <v>0008002</v>
      </c>
      <c r="C10616" s="2" t="str">
        <f>"0008002"</f>
        <v>0008002</v>
      </c>
      <c r="D10616" s="2" t="s">
        <v>13233</v>
      </c>
      <c r="E10616" s="4">
        <v>8800</v>
      </c>
    </row>
    <row r="10617" spans="1:5">
      <c r="A10617" s="2" t="s">
        <v>296</v>
      </c>
      <c r="B10617" s="2" t="str">
        <f>"050494"</f>
        <v>050494</v>
      </c>
      <c r="C10617" s="2" t="str">
        <f>"050494"</f>
        <v>050494</v>
      </c>
      <c r="D10617" s="2" t="s">
        <v>13234</v>
      </c>
      <c r="E10617" s="4">
        <v>16000</v>
      </c>
    </row>
    <row r="10618" spans="1:5">
      <c r="A10618" s="2" t="s">
        <v>421</v>
      </c>
      <c r="B10618" s="2" t="str">
        <f>"014069"</f>
        <v>014069</v>
      </c>
      <c r="C10618" s="2" t="str">
        <f>"014069"</f>
        <v>014069</v>
      </c>
      <c r="D10618" s="2" t="s">
        <v>13235</v>
      </c>
      <c r="E10618" s="4">
        <v>14200</v>
      </c>
    </row>
    <row r="10619" spans="1:5">
      <c r="A10619" s="2" t="s">
        <v>421</v>
      </c>
      <c r="B10619" s="2" t="str">
        <f>"288873"</f>
        <v>288873</v>
      </c>
      <c r="C10619" s="2" t="str">
        <f>"288873"</f>
        <v>288873</v>
      </c>
      <c r="D10619" s="2" t="s">
        <v>13236</v>
      </c>
      <c r="E10619" s="4">
        <v>11600</v>
      </c>
    </row>
    <row r="10620" spans="1:5">
      <c r="A10620" s="2" t="s">
        <v>421</v>
      </c>
      <c r="B10620" s="2" t="str">
        <f>"160156"</f>
        <v>160156</v>
      </c>
      <c r="C10620" s="2" t="str">
        <f>"160156"</f>
        <v>160156</v>
      </c>
      <c r="D10620" s="2" t="s">
        <v>13237</v>
      </c>
      <c r="E10620" s="4">
        <v>15100</v>
      </c>
    </row>
    <row r="10621" spans="1:5">
      <c r="A10621" s="2" t="s">
        <v>421</v>
      </c>
      <c r="B10621" s="2" t="str">
        <f>"5-51227-033-0"</f>
        <v>5-51227-033-0</v>
      </c>
      <c r="C10621" s="2" t="str">
        <f>"5-51227-033-0"</f>
        <v>5-51227-033-0</v>
      </c>
      <c r="D10621" s="2" t="s">
        <v>13238</v>
      </c>
      <c r="E10621" s="4">
        <v>12800</v>
      </c>
    </row>
    <row r="10622" spans="1:5">
      <c r="A10622" s="2" t="s">
        <v>421</v>
      </c>
      <c r="B10622" s="2" t="str">
        <f>"288875"</f>
        <v>288875</v>
      </c>
      <c r="C10622" s="2" t="str">
        <f>"288875"</f>
        <v>288875</v>
      </c>
      <c r="D10622" s="2" t="s">
        <v>13239</v>
      </c>
      <c r="E10622" s="4">
        <v>9500</v>
      </c>
    </row>
    <row r="10623" spans="1:5">
      <c r="A10623" s="2" t="s">
        <v>296</v>
      </c>
      <c r="B10623" s="2" t="str">
        <f>"060290117"</f>
        <v>060290117</v>
      </c>
      <c r="C10623" s="2" t="str">
        <f>"060290117"</f>
        <v>060290117</v>
      </c>
      <c r="D10623" s="2" t="s">
        <v>13240</v>
      </c>
      <c r="E10623" s="4">
        <v>15100</v>
      </c>
    </row>
    <row r="10624" spans="1:5">
      <c r="A10624" s="2" t="s">
        <v>421</v>
      </c>
      <c r="B10624" s="2" t="s">
        <v>13241</v>
      </c>
      <c r="C10624" s="2" t="s">
        <v>13241</v>
      </c>
      <c r="D10624" s="2" t="s">
        <v>13242</v>
      </c>
      <c r="E10624" s="4">
        <v>12400</v>
      </c>
    </row>
    <row r="10625" spans="1:5">
      <c r="A10625" s="2" t="s">
        <v>421</v>
      </c>
      <c r="B10625" s="2" t="str">
        <f>"8019820"</f>
        <v>8019820</v>
      </c>
      <c r="C10625" s="2" t="str">
        <f>"8019820"</f>
        <v>8019820</v>
      </c>
      <c r="D10625" s="2" t="s">
        <v>13243</v>
      </c>
      <c r="E10625" s="4">
        <v>4300</v>
      </c>
    </row>
    <row r="10626" spans="1:5">
      <c r="A10626" s="2" t="s">
        <v>421</v>
      </c>
      <c r="B10626" s="2" t="str">
        <f>"321045"</f>
        <v>321045</v>
      </c>
      <c r="C10626" s="2" t="str">
        <f>"321045"</f>
        <v>321045</v>
      </c>
      <c r="D10626" s="2" t="s">
        <v>13244</v>
      </c>
      <c r="E10626" s="4">
        <v>16000</v>
      </c>
    </row>
    <row r="10627" spans="1:5">
      <c r="A10627" s="2" t="s">
        <v>421</v>
      </c>
      <c r="B10627" s="2" t="str">
        <f>"247569"</f>
        <v>247569</v>
      </c>
      <c r="C10627" s="2" t="str">
        <f>"247569"</f>
        <v>247569</v>
      </c>
      <c r="D10627" s="2" t="s">
        <v>13245</v>
      </c>
      <c r="E10627" s="4">
        <v>10700</v>
      </c>
    </row>
    <row r="10628" spans="1:5">
      <c r="A10628" s="2" t="s">
        <v>421</v>
      </c>
      <c r="B10628" s="2" t="str">
        <f>"301134"</f>
        <v>301134</v>
      </c>
      <c r="C10628" s="2" t="str">
        <f>"301134"</f>
        <v>301134</v>
      </c>
      <c r="D10628" s="2" t="s">
        <v>13246</v>
      </c>
      <c r="E10628" s="4">
        <v>9000</v>
      </c>
    </row>
    <row r="10629" spans="1:5">
      <c r="A10629" s="2" t="s">
        <v>296</v>
      </c>
      <c r="B10629" s="2" t="str">
        <f>"230221"</f>
        <v>230221</v>
      </c>
      <c r="C10629" s="2" t="str">
        <f>"230221"</f>
        <v>230221</v>
      </c>
      <c r="D10629" s="2" t="s">
        <v>13247</v>
      </c>
      <c r="E10629" s="4">
        <v>18500</v>
      </c>
    </row>
    <row r="10630" spans="1:5">
      <c r="A10630" s="2" t="s">
        <v>421</v>
      </c>
      <c r="B10630" s="2" t="str">
        <f>"312439"</f>
        <v>312439</v>
      </c>
      <c r="C10630" s="2" t="str">
        <f>"312439"</f>
        <v>312439</v>
      </c>
      <c r="D10630" s="2" t="s">
        <v>13248</v>
      </c>
      <c r="E10630" s="4">
        <v>61000</v>
      </c>
    </row>
    <row r="10631" spans="1:5">
      <c r="A10631" s="2" t="s">
        <v>421</v>
      </c>
      <c r="B10631" s="2" t="str">
        <f>"301107"</f>
        <v>301107</v>
      </c>
      <c r="C10631" s="2" t="str">
        <f>"301107"</f>
        <v>301107</v>
      </c>
      <c r="D10631" s="2" t="s">
        <v>13249</v>
      </c>
      <c r="E10631" s="4">
        <v>12500</v>
      </c>
    </row>
    <row r="10632" spans="1:5">
      <c r="A10632" s="2" t="s">
        <v>421</v>
      </c>
      <c r="B10632" s="2" t="str">
        <f>"302157"</f>
        <v>302157</v>
      </c>
      <c r="C10632" s="2" t="str">
        <f>"302157"</f>
        <v>302157</v>
      </c>
      <c r="D10632" s="2" t="s">
        <v>13249</v>
      </c>
      <c r="E10632" s="4">
        <v>38500</v>
      </c>
    </row>
    <row r="10633" spans="1:5">
      <c r="A10633" s="2" t="s">
        <v>421</v>
      </c>
      <c r="B10633" s="2" t="str">
        <f>"0120657"</f>
        <v>0120657</v>
      </c>
      <c r="C10633" s="2" t="str">
        <f>"0120657"</f>
        <v>0120657</v>
      </c>
      <c r="D10633" s="2" t="s">
        <v>13250</v>
      </c>
      <c r="E10633" s="4">
        <v>7000</v>
      </c>
    </row>
    <row r="10634" spans="1:5">
      <c r="A10634" s="2" t="s">
        <v>421</v>
      </c>
      <c r="B10634" s="2" t="str">
        <f>"0159287"</f>
        <v>0159287</v>
      </c>
      <c r="C10634" s="2" t="str">
        <f>"0159287"</f>
        <v>0159287</v>
      </c>
      <c r="D10634" s="2" t="s">
        <v>13251</v>
      </c>
      <c r="E10634" s="4">
        <v>9700</v>
      </c>
    </row>
    <row r="10635" spans="1:5">
      <c r="A10635" s="2" t="s">
        <v>421</v>
      </c>
      <c r="B10635" s="2" t="str">
        <f>"289832"</f>
        <v>289832</v>
      </c>
      <c r="C10635" s="2" t="str">
        <f>"289832"</f>
        <v>289832</v>
      </c>
      <c r="D10635" s="2" t="s">
        <v>13252</v>
      </c>
      <c r="E10635" s="4">
        <v>24500</v>
      </c>
    </row>
    <row r="10636" spans="1:5">
      <c r="A10636" s="2" t="s">
        <v>421</v>
      </c>
      <c r="B10636" s="2" t="str">
        <f>"016412"</f>
        <v>016412</v>
      </c>
      <c r="C10636" s="2" t="str">
        <f>"016412"</f>
        <v>016412</v>
      </c>
      <c r="D10636" s="2" t="s">
        <v>13253</v>
      </c>
      <c r="E10636" s="4">
        <v>30400</v>
      </c>
    </row>
    <row r="10637" spans="1:5">
      <c r="A10637" s="2" t="s">
        <v>421</v>
      </c>
      <c r="B10637" s="2" t="str">
        <f>"0199157"</f>
        <v>0199157</v>
      </c>
      <c r="C10637" s="2" t="str">
        <f>"0199157"</f>
        <v>0199157</v>
      </c>
      <c r="D10637" s="2" t="s">
        <v>13254</v>
      </c>
      <c r="E10637" s="4">
        <v>3500</v>
      </c>
    </row>
    <row r="10638" spans="1:5">
      <c r="A10638" s="2" t="s">
        <v>421</v>
      </c>
      <c r="B10638" s="2" t="str">
        <f>"0198947"</f>
        <v>0198947</v>
      </c>
      <c r="C10638" s="2" t="str">
        <f>"0198947"</f>
        <v>0198947</v>
      </c>
      <c r="D10638" s="2" t="s">
        <v>13255</v>
      </c>
      <c r="E10638" s="4">
        <v>3500</v>
      </c>
    </row>
    <row r="10639" spans="1:5">
      <c r="A10639" s="2" t="s">
        <v>421</v>
      </c>
      <c r="B10639" s="2" t="str">
        <f>"0198957"</f>
        <v>0198957</v>
      </c>
      <c r="C10639" s="2" t="str">
        <f>"0198957"</f>
        <v>0198957</v>
      </c>
      <c r="D10639" s="2" t="s">
        <v>13256</v>
      </c>
      <c r="E10639" s="4">
        <v>3500</v>
      </c>
    </row>
    <row r="10640" spans="1:5">
      <c r="A10640" s="2" t="s">
        <v>421</v>
      </c>
      <c r="B10640" s="2" t="str">
        <f>"321028"</f>
        <v>321028</v>
      </c>
      <c r="C10640" s="2" t="str">
        <f>"321028"</f>
        <v>321028</v>
      </c>
      <c r="D10640" s="2" t="s">
        <v>13257</v>
      </c>
      <c r="E10640" s="4">
        <v>13000</v>
      </c>
    </row>
    <row r="10641" spans="1:5">
      <c r="A10641" s="2" t="s">
        <v>421</v>
      </c>
      <c r="B10641" s="2" t="str">
        <f>"0008047"</f>
        <v>0008047</v>
      </c>
      <c r="C10641" s="2" t="str">
        <f>"0008047"</f>
        <v>0008047</v>
      </c>
      <c r="D10641" s="2" t="s">
        <v>13258</v>
      </c>
      <c r="E10641" s="4">
        <v>8800</v>
      </c>
    </row>
    <row r="10642" spans="1:5">
      <c r="A10642" s="2" t="s">
        <v>421</v>
      </c>
      <c r="B10642" s="2" t="str">
        <f>"0006271"</f>
        <v>0006271</v>
      </c>
      <c r="C10642" s="2" t="str">
        <f>"0006271"</f>
        <v>0006271</v>
      </c>
      <c r="D10642" s="2" t="s">
        <v>13259</v>
      </c>
      <c r="E10642" s="4">
        <v>28000</v>
      </c>
    </row>
    <row r="10643" spans="1:5">
      <c r="A10643" s="2" t="s">
        <v>421</v>
      </c>
      <c r="B10643" s="2" t="str">
        <f>"014988"</f>
        <v>014988</v>
      </c>
      <c r="C10643" s="2" t="str">
        <f>"014988"</f>
        <v>014988</v>
      </c>
      <c r="D10643" s="2" t="s">
        <v>13260</v>
      </c>
      <c r="E10643" s="4">
        <v>9700</v>
      </c>
    </row>
    <row r="10644" spans="1:5">
      <c r="A10644" s="2" t="s">
        <v>421</v>
      </c>
      <c r="B10644" s="2" t="str">
        <f>"190105"</f>
        <v>190105</v>
      </c>
      <c r="C10644" s="2" t="str">
        <f>"190105"</f>
        <v>190105</v>
      </c>
      <c r="D10644" s="2" t="s">
        <v>13261</v>
      </c>
      <c r="E10644" s="4">
        <v>28900</v>
      </c>
    </row>
    <row r="10645" spans="1:5">
      <c r="A10645" s="2" t="s">
        <v>296</v>
      </c>
      <c r="B10645" s="2" t="str">
        <f>"282425"</f>
        <v>282425</v>
      </c>
      <c r="C10645" s="2" t="str">
        <f>"282425"</f>
        <v>282425</v>
      </c>
      <c r="D10645" s="2" t="s">
        <v>13262</v>
      </c>
      <c r="E10645" s="4">
        <v>8800</v>
      </c>
    </row>
    <row r="10646" spans="1:5">
      <c r="A10646" s="2" t="s">
        <v>296</v>
      </c>
      <c r="B10646" s="2" t="str">
        <f>"0007891"</f>
        <v>0007891</v>
      </c>
      <c r="C10646" s="2" t="str">
        <f>"0007981"</f>
        <v>0007981</v>
      </c>
      <c r="D10646" s="2" t="s">
        <v>13263</v>
      </c>
      <c r="E10646" s="4">
        <v>12400</v>
      </c>
    </row>
    <row r="10647" spans="1:5">
      <c r="A10647" s="2" t="s">
        <v>296</v>
      </c>
      <c r="B10647" s="2" t="str">
        <f>"289883"</f>
        <v>289883</v>
      </c>
      <c r="C10647" s="2" t="str">
        <f>"289883"</f>
        <v>289883</v>
      </c>
      <c r="D10647" s="2" t="s">
        <v>13264</v>
      </c>
      <c r="E10647" s="4">
        <v>9700</v>
      </c>
    </row>
    <row r="10648" spans="1:5">
      <c r="A10648" s="2" t="s">
        <v>421</v>
      </c>
      <c r="B10648" s="2" t="str">
        <f>"1476018"</f>
        <v>1476018</v>
      </c>
      <c r="C10648" s="2" t="str">
        <f>"1476018"</f>
        <v>1476018</v>
      </c>
      <c r="D10648" s="2" t="s">
        <v>13265</v>
      </c>
      <c r="E10648" s="4">
        <v>4800</v>
      </c>
    </row>
    <row r="10649" spans="1:5">
      <c r="A10649" s="2" t="s">
        <v>421</v>
      </c>
      <c r="B10649" s="2" t="str">
        <f>"5 00000 160884"</f>
        <v>5 00000 160884</v>
      </c>
      <c r="C10649" s="2" t="str">
        <f>"070300"</f>
        <v>070300</v>
      </c>
      <c r="D10649" s="2" t="s">
        <v>13266</v>
      </c>
      <c r="E10649" s="4">
        <v>7500</v>
      </c>
    </row>
    <row r="10650" spans="1:5">
      <c r="A10650" s="2" t="s">
        <v>421</v>
      </c>
      <c r="B10650" s="2" t="str">
        <f>"210153"</f>
        <v>210153</v>
      </c>
      <c r="C10650" s="2" t="str">
        <f>"210153"</f>
        <v>210153</v>
      </c>
      <c r="D10650" s="2" t="s">
        <v>13267</v>
      </c>
      <c r="E10650" s="4">
        <v>11500</v>
      </c>
    </row>
    <row r="10651" spans="1:5">
      <c r="A10651" s="2" t="s">
        <v>421</v>
      </c>
      <c r="B10651" s="2" t="str">
        <f>"301954"</f>
        <v>301954</v>
      </c>
      <c r="C10651" s="2" t="str">
        <f>"301954"</f>
        <v>301954</v>
      </c>
      <c r="D10651" s="2" t="s">
        <v>13268</v>
      </c>
      <c r="E10651" s="4">
        <v>15000</v>
      </c>
    </row>
    <row r="10652" spans="1:5">
      <c r="A10652" s="2" t="s">
        <v>421</v>
      </c>
      <c r="B10652" s="2" t="str">
        <f>"020620294"</f>
        <v>020620294</v>
      </c>
      <c r="C10652" s="2" t="str">
        <f>"020620294"</f>
        <v>020620294</v>
      </c>
      <c r="D10652" s="2" t="s">
        <v>13269</v>
      </c>
      <c r="E10652" s="4">
        <v>7900</v>
      </c>
    </row>
    <row r="10653" spans="1:5">
      <c r="A10653" s="2" t="s">
        <v>421</v>
      </c>
      <c r="B10653" s="2" t="str">
        <f>"014975"</f>
        <v>014975</v>
      </c>
      <c r="C10653" s="2" t="str">
        <f>"014975"</f>
        <v>014975</v>
      </c>
      <c r="D10653" s="2" t="s">
        <v>13270</v>
      </c>
      <c r="E10653" s="4">
        <v>6100</v>
      </c>
    </row>
    <row r="10654" spans="1:5">
      <c r="A10654" s="2" t="s">
        <v>296</v>
      </c>
      <c r="B10654" s="2" t="s">
        <v>13271</v>
      </c>
      <c r="C10654" s="2" t="s">
        <v>13271</v>
      </c>
      <c r="D10654" s="2" t="s">
        <v>13272</v>
      </c>
      <c r="E10654" s="4">
        <v>8800</v>
      </c>
    </row>
    <row r="10655" spans="1:5">
      <c r="A10655" s="2" t="s">
        <v>421</v>
      </c>
      <c r="B10655" s="2" t="str">
        <f>"0013715"</f>
        <v>0013715</v>
      </c>
      <c r="C10655" s="2" t="str">
        <f>"0013715"</f>
        <v>0013715</v>
      </c>
      <c r="D10655" s="2" t="s">
        <v>13273</v>
      </c>
      <c r="E10655" s="4">
        <v>15500</v>
      </c>
    </row>
    <row r="10656" spans="1:5">
      <c r="A10656" s="2" t="s">
        <v>421</v>
      </c>
      <c r="B10656" s="2" t="str">
        <f>"0013716"</f>
        <v>0013716</v>
      </c>
      <c r="C10656" s="2" t="str">
        <f>"0013716"</f>
        <v>0013716</v>
      </c>
      <c r="D10656" s="2" t="s">
        <v>13274</v>
      </c>
      <c r="E10656" s="4">
        <v>22000</v>
      </c>
    </row>
    <row r="10657" spans="1:5">
      <c r="A10657" s="2" t="s">
        <v>296</v>
      </c>
      <c r="B10657" s="2" t="str">
        <f>"302156"</f>
        <v>302156</v>
      </c>
      <c r="C10657" s="2" t="str">
        <f>"302156"</f>
        <v>302156</v>
      </c>
      <c r="D10657" s="2" t="s">
        <v>13275</v>
      </c>
      <c r="E10657" s="4">
        <v>28000</v>
      </c>
    </row>
    <row r="10658" spans="1:5">
      <c r="A10658" s="2" t="s">
        <v>421</v>
      </c>
      <c r="B10658" s="2" t="str">
        <f>"301055"</f>
        <v>301055</v>
      </c>
      <c r="C10658" s="2" t="str">
        <f>"301055"</f>
        <v>301055</v>
      </c>
      <c r="D10658" s="2" t="s">
        <v>13276</v>
      </c>
      <c r="E10658" s="4">
        <v>10600</v>
      </c>
    </row>
    <row r="10659" spans="1:5">
      <c r="A10659" s="2" t="s">
        <v>421</v>
      </c>
      <c r="B10659" s="2" t="str">
        <f>"477836"</f>
        <v>477836</v>
      </c>
      <c r="C10659" s="2" t="str">
        <f>"477836"</f>
        <v>477836</v>
      </c>
      <c r="D10659" s="2" t="s">
        <v>13277</v>
      </c>
      <c r="E10659" s="4">
        <v>7000</v>
      </c>
    </row>
    <row r="10660" spans="1:5">
      <c r="A10660" s="2" t="s">
        <v>421</v>
      </c>
      <c r="B10660" s="2" t="str">
        <f>"0115987"</f>
        <v>0115987</v>
      </c>
      <c r="C10660" s="2" t="str">
        <f>"0115987"</f>
        <v>0115987</v>
      </c>
      <c r="D10660" s="2" t="s">
        <v>13278</v>
      </c>
      <c r="E10660" s="4">
        <v>7000</v>
      </c>
    </row>
    <row r="10661" spans="1:5">
      <c r="A10661" s="2" t="s">
        <v>296</v>
      </c>
      <c r="B10661" s="2" t="str">
        <f>"289831"</f>
        <v>289831</v>
      </c>
      <c r="C10661" s="2" t="str">
        <f>"289831"</f>
        <v>289831</v>
      </c>
      <c r="D10661" s="2" t="s">
        <v>13279</v>
      </c>
      <c r="E10661" s="4">
        <v>28800</v>
      </c>
    </row>
    <row r="10662" spans="1:5">
      <c r="A10662" s="2" t="s">
        <v>421</v>
      </c>
      <c r="B10662" s="2" t="str">
        <f>"0476320"</f>
        <v>0476320</v>
      </c>
      <c r="C10662" s="2" t="str">
        <f>"0476320"</f>
        <v>0476320</v>
      </c>
      <c r="D10662" s="2" t="s">
        <v>13280</v>
      </c>
      <c r="E10662" s="4">
        <v>3500</v>
      </c>
    </row>
    <row r="10663" spans="1:5">
      <c r="A10663" s="2" t="s">
        <v>421</v>
      </c>
      <c r="B10663" s="2" t="str">
        <f>"020620120"</f>
        <v>020620120</v>
      </c>
      <c r="C10663" s="2" t="str">
        <f>"50Y00"</f>
        <v>50Y00</v>
      </c>
      <c r="D10663" s="2" t="s">
        <v>13281</v>
      </c>
      <c r="E10663" s="4">
        <v>3500</v>
      </c>
    </row>
    <row r="10664" spans="1:5">
      <c r="A10664" s="2" t="s">
        <v>421</v>
      </c>
      <c r="B10664" s="2" t="str">
        <f>"9002"</f>
        <v>9002</v>
      </c>
      <c r="C10664" s="2" t="str">
        <f>"9002"</f>
        <v>9002</v>
      </c>
      <c r="D10664" s="2" t="s">
        <v>13282</v>
      </c>
      <c r="E10664" s="4">
        <v>3500</v>
      </c>
    </row>
    <row r="10665" spans="1:5">
      <c r="A10665" s="2" t="s">
        <v>421</v>
      </c>
      <c r="B10665" s="2" t="str">
        <f>"09490"</f>
        <v>09490</v>
      </c>
      <c r="C10665" s="2" t="str">
        <f>"09490"</f>
        <v>09490</v>
      </c>
      <c r="D10665" s="2" t="s">
        <v>13283</v>
      </c>
      <c r="E10665" s="4">
        <v>12000</v>
      </c>
    </row>
    <row r="10666" spans="1:5">
      <c r="A10666" s="2" t="s">
        <v>296</v>
      </c>
      <c r="B10666" s="2" t="s">
        <v>13284</v>
      </c>
      <c r="C10666" s="2" t="s">
        <v>13284</v>
      </c>
      <c r="D10666" s="2" t="s">
        <v>13285</v>
      </c>
      <c r="E10666" s="4">
        <v>5900</v>
      </c>
    </row>
    <row r="10667" spans="1:5">
      <c r="A10667" s="2" t="s">
        <v>296</v>
      </c>
      <c r="B10667" s="2" t="str">
        <f>"301048"</f>
        <v>301048</v>
      </c>
      <c r="C10667" s="2" t="str">
        <f>"301048"</f>
        <v>301048</v>
      </c>
      <c r="D10667" s="2" t="s">
        <v>13286</v>
      </c>
      <c r="E10667" s="4">
        <v>8800</v>
      </c>
    </row>
    <row r="10668" spans="1:5">
      <c r="A10668" s="2" t="s">
        <v>296</v>
      </c>
      <c r="B10668" s="2" t="str">
        <f>"170209"</f>
        <v>170209</v>
      </c>
      <c r="C10668" s="2" t="str">
        <f>"170209"</f>
        <v>170209</v>
      </c>
      <c r="D10668" s="2" t="s">
        <v>13287</v>
      </c>
      <c r="E10668" s="4">
        <v>9700</v>
      </c>
    </row>
    <row r="10669" spans="1:5">
      <c r="A10669" s="2" t="s">
        <v>296</v>
      </c>
      <c r="B10669" s="2" t="s">
        <v>13288</v>
      </c>
      <c r="C10669" s="2" t="s">
        <v>13288</v>
      </c>
      <c r="D10669" s="2" t="s">
        <v>13289</v>
      </c>
      <c r="E10669" s="4">
        <v>12400</v>
      </c>
    </row>
    <row r="10670" spans="1:5">
      <c r="A10670" s="2" t="s">
        <v>296</v>
      </c>
      <c r="B10670" s="2" t="str">
        <f>"312162"</f>
        <v>312162</v>
      </c>
      <c r="C10670" s="2" t="str">
        <f>"312162"</f>
        <v>312162</v>
      </c>
      <c r="D10670" s="2" t="s">
        <v>13290</v>
      </c>
      <c r="E10670" s="4">
        <v>17000</v>
      </c>
    </row>
    <row r="10671" spans="1:5">
      <c r="A10671" s="2" t="s">
        <v>296</v>
      </c>
      <c r="B10671" s="2" t="str">
        <f>"312163"</f>
        <v>312163</v>
      </c>
      <c r="C10671" s="2" t="str">
        <f>"312163"</f>
        <v>312163</v>
      </c>
      <c r="D10671" s="2" t="s">
        <v>13291</v>
      </c>
      <c r="E10671" s="4">
        <v>14000</v>
      </c>
    </row>
    <row r="10672" spans="1:5">
      <c r="A10672" s="2" t="s">
        <v>296</v>
      </c>
      <c r="B10672" s="2" t="str">
        <f>"282125"</f>
        <v>282125</v>
      </c>
      <c r="C10672" s="2" t="str">
        <f>"282125"</f>
        <v>282125</v>
      </c>
      <c r="D10672" s="2" t="s">
        <v>13292</v>
      </c>
      <c r="E10672" s="4">
        <v>11500</v>
      </c>
    </row>
    <row r="10673" spans="1:5">
      <c r="A10673" s="2" t="s">
        <v>421</v>
      </c>
      <c r="B10673" s="2" t="s">
        <v>13293</v>
      </c>
      <c r="C10673" s="2" t="s">
        <v>13293</v>
      </c>
      <c r="D10673" s="2" t="s">
        <v>13294</v>
      </c>
      <c r="E10673" s="4">
        <v>9700</v>
      </c>
    </row>
    <row r="10674" spans="1:5">
      <c r="A10674" s="2" t="s">
        <v>421</v>
      </c>
      <c r="B10674" s="2" t="str">
        <f>"5 00000 163243"</f>
        <v>5 00000 163243</v>
      </c>
      <c r="C10674" s="2" t="str">
        <f>"230196"</f>
        <v>230196</v>
      </c>
      <c r="D10674" s="2" t="s">
        <v>13295</v>
      </c>
      <c r="E10674" s="4">
        <v>8800</v>
      </c>
    </row>
    <row r="10675" spans="1:5">
      <c r="A10675" s="2" t="s">
        <v>421</v>
      </c>
      <c r="B10675" s="2" t="str">
        <f>"0115687"</f>
        <v>0115687</v>
      </c>
      <c r="C10675" s="2" t="str">
        <f>"0115687"</f>
        <v>0115687</v>
      </c>
      <c r="D10675" s="2" t="s">
        <v>13296</v>
      </c>
      <c r="E10675" s="4">
        <v>9700</v>
      </c>
    </row>
    <row r="10676" spans="1:5">
      <c r="A10676" s="2" t="s">
        <v>421</v>
      </c>
      <c r="B10676" s="2" t="str">
        <f>"282135"</f>
        <v>282135</v>
      </c>
      <c r="C10676" s="2" t="str">
        <f>"282135"</f>
        <v>282135</v>
      </c>
      <c r="D10676" s="2" t="s">
        <v>13297</v>
      </c>
      <c r="E10676" s="4">
        <v>12500</v>
      </c>
    </row>
    <row r="10677" spans="1:5">
      <c r="A10677" s="2" t="s">
        <v>421</v>
      </c>
      <c r="B10677" s="2" t="str">
        <f>"020620127"</f>
        <v>020620127</v>
      </c>
      <c r="C10677" s="2" t="str">
        <f>"020620127"</f>
        <v>020620127</v>
      </c>
      <c r="D10677" s="2" t="s">
        <v>13298</v>
      </c>
      <c r="E10677" s="4">
        <v>7000</v>
      </c>
    </row>
    <row r="10678" spans="1:5">
      <c r="A10678" s="2" t="s">
        <v>421</v>
      </c>
      <c r="B10678" s="2" t="str">
        <f>"40110-T3060"</f>
        <v>40110-T3060</v>
      </c>
      <c r="C10678" s="2" t="str">
        <f>"40110-T3060"</f>
        <v>40110-T3060</v>
      </c>
      <c r="D10678" s="2" t="s">
        <v>13299</v>
      </c>
      <c r="E10678" s="4">
        <v>8500</v>
      </c>
    </row>
    <row r="10679" spans="1:5">
      <c r="A10679" s="2" t="s">
        <v>421</v>
      </c>
      <c r="B10679" s="2" t="str">
        <f>"020620046"</f>
        <v>020620046</v>
      </c>
      <c r="C10679" s="2" t="str">
        <f>"020620046"</f>
        <v>020620046</v>
      </c>
      <c r="D10679" s="2" t="s">
        <v>13300</v>
      </c>
      <c r="E10679" s="4">
        <v>6100</v>
      </c>
    </row>
    <row r="10680" spans="1:5">
      <c r="A10680" s="2" t="s">
        <v>296</v>
      </c>
      <c r="B10680" s="2" t="str">
        <f>"020620451"</f>
        <v>020620451</v>
      </c>
      <c r="C10680" s="2" t="str">
        <f>"020620451"</f>
        <v>020620451</v>
      </c>
      <c r="D10680" s="2" t="s">
        <v>13301</v>
      </c>
      <c r="E10680" s="4">
        <v>10600</v>
      </c>
    </row>
    <row r="10681" spans="1:5">
      <c r="A10681" s="2" t="s">
        <v>296</v>
      </c>
      <c r="B10681" s="2" t="str">
        <f>"5000000162840"</f>
        <v>5000000162840</v>
      </c>
      <c r="C10681" s="2" t="str">
        <f>"301145"</f>
        <v>301145</v>
      </c>
      <c r="D10681" s="2" t="s">
        <v>13302</v>
      </c>
      <c r="E10681" s="4">
        <v>7900</v>
      </c>
    </row>
    <row r="10682" spans="1:5">
      <c r="A10682" s="2" t="s">
        <v>1478</v>
      </c>
      <c r="B10682" s="2" t="str">
        <f>"310089"</f>
        <v>310089</v>
      </c>
      <c r="C10682" s="2" t="str">
        <f>"310089"</f>
        <v>310089</v>
      </c>
      <c r="D10682" s="2" t="s">
        <v>13303</v>
      </c>
      <c r="E10682" s="4">
        <v>25000</v>
      </c>
    </row>
    <row r="10683" spans="1:5">
      <c r="A10683" s="2" t="s">
        <v>296</v>
      </c>
      <c r="B10683" s="2" t="str">
        <f>"280732"</f>
        <v>280732</v>
      </c>
      <c r="C10683" s="2" t="str">
        <f>"280732"</f>
        <v>280732</v>
      </c>
      <c r="D10683" s="2" t="s">
        <v>13304</v>
      </c>
      <c r="E10683" s="4">
        <v>3800</v>
      </c>
    </row>
    <row r="10684" spans="1:5">
      <c r="A10684" s="2" t="s">
        <v>2064</v>
      </c>
      <c r="B10684" s="2" t="str">
        <f>"13049-U0100"</f>
        <v>13049-U0100</v>
      </c>
      <c r="C10684" s="2" t="s">
        <v>13305</v>
      </c>
      <c r="D10684" s="2" t="s">
        <v>13306</v>
      </c>
      <c r="E10684" s="4">
        <v>7000</v>
      </c>
    </row>
    <row r="10685" spans="1:5">
      <c r="A10685" s="2" t="s">
        <v>2064</v>
      </c>
      <c r="B10685" s="2" t="str">
        <f>"1526-2212"</f>
        <v>1526-2212</v>
      </c>
      <c r="C10685" s="2" t="str">
        <f>"1526-2212"</f>
        <v>1526-2212</v>
      </c>
      <c r="D10685" s="2" t="s">
        <v>13307</v>
      </c>
      <c r="E10685" s="4">
        <v>14200</v>
      </c>
    </row>
    <row r="10686" spans="1:5">
      <c r="A10686" s="2" t="s">
        <v>365</v>
      </c>
      <c r="B10686" s="2" t="s">
        <v>13308</v>
      </c>
      <c r="C10686" s="2" t="s">
        <v>13308</v>
      </c>
      <c r="D10686" s="2" t="s">
        <v>13309</v>
      </c>
      <c r="E10686" s="4">
        <v>150000</v>
      </c>
    </row>
    <row r="10687" spans="1:5">
      <c r="A10687" s="2" t="s">
        <v>365</v>
      </c>
      <c r="B10687" s="2" t="s">
        <v>13310</v>
      </c>
      <c r="C10687" s="2" t="s">
        <v>13311</v>
      </c>
      <c r="D10687" s="2" t="s">
        <v>13312</v>
      </c>
      <c r="E10687" s="4">
        <v>35700</v>
      </c>
    </row>
    <row r="10688" spans="1:5">
      <c r="A10688" s="2" t="s">
        <v>365</v>
      </c>
      <c r="B10688" s="2" t="s">
        <v>13313</v>
      </c>
      <c r="C10688" s="2" t="s">
        <v>13314</v>
      </c>
      <c r="D10688" s="2" t="s">
        <v>13315</v>
      </c>
      <c r="E10688" s="4">
        <v>35700</v>
      </c>
    </row>
    <row r="10689" spans="1:5">
      <c r="A10689" s="2" t="s">
        <v>365</v>
      </c>
      <c r="B10689" s="2" t="s">
        <v>13316</v>
      </c>
      <c r="C10689" s="2" t="s">
        <v>13316</v>
      </c>
      <c r="D10689" s="2" t="s">
        <v>13317</v>
      </c>
      <c r="E10689" s="4">
        <v>47600</v>
      </c>
    </row>
    <row r="10690" spans="1:5">
      <c r="A10690" s="2" t="s">
        <v>365</v>
      </c>
      <c r="B10690" s="2" t="s">
        <v>13318</v>
      </c>
      <c r="C10690" s="2" t="s">
        <v>13319</v>
      </c>
      <c r="D10690" s="2" t="s">
        <v>13320</v>
      </c>
      <c r="E10690" s="4">
        <v>23800</v>
      </c>
    </row>
    <row r="10691" spans="1:5">
      <c r="A10691" s="2" t="s">
        <v>2076</v>
      </c>
      <c r="B10691" s="2" t="s">
        <v>13321</v>
      </c>
      <c r="C10691" s="2" t="s">
        <v>13321</v>
      </c>
      <c r="D10691" s="2" t="s">
        <v>13322</v>
      </c>
      <c r="E10691" s="2">
        <v>700</v>
      </c>
    </row>
    <row r="10692" spans="1:5">
      <c r="A10692" s="2" t="s">
        <v>2076</v>
      </c>
      <c r="B10692" s="2" t="str">
        <f>"288408"</f>
        <v>288408</v>
      </c>
      <c r="C10692" s="2" t="str">
        <f>"288408"</f>
        <v>288408</v>
      </c>
      <c r="D10692" s="2" t="s">
        <v>13323</v>
      </c>
      <c r="E10692" s="4">
        <v>1500</v>
      </c>
    </row>
    <row r="10693" spans="1:5">
      <c r="A10693" s="2" t="s">
        <v>2076</v>
      </c>
      <c r="B10693" s="2" t="str">
        <f>"0500380"</f>
        <v>0500380</v>
      </c>
      <c r="C10693" s="2" t="str">
        <f>"0500380"</f>
        <v>0500380</v>
      </c>
      <c r="D10693" s="2" t="s">
        <v>13324</v>
      </c>
      <c r="E10693" s="4">
        <v>1500</v>
      </c>
    </row>
    <row r="10694" spans="1:5">
      <c r="A10694" s="2" t="s">
        <v>2076</v>
      </c>
      <c r="B10694" s="2" t="s">
        <v>13325</v>
      </c>
      <c r="C10694" s="2" t="s">
        <v>13325</v>
      </c>
      <c r="D10694" s="2" t="s">
        <v>13326</v>
      </c>
      <c r="E10694" s="4">
        <v>16000</v>
      </c>
    </row>
    <row r="10695" spans="1:5">
      <c r="A10695" s="2" t="s">
        <v>2076</v>
      </c>
      <c r="B10695" s="2" t="s">
        <v>13327</v>
      </c>
      <c r="C10695" s="2" t="s">
        <v>13327</v>
      </c>
      <c r="D10695" s="2" t="s">
        <v>13328</v>
      </c>
      <c r="E10695" s="4">
        <v>2000</v>
      </c>
    </row>
    <row r="10696" spans="1:5">
      <c r="A10696" s="2" t="s">
        <v>296</v>
      </c>
      <c r="B10696" s="2" t="str">
        <f>"100048"</f>
        <v>100048</v>
      </c>
      <c r="C10696" s="2" t="str">
        <f>"100048"</f>
        <v>100048</v>
      </c>
      <c r="D10696" s="2" t="s">
        <v>13329</v>
      </c>
      <c r="E10696" s="4">
        <v>6000</v>
      </c>
    </row>
    <row r="10697" spans="1:5">
      <c r="A10697" s="2" t="s">
        <v>296</v>
      </c>
      <c r="B10697" s="2" t="str">
        <f>"040210007"</f>
        <v>040210007</v>
      </c>
      <c r="C10697" s="2" t="str">
        <f>"040210007"</f>
        <v>040210007</v>
      </c>
      <c r="D10697" s="2" t="s">
        <v>13330</v>
      </c>
      <c r="E10697" s="4">
        <v>5200</v>
      </c>
    </row>
    <row r="10698" spans="1:5" ht="27.6">
      <c r="A10698" s="2" t="s">
        <v>296</v>
      </c>
      <c r="B10698" s="2" t="str">
        <f>"1099"</f>
        <v>1099</v>
      </c>
      <c r="C10698" s="2" t="s">
        <v>13331</v>
      </c>
      <c r="D10698" s="2" t="s">
        <v>13332</v>
      </c>
      <c r="E10698" s="4">
        <v>7500</v>
      </c>
    </row>
    <row r="10699" spans="1:5">
      <c r="A10699" s="2" t="s">
        <v>296</v>
      </c>
      <c r="B10699" s="2" t="str">
        <f>"089269000525"</f>
        <v>089269000525</v>
      </c>
      <c r="C10699" s="2" t="s">
        <v>13333</v>
      </c>
      <c r="D10699" s="2" t="s">
        <v>13334</v>
      </c>
      <c r="E10699" s="4">
        <v>3400</v>
      </c>
    </row>
    <row r="10700" spans="1:5">
      <c r="A10700" s="2" t="s">
        <v>165</v>
      </c>
      <c r="B10700" s="2" t="str">
        <f>"7805315000508"</f>
        <v>7805315000508</v>
      </c>
      <c r="C10700" s="2" t="str">
        <f>"40-D"</f>
        <v>40-D</v>
      </c>
      <c r="D10700" s="2" t="s">
        <v>13335</v>
      </c>
      <c r="E10700" s="4">
        <v>6000</v>
      </c>
    </row>
    <row r="10701" spans="1:5">
      <c r="A10701" s="2" t="s">
        <v>165</v>
      </c>
      <c r="B10701" s="2" t="str">
        <f>"100525"</f>
        <v>100525</v>
      </c>
      <c r="C10701" s="2" t="str">
        <f>"1635680480893 88898"</f>
        <v>1635680480893 88898</v>
      </c>
      <c r="D10701" s="2" t="s">
        <v>13336</v>
      </c>
      <c r="E10701" s="4">
        <v>7500</v>
      </c>
    </row>
    <row r="10702" spans="1:5">
      <c r="A10702" s="2" t="s">
        <v>165</v>
      </c>
      <c r="B10702" s="2" t="str">
        <f>"4100420025334"</f>
        <v>4100420025334</v>
      </c>
      <c r="C10702" s="2" t="str">
        <f>"2533"</f>
        <v>2533</v>
      </c>
      <c r="D10702" s="2" t="s">
        <v>13337</v>
      </c>
      <c r="E10702" s="4">
        <v>9500</v>
      </c>
    </row>
    <row r="10703" spans="1:5">
      <c r="A10703" s="2" t="s">
        <v>165</v>
      </c>
      <c r="B10703" s="2" t="str">
        <f>"02219V"</f>
        <v>02219V</v>
      </c>
      <c r="C10703" s="2" t="str">
        <f>"02219V"</f>
        <v>02219V</v>
      </c>
      <c r="D10703" s="2" t="s">
        <v>13338</v>
      </c>
      <c r="E10703" s="4">
        <v>1800</v>
      </c>
    </row>
    <row r="10704" spans="1:5">
      <c r="A10704" s="2" t="s">
        <v>165</v>
      </c>
      <c r="B10704" s="2" t="s">
        <v>13339</v>
      </c>
      <c r="C10704" s="2" t="s">
        <v>13339</v>
      </c>
      <c r="D10704" s="2" t="s">
        <v>13340</v>
      </c>
      <c r="E10704" s="4">
        <v>2800</v>
      </c>
    </row>
    <row r="10705" spans="1:5">
      <c r="A10705" s="2" t="s">
        <v>165</v>
      </c>
      <c r="B10705" s="2" t="s">
        <v>13341</v>
      </c>
      <c r="C10705" s="2" t="s">
        <v>13341</v>
      </c>
      <c r="D10705" s="2" t="s">
        <v>13342</v>
      </c>
      <c r="E10705" s="4">
        <v>2800</v>
      </c>
    </row>
    <row r="10706" spans="1:5">
      <c r="A10706" s="2" t="s">
        <v>165</v>
      </c>
      <c r="B10706" s="2" t="str">
        <f>"7790711407320"</f>
        <v>7790711407320</v>
      </c>
      <c r="C10706" s="2" t="s">
        <v>13343</v>
      </c>
      <c r="D10706" s="2" t="s">
        <v>13344</v>
      </c>
      <c r="E10706" s="4">
        <v>7000</v>
      </c>
    </row>
    <row r="10707" spans="1:5">
      <c r="A10707" s="2" t="s">
        <v>1478</v>
      </c>
      <c r="B10707" s="2" t="s">
        <v>13345</v>
      </c>
      <c r="C10707" s="2" t="s">
        <v>13345</v>
      </c>
      <c r="D10707" s="2" t="s">
        <v>13346</v>
      </c>
      <c r="E10707" s="4">
        <v>8800</v>
      </c>
    </row>
    <row r="10708" spans="1:5">
      <c r="A10708" s="2" t="s">
        <v>1478</v>
      </c>
      <c r="B10708" s="2" t="s">
        <v>13347</v>
      </c>
      <c r="C10708" s="2" t="s">
        <v>13348</v>
      </c>
      <c r="D10708" s="2" t="s">
        <v>13349</v>
      </c>
      <c r="E10708" s="2">
        <v>800</v>
      </c>
    </row>
    <row r="10709" spans="1:5">
      <c r="A10709" s="2" t="s">
        <v>1478</v>
      </c>
      <c r="B10709" s="2" t="s">
        <v>13350</v>
      </c>
      <c r="C10709" s="2" t="str">
        <f>"00101820"</f>
        <v>00101820</v>
      </c>
      <c r="D10709" s="2" t="s">
        <v>13351</v>
      </c>
      <c r="E10709" s="2">
        <v>900</v>
      </c>
    </row>
    <row r="10710" spans="1:5">
      <c r="A10710" s="2" t="s">
        <v>1478</v>
      </c>
      <c r="B10710" s="2" t="s">
        <v>13352</v>
      </c>
      <c r="C10710" s="2" t="str">
        <f>"00101821"</f>
        <v>00101821</v>
      </c>
      <c r="D10710" s="2" t="s">
        <v>13353</v>
      </c>
      <c r="E10710" s="2">
        <v>800</v>
      </c>
    </row>
    <row r="10711" spans="1:5">
      <c r="A10711" s="2" t="s">
        <v>1478</v>
      </c>
      <c r="B10711" s="2" t="s">
        <v>13354</v>
      </c>
      <c r="C10711" s="2" t="str">
        <f>"00101825"</f>
        <v>00101825</v>
      </c>
      <c r="D10711" s="2" t="s">
        <v>13355</v>
      </c>
      <c r="E10711" s="4">
        <v>1000</v>
      </c>
    </row>
    <row r="10712" spans="1:5">
      <c r="A10712" s="2" t="s">
        <v>1478</v>
      </c>
      <c r="B10712" s="2" t="s">
        <v>13356</v>
      </c>
      <c r="C10712" s="2" t="str">
        <f>"00101828"</f>
        <v>00101828</v>
      </c>
      <c r="D10712" s="2" t="s">
        <v>13357</v>
      </c>
      <c r="E10712" s="4">
        <v>1300</v>
      </c>
    </row>
    <row r="10713" spans="1:5">
      <c r="A10713" s="2" t="s">
        <v>1478</v>
      </c>
      <c r="B10713" s="2" t="s">
        <v>13358</v>
      </c>
      <c r="C10713" s="2" t="s">
        <v>13358</v>
      </c>
      <c r="D10713" s="2" t="s">
        <v>13359</v>
      </c>
      <c r="E10713" s="4">
        <v>1500</v>
      </c>
    </row>
    <row r="10714" spans="1:5">
      <c r="A10714" s="2" t="s">
        <v>1478</v>
      </c>
      <c r="B10714" s="2" t="s">
        <v>13360</v>
      </c>
      <c r="C10714" s="2" t="str">
        <f>"00101834"</f>
        <v>00101834</v>
      </c>
      <c r="D10714" s="2" t="s">
        <v>13361</v>
      </c>
      <c r="E10714" s="4">
        <v>1600</v>
      </c>
    </row>
    <row r="10715" spans="1:5">
      <c r="A10715" s="2" t="s">
        <v>1478</v>
      </c>
      <c r="B10715" s="2" t="s">
        <v>13362</v>
      </c>
      <c r="C10715" s="2" t="str">
        <f>"00101835"</f>
        <v>00101835</v>
      </c>
      <c r="D10715" s="2" t="s">
        <v>13363</v>
      </c>
      <c r="E10715" s="4">
        <v>1600</v>
      </c>
    </row>
    <row r="10716" spans="1:5">
      <c r="A10716" s="2" t="s">
        <v>1478</v>
      </c>
      <c r="B10716" s="2" t="s">
        <v>13364</v>
      </c>
      <c r="C10716" s="2" t="s">
        <v>13365</v>
      </c>
      <c r="D10716" s="2" t="s">
        <v>13366</v>
      </c>
      <c r="E10716" s="4">
        <v>1300</v>
      </c>
    </row>
    <row r="10717" spans="1:5">
      <c r="A10717" s="2" t="s">
        <v>296</v>
      </c>
      <c r="B10717" s="2" t="s">
        <v>13367</v>
      </c>
      <c r="C10717" s="2" t="s">
        <v>13367</v>
      </c>
      <c r="D10717" s="2" t="s">
        <v>13368</v>
      </c>
      <c r="E10717" s="4">
        <v>1700</v>
      </c>
    </row>
    <row r="10718" spans="1:5">
      <c r="A10718" s="2" t="s">
        <v>1478</v>
      </c>
      <c r="B10718" s="2" t="s">
        <v>13369</v>
      </c>
      <c r="C10718" s="2" t="str">
        <f>"00101840"</f>
        <v>00101840</v>
      </c>
      <c r="D10718" s="2" t="s">
        <v>13370</v>
      </c>
      <c r="E10718" s="4">
        <v>2000</v>
      </c>
    </row>
    <row r="10719" spans="1:5">
      <c r="A10719" s="2" t="s">
        <v>1478</v>
      </c>
      <c r="B10719" s="2" t="s">
        <v>13371</v>
      </c>
      <c r="C10719" s="2" t="str">
        <f>"00101844"</f>
        <v>00101844</v>
      </c>
      <c r="D10719" s="2" t="s">
        <v>13372</v>
      </c>
      <c r="E10719" s="4">
        <v>1700</v>
      </c>
    </row>
    <row r="10720" spans="1:5">
      <c r="A10720" s="2" t="s">
        <v>1478</v>
      </c>
      <c r="B10720" s="2" t="s">
        <v>13373</v>
      </c>
      <c r="C10720" s="2" t="s">
        <v>13374</v>
      </c>
      <c r="D10720" s="2" t="s">
        <v>13375</v>
      </c>
      <c r="E10720" s="4">
        <v>3000</v>
      </c>
    </row>
    <row r="10721" spans="1:5">
      <c r="A10721" s="2" t="s">
        <v>1478</v>
      </c>
      <c r="B10721" s="2" t="s">
        <v>13376</v>
      </c>
      <c r="C10721" s="2" t="str">
        <f>"00101850"</f>
        <v>00101850</v>
      </c>
      <c r="D10721" s="2" t="s">
        <v>13377</v>
      </c>
      <c r="E10721" s="4">
        <v>4000</v>
      </c>
    </row>
    <row r="10722" spans="1:5">
      <c r="A10722" s="2" t="s">
        <v>1478</v>
      </c>
      <c r="B10722" s="2" t="s">
        <v>13378</v>
      </c>
      <c r="C10722" s="2" t="s">
        <v>13378</v>
      </c>
      <c r="D10722" s="2" t="s">
        <v>13379</v>
      </c>
      <c r="E10722" s="4">
        <v>9700</v>
      </c>
    </row>
    <row r="10723" spans="1:5">
      <c r="A10723" s="2" t="s">
        <v>1478</v>
      </c>
      <c r="B10723" s="2" t="s">
        <v>13380</v>
      </c>
      <c r="C10723" s="2" t="str">
        <f>"1449682390"</f>
        <v>1449682390</v>
      </c>
      <c r="D10723" s="2" t="s">
        <v>13381</v>
      </c>
      <c r="E10723" s="4">
        <v>18000</v>
      </c>
    </row>
    <row r="10724" spans="1:5">
      <c r="A10724" s="2" t="s">
        <v>1478</v>
      </c>
      <c r="B10724" s="2" t="str">
        <f>"311111"</f>
        <v>311111</v>
      </c>
      <c r="C10724" s="2" t="str">
        <f>"311111"</f>
        <v>311111</v>
      </c>
      <c r="D10724" s="2" t="s">
        <v>13382</v>
      </c>
      <c r="E10724" s="4">
        <v>1000</v>
      </c>
    </row>
    <row r="10725" spans="1:5">
      <c r="A10725" s="2" t="s">
        <v>1478</v>
      </c>
      <c r="B10725" s="2" t="str">
        <f>"236303"</f>
        <v>236303</v>
      </c>
      <c r="C10725" s="2" t="str">
        <f>"236303"</f>
        <v>236303</v>
      </c>
      <c r="D10725" s="2" t="s">
        <v>13383</v>
      </c>
      <c r="E10725" s="2">
        <v>800</v>
      </c>
    </row>
    <row r="10726" spans="1:5">
      <c r="A10726" s="2" t="s">
        <v>1478</v>
      </c>
      <c r="B10726" s="2" t="str">
        <f>"171544"</f>
        <v>171544</v>
      </c>
      <c r="C10726" s="2" t="str">
        <f>"171544"</f>
        <v>171544</v>
      </c>
      <c r="D10726" s="2" t="s">
        <v>13384</v>
      </c>
      <c r="E10726" s="2">
        <v>900</v>
      </c>
    </row>
    <row r="10727" spans="1:5">
      <c r="A10727" s="2" t="s">
        <v>296</v>
      </c>
      <c r="B10727" s="2" t="str">
        <f>"230665"</f>
        <v>230665</v>
      </c>
      <c r="C10727" s="2" t="str">
        <f>"230665"</f>
        <v>230665</v>
      </c>
      <c r="D10727" s="2" t="s">
        <v>13385</v>
      </c>
      <c r="E10727" s="2">
        <v>900</v>
      </c>
    </row>
    <row r="10728" spans="1:5">
      <c r="A10728" s="2" t="s">
        <v>296</v>
      </c>
      <c r="B10728" s="2" t="str">
        <f>"270666"</f>
        <v>270666</v>
      </c>
      <c r="C10728" s="2" t="str">
        <f>"270666"</f>
        <v>270666</v>
      </c>
      <c r="D10728" s="2" t="s">
        <v>13386</v>
      </c>
      <c r="E10728" s="2">
        <v>800</v>
      </c>
    </row>
    <row r="10729" spans="1:5">
      <c r="A10729" s="2" t="s">
        <v>1478</v>
      </c>
      <c r="B10729" s="2" t="str">
        <f>"171600"</f>
        <v>171600</v>
      </c>
      <c r="C10729" s="2" t="str">
        <f>"171600"</f>
        <v>171600</v>
      </c>
      <c r="D10729" s="2" t="s">
        <v>13387</v>
      </c>
      <c r="E10729" s="2">
        <v>800</v>
      </c>
    </row>
    <row r="10730" spans="1:5">
      <c r="A10730" s="2" t="s">
        <v>1478</v>
      </c>
      <c r="B10730" s="2" t="str">
        <f>"210326"</f>
        <v>210326</v>
      </c>
      <c r="C10730" s="2" t="str">
        <f>"210326"</f>
        <v>210326</v>
      </c>
      <c r="D10730" s="2" t="s">
        <v>13388</v>
      </c>
      <c r="E10730" s="2">
        <v>850</v>
      </c>
    </row>
    <row r="10731" spans="1:5">
      <c r="A10731" s="2" t="s">
        <v>1478</v>
      </c>
      <c r="B10731" s="2" t="str">
        <f>"5000000132676"</f>
        <v>5000000132676</v>
      </c>
      <c r="C10731" s="2" t="str">
        <f>"194138"</f>
        <v>194138</v>
      </c>
      <c r="D10731" s="2" t="s">
        <v>13389</v>
      </c>
      <c r="E10731" s="2">
        <v>900</v>
      </c>
    </row>
    <row r="10732" spans="1:5">
      <c r="A10732" s="2" t="s">
        <v>296</v>
      </c>
      <c r="B10732" s="2" t="str">
        <f>"002998924-9"</f>
        <v>002998924-9</v>
      </c>
      <c r="C10732" s="2" t="str">
        <f>"002998924-9"</f>
        <v>002998924-9</v>
      </c>
      <c r="D10732" s="2" t="s">
        <v>13390</v>
      </c>
      <c r="E10732" s="4">
        <v>98000</v>
      </c>
    </row>
    <row r="10733" spans="1:5">
      <c r="A10733" s="2" t="s">
        <v>296</v>
      </c>
      <c r="B10733" s="2" t="str">
        <f>"016075"</f>
        <v>016075</v>
      </c>
      <c r="C10733" s="2" t="str">
        <f>"016075"</f>
        <v>016075</v>
      </c>
      <c r="D10733" s="2" t="s">
        <v>13391</v>
      </c>
      <c r="E10733" s="4">
        <v>38000</v>
      </c>
    </row>
    <row r="10734" spans="1:5">
      <c r="A10734" s="2" t="s">
        <v>296</v>
      </c>
      <c r="B10734" s="2" t="str">
        <f>"091440305"</f>
        <v>091440305</v>
      </c>
      <c r="C10734" s="2" t="str">
        <f>"091440305"</f>
        <v>091440305</v>
      </c>
      <c r="D10734" s="2" t="s">
        <v>13392</v>
      </c>
      <c r="E10734" s="4">
        <v>11500</v>
      </c>
    </row>
    <row r="10735" spans="1:5">
      <c r="A10735" s="2" t="s">
        <v>296</v>
      </c>
      <c r="B10735" s="2" t="str">
        <f>"013333"</f>
        <v>013333</v>
      </c>
      <c r="C10735" s="2" t="str">
        <f>"013333"</f>
        <v>013333</v>
      </c>
      <c r="D10735" s="2" t="s">
        <v>13393</v>
      </c>
      <c r="E10735" s="4">
        <v>58500</v>
      </c>
    </row>
    <row r="10736" spans="1:5">
      <c r="A10736" s="2" t="s">
        <v>296</v>
      </c>
      <c r="B10736" s="2" t="str">
        <f>"0005920"</f>
        <v>0005920</v>
      </c>
      <c r="C10736" s="2" t="str">
        <f>"0005920"</f>
        <v>0005920</v>
      </c>
      <c r="D10736" s="2" t="s">
        <v>13394</v>
      </c>
      <c r="E10736" s="4">
        <v>17800</v>
      </c>
    </row>
    <row r="10737" spans="1:5">
      <c r="A10737" s="2" t="s">
        <v>296</v>
      </c>
      <c r="B10737" s="2" t="s">
        <v>13395</v>
      </c>
      <c r="C10737" s="2" t="s">
        <v>13395</v>
      </c>
      <c r="D10737" s="2" t="s">
        <v>13396</v>
      </c>
      <c r="E10737" s="4">
        <v>58000</v>
      </c>
    </row>
    <row r="10738" spans="1:5">
      <c r="A10738" s="2" t="s">
        <v>296</v>
      </c>
      <c r="B10738" s="2" t="str">
        <f>"0008742"</f>
        <v>0008742</v>
      </c>
      <c r="C10738" s="2" t="str">
        <f>"0008742"</f>
        <v>0008742</v>
      </c>
      <c r="D10738" s="2" t="s">
        <v>13397</v>
      </c>
      <c r="E10738" s="4">
        <v>17800</v>
      </c>
    </row>
    <row r="10739" spans="1:5">
      <c r="A10739" s="2" t="s">
        <v>296</v>
      </c>
      <c r="B10739" s="2" t="str">
        <f>"9947899"</f>
        <v>9947899</v>
      </c>
      <c r="C10739" s="2" t="str">
        <f>"9947899"</f>
        <v>9947899</v>
      </c>
      <c r="D10739" s="2" t="s">
        <v>13398</v>
      </c>
      <c r="E10739" s="4">
        <v>25000</v>
      </c>
    </row>
    <row r="10740" spans="1:5">
      <c r="A10740" s="2" t="s">
        <v>296</v>
      </c>
      <c r="B10740" s="2" t="str">
        <f>"8013425"</f>
        <v>8013425</v>
      </c>
      <c r="C10740" s="2" t="str">
        <f>"8013425"</f>
        <v>8013425</v>
      </c>
      <c r="D10740" s="2" t="s">
        <v>13399</v>
      </c>
      <c r="E10740" s="4">
        <v>21400</v>
      </c>
    </row>
    <row r="10741" spans="1:5">
      <c r="A10741" s="2" t="s">
        <v>296</v>
      </c>
      <c r="B10741" s="2" t="str">
        <f>"140100002"</f>
        <v>140100002</v>
      </c>
      <c r="C10741" s="2" t="str">
        <f>"140100002"</f>
        <v>140100002</v>
      </c>
      <c r="D10741" s="2" t="s">
        <v>13400</v>
      </c>
      <c r="E10741" s="4">
        <v>21700</v>
      </c>
    </row>
    <row r="10742" spans="1:5">
      <c r="A10742" s="2" t="s">
        <v>296</v>
      </c>
      <c r="B10742" s="2" t="str">
        <f>"3165143342275"</f>
        <v>3165143342275</v>
      </c>
      <c r="C10742" s="2" t="s">
        <v>13401</v>
      </c>
      <c r="D10742" s="2" t="s">
        <v>13402</v>
      </c>
      <c r="E10742" s="4">
        <v>28600</v>
      </c>
    </row>
    <row r="10743" spans="1:5">
      <c r="A10743" s="2" t="s">
        <v>296</v>
      </c>
      <c r="B10743" s="2" t="str">
        <f>"234-6000L"</f>
        <v>234-6000L</v>
      </c>
      <c r="C10743" s="2" t="str">
        <f>"234-6000L"</f>
        <v>234-6000L</v>
      </c>
      <c r="D10743" s="2" t="s">
        <v>13403</v>
      </c>
      <c r="E10743" s="4">
        <v>21000</v>
      </c>
    </row>
    <row r="10744" spans="1:5">
      <c r="A10744" s="2" t="s">
        <v>296</v>
      </c>
      <c r="B10744" s="2" t="str">
        <f>"234-6002L"</f>
        <v>234-6002L</v>
      </c>
      <c r="C10744" s="2" t="str">
        <f>"234-6002L"</f>
        <v>234-6002L</v>
      </c>
      <c r="D10744" s="2" t="s">
        <v>13404</v>
      </c>
      <c r="E10744" s="4">
        <v>37000</v>
      </c>
    </row>
    <row r="10745" spans="1:5">
      <c r="A10745" s="2" t="s">
        <v>296</v>
      </c>
      <c r="B10745" s="2" t="str">
        <f>"2346002L"</f>
        <v>2346002L</v>
      </c>
      <c r="C10745" s="2" t="str">
        <f>"2346002L"</f>
        <v>2346002L</v>
      </c>
      <c r="D10745" s="2" t="s">
        <v>13404</v>
      </c>
      <c r="E10745" s="4">
        <v>29500</v>
      </c>
    </row>
    <row r="10746" spans="1:5">
      <c r="A10746" s="2" t="s">
        <v>296</v>
      </c>
      <c r="B10746" s="2" t="s">
        <v>13405</v>
      </c>
      <c r="C10746" s="2" t="s">
        <v>13405</v>
      </c>
      <c r="D10746" s="2" t="s">
        <v>13406</v>
      </c>
      <c r="E10746" s="4">
        <v>28600</v>
      </c>
    </row>
    <row r="10747" spans="1:5">
      <c r="A10747" s="2" t="s">
        <v>296</v>
      </c>
      <c r="B10747" s="2" t="str">
        <f>"234-6003L"</f>
        <v>234-6003L</v>
      </c>
      <c r="C10747" s="2" t="str">
        <f>"234-6003L"</f>
        <v>234-6003L</v>
      </c>
      <c r="D10747" s="2" t="s">
        <v>13407</v>
      </c>
      <c r="E10747" s="4">
        <v>35000</v>
      </c>
    </row>
    <row r="10748" spans="1:5">
      <c r="A10748" s="2" t="s">
        <v>296</v>
      </c>
      <c r="B10748" s="2" t="str">
        <f>"7022000"</f>
        <v>7022000</v>
      </c>
      <c r="C10748" s="2" t="str">
        <f>"7022000"</f>
        <v>7022000</v>
      </c>
      <c r="D10748" s="2" t="s">
        <v>13408</v>
      </c>
      <c r="E10748" s="4">
        <v>39000</v>
      </c>
    </row>
    <row r="10749" spans="1:5">
      <c r="A10749" s="2" t="s">
        <v>296</v>
      </c>
      <c r="B10749" s="2" t="str">
        <f>"011170203"</f>
        <v>011170203</v>
      </c>
      <c r="C10749" s="2" t="str">
        <f>"011170203"</f>
        <v>011170203</v>
      </c>
      <c r="D10749" s="2" t="s">
        <v>13408</v>
      </c>
      <c r="E10749" s="4">
        <v>34000</v>
      </c>
    </row>
    <row r="10750" spans="1:5">
      <c r="A10750" s="2" t="s">
        <v>296</v>
      </c>
      <c r="B10750" s="2" t="str">
        <f>"7022005"</f>
        <v>7022005</v>
      </c>
      <c r="C10750" s="2" t="str">
        <f>"7022005"</f>
        <v>7022005</v>
      </c>
      <c r="D10750" s="2" t="s">
        <v>13409</v>
      </c>
      <c r="E10750" s="4">
        <v>32900</v>
      </c>
    </row>
    <row r="10751" spans="1:5">
      <c r="A10751" s="2" t="s">
        <v>296</v>
      </c>
      <c r="B10751" s="2" t="str">
        <f>"3165143342336"</f>
        <v>3165143342336</v>
      </c>
      <c r="C10751" s="2" t="str">
        <f>"025986506 LS06"</f>
        <v>025986506 LS06</v>
      </c>
      <c r="D10751" s="2" t="s">
        <v>13410</v>
      </c>
      <c r="E10751" s="4">
        <v>39000</v>
      </c>
    </row>
    <row r="10752" spans="1:5">
      <c r="A10752" s="2" t="s">
        <v>296</v>
      </c>
      <c r="B10752" s="2" t="str">
        <f>"86503"</f>
        <v>86503</v>
      </c>
      <c r="C10752" s="2" t="str">
        <f>"86503"</f>
        <v>86503</v>
      </c>
      <c r="D10752" s="2" t="s">
        <v>13410</v>
      </c>
      <c r="E10752" s="4">
        <v>44500</v>
      </c>
    </row>
    <row r="10753" spans="1:5">
      <c r="A10753" s="2" t="s">
        <v>296</v>
      </c>
      <c r="B10753" s="2" t="str">
        <f>"234-6209L"</f>
        <v>234-6209L</v>
      </c>
      <c r="C10753" s="2" t="str">
        <f>"234-6209L"</f>
        <v>234-6209L</v>
      </c>
      <c r="D10753" s="2" t="s">
        <v>13411</v>
      </c>
      <c r="E10753" s="4">
        <v>41000</v>
      </c>
    </row>
    <row r="10754" spans="1:5">
      <c r="A10754" s="2" t="s">
        <v>296</v>
      </c>
      <c r="B10754" s="2" t="str">
        <f>"3165143342299"</f>
        <v>3165143342299</v>
      </c>
      <c r="C10754" s="2" t="s">
        <v>13412</v>
      </c>
      <c r="D10754" s="2" t="s">
        <v>13413</v>
      </c>
      <c r="E10754" s="4">
        <v>36000</v>
      </c>
    </row>
    <row r="10755" spans="1:5">
      <c r="A10755" s="2" t="s">
        <v>296</v>
      </c>
      <c r="B10755" s="2" t="str">
        <f>"0005917"</f>
        <v>0005917</v>
      </c>
      <c r="C10755" s="2" t="str">
        <f>"0005917"</f>
        <v>0005917</v>
      </c>
      <c r="D10755" s="2" t="s">
        <v>13414</v>
      </c>
      <c r="E10755" s="4">
        <v>11500</v>
      </c>
    </row>
    <row r="10756" spans="1:5">
      <c r="A10756" s="2" t="s">
        <v>1478</v>
      </c>
      <c r="B10756" s="2" t="s">
        <v>13415</v>
      </c>
      <c r="C10756" s="2" t="str">
        <f>"1690563288543"</f>
        <v>1690563288543</v>
      </c>
      <c r="D10756" s="2" t="s">
        <v>13416</v>
      </c>
      <c r="E10756" s="4">
        <v>62500</v>
      </c>
    </row>
    <row r="10757" spans="1:5">
      <c r="A10757" s="2" t="s">
        <v>296</v>
      </c>
      <c r="B10757" s="2" t="str">
        <f>"0008736"</f>
        <v>0008736</v>
      </c>
      <c r="C10757" s="2" t="str">
        <f>"0008736"</f>
        <v>0008736</v>
      </c>
      <c r="D10757" s="2" t="s">
        <v>13417</v>
      </c>
      <c r="E10757" s="4">
        <v>49000</v>
      </c>
    </row>
    <row r="10758" spans="1:5">
      <c r="A10758" s="2" t="s">
        <v>296</v>
      </c>
      <c r="B10758" s="2" t="str">
        <f>"0003886"</f>
        <v>0003886</v>
      </c>
      <c r="C10758" s="2" t="str">
        <f>"0003886"</f>
        <v>0003886</v>
      </c>
      <c r="D10758" s="2" t="s">
        <v>13418</v>
      </c>
      <c r="E10758" s="4">
        <v>61000</v>
      </c>
    </row>
    <row r="10759" spans="1:5">
      <c r="A10759" s="2" t="s">
        <v>296</v>
      </c>
      <c r="B10759" s="2" t="str">
        <f>"003363"</f>
        <v>003363</v>
      </c>
      <c r="C10759" s="2" t="str">
        <f>"003363"</f>
        <v>003363</v>
      </c>
      <c r="D10759" s="2" t="s">
        <v>13419</v>
      </c>
      <c r="E10759" s="4">
        <v>34000</v>
      </c>
    </row>
    <row r="10760" spans="1:5">
      <c r="A10760" s="2" t="s">
        <v>5</v>
      </c>
      <c r="B10760" s="2" t="s">
        <v>13420</v>
      </c>
      <c r="C10760" s="2" t="str">
        <f>"1551460028763"</f>
        <v>1551460028763</v>
      </c>
      <c r="D10760" s="2" t="s">
        <v>13421</v>
      </c>
      <c r="E10760" s="4">
        <v>63000</v>
      </c>
    </row>
    <row r="10761" spans="1:5">
      <c r="A10761" s="2" t="s">
        <v>296</v>
      </c>
      <c r="B10761" s="2" t="str">
        <f>"010350171"</f>
        <v>010350171</v>
      </c>
      <c r="C10761" s="2" t="str">
        <f>"010350171"</f>
        <v>010350171</v>
      </c>
      <c r="D10761" s="2" t="s">
        <v>13422</v>
      </c>
      <c r="E10761" s="4">
        <v>8800</v>
      </c>
    </row>
    <row r="10762" spans="1:5">
      <c r="A10762" s="2" t="s">
        <v>296</v>
      </c>
      <c r="B10762" s="2" t="s">
        <v>13423</v>
      </c>
      <c r="C10762" s="2" t="s">
        <v>13423</v>
      </c>
      <c r="D10762" s="2" t="s">
        <v>13424</v>
      </c>
      <c r="E10762" s="4">
        <v>9700</v>
      </c>
    </row>
    <row r="10763" spans="1:5">
      <c r="A10763" s="2" t="s">
        <v>296</v>
      </c>
      <c r="B10763" s="2" t="s">
        <v>13425</v>
      </c>
      <c r="C10763" s="2" t="s">
        <v>13426</v>
      </c>
      <c r="D10763" s="2" t="s">
        <v>13427</v>
      </c>
      <c r="E10763" s="4">
        <v>5200</v>
      </c>
    </row>
    <row r="10764" spans="1:5">
      <c r="A10764" s="2" t="s">
        <v>365</v>
      </c>
      <c r="B10764" s="2" t="str">
        <f>"011363"</f>
        <v>011363</v>
      </c>
      <c r="C10764" s="2" t="str">
        <f>"011363"</f>
        <v>011363</v>
      </c>
      <c r="D10764" s="2" t="s">
        <v>13428</v>
      </c>
      <c r="E10764" s="4">
        <v>14000</v>
      </c>
    </row>
    <row r="10765" spans="1:5">
      <c r="A10765" s="2" t="s">
        <v>296</v>
      </c>
      <c r="B10765" s="2" t="str">
        <f>"140317"</f>
        <v>140317</v>
      </c>
      <c r="C10765" s="2" t="str">
        <f>"140317"</f>
        <v>140317</v>
      </c>
      <c r="D10765" s="2" t="s">
        <v>13429</v>
      </c>
      <c r="E10765" s="4">
        <v>19500</v>
      </c>
    </row>
    <row r="10766" spans="1:5">
      <c r="A10766" s="2" t="s">
        <v>296</v>
      </c>
      <c r="B10766" s="2" t="str">
        <f>"5000000402724"</f>
        <v>5000000402724</v>
      </c>
      <c r="C10766" s="2" t="str">
        <f>"004765"</f>
        <v>004765</v>
      </c>
      <c r="D10766" s="2" t="s">
        <v>13430</v>
      </c>
      <c r="E10766" s="4">
        <v>43000</v>
      </c>
    </row>
    <row r="10767" spans="1:5">
      <c r="A10767" s="2" t="s">
        <v>296</v>
      </c>
      <c r="B10767" s="2" t="str">
        <f>"1700418"</f>
        <v>1700418</v>
      </c>
      <c r="C10767" s="2" t="str">
        <f>"1700418"</f>
        <v>1700418</v>
      </c>
      <c r="D10767" s="2" t="s">
        <v>13431</v>
      </c>
      <c r="E10767" s="4">
        <v>8800</v>
      </c>
    </row>
    <row r="10768" spans="1:5">
      <c r="A10768" s="2" t="s">
        <v>296</v>
      </c>
      <c r="B10768" s="2" t="str">
        <f>"247414"</f>
        <v>247414</v>
      </c>
      <c r="C10768" s="2" t="str">
        <f>"247414"</f>
        <v>247414</v>
      </c>
      <c r="D10768" s="2" t="s">
        <v>13432</v>
      </c>
      <c r="E10768" s="4">
        <v>2800</v>
      </c>
    </row>
    <row r="10769" spans="1:5">
      <c r="A10769" s="2" t="s">
        <v>4493</v>
      </c>
      <c r="B10769" s="2" t="str">
        <f>"0100040"</f>
        <v>0100040</v>
      </c>
      <c r="C10769" s="2" t="str">
        <f>"0100040"</f>
        <v>0100040</v>
      </c>
      <c r="D10769" s="2" t="s">
        <v>13433</v>
      </c>
      <c r="E10769" s="4">
        <v>59000</v>
      </c>
    </row>
    <row r="10770" spans="1:5">
      <c r="A10770" s="2" t="s">
        <v>165</v>
      </c>
      <c r="B10770" s="2" t="str">
        <f>"7805315000232"</f>
        <v>7805315000232</v>
      </c>
      <c r="C10770" s="2" t="s">
        <v>13434</v>
      </c>
      <c r="D10770" s="2" t="s">
        <v>13435</v>
      </c>
      <c r="E10770" s="4">
        <v>2800</v>
      </c>
    </row>
    <row r="10771" spans="1:5">
      <c r="A10771" s="2" t="s">
        <v>165</v>
      </c>
      <c r="B10771" s="2" t="str">
        <f>"200-400"</f>
        <v>200-400</v>
      </c>
      <c r="C10771" s="2" t="str">
        <f>"200-400"</f>
        <v>200-400</v>
      </c>
      <c r="D10771" s="2" t="s">
        <v>13436</v>
      </c>
      <c r="E10771" s="4">
        <v>3400</v>
      </c>
    </row>
    <row r="10772" spans="1:5">
      <c r="A10772" s="2" t="s">
        <v>165</v>
      </c>
      <c r="B10772" s="2" t="str">
        <f>"030980073"</f>
        <v>030980073</v>
      </c>
      <c r="C10772" s="2" t="str">
        <f>"030980073"</f>
        <v>030980073</v>
      </c>
      <c r="D10772" s="2" t="s">
        <v>13437</v>
      </c>
      <c r="E10772" s="4">
        <v>3400</v>
      </c>
    </row>
    <row r="10773" spans="1:5">
      <c r="A10773" s="2" t="s">
        <v>296</v>
      </c>
      <c r="B10773" s="2" t="str">
        <f>"030980087"</f>
        <v>030980087</v>
      </c>
      <c r="C10773" s="2" t="str">
        <f>"030980087"</f>
        <v>030980087</v>
      </c>
      <c r="D10773" s="2" t="s">
        <v>13438</v>
      </c>
      <c r="E10773" s="4">
        <v>5200</v>
      </c>
    </row>
    <row r="10774" spans="1:5">
      <c r="A10774" s="2" t="s">
        <v>165</v>
      </c>
      <c r="B10774" s="2" t="s">
        <v>13439</v>
      </c>
      <c r="C10774" s="2" t="s">
        <v>13439</v>
      </c>
      <c r="D10774" s="2" t="s">
        <v>13440</v>
      </c>
      <c r="E10774" s="4">
        <v>3400</v>
      </c>
    </row>
    <row r="10775" spans="1:5">
      <c r="A10775" s="2" t="s">
        <v>165</v>
      </c>
      <c r="B10775" s="2" t="str">
        <f>"7702763004013"</f>
        <v>7702763004013</v>
      </c>
      <c r="C10775" s="2" t="str">
        <f>"030980071"</f>
        <v>030980071</v>
      </c>
      <c r="D10775" s="2" t="s">
        <v>13441</v>
      </c>
      <c r="E10775" s="4">
        <v>4300</v>
      </c>
    </row>
    <row r="10776" spans="1:5">
      <c r="A10776" s="2" t="s">
        <v>165</v>
      </c>
      <c r="B10776" s="2" t="str">
        <f>"079340374645"</f>
        <v>079340374645</v>
      </c>
      <c r="C10776" s="2" t="str">
        <f>"491982"</f>
        <v>491982</v>
      </c>
      <c r="D10776" s="2" t="s">
        <v>13442</v>
      </c>
      <c r="E10776" s="4">
        <v>6500</v>
      </c>
    </row>
    <row r="10777" spans="1:5">
      <c r="A10777" s="2" t="s">
        <v>165</v>
      </c>
      <c r="B10777" s="2" t="str">
        <f>"040210001"</f>
        <v>040210001</v>
      </c>
      <c r="C10777" s="2" t="s">
        <v>13443</v>
      </c>
      <c r="D10777" s="2" t="s">
        <v>13444</v>
      </c>
      <c r="E10777" s="4">
        <v>4000</v>
      </c>
    </row>
    <row r="10778" spans="1:5">
      <c r="A10778" s="2" t="s">
        <v>296</v>
      </c>
      <c r="B10778" s="2" t="str">
        <f>"15662-0"</f>
        <v>15662-0</v>
      </c>
      <c r="C10778" s="2" t="str">
        <f>"15662-0"</f>
        <v>15662-0</v>
      </c>
      <c r="D10778" s="2" t="s">
        <v>13445</v>
      </c>
      <c r="E10778" s="4">
        <v>4000</v>
      </c>
    </row>
    <row r="10779" spans="1:5">
      <c r="A10779" s="2" t="s">
        <v>165</v>
      </c>
      <c r="B10779" s="2" t="s">
        <v>13446</v>
      </c>
      <c r="C10779" s="2" t="s">
        <v>13446</v>
      </c>
      <c r="D10779" s="2" t="s">
        <v>13447</v>
      </c>
      <c r="E10779" s="4">
        <v>4500</v>
      </c>
    </row>
    <row r="10780" spans="1:5">
      <c r="A10780" s="2" t="s">
        <v>165</v>
      </c>
      <c r="B10780" s="2" t="str">
        <f>"2000-8"</f>
        <v>2000-8</v>
      </c>
      <c r="C10780" s="2" t="str">
        <f>"2000-8"</f>
        <v>2000-8</v>
      </c>
      <c r="D10780" s="2" t="s">
        <v>13448</v>
      </c>
      <c r="E10780" s="4">
        <v>4300</v>
      </c>
    </row>
    <row r="10781" spans="1:5">
      <c r="A10781" s="2" t="s">
        <v>165</v>
      </c>
      <c r="B10781" s="2" t="str">
        <f>"089269009528"</f>
        <v>089269009528</v>
      </c>
      <c r="C10781" s="2" t="s">
        <v>13449</v>
      </c>
      <c r="D10781" s="2" t="s">
        <v>13450</v>
      </c>
      <c r="E10781" s="4">
        <v>4900</v>
      </c>
    </row>
    <row r="10782" spans="1:5">
      <c r="A10782" s="2" t="s">
        <v>296</v>
      </c>
      <c r="B10782" s="2" t="str">
        <f>"492001"</f>
        <v>492001</v>
      </c>
      <c r="C10782" s="2" t="str">
        <f>"492001"</f>
        <v>492001</v>
      </c>
      <c r="D10782" s="2" t="s">
        <v>13451</v>
      </c>
      <c r="E10782" s="4">
        <v>2800</v>
      </c>
    </row>
    <row r="10783" spans="1:5">
      <c r="A10783" s="2" t="s">
        <v>165</v>
      </c>
      <c r="B10783" s="2" t="s">
        <v>13452</v>
      </c>
      <c r="C10783" s="2" t="s">
        <v>13453</v>
      </c>
      <c r="D10783" s="2" t="s">
        <v>13454</v>
      </c>
      <c r="E10783" s="4">
        <v>2500</v>
      </c>
    </row>
    <row r="10784" spans="1:5">
      <c r="A10784" s="2" t="s">
        <v>165</v>
      </c>
      <c r="B10784" s="2" t="str">
        <f>"02224SB"</f>
        <v>02224SB</v>
      </c>
      <c r="C10784" s="2" t="str">
        <f>"02224SB"</f>
        <v>02224SB</v>
      </c>
      <c r="D10784" s="2" t="s">
        <v>13455</v>
      </c>
      <c r="E10784" s="4">
        <v>2800</v>
      </c>
    </row>
    <row r="10785" spans="1:5">
      <c r="A10785" s="2" t="s">
        <v>165</v>
      </c>
      <c r="B10785" s="2" t="str">
        <f>"02210SSV"</f>
        <v>02210SSV</v>
      </c>
      <c r="C10785" s="2" t="str">
        <f>"02210SSV"</f>
        <v>02210SSV</v>
      </c>
      <c r="D10785" s="2" t="s">
        <v>13456</v>
      </c>
      <c r="E10785" s="4">
        <v>2500</v>
      </c>
    </row>
    <row r="10786" spans="1:5">
      <c r="A10786" s="2" t="s">
        <v>165</v>
      </c>
      <c r="B10786" s="2" t="str">
        <f>"030230011"</f>
        <v>030230011</v>
      </c>
      <c r="C10786" s="2" t="str">
        <f>"030230011"</f>
        <v>030230011</v>
      </c>
      <c r="D10786" s="2" t="s">
        <v>13457</v>
      </c>
      <c r="E10786" s="4">
        <v>2500</v>
      </c>
    </row>
    <row r="10787" spans="1:5">
      <c r="A10787" s="2" t="s">
        <v>296</v>
      </c>
      <c r="B10787" s="2" t="str">
        <f>"8028687034004"</f>
        <v>8028687034004</v>
      </c>
      <c r="C10787" s="2" t="str">
        <f>"3400"</f>
        <v>3400</v>
      </c>
      <c r="D10787" s="2" t="s">
        <v>13458</v>
      </c>
      <c r="E10787" s="4">
        <v>3800</v>
      </c>
    </row>
    <row r="10788" spans="1:5">
      <c r="A10788" s="2" t="s">
        <v>165</v>
      </c>
      <c r="B10788" s="2" t="str">
        <f>"030230007"</f>
        <v>030230007</v>
      </c>
      <c r="C10788" s="2" t="str">
        <f>"030230007"</f>
        <v>030230007</v>
      </c>
      <c r="D10788" s="2" t="s">
        <v>13459</v>
      </c>
      <c r="E10788" s="4">
        <v>2500</v>
      </c>
    </row>
    <row r="10789" spans="1:5">
      <c r="A10789" s="2" t="s">
        <v>296</v>
      </c>
      <c r="B10789" s="2" t="str">
        <f>"100068"</f>
        <v>100068</v>
      </c>
      <c r="C10789" s="2" t="str">
        <f>"100068"</f>
        <v>100068</v>
      </c>
      <c r="D10789" s="2" t="s">
        <v>13460</v>
      </c>
      <c r="E10789" s="4">
        <v>3400</v>
      </c>
    </row>
    <row r="10790" spans="1:5">
      <c r="A10790" s="2" t="s">
        <v>165</v>
      </c>
      <c r="B10790" s="2" t="str">
        <f>"0221CFN"</f>
        <v>0221CFN</v>
      </c>
      <c r="C10790" s="2" t="str">
        <f>"0221CFN"</f>
        <v>0221CFN</v>
      </c>
      <c r="D10790" s="2" t="s">
        <v>13461</v>
      </c>
      <c r="E10790" s="4">
        <v>2500</v>
      </c>
    </row>
    <row r="10791" spans="1:5">
      <c r="A10791" s="2" t="s">
        <v>165</v>
      </c>
      <c r="B10791" s="2" t="str">
        <f>"030230010"</f>
        <v>030230010</v>
      </c>
      <c r="C10791" s="2" t="str">
        <f>"030230010"</f>
        <v>030230010</v>
      </c>
      <c r="D10791" s="2" t="s">
        <v>13462</v>
      </c>
      <c r="E10791" s="4">
        <v>2500</v>
      </c>
    </row>
    <row r="10792" spans="1:5">
      <c r="A10792" s="2" t="s">
        <v>165</v>
      </c>
      <c r="B10792" s="2" t="str">
        <f>"02210CFV"</f>
        <v>02210CFV</v>
      </c>
      <c r="C10792" s="2" t="str">
        <f>"02210CFV"</f>
        <v>02210CFV</v>
      </c>
      <c r="D10792" s="2" t="s">
        <v>13463</v>
      </c>
      <c r="E10792" s="4">
        <v>2500</v>
      </c>
    </row>
    <row r="10793" spans="1:5">
      <c r="A10793" s="2" t="s">
        <v>296</v>
      </c>
      <c r="B10793" s="2" t="str">
        <f>"4056807863412"</f>
        <v>4056807863412</v>
      </c>
      <c r="C10793" s="2" t="str">
        <f>"0893221311710"</f>
        <v>0893221311710</v>
      </c>
      <c r="D10793" s="2" t="s">
        <v>13464</v>
      </c>
      <c r="E10793" s="4">
        <v>4500</v>
      </c>
    </row>
    <row r="10794" spans="1:5">
      <c r="A10794" s="2" t="s">
        <v>165</v>
      </c>
      <c r="B10794" s="2" t="str">
        <f>"089269009535"</f>
        <v>089269009535</v>
      </c>
      <c r="C10794" s="2" t="str">
        <f>"02226CY"</f>
        <v>02226CY</v>
      </c>
      <c r="D10794" s="2" t="s">
        <v>13465</v>
      </c>
      <c r="E10794" s="4">
        <v>2200</v>
      </c>
    </row>
    <row r="10795" spans="1:5">
      <c r="A10795" s="2" t="s">
        <v>296</v>
      </c>
      <c r="B10795" s="2" t="str">
        <f>"324085"</f>
        <v>324085</v>
      </c>
      <c r="C10795" s="2" t="str">
        <f>"324085"</f>
        <v>324085</v>
      </c>
      <c r="D10795" s="2" t="s">
        <v>13466</v>
      </c>
      <c r="E10795" s="4">
        <v>4500</v>
      </c>
    </row>
    <row r="10796" spans="1:5">
      <c r="A10796" s="2" t="s">
        <v>296</v>
      </c>
      <c r="B10796" s="2" t="str">
        <f>"324086"</f>
        <v>324086</v>
      </c>
      <c r="C10796" s="2" t="str">
        <f>"324086"</f>
        <v>324086</v>
      </c>
      <c r="D10796" s="2" t="s">
        <v>13467</v>
      </c>
      <c r="E10796" s="4">
        <v>3900</v>
      </c>
    </row>
    <row r="10797" spans="1:5">
      <c r="A10797" s="2" t="s">
        <v>359</v>
      </c>
      <c r="B10797" s="2" t="str">
        <f>"12233-5"</f>
        <v>12233-5</v>
      </c>
      <c r="C10797" s="2" t="str">
        <f>"6054"</f>
        <v>6054</v>
      </c>
      <c r="D10797" s="2" t="s">
        <v>13468</v>
      </c>
      <c r="E10797" s="4">
        <v>9700</v>
      </c>
    </row>
    <row r="10798" spans="1:5">
      <c r="A10798" s="2" t="s">
        <v>1392</v>
      </c>
      <c r="B10798" s="2" t="s">
        <v>13469</v>
      </c>
      <c r="C10798" s="2" t="s">
        <v>13470</v>
      </c>
      <c r="D10798" s="2" t="s">
        <v>13471</v>
      </c>
      <c r="E10798" s="4">
        <v>3500</v>
      </c>
    </row>
    <row r="10799" spans="1:5">
      <c r="A10799" s="2" t="s">
        <v>1478</v>
      </c>
      <c r="B10799" s="2" t="str">
        <f>"013015"</f>
        <v>013015</v>
      </c>
      <c r="C10799" s="2" t="str">
        <f>"013015"</f>
        <v>013015</v>
      </c>
      <c r="D10799" s="2" t="s">
        <v>13472</v>
      </c>
      <c r="E10799" s="4">
        <v>16500</v>
      </c>
    </row>
    <row r="10800" spans="1:5">
      <c r="A10800" s="2" t="s">
        <v>1478</v>
      </c>
      <c r="B10800" s="2" t="str">
        <f>"059012"</f>
        <v>059012</v>
      </c>
      <c r="C10800" s="2" t="str">
        <f>"059012"</f>
        <v>059012</v>
      </c>
      <c r="D10800" s="2" t="s">
        <v>13473</v>
      </c>
      <c r="E10800" s="4">
        <v>7000</v>
      </c>
    </row>
    <row r="10801" spans="1:5">
      <c r="A10801" s="2" t="s">
        <v>296</v>
      </c>
      <c r="B10801" s="2" t="str">
        <f>"0315180"</f>
        <v>0315180</v>
      </c>
      <c r="C10801" s="2" t="str">
        <f>"0315180"</f>
        <v>0315180</v>
      </c>
      <c r="D10801" s="2" t="s">
        <v>13474</v>
      </c>
      <c r="E10801" s="4">
        <v>9700</v>
      </c>
    </row>
    <row r="10802" spans="1:5">
      <c r="A10802" s="2" t="s">
        <v>296</v>
      </c>
      <c r="B10802" s="2" t="str">
        <f>"0212647"</f>
        <v>0212647</v>
      </c>
      <c r="C10802" s="2" t="str">
        <f>"1677947574038"</f>
        <v>1677947574038</v>
      </c>
      <c r="D10802" s="2" t="s">
        <v>13475</v>
      </c>
      <c r="E10802" s="4">
        <v>10600</v>
      </c>
    </row>
    <row r="10803" spans="1:5">
      <c r="A10803" s="2" t="s">
        <v>296</v>
      </c>
      <c r="B10803" s="2" t="str">
        <f>"0301025"</f>
        <v>0301025</v>
      </c>
      <c r="C10803" s="2" t="str">
        <f>"0301025"</f>
        <v>0301025</v>
      </c>
      <c r="D10803" s="2" t="s">
        <v>13476</v>
      </c>
      <c r="E10803" s="4">
        <v>10900</v>
      </c>
    </row>
    <row r="10804" spans="1:5">
      <c r="A10804" s="2" t="s">
        <v>1478</v>
      </c>
      <c r="B10804" s="2" t="str">
        <f>"321886"</f>
        <v>321886</v>
      </c>
      <c r="C10804" s="2" t="str">
        <f>"321886"</f>
        <v>321886</v>
      </c>
      <c r="D10804" s="2" t="s">
        <v>13477</v>
      </c>
      <c r="E10804" s="4">
        <v>18500</v>
      </c>
    </row>
    <row r="10805" spans="1:5">
      <c r="A10805" s="2" t="s">
        <v>1478</v>
      </c>
      <c r="B10805" s="2" t="str">
        <f>"020790076"</f>
        <v>020790076</v>
      </c>
      <c r="C10805" s="2" t="str">
        <f>"020790076"</f>
        <v>020790076</v>
      </c>
      <c r="D10805" s="2" t="s">
        <v>13478</v>
      </c>
      <c r="E10805" s="4">
        <v>25000</v>
      </c>
    </row>
    <row r="10806" spans="1:5">
      <c r="A10806" s="2" t="s">
        <v>296</v>
      </c>
      <c r="B10806" s="2" t="s">
        <v>13479</v>
      </c>
      <c r="C10806" s="2" t="s">
        <v>13479</v>
      </c>
      <c r="D10806" s="2" t="s">
        <v>13480</v>
      </c>
      <c r="E10806" s="4">
        <v>55000</v>
      </c>
    </row>
    <row r="10807" spans="1:5">
      <c r="A10807" s="2" t="s">
        <v>1478</v>
      </c>
      <c r="B10807" s="2" t="str">
        <f>"281589"</f>
        <v>281589</v>
      </c>
      <c r="C10807" s="2" t="str">
        <f>"281589"</f>
        <v>281589</v>
      </c>
      <c r="D10807" s="2" t="s">
        <v>13481</v>
      </c>
      <c r="E10807" s="4">
        <v>25000</v>
      </c>
    </row>
    <row r="10808" spans="1:5">
      <c r="A10808" s="2" t="s">
        <v>1478</v>
      </c>
      <c r="B10808" s="2" t="str">
        <f>"020790079"</f>
        <v>020790079</v>
      </c>
      <c r="C10808" s="2" t="str">
        <f>"020790079"</f>
        <v>020790079</v>
      </c>
      <c r="D10808" s="2" t="s">
        <v>13482</v>
      </c>
      <c r="E10808" s="4">
        <v>15000</v>
      </c>
    </row>
    <row r="10809" spans="1:5">
      <c r="A10809" s="2" t="s">
        <v>296</v>
      </c>
      <c r="B10809" s="2" t="s">
        <v>13483</v>
      </c>
      <c r="C10809" s="2" t="s">
        <v>13483</v>
      </c>
      <c r="D10809" s="2" t="s">
        <v>13484</v>
      </c>
      <c r="E10809" s="4">
        <v>24100</v>
      </c>
    </row>
    <row r="10810" spans="1:5">
      <c r="A10810" s="2" t="s">
        <v>296</v>
      </c>
      <c r="B10810" s="2" t="str">
        <f>"0020260"</f>
        <v>0020260</v>
      </c>
      <c r="C10810" s="2" t="str">
        <f>"0020260"</f>
        <v>0020260</v>
      </c>
      <c r="D10810" s="2" t="s">
        <v>13485</v>
      </c>
      <c r="E10810" s="4">
        <v>25000</v>
      </c>
    </row>
    <row r="10811" spans="1:5">
      <c r="A10811" s="2" t="s">
        <v>1478</v>
      </c>
      <c r="B10811" s="2" t="str">
        <f>"020790063"</f>
        <v>020790063</v>
      </c>
      <c r="C10811" s="2" t="str">
        <f>"020790063"</f>
        <v>020790063</v>
      </c>
      <c r="D10811" s="2" t="s">
        <v>13486</v>
      </c>
      <c r="E10811" s="4">
        <v>38500</v>
      </c>
    </row>
    <row r="10812" spans="1:5">
      <c r="A10812" s="2" t="s">
        <v>296</v>
      </c>
      <c r="B10812" s="2" t="s">
        <v>13487</v>
      </c>
      <c r="C10812" s="2" t="s">
        <v>13487</v>
      </c>
      <c r="D10812" s="2" t="s">
        <v>13488</v>
      </c>
      <c r="E10812" s="4">
        <v>21400</v>
      </c>
    </row>
    <row r="10813" spans="1:5">
      <c r="A10813" s="2" t="s">
        <v>296</v>
      </c>
      <c r="B10813" s="2" t="str">
        <f>"0008646"</f>
        <v>0008646</v>
      </c>
      <c r="C10813" s="2" t="str">
        <f>"0008646"</f>
        <v>0008646</v>
      </c>
      <c r="D10813" s="2" t="s">
        <v>13489</v>
      </c>
      <c r="E10813" s="4">
        <v>34000</v>
      </c>
    </row>
    <row r="10814" spans="1:5">
      <c r="A10814" s="2" t="s">
        <v>1478</v>
      </c>
      <c r="B10814" s="2" t="str">
        <f>"311222"</f>
        <v>311222</v>
      </c>
      <c r="C10814" s="2" t="str">
        <f>"311222"</f>
        <v>311222</v>
      </c>
      <c r="D10814" s="2" t="s">
        <v>13490</v>
      </c>
      <c r="E10814" s="4">
        <v>19500</v>
      </c>
    </row>
    <row r="10815" spans="1:5">
      <c r="A10815" s="2" t="s">
        <v>296</v>
      </c>
      <c r="B10815" s="2" t="str">
        <f>"0016983"</f>
        <v>0016983</v>
      </c>
      <c r="C10815" s="2" t="str">
        <f>"0016983"</f>
        <v>0016983</v>
      </c>
      <c r="D10815" s="2" t="s">
        <v>13491</v>
      </c>
      <c r="E10815" s="4">
        <v>39000</v>
      </c>
    </row>
    <row r="10816" spans="1:5">
      <c r="A10816" s="2" t="s">
        <v>1478</v>
      </c>
      <c r="B10816" s="2" t="str">
        <f>"289948"</f>
        <v>289948</v>
      </c>
      <c r="C10816" s="2" t="str">
        <f>"289948"</f>
        <v>289948</v>
      </c>
      <c r="D10816" s="2" t="s">
        <v>13492</v>
      </c>
      <c r="E10816" s="4">
        <v>43000</v>
      </c>
    </row>
    <row r="10817" spans="1:5">
      <c r="A10817" s="2" t="s">
        <v>296</v>
      </c>
      <c r="B10817" s="2" t="str">
        <f>"091620361"</f>
        <v>091620361</v>
      </c>
      <c r="C10817" s="2" t="str">
        <f>"091620361"</f>
        <v>091620361</v>
      </c>
      <c r="D10817" s="2" t="s">
        <v>13493</v>
      </c>
      <c r="E10817" s="4">
        <v>14000</v>
      </c>
    </row>
    <row r="10818" spans="1:5">
      <c r="A10818" s="2" t="s">
        <v>296</v>
      </c>
      <c r="B10818" s="2" t="str">
        <f>"001417516-4"</f>
        <v>001417516-4</v>
      </c>
      <c r="C10818" s="2" t="str">
        <f>"001417516-"</f>
        <v>001417516-</v>
      </c>
      <c r="D10818" s="2" t="s">
        <v>13494</v>
      </c>
      <c r="E10818" s="4">
        <v>15000</v>
      </c>
    </row>
    <row r="10819" spans="1:5">
      <c r="A10819" s="2" t="s">
        <v>1478</v>
      </c>
      <c r="B10819" s="2" t="str">
        <f>"070860182"</f>
        <v>070860182</v>
      </c>
      <c r="C10819" s="2" t="str">
        <f>"070860182"</f>
        <v>070860182</v>
      </c>
      <c r="D10819" s="2" t="s">
        <v>13495</v>
      </c>
      <c r="E10819" s="4">
        <v>11500</v>
      </c>
    </row>
    <row r="10820" spans="1:5">
      <c r="A10820" s="2" t="s">
        <v>296</v>
      </c>
      <c r="B10820" s="2" t="str">
        <f>"020810036"</f>
        <v>020810036</v>
      </c>
      <c r="C10820" s="2" t="str">
        <f>"020810036"</f>
        <v>020810036</v>
      </c>
      <c r="D10820" s="2" t="s">
        <v>13496</v>
      </c>
      <c r="E10820" s="4">
        <v>7000</v>
      </c>
    </row>
    <row r="10821" spans="1:5">
      <c r="A10821" s="2" t="s">
        <v>296</v>
      </c>
      <c r="B10821" s="2" t="str">
        <f>"311810"</f>
        <v>311810</v>
      </c>
      <c r="C10821" s="2" t="str">
        <f>"311810"</f>
        <v>311810</v>
      </c>
      <c r="D10821" s="2" t="s">
        <v>13497</v>
      </c>
      <c r="E10821" s="4">
        <v>11500</v>
      </c>
    </row>
    <row r="10822" spans="1:5">
      <c r="A10822" s="2" t="s">
        <v>1478</v>
      </c>
      <c r="B10822" s="2" t="str">
        <f>"0315170"</f>
        <v>0315170</v>
      </c>
      <c r="C10822" s="2" t="str">
        <f>"0315170"</f>
        <v>0315170</v>
      </c>
      <c r="D10822" s="2" t="s">
        <v>13498</v>
      </c>
      <c r="E10822" s="4">
        <v>10500</v>
      </c>
    </row>
    <row r="10823" spans="1:5">
      <c r="A10823" s="2" t="s">
        <v>296</v>
      </c>
      <c r="B10823" s="2" t="str">
        <f>"0000279"</f>
        <v>0000279</v>
      </c>
      <c r="C10823" s="2" t="str">
        <f>"0000279"</f>
        <v>0000279</v>
      </c>
      <c r="D10823" s="2" t="s">
        <v>13499</v>
      </c>
      <c r="E10823" s="4">
        <v>8800</v>
      </c>
    </row>
    <row r="10824" spans="1:5">
      <c r="A10824" s="2" t="s">
        <v>296</v>
      </c>
      <c r="B10824" s="2" t="str">
        <f>"020810066"</f>
        <v>020810066</v>
      </c>
      <c r="C10824" s="2" t="str">
        <f>"020810066"</f>
        <v>020810066</v>
      </c>
      <c r="D10824" s="2" t="s">
        <v>13499</v>
      </c>
      <c r="E10824" s="4">
        <v>8800</v>
      </c>
    </row>
    <row r="10825" spans="1:5">
      <c r="A10825" s="2" t="s">
        <v>296</v>
      </c>
      <c r="B10825" s="2" t="str">
        <f>"0004554"</f>
        <v>0004554</v>
      </c>
      <c r="C10825" s="2" t="str">
        <f>"0004554"</f>
        <v>0004554</v>
      </c>
      <c r="D10825" s="2" t="s">
        <v>13500</v>
      </c>
      <c r="E10825" s="4">
        <v>14200</v>
      </c>
    </row>
    <row r="10826" spans="1:5">
      <c r="A10826" s="2" t="s">
        <v>296</v>
      </c>
      <c r="B10826" s="2" t="str">
        <f>"9948608"</f>
        <v>9948608</v>
      </c>
      <c r="C10826" s="2" t="str">
        <f>"9948608"</f>
        <v>9948608</v>
      </c>
      <c r="D10826" s="2" t="s">
        <v>13501</v>
      </c>
      <c r="E10826" s="4">
        <v>10600</v>
      </c>
    </row>
    <row r="10827" spans="1:5">
      <c r="A10827" s="2" t="s">
        <v>296</v>
      </c>
      <c r="B10827" s="2" t="str">
        <f>"0002948"</f>
        <v>0002948</v>
      </c>
      <c r="C10827" s="2" t="str">
        <f>"0002948"</f>
        <v>0002948</v>
      </c>
      <c r="D10827" s="2" t="s">
        <v>13502</v>
      </c>
      <c r="E10827" s="4">
        <v>19600</v>
      </c>
    </row>
    <row r="10828" spans="1:5">
      <c r="A10828" s="2" t="s">
        <v>296</v>
      </c>
      <c r="B10828" s="2" t="str">
        <f>"0019595"</f>
        <v>0019595</v>
      </c>
      <c r="C10828" s="2" t="str">
        <f>"0019595"</f>
        <v>0019595</v>
      </c>
      <c r="D10828" s="2" t="s">
        <v>13503</v>
      </c>
      <c r="E10828" s="4">
        <v>19000</v>
      </c>
    </row>
    <row r="10829" spans="1:5">
      <c r="A10829" s="2" t="s">
        <v>296</v>
      </c>
      <c r="B10829" s="2" t="s">
        <v>13504</v>
      </c>
      <c r="C10829" s="2" t="s">
        <v>13504</v>
      </c>
      <c r="D10829" s="2" t="s">
        <v>13505</v>
      </c>
      <c r="E10829" s="4">
        <v>25000</v>
      </c>
    </row>
    <row r="10830" spans="1:5">
      <c r="A10830" s="2" t="s">
        <v>296</v>
      </c>
      <c r="B10830" s="2" t="str">
        <f>"003784"</f>
        <v>003784</v>
      </c>
      <c r="C10830" s="2" t="str">
        <f>"003784"</f>
        <v>003784</v>
      </c>
      <c r="D10830" s="2" t="s">
        <v>13506</v>
      </c>
      <c r="E10830" s="4">
        <v>29000</v>
      </c>
    </row>
    <row r="10831" spans="1:5">
      <c r="A10831" s="2" t="s">
        <v>296</v>
      </c>
      <c r="B10831" s="2" t="str">
        <f>"000427964-6"</f>
        <v>000427964-6</v>
      </c>
      <c r="C10831" s="2" t="str">
        <f>"000427964-6"</f>
        <v>000427964-6</v>
      </c>
      <c r="D10831" s="2" t="s">
        <v>13507</v>
      </c>
      <c r="E10831" s="4">
        <v>18700</v>
      </c>
    </row>
    <row r="10832" spans="1:5">
      <c r="A10832" s="2" t="s">
        <v>296</v>
      </c>
      <c r="B10832" s="2" t="str">
        <f>"289746"</f>
        <v>289746</v>
      </c>
      <c r="C10832" s="2" t="str">
        <f>"289746"</f>
        <v>289746</v>
      </c>
      <c r="D10832" s="2" t="s">
        <v>13508</v>
      </c>
      <c r="E10832" s="4">
        <v>8800</v>
      </c>
    </row>
    <row r="10833" spans="1:5">
      <c r="A10833" s="2" t="s">
        <v>1478</v>
      </c>
      <c r="B10833" s="2" t="str">
        <f>"001751088-6"</f>
        <v>001751088-6</v>
      </c>
      <c r="C10833" s="2" t="str">
        <f>"001751088-6"</f>
        <v>001751088-6</v>
      </c>
      <c r="D10833" s="2" t="s">
        <v>13509</v>
      </c>
      <c r="E10833" s="4">
        <v>8800</v>
      </c>
    </row>
    <row r="10834" spans="1:5">
      <c r="A10834" s="2" t="s">
        <v>1478</v>
      </c>
      <c r="B10834" s="2" t="str">
        <f>"001751086-K"</f>
        <v>001751086-K</v>
      </c>
      <c r="C10834" s="2" t="str">
        <f>"001751086-K"</f>
        <v>001751086-K</v>
      </c>
      <c r="D10834" s="2" t="s">
        <v>13510</v>
      </c>
      <c r="E10834" s="4">
        <v>12400</v>
      </c>
    </row>
    <row r="10835" spans="1:5">
      <c r="A10835" s="2" t="s">
        <v>1478</v>
      </c>
      <c r="B10835" s="2" t="str">
        <f>"0002166"</f>
        <v>0002166</v>
      </c>
      <c r="C10835" s="2" t="str">
        <f>"0002166"</f>
        <v>0002166</v>
      </c>
      <c r="D10835" s="2" t="s">
        <v>13511</v>
      </c>
      <c r="E10835" s="4">
        <v>24100</v>
      </c>
    </row>
    <row r="10836" spans="1:5">
      <c r="A10836" s="2" t="s">
        <v>1478</v>
      </c>
      <c r="B10836" s="2" t="str">
        <f>"1600740"</f>
        <v>1600740</v>
      </c>
      <c r="C10836" s="2" t="str">
        <f>"1600740"</f>
        <v>1600740</v>
      </c>
      <c r="D10836" s="2" t="s">
        <v>13512</v>
      </c>
      <c r="E10836" s="4">
        <v>25000</v>
      </c>
    </row>
    <row r="10837" spans="1:5">
      <c r="A10837" s="2" t="s">
        <v>296</v>
      </c>
      <c r="B10837" s="2" t="str">
        <f>"5432-012"</f>
        <v>5432-012</v>
      </c>
      <c r="C10837" s="2" t="str">
        <f>"5432-012"</f>
        <v>5432-012</v>
      </c>
      <c r="D10837" s="2" t="s">
        <v>13513</v>
      </c>
      <c r="E10837" s="4">
        <v>25000</v>
      </c>
    </row>
    <row r="10838" spans="1:5">
      <c r="A10838" s="2" t="s">
        <v>1478</v>
      </c>
      <c r="B10838" s="2" t="str">
        <f>"0301035"</f>
        <v>0301035</v>
      </c>
      <c r="C10838" s="2" t="str">
        <f>"0301035"</f>
        <v>0301035</v>
      </c>
      <c r="D10838" s="2" t="s">
        <v>13514</v>
      </c>
      <c r="E10838" s="4">
        <v>19600</v>
      </c>
    </row>
    <row r="10839" spans="1:5">
      <c r="A10839" s="2" t="s">
        <v>1478</v>
      </c>
      <c r="B10839" s="2" t="str">
        <f>"230470"</f>
        <v>230470</v>
      </c>
      <c r="C10839" s="2" t="str">
        <f>"230470"</f>
        <v>230470</v>
      </c>
      <c r="D10839" s="2" t="s">
        <v>13515</v>
      </c>
      <c r="E10839" s="4">
        <v>35000</v>
      </c>
    </row>
    <row r="10840" spans="1:5">
      <c r="A10840" s="2" t="s">
        <v>1478</v>
      </c>
      <c r="B10840" s="2" t="str">
        <f>"0011437"</f>
        <v>0011437</v>
      </c>
      <c r="C10840" s="2" t="str">
        <f>"0011437"</f>
        <v>0011437</v>
      </c>
      <c r="D10840" s="2" t="s">
        <v>13516</v>
      </c>
      <c r="E10840" s="4">
        <v>34000</v>
      </c>
    </row>
    <row r="10841" spans="1:5">
      <c r="A10841" s="2" t="s">
        <v>1478</v>
      </c>
      <c r="B10841" s="2" t="str">
        <f>"0018915"</f>
        <v>0018915</v>
      </c>
      <c r="C10841" s="2" t="str">
        <f>"0018915"</f>
        <v>0018915</v>
      </c>
      <c r="D10841" s="2" t="s">
        <v>13517</v>
      </c>
      <c r="E10841" s="4">
        <v>15000</v>
      </c>
    </row>
    <row r="10842" spans="1:5">
      <c r="A10842" s="2" t="s">
        <v>1478</v>
      </c>
      <c r="B10842" s="2" t="str">
        <f>"0029362"</f>
        <v>0029362</v>
      </c>
      <c r="C10842" s="2" t="str">
        <f>"0029362"</f>
        <v>0029362</v>
      </c>
      <c r="D10842" s="2" t="s">
        <v>13518</v>
      </c>
      <c r="E10842" s="4">
        <v>58300</v>
      </c>
    </row>
    <row r="10843" spans="1:5">
      <c r="A10843" s="2" t="s">
        <v>1478</v>
      </c>
      <c r="B10843" s="2" t="s">
        <v>13519</v>
      </c>
      <c r="C10843" s="2" t="str">
        <f>"1693235830249"</f>
        <v>1693235830249</v>
      </c>
      <c r="D10843" s="2" t="s">
        <v>13520</v>
      </c>
      <c r="E10843" s="4">
        <v>150000</v>
      </c>
    </row>
    <row r="10844" spans="1:5">
      <c r="A10844" s="2" t="s">
        <v>1478</v>
      </c>
      <c r="B10844" s="2" t="str">
        <f>"1414"</f>
        <v>1414</v>
      </c>
      <c r="C10844" s="2" t="str">
        <f>"1414"</f>
        <v>1414</v>
      </c>
      <c r="D10844" s="2" t="s">
        <v>13521</v>
      </c>
      <c r="E10844" s="4">
        <v>29000</v>
      </c>
    </row>
    <row r="10845" spans="1:5">
      <c r="A10845" s="2" t="s">
        <v>365</v>
      </c>
      <c r="B10845" s="2" t="str">
        <f>"077144"</f>
        <v>077144</v>
      </c>
      <c r="C10845" s="2" t="str">
        <f>"077144"</f>
        <v>077144</v>
      </c>
      <c r="D10845" s="2" t="s">
        <v>13522</v>
      </c>
      <c r="E10845" s="2">
        <v>700</v>
      </c>
    </row>
    <row r="10846" spans="1:5">
      <c r="A10846" s="2" t="s">
        <v>365</v>
      </c>
      <c r="B10846" s="2" t="str">
        <f>"077145"</f>
        <v>077145</v>
      </c>
      <c r="C10846" s="2" t="str">
        <f>"077145"</f>
        <v>077145</v>
      </c>
      <c r="D10846" s="2" t="s">
        <v>13523</v>
      </c>
      <c r="E10846" s="2">
        <v>800</v>
      </c>
    </row>
    <row r="10847" spans="1:5">
      <c r="A10847" s="2" t="s">
        <v>296</v>
      </c>
      <c r="B10847" s="2" t="str">
        <f>"180183"</f>
        <v>180183</v>
      </c>
      <c r="C10847" s="2" t="str">
        <f>"180183"</f>
        <v>180183</v>
      </c>
      <c r="D10847" s="2" t="s">
        <v>13524</v>
      </c>
      <c r="E10847" s="4">
        <v>8800</v>
      </c>
    </row>
    <row r="10848" spans="1:5">
      <c r="A10848" s="2" t="s">
        <v>4493</v>
      </c>
      <c r="B10848" s="2" t="str">
        <f>"1027078"</f>
        <v>1027078</v>
      </c>
      <c r="C10848" s="2" t="str">
        <f>"1027078"</f>
        <v>1027078</v>
      </c>
      <c r="D10848" s="2" t="s">
        <v>13525</v>
      </c>
      <c r="E10848" s="4">
        <v>26000</v>
      </c>
    </row>
    <row r="10849" spans="1:5">
      <c r="A10849" s="2" t="s">
        <v>4493</v>
      </c>
      <c r="B10849" s="2" t="s">
        <v>13526</v>
      </c>
      <c r="C10849" s="2" t="s">
        <v>13527</v>
      </c>
      <c r="D10849" s="2" t="s">
        <v>13528</v>
      </c>
      <c r="E10849" s="4">
        <v>98000</v>
      </c>
    </row>
    <row r="10850" spans="1:5">
      <c r="A10850" s="2" t="s">
        <v>4493</v>
      </c>
      <c r="B10850" s="2" t="s">
        <v>13529</v>
      </c>
      <c r="C10850" s="2" t="s">
        <v>13530</v>
      </c>
      <c r="D10850" s="2" t="s">
        <v>13531</v>
      </c>
      <c r="E10850" s="4">
        <v>19600</v>
      </c>
    </row>
    <row r="10851" spans="1:5">
      <c r="A10851" s="2" t="s">
        <v>4493</v>
      </c>
      <c r="B10851" s="2" t="s">
        <v>13532</v>
      </c>
      <c r="C10851" s="2" t="s">
        <v>13532</v>
      </c>
      <c r="D10851" s="2" t="s">
        <v>13533</v>
      </c>
      <c r="E10851" s="4">
        <v>10900</v>
      </c>
    </row>
    <row r="10852" spans="1:5">
      <c r="A10852" s="2" t="s">
        <v>4493</v>
      </c>
      <c r="B10852" s="2" t="str">
        <f>"090320087"</f>
        <v>090320087</v>
      </c>
      <c r="C10852" s="2" t="str">
        <f>"090320087"</f>
        <v>090320087</v>
      </c>
      <c r="D10852" s="2" t="s">
        <v>13534</v>
      </c>
      <c r="E10852" s="4">
        <v>15900</v>
      </c>
    </row>
    <row r="10853" spans="1:5">
      <c r="A10853" s="2" t="s">
        <v>4493</v>
      </c>
      <c r="B10853" s="2" t="s">
        <v>13535</v>
      </c>
      <c r="C10853" s="2" t="s">
        <v>13535</v>
      </c>
      <c r="D10853" s="2" t="s">
        <v>13536</v>
      </c>
      <c r="E10853" s="4">
        <v>19000</v>
      </c>
    </row>
    <row r="10854" spans="1:5">
      <c r="A10854" s="2" t="s">
        <v>296</v>
      </c>
      <c r="B10854" s="2" t="str">
        <f>"1702488"</f>
        <v>1702488</v>
      </c>
      <c r="C10854" s="2" t="str">
        <f>"1702488"</f>
        <v>1702488</v>
      </c>
      <c r="D10854" s="2" t="s">
        <v>13537</v>
      </c>
      <c r="E10854" s="4">
        <v>5200</v>
      </c>
    </row>
    <row r="10855" spans="1:5">
      <c r="A10855" s="2" t="s">
        <v>296</v>
      </c>
      <c r="B10855" s="2" t="str">
        <f>"246272"</f>
        <v>246272</v>
      </c>
      <c r="C10855" s="2" t="str">
        <f>"246272"</f>
        <v>246272</v>
      </c>
      <c r="D10855" s="2" t="s">
        <v>13538</v>
      </c>
      <c r="E10855" s="4">
        <v>2500</v>
      </c>
    </row>
    <row r="10856" spans="1:5">
      <c r="A10856" s="2" t="s">
        <v>296</v>
      </c>
      <c r="B10856" s="2" t="str">
        <f>"014343"</f>
        <v>014343</v>
      </c>
      <c r="C10856" s="2" t="str">
        <f>"014343"</f>
        <v>014343</v>
      </c>
      <c r="D10856" s="2" t="s">
        <v>13539</v>
      </c>
      <c r="E10856" s="4">
        <v>2500</v>
      </c>
    </row>
    <row r="10857" spans="1:5">
      <c r="A10857" s="2" t="s">
        <v>296</v>
      </c>
      <c r="B10857" s="2" t="str">
        <f>"014375"</f>
        <v>014375</v>
      </c>
      <c r="C10857" s="2" t="str">
        <f>"014375"</f>
        <v>014375</v>
      </c>
      <c r="D10857" s="2" t="s">
        <v>13540</v>
      </c>
      <c r="E10857" s="4">
        <v>1800</v>
      </c>
    </row>
    <row r="10858" spans="1:5">
      <c r="A10858" s="2" t="s">
        <v>2541</v>
      </c>
      <c r="B10858" s="2" t="str">
        <f>"71004"</f>
        <v>71004</v>
      </c>
      <c r="C10858" s="2" t="str">
        <f>"71004"</f>
        <v>71004</v>
      </c>
      <c r="D10858" s="2" t="s">
        <v>13541</v>
      </c>
      <c r="E10858" s="4">
        <v>3800</v>
      </c>
    </row>
    <row r="10859" spans="1:5">
      <c r="A10859" s="2" t="s">
        <v>2541</v>
      </c>
      <c r="B10859" s="2" t="s">
        <v>13542</v>
      </c>
      <c r="C10859" s="2" t="s">
        <v>13542</v>
      </c>
      <c r="D10859" s="2" t="s">
        <v>13543</v>
      </c>
      <c r="E10859" s="4">
        <v>3000</v>
      </c>
    </row>
    <row r="10860" spans="1:5">
      <c r="A10860" s="2" t="s">
        <v>296</v>
      </c>
      <c r="B10860" s="2" t="s">
        <v>13544</v>
      </c>
      <c r="C10860" s="2" t="s">
        <v>13544</v>
      </c>
      <c r="D10860" s="2" t="s">
        <v>13545</v>
      </c>
      <c r="E10860" s="4">
        <v>2000</v>
      </c>
    </row>
    <row r="10861" spans="1:5">
      <c r="A10861" s="2" t="s">
        <v>2541</v>
      </c>
      <c r="B10861" s="2" t="str">
        <f>"20192880"</f>
        <v>20192880</v>
      </c>
      <c r="C10861" s="2" t="str">
        <f>"20192880"</f>
        <v>20192880</v>
      </c>
      <c r="D10861" s="2" t="s">
        <v>13545</v>
      </c>
      <c r="E10861" s="4">
        <v>3800</v>
      </c>
    </row>
    <row r="10862" spans="1:5">
      <c r="A10862" s="2" t="s">
        <v>2541</v>
      </c>
      <c r="B10862" s="2" t="s">
        <v>13546</v>
      </c>
      <c r="C10862" s="2" t="s">
        <v>13546</v>
      </c>
      <c r="D10862" s="2" t="s">
        <v>13547</v>
      </c>
      <c r="E10862" s="4">
        <v>3000</v>
      </c>
    </row>
    <row r="10863" spans="1:5">
      <c r="A10863" s="2" t="s">
        <v>2541</v>
      </c>
      <c r="B10863" s="2" t="str">
        <f>"071009"</f>
        <v>071009</v>
      </c>
      <c r="C10863" s="2" t="s">
        <v>13548</v>
      </c>
      <c r="D10863" s="2" t="s">
        <v>13549</v>
      </c>
      <c r="E10863" s="4">
        <v>4800</v>
      </c>
    </row>
    <row r="10864" spans="1:5">
      <c r="A10864" s="2" t="s">
        <v>2541</v>
      </c>
      <c r="B10864" s="2" t="s">
        <v>13550</v>
      </c>
      <c r="C10864" s="2" t="s">
        <v>13550</v>
      </c>
      <c r="D10864" s="2" t="s">
        <v>13551</v>
      </c>
      <c r="E10864" s="4">
        <v>2500</v>
      </c>
    </row>
    <row r="10865" spans="1:5">
      <c r="A10865" s="2" t="s">
        <v>296</v>
      </c>
      <c r="B10865" s="2" t="str">
        <f>"1019-2719"</f>
        <v>1019-2719</v>
      </c>
      <c r="C10865" s="2" t="str">
        <f>"1019-2719"</f>
        <v>1019-2719</v>
      </c>
      <c r="D10865" s="2" t="s">
        <v>13552</v>
      </c>
      <c r="E10865" s="4">
        <v>4300</v>
      </c>
    </row>
    <row r="10866" spans="1:5">
      <c r="A10866" s="2" t="s">
        <v>296</v>
      </c>
      <c r="B10866" s="2" t="str">
        <f>"0150130"</f>
        <v>0150130</v>
      </c>
      <c r="C10866" s="2" t="str">
        <f>"0150130"</f>
        <v>0150130</v>
      </c>
      <c r="D10866" s="2" t="s">
        <v>13553</v>
      </c>
      <c r="E10866" s="4">
        <v>3400</v>
      </c>
    </row>
    <row r="10867" spans="1:5">
      <c r="A10867" s="2" t="s">
        <v>2541</v>
      </c>
      <c r="B10867" s="2" t="s">
        <v>13554</v>
      </c>
      <c r="C10867" s="2" t="s">
        <v>13554</v>
      </c>
      <c r="D10867" s="2" t="s">
        <v>13555</v>
      </c>
      <c r="E10867" s="4">
        <v>2800</v>
      </c>
    </row>
    <row r="10868" spans="1:5">
      <c r="A10868" s="2" t="s">
        <v>2541</v>
      </c>
      <c r="B10868" s="2" t="str">
        <f>"0150135"</f>
        <v>0150135</v>
      </c>
      <c r="C10868" s="2" t="str">
        <f>"0150135"</f>
        <v>0150135</v>
      </c>
      <c r="D10868" s="2" t="s">
        <v>13556</v>
      </c>
      <c r="E10868" s="4">
        <v>6100</v>
      </c>
    </row>
    <row r="10869" spans="1:5">
      <c r="A10869" s="2" t="s">
        <v>2541</v>
      </c>
      <c r="B10869" s="2" t="str">
        <f>"2234101"</f>
        <v>2234101</v>
      </c>
      <c r="C10869" s="2" t="str">
        <f>"2234101"</f>
        <v>2234101</v>
      </c>
      <c r="D10869" s="2" t="s">
        <v>13557</v>
      </c>
      <c r="E10869" s="4">
        <v>8900</v>
      </c>
    </row>
    <row r="10870" spans="1:5">
      <c r="A10870" s="2" t="s">
        <v>296</v>
      </c>
      <c r="B10870" s="2" t="str">
        <f>"3026-2624"</f>
        <v>3026-2624</v>
      </c>
      <c r="C10870" s="2" t="str">
        <f>"3026-2624"</f>
        <v>3026-2624</v>
      </c>
      <c r="D10870" s="2" t="s">
        <v>13558</v>
      </c>
      <c r="E10870" s="4">
        <v>7900</v>
      </c>
    </row>
    <row r="10871" spans="1:5">
      <c r="A10871" s="2" t="s">
        <v>296</v>
      </c>
      <c r="B10871" s="2" t="str">
        <f>"012503"</f>
        <v>012503</v>
      </c>
      <c r="C10871" s="2" t="str">
        <f>"012503"</f>
        <v>012503</v>
      </c>
      <c r="D10871" s="2" t="s">
        <v>13559</v>
      </c>
      <c r="E10871" s="4">
        <v>10500</v>
      </c>
    </row>
    <row r="10872" spans="1:5">
      <c r="A10872" s="2" t="s">
        <v>296</v>
      </c>
      <c r="B10872" s="2" t="str">
        <f>"8008810"</f>
        <v>8008810</v>
      </c>
      <c r="C10872" s="2" t="str">
        <f>"8008810"</f>
        <v>8008810</v>
      </c>
      <c r="D10872" s="2" t="s">
        <v>13560</v>
      </c>
      <c r="E10872" s="4">
        <v>4300</v>
      </c>
    </row>
    <row r="10873" spans="1:5">
      <c r="A10873" s="2" t="s">
        <v>296</v>
      </c>
      <c r="B10873" s="2" t="str">
        <f>"0033443"</f>
        <v>0033443</v>
      </c>
      <c r="C10873" s="2" t="str">
        <f>"0033443"</f>
        <v>0033443</v>
      </c>
      <c r="D10873" s="2" t="s">
        <v>13561</v>
      </c>
      <c r="E10873" s="4">
        <v>6100</v>
      </c>
    </row>
    <row r="10874" spans="1:5">
      <c r="A10874" s="2" t="s">
        <v>296</v>
      </c>
      <c r="B10874" s="2" t="str">
        <f>"0016260"</f>
        <v>0016260</v>
      </c>
      <c r="C10874" s="2" t="str">
        <f>"0016260"</f>
        <v>0016260</v>
      </c>
      <c r="D10874" s="2" t="s">
        <v>13562</v>
      </c>
      <c r="E10874" s="4">
        <v>8000</v>
      </c>
    </row>
    <row r="10875" spans="1:5">
      <c r="A10875" s="2" t="s">
        <v>2541</v>
      </c>
      <c r="B10875" s="2" t="str">
        <f>"1702508"</f>
        <v>1702508</v>
      </c>
      <c r="C10875" s="2" t="str">
        <f>"1702508"</f>
        <v>1702508</v>
      </c>
      <c r="D10875" s="2" t="s">
        <v>13563</v>
      </c>
      <c r="E10875" s="4">
        <v>2500</v>
      </c>
    </row>
    <row r="10876" spans="1:5">
      <c r="A10876" s="2" t="s">
        <v>2064</v>
      </c>
      <c r="B10876" s="2" t="str">
        <f>"02105CS"</f>
        <v>02105CS</v>
      </c>
      <c r="C10876" s="2" t="str">
        <f>"02105CS"</f>
        <v>02105CS</v>
      </c>
      <c r="D10876" s="2" t="s">
        <v>13564</v>
      </c>
      <c r="E10876" s="4">
        <v>2000</v>
      </c>
    </row>
    <row r="10877" spans="1:5">
      <c r="A10877" s="2" t="s">
        <v>296</v>
      </c>
      <c r="B10877" s="2" t="str">
        <f>"0011327"</f>
        <v>0011327</v>
      </c>
      <c r="C10877" s="2" t="str">
        <f>"0011327"</f>
        <v>0011327</v>
      </c>
      <c r="D10877" s="2" t="s">
        <v>13565</v>
      </c>
      <c r="E10877" s="4">
        <v>4300</v>
      </c>
    </row>
    <row r="10878" spans="1:5">
      <c r="A10878" s="2" t="s">
        <v>296</v>
      </c>
      <c r="B10878" s="2" t="str">
        <f>"091440330"</f>
        <v>091440330</v>
      </c>
      <c r="C10878" s="2" t="str">
        <f>"091440330"</f>
        <v>091440330</v>
      </c>
      <c r="D10878" s="2" t="s">
        <v>13566</v>
      </c>
      <c r="E10878" s="4">
        <v>4500</v>
      </c>
    </row>
    <row r="10879" spans="1:5">
      <c r="A10879" s="2" t="s">
        <v>296</v>
      </c>
      <c r="B10879" s="2" t="str">
        <f>"090440116"</f>
        <v>090440116</v>
      </c>
      <c r="C10879" s="2" t="str">
        <f>"090440116"</f>
        <v>090440116</v>
      </c>
      <c r="D10879" s="2" t="s">
        <v>13567</v>
      </c>
      <c r="E10879" s="4">
        <v>4300</v>
      </c>
    </row>
    <row r="10880" spans="1:5">
      <c r="A10880" s="2" t="s">
        <v>2541</v>
      </c>
      <c r="B10880" s="2" t="s">
        <v>13568</v>
      </c>
      <c r="C10880" s="2" t="s">
        <v>13568</v>
      </c>
      <c r="D10880" s="2" t="s">
        <v>13569</v>
      </c>
      <c r="E10880" s="4">
        <v>8800</v>
      </c>
    </row>
    <row r="10881" spans="1:5">
      <c r="A10881" s="2" t="s">
        <v>296</v>
      </c>
      <c r="B10881" s="2" t="str">
        <f>"20558"</f>
        <v>20558</v>
      </c>
      <c r="C10881" s="2" t="str">
        <f>"20558"</f>
        <v>20558</v>
      </c>
      <c r="D10881" s="2" t="s">
        <v>13570</v>
      </c>
      <c r="E10881" s="4">
        <v>4800</v>
      </c>
    </row>
    <row r="10882" spans="1:5">
      <c r="A10882" s="2" t="s">
        <v>296</v>
      </c>
      <c r="B10882" s="2" t="str">
        <f>"1564"</f>
        <v>1564</v>
      </c>
      <c r="C10882" s="2" t="str">
        <f>"1564"</f>
        <v>1564</v>
      </c>
      <c r="D10882" s="2" t="s">
        <v>13571</v>
      </c>
      <c r="E10882" s="4">
        <v>3500</v>
      </c>
    </row>
    <row r="10883" spans="1:5">
      <c r="A10883" s="2" t="s">
        <v>296</v>
      </c>
      <c r="B10883" s="2" t="str">
        <f>"2367-080"</f>
        <v>2367-080</v>
      </c>
      <c r="C10883" s="2" t="str">
        <f>"2367-080"</f>
        <v>2367-080</v>
      </c>
      <c r="D10883" s="2" t="s">
        <v>13572</v>
      </c>
      <c r="E10883" s="4">
        <v>9800</v>
      </c>
    </row>
    <row r="10884" spans="1:5">
      <c r="A10884" s="2" t="s">
        <v>296</v>
      </c>
      <c r="B10884" s="2" t="str">
        <f>"0016484"</f>
        <v>0016484</v>
      </c>
      <c r="C10884" s="2" t="str">
        <f>"010730014"</f>
        <v>010730014</v>
      </c>
      <c r="D10884" s="2" t="s">
        <v>13573</v>
      </c>
      <c r="E10884" s="4">
        <v>14200</v>
      </c>
    </row>
    <row r="10885" spans="1:5">
      <c r="A10885" s="2" t="s">
        <v>296</v>
      </c>
      <c r="B10885" s="2" t="str">
        <f>"010730046"</f>
        <v>010730046</v>
      </c>
      <c r="C10885" s="2" t="str">
        <f>"010730046"</f>
        <v>010730046</v>
      </c>
      <c r="D10885" s="2" t="s">
        <v>13574</v>
      </c>
      <c r="E10885" s="4">
        <v>4300</v>
      </c>
    </row>
    <row r="10886" spans="1:5">
      <c r="A10886" s="2" t="s">
        <v>2544</v>
      </c>
      <c r="B10886" s="2" t="str">
        <f>"00609513"</f>
        <v>00609513</v>
      </c>
      <c r="C10886" s="2" t="str">
        <f>"00609513"</f>
        <v>00609513</v>
      </c>
      <c r="D10886" s="2" t="s">
        <v>13575</v>
      </c>
      <c r="E10886" s="4">
        <v>15000</v>
      </c>
    </row>
    <row r="10887" spans="1:5">
      <c r="A10887" s="2" t="s">
        <v>296</v>
      </c>
      <c r="B10887" s="2" t="s">
        <v>13576</v>
      </c>
      <c r="C10887" s="2" t="s">
        <v>13576</v>
      </c>
      <c r="D10887" s="2" t="s">
        <v>13577</v>
      </c>
      <c r="E10887" s="4">
        <v>3800</v>
      </c>
    </row>
    <row r="10888" spans="1:5">
      <c r="A10888" s="2" t="s">
        <v>296</v>
      </c>
      <c r="B10888" s="2" t="str">
        <f>"012536"</f>
        <v>012536</v>
      </c>
      <c r="C10888" s="2" t="str">
        <f>"012536"</f>
        <v>012536</v>
      </c>
      <c r="D10888" s="2" t="s">
        <v>13578</v>
      </c>
      <c r="E10888" s="4">
        <v>5900</v>
      </c>
    </row>
    <row r="10889" spans="1:5">
      <c r="A10889" s="2" t="s">
        <v>296</v>
      </c>
      <c r="B10889" s="2" t="str">
        <f>"012542"</f>
        <v>012542</v>
      </c>
      <c r="C10889" s="2" t="str">
        <f>"012542"</f>
        <v>012542</v>
      </c>
      <c r="D10889" s="2" t="s">
        <v>13579</v>
      </c>
      <c r="E10889" s="2">
        <v>0</v>
      </c>
    </row>
    <row r="10890" spans="1:5">
      <c r="A10890" s="2" t="s">
        <v>2544</v>
      </c>
      <c r="B10890" s="2" t="str">
        <f>"00609505"</f>
        <v>00609505</v>
      </c>
      <c r="C10890" s="2" t="str">
        <f>"00609505"</f>
        <v>00609505</v>
      </c>
      <c r="D10890" s="2" t="s">
        <v>13580</v>
      </c>
      <c r="E10890" s="4">
        <v>3500</v>
      </c>
    </row>
    <row r="10891" spans="1:5">
      <c r="A10891" s="2" t="s">
        <v>296</v>
      </c>
      <c r="B10891" s="2" t="str">
        <f>"1100100"</f>
        <v>1100100</v>
      </c>
      <c r="C10891" s="2" t="str">
        <f>"1100100"</f>
        <v>1100100</v>
      </c>
      <c r="D10891" s="2" t="s">
        <v>13581</v>
      </c>
      <c r="E10891" s="2">
        <v>0</v>
      </c>
    </row>
    <row r="10892" spans="1:5">
      <c r="A10892" s="2" t="s">
        <v>296</v>
      </c>
      <c r="B10892" s="2" t="str">
        <f>"012526"</f>
        <v>012526</v>
      </c>
      <c r="C10892" s="2" t="str">
        <f>"012526"</f>
        <v>012526</v>
      </c>
      <c r="D10892" s="2" t="s">
        <v>13582</v>
      </c>
      <c r="E10892" s="2">
        <v>0</v>
      </c>
    </row>
    <row r="10893" spans="1:5">
      <c r="A10893" s="2" t="s">
        <v>296</v>
      </c>
      <c r="B10893" s="2" t="str">
        <f>"012512"</f>
        <v>012512</v>
      </c>
      <c r="C10893" s="2" t="str">
        <f>"012512"</f>
        <v>012512</v>
      </c>
      <c r="D10893" s="2" t="s">
        <v>13583</v>
      </c>
      <c r="E10893" s="4">
        <v>5200</v>
      </c>
    </row>
    <row r="10894" spans="1:5">
      <c r="A10894" s="2" t="s">
        <v>296</v>
      </c>
      <c r="B10894" s="2" t="str">
        <f>"012552"</f>
        <v>012552</v>
      </c>
      <c r="C10894" s="2" t="str">
        <f>"012552"</f>
        <v>012552</v>
      </c>
      <c r="D10894" s="2" t="s">
        <v>13584</v>
      </c>
      <c r="E10894" s="4">
        <v>6100</v>
      </c>
    </row>
    <row r="10895" spans="1:5">
      <c r="A10895" s="2" t="s">
        <v>296</v>
      </c>
      <c r="B10895" s="2" t="str">
        <f>"1018-2550"</f>
        <v>1018-2550</v>
      </c>
      <c r="C10895" s="2" t="str">
        <f>"1018-2550"</f>
        <v>1018-2550</v>
      </c>
      <c r="D10895" s="2" t="s">
        <v>13584</v>
      </c>
      <c r="E10895" s="2">
        <v>0</v>
      </c>
    </row>
    <row r="10896" spans="1:5">
      <c r="A10896" s="2" t="s">
        <v>296</v>
      </c>
      <c r="B10896" s="2" t="str">
        <f>"1018-2554"</f>
        <v>1018-2554</v>
      </c>
      <c r="C10896" s="2" t="str">
        <f>"1018-2554"</f>
        <v>1018-2554</v>
      </c>
      <c r="D10896" s="2" t="s">
        <v>13585</v>
      </c>
      <c r="E10896" s="4">
        <v>5200</v>
      </c>
    </row>
    <row r="10897" spans="1:5">
      <c r="A10897" s="2" t="s">
        <v>2544</v>
      </c>
      <c r="B10897" s="2" t="str">
        <f>"012535"</f>
        <v>012535</v>
      </c>
      <c r="C10897" s="2" t="str">
        <f>"0016490"</f>
        <v>0016490</v>
      </c>
      <c r="D10897" s="2" t="s">
        <v>13586</v>
      </c>
      <c r="E10897" s="4">
        <v>16000</v>
      </c>
    </row>
    <row r="10898" spans="1:5">
      <c r="A10898" s="2" t="s">
        <v>296</v>
      </c>
      <c r="B10898" s="2" t="str">
        <f>"010730010"</f>
        <v>010730010</v>
      </c>
      <c r="C10898" s="2" t="str">
        <f>"010730010"</f>
        <v>010730010</v>
      </c>
      <c r="D10898" s="2" t="s">
        <v>13587</v>
      </c>
      <c r="E10898" s="4">
        <v>4300</v>
      </c>
    </row>
    <row r="10899" spans="1:5">
      <c r="A10899" s="2" t="s">
        <v>2541</v>
      </c>
      <c r="B10899" s="2" t="str">
        <f>"0158668"</f>
        <v>0158668</v>
      </c>
      <c r="C10899" s="2" t="str">
        <f>"0158668"</f>
        <v>0158668</v>
      </c>
      <c r="D10899" s="2" t="s">
        <v>13588</v>
      </c>
      <c r="E10899" s="4">
        <v>5200</v>
      </c>
    </row>
    <row r="10900" spans="1:5">
      <c r="A10900" s="2" t="s">
        <v>296</v>
      </c>
      <c r="B10900" s="2" t="str">
        <f>"012538"</f>
        <v>012538</v>
      </c>
      <c r="C10900" s="2" t="str">
        <f>"012538"</f>
        <v>012538</v>
      </c>
      <c r="D10900" s="2" t="s">
        <v>13589</v>
      </c>
      <c r="E10900" s="4">
        <v>4300</v>
      </c>
    </row>
    <row r="10901" spans="1:5">
      <c r="A10901" s="2" t="s">
        <v>2541</v>
      </c>
      <c r="B10901" s="2" t="str">
        <f>"11301-75011"</f>
        <v>11301-75011</v>
      </c>
      <c r="C10901" s="2" t="str">
        <f>"1111-6226"</f>
        <v>1111-6226</v>
      </c>
      <c r="D10901" s="2" t="s">
        <v>13590</v>
      </c>
      <c r="E10901" s="4">
        <v>61000</v>
      </c>
    </row>
    <row r="10902" spans="1:5">
      <c r="A10902" s="2" t="s">
        <v>296</v>
      </c>
      <c r="B10902" s="2" t="str">
        <f>"2768"</f>
        <v>2768</v>
      </c>
      <c r="C10902" s="2" t="str">
        <f>"2768"</f>
        <v>2768</v>
      </c>
      <c r="D10902" s="2" t="s">
        <v>13591</v>
      </c>
      <c r="E10902" s="4">
        <v>26500</v>
      </c>
    </row>
    <row r="10903" spans="1:5">
      <c r="A10903" s="2" t="s">
        <v>296</v>
      </c>
      <c r="B10903" s="2" t="str">
        <f>"012522"</f>
        <v>012522</v>
      </c>
      <c r="C10903" s="2" t="str">
        <f>"012522"</f>
        <v>012522</v>
      </c>
      <c r="D10903" s="2" t="s">
        <v>13592</v>
      </c>
      <c r="E10903" s="2">
        <v>0</v>
      </c>
    </row>
    <row r="10904" spans="1:5">
      <c r="A10904" s="2" t="s">
        <v>2541</v>
      </c>
      <c r="B10904" s="2" t="str">
        <f>"012516"</f>
        <v>012516</v>
      </c>
      <c r="C10904" s="2" t="str">
        <f>"012516"</f>
        <v>012516</v>
      </c>
      <c r="D10904" s="2" t="s">
        <v>13593</v>
      </c>
      <c r="E10904" s="4">
        <v>7000</v>
      </c>
    </row>
    <row r="10905" spans="1:5">
      <c r="A10905" s="2" t="s">
        <v>2541</v>
      </c>
      <c r="B10905" s="2" t="str">
        <f>"19101-74030"</f>
        <v>19101-74030</v>
      </c>
      <c r="C10905" s="2" t="str">
        <f>"19101-74030"</f>
        <v>19101-74030</v>
      </c>
      <c r="D10905" s="2" t="s">
        <v>13594</v>
      </c>
      <c r="E10905" s="4">
        <v>32500</v>
      </c>
    </row>
    <row r="10906" spans="1:5">
      <c r="A10906" s="2" t="s">
        <v>2541</v>
      </c>
      <c r="B10906" s="2" t="s">
        <v>13595</v>
      </c>
      <c r="C10906" s="2" t="s">
        <v>13596</v>
      </c>
      <c r="D10906" s="2" t="s">
        <v>13597</v>
      </c>
      <c r="E10906" s="4">
        <v>5200</v>
      </c>
    </row>
    <row r="10907" spans="1:5">
      <c r="A10907" s="2" t="s">
        <v>2541</v>
      </c>
      <c r="B10907" s="2" t="str">
        <f>"012527"</f>
        <v>012527</v>
      </c>
      <c r="C10907" s="2" t="str">
        <f>"012527"</f>
        <v>012527</v>
      </c>
      <c r="D10907" s="2" t="s">
        <v>13598</v>
      </c>
      <c r="E10907" s="4">
        <v>5900</v>
      </c>
    </row>
    <row r="10908" spans="1:5">
      <c r="A10908" s="2" t="s">
        <v>2541</v>
      </c>
      <c r="B10908" s="2" t="s">
        <v>13599</v>
      </c>
      <c r="C10908" s="2" t="s">
        <v>13600</v>
      </c>
      <c r="D10908" s="2" t="s">
        <v>13601</v>
      </c>
      <c r="E10908" s="4">
        <v>9500</v>
      </c>
    </row>
    <row r="10909" spans="1:5">
      <c r="A10909" s="2" t="s">
        <v>2541</v>
      </c>
      <c r="B10909" s="2" t="s">
        <v>13602</v>
      </c>
      <c r="C10909" s="2" t="s">
        <v>13603</v>
      </c>
      <c r="D10909" s="2" t="s">
        <v>13604</v>
      </c>
      <c r="E10909" s="4">
        <v>5500</v>
      </c>
    </row>
    <row r="10910" spans="1:5">
      <c r="A10910" s="2" t="s">
        <v>2541</v>
      </c>
      <c r="B10910" s="2" t="s">
        <v>13605</v>
      </c>
      <c r="C10910" s="2" t="s">
        <v>13606</v>
      </c>
      <c r="D10910" s="2" t="s">
        <v>13607</v>
      </c>
      <c r="E10910" s="4">
        <v>5500</v>
      </c>
    </row>
    <row r="10911" spans="1:5">
      <c r="A10911" s="2" t="s">
        <v>2541</v>
      </c>
      <c r="B10911" s="2" t="s">
        <v>13608</v>
      </c>
      <c r="C10911" s="2" t="s">
        <v>13609</v>
      </c>
      <c r="D10911" s="2" t="s">
        <v>13610</v>
      </c>
      <c r="E10911" s="4">
        <v>4500</v>
      </c>
    </row>
    <row r="10912" spans="1:5">
      <c r="A10912" s="2" t="s">
        <v>2541</v>
      </c>
      <c r="B10912" s="2" t="str">
        <f>"20552"</f>
        <v>20552</v>
      </c>
      <c r="C10912" s="2" t="str">
        <f>"20552"</f>
        <v>20552</v>
      </c>
      <c r="D10912" s="2" t="s">
        <v>13611</v>
      </c>
      <c r="E10912" s="4">
        <v>7000</v>
      </c>
    </row>
    <row r="10913" spans="1:5">
      <c r="A10913" s="2" t="s">
        <v>2541</v>
      </c>
      <c r="B10913" s="2" t="s">
        <v>13612</v>
      </c>
      <c r="C10913" s="2" t="s">
        <v>13612</v>
      </c>
      <c r="D10913" s="2" t="s">
        <v>13613</v>
      </c>
      <c r="E10913" s="4">
        <v>15100</v>
      </c>
    </row>
    <row r="10914" spans="1:5">
      <c r="A10914" s="2" t="s">
        <v>296</v>
      </c>
      <c r="B10914" s="2" t="str">
        <f>"1689119"</f>
        <v>1689119</v>
      </c>
      <c r="C10914" s="2" t="str">
        <f>"1689119"</f>
        <v>1689119</v>
      </c>
      <c r="D10914" s="2" t="s">
        <v>13614</v>
      </c>
      <c r="E10914" s="4">
        <v>3500</v>
      </c>
    </row>
    <row r="10915" spans="1:5">
      <c r="A10915" s="2" t="s">
        <v>296</v>
      </c>
      <c r="B10915" s="2" t="s">
        <v>13615</v>
      </c>
      <c r="C10915" s="2" t="s">
        <v>13615</v>
      </c>
      <c r="D10915" s="2" t="s">
        <v>13616</v>
      </c>
      <c r="E10915" s="4">
        <v>8800</v>
      </c>
    </row>
    <row r="10916" spans="1:5">
      <c r="A10916" s="2" t="s">
        <v>2544</v>
      </c>
      <c r="B10916" s="2" t="str">
        <f>"012521"</f>
        <v>012521</v>
      </c>
      <c r="C10916" s="2" t="str">
        <f>"012521"</f>
        <v>012521</v>
      </c>
      <c r="D10916" s="2" t="s">
        <v>13617</v>
      </c>
      <c r="E10916" s="4">
        <v>7000</v>
      </c>
    </row>
    <row r="10917" spans="1:5">
      <c r="A10917" s="2" t="s">
        <v>296</v>
      </c>
      <c r="B10917" s="2" t="str">
        <f>"012553"</f>
        <v>012553</v>
      </c>
      <c r="C10917" s="2" t="str">
        <f>"012553"</f>
        <v>012553</v>
      </c>
      <c r="D10917" s="2" t="s">
        <v>13618</v>
      </c>
      <c r="E10917" s="4">
        <v>4300</v>
      </c>
    </row>
    <row r="10918" spans="1:5">
      <c r="A10918" s="2" t="s">
        <v>296</v>
      </c>
      <c r="B10918" s="2" t="str">
        <f>"012549"</f>
        <v>012549</v>
      </c>
      <c r="C10918" s="2" t="str">
        <f>"012549"</f>
        <v>012549</v>
      </c>
      <c r="D10918" s="2" t="s">
        <v>13619</v>
      </c>
      <c r="E10918" s="4">
        <v>5500</v>
      </c>
    </row>
    <row r="10919" spans="1:5">
      <c r="A10919" s="2" t="s">
        <v>296</v>
      </c>
      <c r="B10919" s="2" t="str">
        <f>"012508"</f>
        <v>012508</v>
      </c>
      <c r="C10919" s="2" t="str">
        <f>"012508"</f>
        <v>012508</v>
      </c>
      <c r="D10919" s="2" t="s">
        <v>13620</v>
      </c>
      <c r="E10919" s="4">
        <v>5500</v>
      </c>
    </row>
    <row r="10920" spans="1:5">
      <c r="A10920" s="2" t="s">
        <v>296</v>
      </c>
      <c r="B10920" s="2" t="str">
        <f>"012525"</f>
        <v>012525</v>
      </c>
      <c r="C10920" s="2" t="str">
        <f>"012525"</f>
        <v>012525</v>
      </c>
      <c r="D10920" s="2" t="s">
        <v>13621</v>
      </c>
      <c r="E10920" s="4">
        <v>5800</v>
      </c>
    </row>
    <row r="10921" spans="1:5">
      <c r="A10921" s="2" t="s">
        <v>296</v>
      </c>
      <c r="B10921" s="2" t="str">
        <f>"012551"</f>
        <v>012551</v>
      </c>
      <c r="C10921" s="2" t="str">
        <f>"012551"</f>
        <v>012551</v>
      </c>
      <c r="D10921" s="2" t="s">
        <v>13622</v>
      </c>
      <c r="E10921" s="4">
        <v>7900</v>
      </c>
    </row>
    <row r="10922" spans="1:5">
      <c r="A10922" s="2" t="s">
        <v>296</v>
      </c>
      <c r="B10922" s="2" t="str">
        <f>"012564"</f>
        <v>012564</v>
      </c>
      <c r="C10922" s="2" t="str">
        <f>"012564"</f>
        <v>012564</v>
      </c>
      <c r="D10922" s="2" t="s">
        <v>13623</v>
      </c>
      <c r="E10922" s="4">
        <v>16500</v>
      </c>
    </row>
    <row r="10923" spans="1:5">
      <c r="A10923" s="2" t="s">
        <v>296</v>
      </c>
      <c r="B10923" s="2" t="str">
        <f>"012511"</f>
        <v>012511</v>
      </c>
      <c r="C10923" s="2" t="str">
        <f>"012511"</f>
        <v>012511</v>
      </c>
      <c r="D10923" s="2" t="s">
        <v>13624</v>
      </c>
      <c r="E10923" s="4">
        <v>8500</v>
      </c>
    </row>
    <row r="10924" spans="1:5">
      <c r="A10924" s="2" t="s">
        <v>296</v>
      </c>
      <c r="B10924" s="2" t="str">
        <f>"012558"</f>
        <v>012558</v>
      </c>
      <c r="C10924" s="2" t="str">
        <f>"012558"</f>
        <v>012558</v>
      </c>
      <c r="D10924" s="2" t="s">
        <v>13625</v>
      </c>
      <c r="E10924" s="4">
        <v>12400</v>
      </c>
    </row>
    <row r="10925" spans="1:5">
      <c r="A10925" s="2" t="s">
        <v>296</v>
      </c>
      <c r="B10925" s="2" t="str">
        <f>"012532"</f>
        <v>012532</v>
      </c>
      <c r="C10925" s="2" t="str">
        <f>"012532"</f>
        <v>012532</v>
      </c>
      <c r="D10925" s="2" t="s">
        <v>13626</v>
      </c>
      <c r="E10925" s="4">
        <v>5200</v>
      </c>
    </row>
    <row r="10926" spans="1:5">
      <c r="A10926" s="2" t="s">
        <v>296</v>
      </c>
      <c r="B10926" s="2" t="str">
        <f>"012519"</f>
        <v>012519</v>
      </c>
      <c r="C10926" s="2" t="str">
        <f>"012519"</f>
        <v>012519</v>
      </c>
      <c r="D10926" s="2" t="s">
        <v>13627</v>
      </c>
      <c r="E10926" s="4">
        <v>4300</v>
      </c>
    </row>
    <row r="10927" spans="1:5">
      <c r="A10927" s="2" t="s">
        <v>296</v>
      </c>
      <c r="B10927" s="2" t="str">
        <f>"012537"</f>
        <v>012537</v>
      </c>
      <c r="C10927" s="2" t="str">
        <f>"012537"</f>
        <v>012537</v>
      </c>
      <c r="D10927" s="2" t="s">
        <v>13628</v>
      </c>
      <c r="E10927" s="4">
        <v>4500</v>
      </c>
    </row>
    <row r="10928" spans="1:5">
      <c r="A10928" s="2" t="s">
        <v>296</v>
      </c>
      <c r="B10928" s="2" t="str">
        <f>"010730013"</f>
        <v>010730013</v>
      </c>
      <c r="C10928" s="2" t="str">
        <f>"001114085-8"</f>
        <v>001114085-8</v>
      </c>
      <c r="D10928" s="2" t="s">
        <v>13629</v>
      </c>
      <c r="E10928" s="4">
        <v>12400</v>
      </c>
    </row>
    <row r="10929" spans="1:5">
      <c r="A10929" s="2" t="s">
        <v>296</v>
      </c>
      <c r="B10929" s="2" t="str">
        <f>"012561"</f>
        <v>012561</v>
      </c>
      <c r="C10929" s="2" t="str">
        <f>"012561"</f>
        <v>012561</v>
      </c>
      <c r="D10929" s="2" t="s">
        <v>13630</v>
      </c>
      <c r="E10929" s="4">
        <v>18700</v>
      </c>
    </row>
    <row r="10930" spans="1:5">
      <c r="A10930" s="2" t="s">
        <v>296</v>
      </c>
      <c r="B10930" s="2" t="str">
        <f>"0020977"</f>
        <v>0020977</v>
      </c>
      <c r="C10930" s="2" t="str">
        <f>"0020977"</f>
        <v>0020977</v>
      </c>
      <c r="D10930" s="2" t="s">
        <v>13631</v>
      </c>
      <c r="E10930" s="4">
        <v>4300</v>
      </c>
    </row>
    <row r="10931" spans="1:5">
      <c r="A10931" s="2" t="s">
        <v>296</v>
      </c>
      <c r="B10931" s="2" t="str">
        <f>"010730022"</f>
        <v>010730022</v>
      </c>
      <c r="C10931" s="2" t="str">
        <f>"010730022"</f>
        <v>010730022</v>
      </c>
      <c r="D10931" s="2" t="s">
        <v>13632</v>
      </c>
      <c r="E10931" s="4">
        <v>3400</v>
      </c>
    </row>
    <row r="10932" spans="1:5">
      <c r="A10932" s="2" t="s">
        <v>296</v>
      </c>
      <c r="B10932" s="2" t="str">
        <f>"0020975"</f>
        <v>0020975</v>
      </c>
      <c r="C10932" s="2" t="str">
        <f>"0020975"</f>
        <v>0020975</v>
      </c>
      <c r="D10932" s="2" t="s">
        <v>13633</v>
      </c>
      <c r="E10932" s="4">
        <v>4300</v>
      </c>
    </row>
    <row r="10933" spans="1:5">
      <c r="A10933" s="2" t="s">
        <v>296</v>
      </c>
      <c r="B10933" s="2" t="str">
        <f>"013323"</f>
        <v>013323</v>
      </c>
      <c r="C10933" s="2" t="str">
        <f>"013323"</f>
        <v>013323</v>
      </c>
      <c r="D10933" s="2" t="s">
        <v>13634</v>
      </c>
      <c r="E10933" s="4">
        <v>6100</v>
      </c>
    </row>
    <row r="10934" spans="1:5">
      <c r="A10934" s="2" t="s">
        <v>296</v>
      </c>
      <c r="B10934" s="2" t="str">
        <f>"20182770"</f>
        <v>20182770</v>
      </c>
      <c r="C10934" s="2" t="str">
        <f>"20182770"</f>
        <v>20182770</v>
      </c>
      <c r="D10934" s="2" t="s">
        <v>13635</v>
      </c>
      <c r="E10934" s="4">
        <v>28500</v>
      </c>
    </row>
    <row r="10935" spans="1:5">
      <c r="A10935" s="2" t="s">
        <v>296</v>
      </c>
      <c r="B10935" s="2" t="str">
        <f>"014327"</f>
        <v>014327</v>
      </c>
      <c r="C10935" s="2" t="str">
        <f>"014327"</f>
        <v>014327</v>
      </c>
      <c r="D10935" s="2" t="s">
        <v>13636</v>
      </c>
      <c r="E10935" s="4">
        <v>3800</v>
      </c>
    </row>
    <row r="10936" spans="1:5">
      <c r="A10936" s="2" t="s">
        <v>296</v>
      </c>
      <c r="B10936" s="2" t="str">
        <f>"000980535-4"</f>
        <v>000980535-4</v>
      </c>
      <c r="C10936" s="2" t="str">
        <f>"000980535-4"</f>
        <v>000980535-4</v>
      </c>
      <c r="D10936" s="2" t="s">
        <v>13637</v>
      </c>
      <c r="E10936" s="4">
        <v>7000</v>
      </c>
    </row>
    <row r="10937" spans="1:5">
      <c r="A10937" s="2" t="s">
        <v>296</v>
      </c>
      <c r="B10937" s="2" t="str">
        <f>"0017183"</f>
        <v>0017183</v>
      </c>
      <c r="C10937" s="2" t="str">
        <f>"0017183"</f>
        <v>0017183</v>
      </c>
      <c r="D10937" s="2" t="s">
        <v>13638</v>
      </c>
      <c r="E10937" s="4">
        <v>4300</v>
      </c>
    </row>
    <row r="10938" spans="1:5">
      <c r="A10938" s="2" t="s">
        <v>296</v>
      </c>
      <c r="B10938" s="2" t="str">
        <f>"0016546"</f>
        <v>0016546</v>
      </c>
      <c r="C10938" s="2" t="str">
        <f>"1602070914656"</f>
        <v>1602070914656</v>
      </c>
      <c r="D10938" s="2" t="s">
        <v>13639</v>
      </c>
      <c r="E10938" s="4">
        <v>7000</v>
      </c>
    </row>
    <row r="10939" spans="1:5">
      <c r="A10939" s="2" t="s">
        <v>296</v>
      </c>
      <c r="B10939" s="2" t="str">
        <f>"010328"</f>
        <v>010328</v>
      </c>
      <c r="C10939" s="2" t="str">
        <f>"010328"</f>
        <v>010328</v>
      </c>
      <c r="D10939" s="2" t="s">
        <v>13640</v>
      </c>
      <c r="E10939" s="4">
        <v>3400</v>
      </c>
    </row>
    <row r="10940" spans="1:5">
      <c r="A10940" s="2" t="s">
        <v>296</v>
      </c>
      <c r="B10940" s="2" t="str">
        <f>"0015257"</f>
        <v>0015257</v>
      </c>
      <c r="C10940" s="2" t="str">
        <f>"0015257"</f>
        <v>0015257</v>
      </c>
      <c r="D10940" s="2" t="s">
        <v>13641</v>
      </c>
      <c r="E10940" s="4">
        <v>6100</v>
      </c>
    </row>
    <row r="10941" spans="1:5">
      <c r="A10941" s="2" t="s">
        <v>2541</v>
      </c>
      <c r="B10941" s="2" t="str">
        <f>"010331"</f>
        <v>010331</v>
      </c>
      <c r="C10941" s="2" t="str">
        <f>"010331"</f>
        <v>010331</v>
      </c>
      <c r="D10941" s="2" t="s">
        <v>13642</v>
      </c>
      <c r="E10941" s="4">
        <v>3400</v>
      </c>
    </row>
    <row r="10942" spans="1:5">
      <c r="A10942" s="2" t="s">
        <v>296</v>
      </c>
      <c r="B10942" s="2" t="str">
        <f>"070710249"</f>
        <v>070710249</v>
      </c>
      <c r="C10942" s="2" t="str">
        <f>"070710249"</f>
        <v>070710249</v>
      </c>
      <c r="D10942" s="2" t="s">
        <v>13643</v>
      </c>
      <c r="E10942" s="4">
        <v>4800</v>
      </c>
    </row>
    <row r="10943" spans="1:5">
      <c r="A10943" s="2" t="s">
        <v>296</v>
      </c>
      <c r="B10943" s="2" t="str">
        <f>"0016261"</f>
        <v>0016261</v>
      </c>
      <c r="C10943" s="2" t="str">
        <f>"00165261"</f>
        <v>00165261</v>
      </c>
      <c r="D10943" s="2" t="s">
        <v>13643</v>
      </c>
      <c r="E10943" s="4">
        <v>6100</v>
      </c>
    </row>
    <row r="10944" spans="1:5">
      <c r="A10944" s="2" t="s">
        <v>296</v>
      </c>
      <c r="B10944" s="2" t="str">
        <f>"010720006"</f>
        <v>010720006</v>
      </c>
      <c r="C10944" s="2" t="str">
        <f>"010720006"</f>
        <v>010720006</v>
      </c>
      <c r="D10944" s="2" t="s">
        <v>13643</v>
      </c>
      <c r="E10944" s="4">
        <v>5200</v>
      </c>
    </row>
    <row r="10945" spans="1:5">
      <c r="A10945" s="2" t="s">
        <v>296</v>
      </c>
      <c r="B10945" s="2" t="str">
        <f>"010720008"</f>
        <v>010720008</v>
      </c>
      <c r="C10945" s="2" t="str">
        <f>"010720008"</f>
        <v>010720008</v>
      </c>
      <c r="D10945" s="2" t="s">
        <v>13644</v>
      </c>
      <c r="E10945" s="4">
        <v>5200</v>
      </c>
    </row>
    <row r="10946" spans="1:5">
      <c r="A10946" s="2" t="s">
        <v>296</v>
      </c>
      <c r="B10946" s="2" t="str">
        <f>"010720009"</f>
        <v>010720009</v>
      </c>
      <c r="C10946" s="2" t="str">
        <f>"010720009"</f>
        <v>010720009</v>
      </c>
      <c r="D10946" s="2" t="s">
        <v>13644</v>
      </c>
      <c r="E10946" s="4">
        <v>5200</v>
      </c>
    </row>
    <row r="10947" spans="1:5">
      <c r="A10947" s="2" t="s">
        <v>296</v>
      </c>
      <c r="B10947" s="2" t="str">
        <f>"0017064"</f>
        <v>0017064</v>
      </c>
      <c r="C10947" s="2" t="str">
        <f>"0017064"</f>
        <v>0017064</v>
      </c>
      <c r="D10947" s="2" t="s">
        <v>13644</v>
      </c>
      <c r="E10947" s="4">
        <v>5200</v>
      </c>
    </row>
    <row r="10948" spans="1:5">
      <c r="A10948" s="2" t="s">
        <v>296</v>
      </c>
      <c r="B10948" s="2" t="str">
        <f>"9961264"</f>
        <v>9961264</v>
      </c>
      <c r="C10948" s="2" t="str">
        <f>"9961264"</f>
        <v>9961264</v>
      </c>
      <c r="D10948" s="2" t="s">
        <v>13644</v>
      </c>
      <c r="E10948" s="4">
        <v>4300</v>
      </c>
    </row>
    <row r="10949" spans="1:5">
      <c r="A10949" s="2" t="s">
        <v>296</v>
      </c>
      <c r="B10949" s="2" t="str">
        <f>"070991038"</f>
        <v>070991038</v>
      </c>
      <c r="C10949" s="2" t="str">
        <f>"070991036"</f>
        <v>070991036</v>
      </c>
      <c r="D10949" s="2" t="s">
        <v>13645</v>
      </c>
      <c r="E10949" s="4">
        <v>4300</v>
      </c>
    </row>
    <row r="10950" spans="1:5">
      <c r="A10950" s="2" t="s">
        <v>296</v>
      </c>
      <c r="B10950" s="2" t="str">
        <f>"0015288"</f>
        <v>0015288</v>
      </c>
      <c r="C10950" s="2" t="str">
        <f>"0015288"</f>
        <v>0015288</v>
      </c>
      <c r="D10950" s="2" t="s">
        <v>13646</v>
      </c>
      <c r="E10950" s="4">
        <v>6100</v>
      </c>
    </row>
    <row r="10951" spans="1:5">
      <c r="A10951" s="2" t="s">
        <v>2541</v>
      </c>
      <c r="B10951" s="2" t="str">
        <f>"5000000001354"</f>
        <v>5000000001354</v>
      </c>
      <c r="C10951" s="2" t="str">
        <f>"014359"</f>
        <v>014359</v>
      </c>
      <c r="D10951" s="2" t="s">
        <v>13647</v>
      </c>
      <c r="E10951" s="4">
        <v>5500</v>
      </c>
    </row>
    <row r="10952" spans="1:5">
      <c r="A10952" s="2" t="s">
        <v>296</v>
      </c>
      <c r="B10952" s="2" t="str">
        <f>"020689"</f>
        <v>020689</v>
      </c>
      <c r="C10952" s="2" t="str">
        <f>"020689"</f>
        <v>020689</v>
      </c>
      <c r="D10952" s="2" t="s">
        <v>13648</v>
      </c>
      <c r="E10952" s="4">
        <v>3800</v>
      </c>
    </row>
    <row r="10953" spans="1:5">
      <c r="A10953" s="2" t="s">
        <v>296</v>
      </c>
      <c r="B10953" s="2" t="str">
        <f>"010305"</f>
        <v>010305</v>
      </c>
      <c r="C10953" s="2" t="str">
        <f>"010305"</f>
        <v>010305</v>
      </c>
      <c r="D10953" s="2" t="s">
        <v>13649</v>
      </c>
      <c r="E10953" s="4">
        <v>3400</v>
      </c>
    </row>
    <row r="10954" spans="1:5">
      <c r="A10954" s="2" t="s">
        <v>2541</v>
      </c>
      <c r="B10954" s="2" t="str">
        <f>"5000000177813"</f>
        <v>5000000177813</v>
      </c>
      <c r="C10954" s="2" t="str">
        <f>"500027"</f>
        <v>500027</v>
      </c>
      <c r="D10954" s="2" t="s">
        <v>13650</v>
      </c>
      <c r="E10954" s="4">
        <v>6100</v>
      </c>
    </row>
    <row r="10955" spans="1:5">
      <c r="A10955" s="2" t="s">
        <v>296</v>
      </c>
      <c r="B10955" s="2" t="str">
        <f>"010720007"</f>
        <v>010720007</v>
      </c>
      <c r="C10955" s="2" t="str">
        <f>"010720007"</f>
        <v>010720007</v>
      </c>
      <c r="D10955" s="2" t="s">
        <v>13651</v>
      </c>
      <c r="E10955" s="4">
        <v>6100</v>
      </c>
    </row>
    <row r="10956" spans="1:5">
      <c r="A10956" s="2" t="s">
        <v>2064</v>
      </c>
      <c r="B10956" s="2" t="str">
        <f>"5000000001262"</f>
        <v>5000000001262</v>
      </c>
      <c r="C10956" s="2" t="str">
        <f>"013464"</f>
        <v>013464</v>
      </c>
      <c r="D10956" s="2" t="s">
        <v>13652</v>
      </c>
      <c r="E10956" s="4">
        <v>6100</v>
      </c>
    </row>
    <row r="10957" spans="1:5">
      <c r="A10957" s="2" t="s">
        <v>2064</v>
      </c>
      <c r="B10957" s="2" t="str">
        <f>"5000000001279"</f>
        <v>5000000001279</v>
      </c>
      <c r="C10957" s="2" t="str">
        <f>"013465"</f>
        <v>013465</v>
      </c>
      <c r="D10957" s="2" t="s">
        <v>13653</v>
      </c>
      <c r="E10957" s="4">
        <v>6100</v>
      </c>
    </row>
    <row r="10958" spans="1:5">
      <c r="A10958" s="2" t="s">
        <v>1478</v>
      </c>
      <c r="B10958" s="2" t="str">
        <f>"014319"</f>
        <v>014319</v>
      </c>
      <c r="C10958" s="2" t="str">
        <f>"014319"</f>
        <v>014319</v>
      </c>
      <c r="D10958" s="2" t="s">
        <v>13654</v>
      </c>
      <c r="E10958" s="4">
        <v>3400</v>
      </c>
    </row>
    <row r="10959" spans="1:5">
      <c r="A10959" s="2" t="s">
        <v>2541</v>
      </c>
      <c r="B10959" s="2" t="str">
        <f>"010720005"</f>
        <v>010720005</v>
      </c>
      <c r="C10959" s="2" t="str">
        <f>"010720005"</f>
        <v>010720005</v>
      </c>
      <c r="D10959" s="2" t="s">
        <v>13655</v>
      </c>
      <c r="E10959" s="4">
        <v>5200</v>
      </c>
    </row>
    <row r="10960" spans="1:5">
      <c r="A10960" s="2" t="s">
        <v>2064</v>
      </c>
      <c r="B10960" s="2" t="str">
        <f>"5000000001330"</f>
        <v>5000000001330</v>
      </c>
      <c r="C10960" s="2" t="str">
        <f>"014321"</f>
        <v>014321</v>
      </c>
      <c r="D10960" s="2" t="s">
        <v>13655</v>
      </c>
      <c r="E10960" s="4">
        <v>3400</v>
      </c>
    </row>
    <row r="10961" spans="1:5">
      <c r="A10961" s="2" t="s">
        <v>296</v>
      </c>
      <c r="B10961" s="2" t="str">
        <f>"0015259"</f>
        <v>0015259</v>
      </c>
      <c r="C10961" s="2" t="str">
        <f>"0015259"</f>
        <v>0015259</v>
      </c>
      <c r="D10961" s="2" t="s">
        <v>13656</v>
      </c>
      <c r="E10961" s="4">
        <v>6100</v>
      </c>
    </row>
    <row r="10962" spans="1:5">
      <c r="A10962" s="2" t="s">
        <v>2541</v>
      </c>
      <c r="B10962" s="2" t="str">
        <f>"010933"</f>
        <v>010933</v>
      </c>
      <c r="C10962" s="2" t="str">
        <f>"010933"</f>
        <v>010933</v>
      </c>
      <c r="D10962" s="2" t="s">
        <v>13657</v>
      </c>
      <c r="E10962" s="4">
        <v>4800</v>
      </c>
    </row>
    <row r="10963" spans="1:5">
      <c r="A10963" s="2" t="s">
        <v>296</v>
      </c>
      <c r="B10963" s="2" t="str">
        <f>"0015258"</f>
        <v>0015258</v>
      </c>
      <c r="C10963" s="2" t="str">
        <f>"0015258"</f>
        <v>0015258</v>
      </c>
      <c r="D10963" s="2" t="s">
        <v>13658</v>
      </c>
      <c r="E10963" s="4">
        <v>6100</v>
      </c>
    </row>
    <row r="10964" spans="1:5">
      <c r="A10964" s="2" t="s">
        <v>296</v>
      </c>
      <c r="B10964" s="2" t="str">
        <f>"002001"</f>
        <v>002001</v>
      </c>
      <c r="C10964" s="2" t="str">
        <f>"002001"</f>
        <v>002001</v>
      </c>
      <c r="D10964" s="2" t="s">
        <v>13659</v>
      </c>
      <c r="E10964" s="4">
        <v>6100</v>
      </c>
    </row>
    <row r="10965" spans="1:5">
      <c r="A10965" s="2" t="s">
        <v>2541</v>
      </c>
      <c r="B10965" s="2" t="str">
        <f>"284372"</f>
        <v>284372</v>
      </c>
      <c r="C10965" s="2" t="str">
        <f>"284372"</f>
        <v>284372</v>
      </c>
      <c r="D10965" s="2" t="s">
        <v>13660</v>
      </c>
      <c r="E10965" s="4">
        <v>7000</v>
      </c>
    </row>
    <row r="10966" spans="1:5">
      <c r="A10966" s="2" t="s">
        <v>1478</v>
      </c>
      <c r="B10966" s="2" t="str">
        <f>"0010274372"</f>
        <v>0010274372</v>
      </c>
      <c r="C10966" s="2" t="str">
        <f>"0010274372"</f>
        <v>0010274372</v>
      </c>
      <c r="D10966" s="2" t="s">
        <v>13661</v>
      </c>
      <c r="E10966" s="4">
        <v>7500</v>
      </c>
    </row>
    <row r="10967" spans="1:5">
      <c r="A10967" s="2" t="s">
        <v>2541</v>
      </c>
      <c r="B10967" s="2" t="str">
        <f>"284322"</f>
        <v>284322</v>
      </c>
      <c r="C10967" s="2" t="str">
        <f>"284322"</f>
        <v>284322</v>
      </c>
      <c r="D10967" s="2" t="s">
        <v>13662</v>
      </c>
      <c r="E10967" s="4">
        <v>7900</v>
      </c>
    </row>
    <row r="10968" spans="1:5">
      <c r="A10968" s="2" t="s">
        <v>1478</v>
      </c>
      <c r="B10968" s="2" t="str">
        <f>"0020265"</f>
        <v>0020265</v>
      </c>
      <c r="C10968" s="2" t="str">
        <f>"284371"</f>
        <v>284371</v>
      </c>
      <c r="D10968" s="2" t="s">
        <v>13663</v>
      </c>
      <c r="E10968" s="4">
        <v>12500</v>
      </c>
    </row>
    <row r="10969" spans="1:5">
      <c r="A10969" s="2" t="s">
        <v>2541</v>
      </c>
      <c r="B10969" s="2" t="str">
        <f>"070090001"</f>
        <v>070090001</v>
      </c>
      <c r="C10969" s="2" t="str">
        <f>"25125-42540"</f>
        <v>25125-42540</v>
      </c>
      <c r="D10969" s="2" t="s">
        <v>13664</v>
      </c>
      <c r="E10969" s="4">
        <v>7000</v>
      </c>
    </row>
    <row r="10970" spans="1:5">
      <c r="A10970" s="2" t="s">
        <v>2541</v>
      </c>
      <c r="B10970" s="2" t="str">
        <f>"15-161"</f>
        <v>15-161</v>
      </c>
      <c r="C10970" s="2" t="str">
        <f>"15-161"</f>
        <v>15-161</v>
      </c>
      <c r="D10970" s="2" t="s">
        <v>13665</v>
      </c>
      <c r="E10970" s="4">
        <v>10500</v>
      </c>
    </row>
    <row r="10971" spans="1:5">
      <c r="A10971" s="2" t="s">
        <v>2541</v>
      </c>
      <c r="B10971" s="2" t="str">
        <f>"284385"</f>
        <v>284385</v>
      </c>
      <c r="C10971" s="2" t="str">
        <f>"284385"</f>
        <v>284385</v>
      </c>
      <c r="D10971" s="2" t="s">
        <v>13666</v>
      </c>
      <c r="E10971" s="4">
        <v>8800</v>
      </c>
    </row>
    <row r="10972" spans="1:5">
      <c r="A10972" s="2" t="s">
        <v>2541</v>
      </c>
      <c r="B10972" s="2" t="str">
        <f>"1026-4735"</f>
        <v>1026-4735</v>
      </c>
      <c r="C10972" s="2" t="str">
        <f>"1026-4735"</f>
        <v>1026-4735</v>
      </c>
      <c r="D10972" s="2" t="s">
        <v>13667</v>
      </c>
      <c r="E10972" s="4">
        <v>6100</v>
      </c>
    </row>
    <row r="10973" spans="1:5">
      <c r="A10973" s="2" t="s">
        <v>2541</v>
      </c>
      <c r="B10973" s="2" t="s">
        <v>13668</v>
      </c>
      <c r="C10973" s="2" t="s">
        <v>13668</v>
      </c>
      <c r="D10973" s="2" t="s">
        <v>13669</v>
      </c>
      <c r="E10973" s="4">
        <v>9700</v>
      </c>
    </row>
    <row r="10974" spans="1:5">
      <c r="A10974" s="2" t="s">
        <v>2541</v>
      </c>
      <c r="B10974" s="2" t="str">
        <f>"17561-69G00"</f>
        <v>17561-69G00</v>
      </c>
      <c r="C10974" s="2" t="str">
        <f>"17501-69G00"</f>
        <v>17501-69G00</v>
      </c>
      <c r="D10974" s="2" t="s">
        <v>13670</v>
      </c>
      <c r="E10974" s="4">
        <v>7200</v>
      </c>
    </row>
    <row r="10975" spans="1:5">
      <c r="A10975" s="2" t="s">
        <v>2541</v>
      </c>
      <c r="B10975" s="2" t="str">
        <f>"284452"</f>
        <v>284452</v>
      </c>
      <c r="C10975" s="2" t="str">
        <f>"284452"</f>
        <v>284452</v>
      </c>
      <c r="D10975" s="2" t="s">
        <v>13671</v>
      </c>
      <c r="E10975" s="4">
        <v>7000</v>
      </c>
    </row>
    <row r="10976" spans="1:5">
      <c r="A10976" s="2" t="s">
        <v>296</v>
      </c>
      <c r="B10976" s="2" t="str">
        <f>"284586"</f>
        <v>284586</v>
      </c>
      <c r="C10976" s="2" t="str">
        <f>"284586"</f>
        <v>284586</v>
      </c>
      <c r="D10976" s="2" t="s">
        <v>13672</v>
      </c>
      <c r="E10976" s="4">
        <v>9700</v>
      </c>
    </row>
    <row r="10977" spans="1:5">
      <c r="A10977" s="2" t="s">
        <v>2541</v>
      </c>
      <c r="B10977" s="2" t="str">
        <f>"3026-2623"</f>
        <v>3026-2623</v>
      </c>
      <c r="C10977" s="2" t="str">
        <f>"3026-2623"</f>
        <v>3026-2623</v>
      </c>
      <c r="D10977" s="2" t="s">
        <v>13673</v>
      </c>
      <c r="E10977" s="4">
        <v>9700</v>
      </c>
    </row>
    <row r="10978" spans="1:5">
      <c r="A10978" s="2" t="s">
        <v>296</v>
      </c>
      <c r="B10978" s="2" t="str">
        <f>"010928"</f>
        <v>010928</v>
      </c>
      <c r="C10978" s="2" t="str">
        <f>"010928"</f>
        <v>010928</v>
      </c>
      <c r="D10978" s="2" t="s">
        <v>13674</v>
      </c>
      <c r="E10978" s="4">
        <v>29000</v>
      </c>
    </row>
    <row r="10979" spans="1:5">
      <c r="A10979" s="2" t="s">
        <v>2541</v>
      </c>
      <c r="B10979" s="2" t="str">
        <f>"284366"</f>
        <v>284366</v>
      </c>
      <c r="C10979" s="2" t="str">
        <f>"284366"</f>
        <v>284366</v>
      </c>
      <c r="D10979" s="2" t="s">
        <v>13675</v>
      </c>
      <c r="E10979" s="4">
        <v>12000</v>
      </c>
    </row>
    <row r="10980" spans="1:5">
      <c r="A10980" s="2" t="s">
        <v>2064</v>
      </c>
      <c r="B10980" s="2" t="str">
        <f>"0324-15-172"</f>
        <v>0324-15-172</v>
      </c>
      <c r="C10980" s="2" t="str">
        <f>"3526-2790"</f>
        <v>3526-2790</v>
      </c>
      <c r="D10980" s="2" t="s">
        <v>13676</v>
      </c>
      <c r="E10980" s="4">
        <v>8500</v>
      </c>
    </row>
    <row r="10981" spans="1:5">
      <c r="A10981" s="2" t="s">
        <v>296</v>
      </c>
      <c r="B10981" s="2" t="str">
        <f>"008609"</f>
        <v>008609</v>
      </c>
      <c r="C10981" s="2" t="str">
        <f>"008609"</f>
        <v>008609</v>
      </c>
      <c r="D10981" s="2" t="s">
        <v>13677</v>
      </c>
      <c r="E10981" s="4">
        <v>16000</v>
      </c>
    </row>
    <row r="10982" spans="1:5">
      <c r="A10982" s="2" t="s">
        <v>2541</v>
      </c>
      <c r="B10982" s="2" t="str">
        <f>"0005255"</f>
        <v>0005255</v>
      </c>
      <c r="C10982" s="2" t="str">
        <f>"0005255"</f>
        <v>0005255</v>
      </c>
      <c r="D10982" s="2" t="s">
        <v>13678</v>
      </c>
      <c r="E10982" s="4">
        <v>5200</v>
      </c>
    </row>
    <row r="10983" spans="1:5">
      <c r="A10983" s="2" t="s">
        <v>296</v>
      </c>
      <c r="B10983" s="2" t="str">
        <f>"0000330"</f>
        <v>0000330</v>
      </c>
      <c r="C10983" s="2" t="str">
        <f>"0000330"</f>
        <v>0000330</v>
      </c>
      <c r="D10983" s="2" t="s">
        <v>13679</v>
      </c>
      <c r="E10983" s="4">
        <v>7000</v>
      </c>
    </row>
    <row r="10984" spans="1:5">
      <c r="A10984" s="2" t="s">
        <v>296</v>
      </c>
      <c r="B10984" s="2" t="str">
        <f>"0012695"</f>
        <v>0012695</v>
      </c>
      <c r="C10984" s="2" t="str">
        <f>"0012695"</f>
        <v>0012695</v>
      </c>
      <c r="D10984" s="2" t="s">
        <v>13680</v>
      </c>
      <c r="E10984" s="4">
        <v>25000</v>
      </c>
    </row>
    <row r="10985" spans="1:5">
      <c r="A10985" s="2" t="s">
        <v>296</v>
      </c>
      <c r="B10985" s="2" t="s">
        <v>13681</v>
      </c>
      <c r="C10985" s="2" t="s">
        <v>13682</v>
      </c>
      <c r="D10985" s="2" t="s">
        <v>13683</v>
      </c>
      <c r="E10985" s="4">
        <v>19900</v>
      </c>
    </row>
    <row r="10986" spans="1:5">
      <c r="A10986" s="2" t="s">
        <v>296</v>
      </c>
      <c r="B10986" s="2" t="str">
        <f>"001418176-8"</f>
        <v>001418176-8</v>
      </c>
      <c r="C10986" s="2" t="str">
        <f>"001418176-8"</f>
        <v>001418176-8</v>
      </c>
      <c r="D10986" s="2" t="s">
        <v>13684</v>
      </c>
      <c r="E10986" s="4">
        <v>59000</v>
      </c>
    </row>
    <row r="10987" spans="1:5">
      <c r="A10987" s="2" t="s">
        <v>2541</v>
      </c>
      <c r="B10987" s="2" t="s">
        <v>13685</v>
      </c>
      <c r="C10987" s="2" t="str">
        <f>"1684948270029"</f>
        <v>1684948270029</v>
      </c>
      <c r="D10987" s="2" t="s">
        <v>13686</v>
      </c>
      <c r="E10987" s="4">
        <v>95000</v>
      </c>
    </row>
    <row r="10988" spans="1:5">
      <c r="A10988" s="2" t="s">
        <v>296</v>
      </c>
      <c r="B10988" s="2" t="str">
        <f>"001497137-8"</f>
        <v>001497137-8</v>
      </c>
      <c r="C10988" s="2" t="str">
        <f>"001497137-8"</f>
        <v>001497137-8</v>
      </c>
      <c r="D10988" s="2" t="s">
        <v>13687</v>
      </c>
      <c r="E10988" s="4">
        <v>70000</v>
      </c>
    </row>
    <row r="10989" spans="1:5">
      <c r="A10989" s="2" t="s">
        <v>296</v>
      </c>
      <c r="B10989" s="2" t="str">
        <f>"020220369"</f>
        <v>020220369</v>
      </c>
      <c r="C10989" s="2" t="str">
        <f>"020220369"</f>
        <v>020220369</v>
      </c>
      <c r="D10989" s="2" t="s">
        <v>13688</v>
      </c>
      <c r="E10989" s="4">
        <v>29000</v>
      </c>
    </row>
    <row r="10990" spans="1:5">
      <c r="A10990" s="2" t="s">
        <v>296</v>
      </c>
      <c r="B10990" s="2" t="str">
        <f>"1500717"</f>
        <v>1500717</v>
      </c>
      <c r="C10990" s="2" t="str">
        <f>"1500717"</f>
        <v>1500717</v>
      </c>
      <c r="D10990" s="2" t="s">
        <v>13689</v>
      </c>
      <c r="E10990" s="4">
        <v>31300</v>
      </c>
    </row>
    <row r="10991" spans="1:5">
      <c r="A10991" s="2" t="s">
        <v>2541</v>
      </c>
      <c r="B10991" s="2" t="str">
        <f>"1500450"</f>
        <v>1500450</v>
      </c>
      <c r="C10991" s="2" t="str">
        <f>"1500450"</f>
        <v>1500450</v>
      </c>
      <c r="D10991" s="2" t="s">
        <v>13690</v>
      </c>
      <c r="E10991" s="4">
        <v>38675</v>
      </c>
    </row>
    <row r="10992" spans="1:5">
      <c r="A10992" s="2" t="s">
        <v>2541</v>
      </c>
      <c r="B10992" s="2" t="str">
        <f>"1540887"</f>
        <v>1540887</v>
      </c>
      <c r="C10992" s="2" t="str">
        <f>"1540887"</f>
        <v>1540887</v>
      </c>
      <c r="D10992" s="2" t="s">
        <v>13690</v>
      </c>
      <c r="E10992" s="4">
        <v>32600</v>
      </c>
    </row>
    <row r="10993" spans="1:5">
      <c r="A10993" s="2" t="s">
        <v>296</v>
      </c>
      <c r="B10993" s="2" t="str">
        <f>"020220372"</f>
        <v>020220372</v>
      </c>
      <c r="C10993" s="2" t="str">
        <f>"020220372"</f>
        <v>020220372</v>
      </c>
      <c r="D10993" s="2" t="s">
        <v>13691</v>
      </c>
      <c r="E10993" s="4">
        <v>28000</v>
      </c>
    </row>
    <row r="10994" spans="1:5">
      <c r="A10994" s="2" t="s">
        <v>2541</v>
      </c>
      <c r="B10994" s="2" t="s">
        <v>13692</v>
      </c>
      <c r="C10994" s="2" t="s">
        <v>13692</v>
      </c>
      <c r="D10994" s="2" t="s">
        <v>13693</v>
      </c>
      <c r="E10994" s="4">
        <v>25000</v>
      </c>
    </row>
    <row r="10995" spans="1:5">
      <c r="A10995" s="2" t="s">
        <v>2541</v>
      </c>
      <c r="B10995" s="2" t="s">
        <v>13694</v>
      </c>
      <c r="C10995" s="2" t="s">
        <v>13694</v>
      </c>
      <c r="D10995" s="2" t="s">
        <v>13695</v>
      </c>
      <c r="E10995" s="4">
        <v>27000</v>
      </c>
    </row>
    <row r="10996" spans="1:5">
      <c r="A10996" s="2" t="s">
        <v>2541</v>
      </c>
      <c r="B10996" s="2" t="str">
        <f>"110480"</f>
        <v>110480</v>
      </c>
      <c r="C10996" s="2" t="str">
        <f>"110480"</f>
        <v>110480</v>
      </c>
      <c r="D10996" s="2" t="s">
        <v>13696</v>
      </c>
      <c r="E10996" s="4">
        <v>25000</v>
      </c>
    </row>
    <row r="10997" spans="1:5">
      <c r="A10997" s="2" t="s">
        <v>296</v>
      </c>
      <c r="B10997" s="2" t="s">
        <v>13697</v>
      </c>
      <c r="C10997" s="2" t="s">
        <v>13697</v>
      </c>
      <c r="D10997" s="2" t="s">
        <v>13698</v>
      </c>
      <c r="E10997" s="4">
        <v>27000</v>
      </c>
    </row>
    <row r="10998" spans="1:5">
      <c r="A10998" s="2" t="s">
        <v>296</v>
      </c>
      <c r="B10998" s="2" t="str">
        <f>"090440002"</f>
        <v>090440002</v>
      </c>
      <c r="C10998" s="2" t="str">
        <f>"090440002"</f>
        <v>090440002</v>
      </c>
      <c r="D10998" s="2" t="s">
        <v>13699</v>
      </c>
      <c r="E10998" s="4">
        <v>58000</v>
      </c>
    </row>
    <row r="10999" spans="1:5">
      <c r="A10999" s="2" t="s">
        <v>296</v>
      </c>
      <c r="B10999" s="2" t="str">
        <f>"090231628"</f>
        <v>090231628</v>
      </c>
      <c r="C10999" s="2" t="str">
        <f>"090231628"</f>
        <v>090231628</v>
      </c>
      <c r="D10999" s="2" t="s">
        <v>13700</v>
      </c>
      <c r="E10999" s="4">
        <v>97000</v>
      </c>
    </row>
    <row r="11000" spans="1:5">
      <c r="A11000" s="2" t="s">
        <v>296</v>
      </c>
      <c r="B11000" s="2" t="str">
        <f>"0031104"</f>
        <v>0031104</v>
      </c>
      <c r="C11000" s="2" t="str">
        <f>"0031104"</f>
        <v>0031104</v>
      </c>
      <c r="D11000" s="2" t="s">
        <v>13701</v>
      </c>
      <c r="E11000" s="4">
        <v>88000</v>
      </c>
    </row>
    <row r="11001" spans="1:5">
      <c r="A11001" s="2" t="s">
        <v>296</v>
      </c>
      <c r="B11001" s="2" t="str">
        <f>"090231625"</f>
        <v>090231625</v>
      </c>
      <c r="C11001" s="2" t="str">
        <f>"090231625"</f>
        <v>090231625</v>
      </c>
      <c r="D11001" s="2" t="s">
        <v>13701</v>
      </c>
      <c r="E11001" s="4">
        <v>97000</v>
      </c>
    </row>
    <row r="11002" spans="1:5">
      <c r="A11002" s="2" t="s">
        <v>296</v>
      </c>
      <c r="B11002" s="2" t="str">
        <f>"001497195-5"</f>
        <v>001497195-5</v>
      </c>
      <c r="C11002" s="2" t="str">
        <f>"1497196-3"</f>
        <v>1497196-3</v>
      </c>
      <c r="D11002" s="2" t="s">
        <v>13702</v>
      </c>
      <c r="E11002" s="4">
        <v>38000</v>
      </c>
    </row>
    <row r="11003" spans="1:5">
      <c r="A11003" s="2" t="s">
        <v>296</v>
      </c>
      <c r="B11003" s="2" t="s">
        <v>13703</v>
      </c>
      <c r="C11003" s="2" t="str">
        <f>"1497199-8"</f>
        <v>1497199-8</v>
      </c>
      <c r="D11003" s="2" t="s">
        <v>13704</v>
      </c>
      <c r="E11003" s="4">
        <v>52000</v>
      </c>
    </row>
    <row r="11004" spans="1:5">
      <c r="A11004" s="2" t="s">
        <v>296</v>
      </c>
      <c r="B11004" s="2" t="str">
        <f>"1S00557"</f>
        <v>1S00557</v>
      </c>
      <c r="C11004" s="2" t="str">
        <f>"1S00557"</f>
        <v>1S00557</v>
      </c>
      <c r="D11004" s="2" t="s">
        <v>13705</v>
      </c>
      <c r="E11004" s="4">
        <v>59000</v>
      </c>
    </row>
    <row r="11005" spans="1:5">
      <c r="A11005" s="2" t="s">
        <v>296</v>
      </c>
      <c r="B11005" s="2" t="str">
        <f>"1500460"</f>
        <v>1500460</v>
      </c>
      <c r="C11005" s="2" t="str">
        <f>"1500460"</f>
        <v>1500460</v>
      </c>
      <c r="D11005" s="2" t="s">
        <v>13706</v>
      </c>
      <c r="E11005" s="2">
        <v>0</v>
      </c>
    </row>
    <row r="11006" spans="1:5">
      <c r="A11006" s="2" t="s">
        <v>296</v>
      </c>
      <c r="B11006" s="2" t="s">
        <v>13707</v>
      </c>
      <c r="C11006" s="2" t="s">
        <v>13707</v>
      </c>
      <c r="D11006" s="2" t="s">
        <v>13708</v>
      </c>
      <c r="E11006" s="2">
        <v>0</v>
      </c>
    </row>
    <row r="11007" spans="1:5">
      <c r="A11007" s="2" t="s">
        <v>296</v>
      </c>
      <c r="B11007" s="2" t="s">
        <v>13709</v>
      </c>
      <c r="C11007" s="2" t="s">
        <v>13709</v>
      </c>
      <c r="D11007" s="2" t="s">
        <v>13710</v>
      </c>
      <c r="E11007" s="2">
        <v>0</v>
      </c>
    </row>
    <row r="11008" spans="1:5">
      <c r="A11008" s="2" t="s">
        <v>296</v>
      </c>
      <c r="B11008" s="2" t="s">
        <v>13711</v>
      </c>
      <c r="C11008" s="2" t="s">
        <v>13711</v>
      </c>
      <c r="D11008" s="2" t="s">
        <v>13712</v>
      </c>
      <c r="E11008" s="2">
        <v>0</v>
      </c>
    </row>
    <row r="11009" spans="1:5">
      <c r="A11009" s="2" t="s">
        <v>296</v>
      </c>
      <c r="B11009" s="2" t="s">
        <v>13713</v>
      </c>
      <c r="C11009" s="2" t="s">
        <v>13713</v>
      </c>
      <c r="D11009" s="2" t="s">
        <v>13714</v>
      </c>
      <c r="E11009" s="2">
        <v>0</v>
      </c>
    </row>
    <row r="11010" spans="1:5">
      <c r="A11010" s="2" t="s">
        <v>296</v>
      </c>
      <c r="B11010" s="2" t="str">
        <f>"000690958-2"</f>
        <v>000690958-2</v>
      </c>
      <c r="C11010" s="2" t="str">
        <f>"000690958-2"</f>
        <v>000690958-2</v>
      </c>
      <c r="D11010" s="2" t="s">
        <v>13715</v>
      </c>
      <c r="E11010" s="4">
        <v>68000</v>
      </c>
    </row>
    <row r="11011" spans="1:5">
      <c r="A11011" s="2" t="s">
        <v>296</v>
      </c>
      <c r="B11011" s="2" t="str">
        <f>"0006048"</f>
        <v>0006048</v>
      </c>
      <c r="C11011" s="2" t="str">
        <f>"0006048"</f>
        <v>0006048</v>
      </c>
      <c r="D11011" s="2" t="s">
        <v>13716</v>
      </c>
      <c r="E11011" s="4">
        <v>26500</v>
      </c>
    </row>
    <row r="11012" spans="1:5">
      <c r="A11012" s="2" t="s">
        <v>296</v>
      </c>
      <c r="B11012" s="2" t="str">
        <f>"020220368"</f>
        <v>020220368</v>
      </c>
      <c r="C11012" s="2" t="str">
        <f>"020220368"</f>
        <v>020220368</v>
      </c>
      <c r="D11012" s="2" t="s">
        <v>13717</v>
      </c>
      <c r="E11012" s="4">
        <v>29000</v>
      </c>
    </row>
    <row r="11013" spans="1:5">
      <c r="A11013" s="2" t="s">
        <v>296</v>
      </c>
      <c r="B11013" s="2" t="str">
        <f>"020220606"</f>
        <v>020220606</v>
      </c>
      <c r="C11013" s="2" t="str">
        <f>"020220606"</f>
        <v>020220606</v>
      </c>
      <c r="D11013" s="2" t="s">
        <v>13718</v>
      </c>
      <c r="E11013" s="4">
        <v>82000</v>
      </c>
    </row>
    <row r="11014" spans="1:5">
      <c r="A11014" s="2" t="s">
        <v>296</v>
      </c>
      <c r="B11014" s="2" t="str">
        <f>"020601851"</f>
        <v>020601851</v>
      </c>
      <c r="C11014" s="2" t="str">
        <f>"020601851"</f>
        <v>020601851</v>
      </c>
      <c r="D11014" s="2" t="s">
        <v>13719</v>
      </c>
      <c r="E11014" s="4">
        <v>34000</v>
      </c>
    </row>
    <row r="11015" spans="1:5">
      <c r="A11015" s="2" t="s">
        <v>296</v>
      </c>
      <c r="B11015" s="2" t="s">
        <v>13720</v>
      </c>
      <c r="C11015" s="2" t="s">
        <v>13720</v>
      </c>
      <c r="D11015" s="2" t="s">
        <v>13721</v>
      </c>
      <c r="E11015" s="4">
        <v>48000</v>
      </c>
    </row>
    <row r="11016" spans="1:5">
      <c r="A11016" s="2" t="s">
        <v>296</v>
      </c>
      <c r="B11016" s="2" t="str">
        <f>"090440003"</f>
        <v>090440003</v>
      </c>
      <c r="C11016" s="2" t="str">
        <f>"090440003"</f>
        <v>090440003</v>
      </c>
      <c r="D11016" s="2" t="s">
        <v>13722</v>
      </c>
      <c r="E11016" s="4">
        <v>59000</v>
      </c>
    </row>
    <row r="11017" spans="1:5">
      <c r="A11017" s="2" t="s">
        <v>296</v>
      </c>
      <c r="B11017" s="2" t="s">
        <v>13723</v>
      </c>
      <c r="C11017" s="2" t="s">
        <v>13723</v>
      </c>
      <c r="D11017" s="2" t="s">
        <v>13724</v>
      </c>
      <c r="E11017" s="4">
        <v>52000</v>
      </c>
    </row>
    <row r="11018" spans="1:5">
      <c r="A11018" s="2" t="s">
        <v>296</v>
      </c>
      <c r="B11018" s="2" t="str">
        <f>"0202200421"</f>
        <v>0202200421</v>
      </c>
      <c r="C11018" s="2" t="str">
        <f>"020220421"</f>
        <v>020220421</v>
      </c>
      <c r="D11018" s="2" t="s">
        <v>13725</v>
      </c>
      <c r="E11018" s="4">
        <v>38000</v>
      </c>
    </row>
    <row r="11019" spans="1:5">
      <c r="A11019" s="2" t="s">
        <v>296</v>
      </c>
      <c r="B11019" s="2" t="str">
        <f>"000409879-K"</f>
        <v>000409879-K</v>
      </c>
      <c r="C11019" s="2" t="str">
        <f>"000409879-K"</f>
        <v>000409879-K</v>
      </c>
      <c r="D11019" s="2" t="s">
        <v>13726</v>
      </c>
      <c r="E11019" s="4">
        <v>43000</v>
      </c>
    </row>
    <row r="11020" spans="1:5">
      <c r="A11020" s="2" t="s">
        <v>296</v>
      </c>
      <c r="B11020" s="2" t="str">
        <f>"000990815-3"</f>
        <v>000990815-3</v>
      </c>
      <c r="C11020" s="2" t="str">
        <f>"000990815-3"</f>
        <v>000990815-3</v>
      </c>
      <c r="D11020" s="2" t="s">
        <v>13727</v>
      </c>
      <c r="E11020" s="4">
        <v>39000</v>
      </c>
    </row>
    <row r="11021" spans="1:5">
      <c r="A11021" s="2" t="s">
        <v>296</v>
      </c>
      <c r="B11021" s="2" t="str">
        <f>"020220370"</f>
        <v>020220370</v>
      </c>
      <c r="C11021" s="2" t="str">
        <f>"020220370"</f>
        <v>020220370</v>
      </c>
      <c r="D11021" s="2" t="s">
        <v>13728</v>
      </c>
      <c r="E11021" s="4">
        <v>55000</v>
      </c>
    </row>
    <row r="11022" spans="1:5">
      <c r="A11022" s="2" t="s">
        <v>296</v>
      </c>
      <c r="B11022" s="2" t="str">
        <f>"020601838"</f>
        <v>020601838</v>
      </c>
      <c r="C11022" s="2" t="str">
        <f>"980041-7"</f>
        <v>980041-7</v>
      </c>
      <c r="D11022" s="2" t="s">
        <v>13729</v>
      </c>
      <c r="E11022" s="4">
        <v>43000</v>
      </c>
    </row>
    <row r="11023" spans="1:5">
      <c r="A11023" s="2" t="s">
        <v>296</v>
      </c>
      <c r="B11023" s="2" t="s">
        <v>13730</v>
      </c>
      <c r="C11023" s="2" t="s">
        <v>13730</v>
      </c>
      <c r="D11023" s="2" t="s">
        <v>13731</v>
      </c>
      <c r="E11023" s="4">
        <v>39000</v>
      </c>
    </row>
    <row r="11024" spans="1:5">
      <c r="A11024" s="2" t="s">
        <v>296</v>
      </c>
      <c r="B11024" s="2" t="str">
        <f>"09022024"</f>
        <v>09022024</v>
      </c>
      <c r="C11024" s="2" t="str">
        <f>"09022024"</f>
        <v>09022024</v>
      </c>
      <c r="D11024" s="2" t="s">
        <v>13732</v>
      </c>
      <c r="E11024" s="4">
        <v>35000</v>
      </c>
    </row>
    <row r="11025" spans="1:5">
      <c r="A11025" s="2" t="s">
        <v>296</v>
      </c>
      <c r="B11025" s="2" t="s">
        <v>13733</v>
      </c>
      <c r="C11025" s="2" t="s">
        <v>13734</v>
      </c>
      <c r="D11025" s="2" t="s">
        <v>13735</v>
      </c>
      <c r="E11025" s="4">
        <v>48600</v>
      </c>
    </row>
    <row r="11026" spans="1:5">
      <c r="A11026" s="2" t="s">
        <v>296</v>
      </c>
      <c r="B11026" s="2" t="s">
        <v>13736</v>
      </c>
      <c r="C11026" s="2" t="s">
        <v>13736</v>
      </c>
      <c r="D11026" s="2" t="s">
        <v>13737</v>
      </c>
      <c r="E11026" s="4">
        <v>48400</v>
      </c>
    </row>
    <row r="11027" spans="1:5">
      <c r="A11027" s="2" t="s">
        <v>296</v>
      </c>
      <c r="B11027" s="2" t="str">
        <f>"001297247-4"</f>
        <v>001297247-4</v>
      </c>
      <c r="C11027" s="2" t="str">
        <f>"001297247-4"</f>
        <v>001297247-4</v>
      </c>
      <c r="D11027" s="2" t="s">
        <v>13738</v>
      </c>
      <c r="E11027" s="4">
        <v>97000</v>
      </c>
    </row>
    <row r="11028" spans="1:5">
      <c r="A11028" s="2" t="s">
        <v>296</v>
      </c>
      <c r="B11028" s="2" t="s">
        <v>13739</v>
      </c>
      <c r="C11028" s="2" t="s">
        <v>13739</v>
      </c>
      <c r="D11028" s="2" t="s">
        <v>13740</v>
      </c>
      <c r="E11028" s="4">
        <v>34000</v>
      </c>
    </row>
    <row r="11029" spans="1:5">
      <c r="A11029" s="2" t="s">
        <v>296</v>
      </c>
      <c r="B11029" s="2" t="s">
        <v>13741</v>
      </c>
      <c r="C11029" s="2" t="s">
        <v>13742</v>
      </c>
      <c r="D11029" s="2" t="s">
        <v>13743</v>
      </c>
      <c r="E11029" s="4">
        <v>34000</v>
      </c>
    </row>
    <row r="11030" spans="1:5">
      <c r="A11030" s="2" t="s">
        <v>296</v>
      </c>
      <c r="B11030" s="2" t="str">
        <f>"001897128-3"</f>
        <v>001897128-3</v>
      </c>
      <c r="C11030" s="2" t="str">
        <f>"001897128-3"</f>
        <v>001897128-3</v>
      </c>
      <c r="D11030" s="2" t="s">
        <v>13744</v>
      </c>
      <c r="E11030" s="4">
        <v>38000</v>
      </c>
    </row>
    <row r="11031" spans="1:5">
      <c r="A11031" s="2" t="s">
        <v>296</v>
      </c>
      <c r="B11031" s="2" t="s">
        <v>13745</v>
      </c>
      <c r="C11031" s="2" t="s">
        <v>13745</v>
      </c>
      <c r="D11031" s="2" t="s">
        <v>13746</v>
      </c>
      <c r="E11031" s="2">
        <v>0</v>
      </c>
    </row>
    <row r="11032" spans="1:5">
      <c r="A11032" s="2" t="s">
        <v>296</v>
      </c>
      <c r="B11032" s="2" t="s">
        <v>13747</v>
      </c>
      <c r="C11032" s="2" t="s">
        <v>13747</v>
      </c>
      <c r="D11032" s="2" t="s">
        <v>13748</v>
      </c>
      <c r="E11032" s="4">
        <v>38000</v>
      </c>
    </row>
    <row r="11033" spans="1:5">
      <c r="A11033" s="2" t="s">
        <v>296</v>
      </c>
      <c r="B11033" s="2" t="str">
        <f>"001291598-5"</f>
        <v>001291598-5</v>
      </c>
      <c r="C11033" s="2" t="str">
        <f>"001291598-5"</f>
        <v>001291598-5</v>
      </c>
      <c r="D11033" s="2" t="s">
        <v>13749</v>
      </c>
      <c r="E11033" s="4">
        <v>88000</v>
      </c>
    </row>
    <row r="11034" spans="1:5">
      <c r="A11034" s="2" t="s">
        <v>296</v>
      </c>
      <c r="B11034" s="2" t="s">
        <v>13750</v>
      </c>
      <c r="C11034" s="2" t="str">
        <f>"1594413581493"</f>
        <v>1594413581493</v>
      </c>
      <c r="D11034" s="2" t="s">
        <v>13751</v>
      </c>
      <c r="E11034" s="4">
        <v>70000</v>
      </c>
    </row>
    <row r="11035" spans="1:5">
      <c r="A11035" s="2" t="s">
        <v>296</v>
      </c>
      <c r="B11035" s="2" t="str">
        <f>"002197204-5"</f>
        <v>002197204-5</v>
      </c>
      <c r="C11035" s="2" t="str">
        <f>"002197204-5"</f>
        <v>002197204-5</v>
      </c>
      <c r="D11035" s="2" t="s">
        <v>13752</v>
      </c>
      <c r="E11035" s="2">
        <v>0</v>
      </c>
    </row>
    <row r="11036" spans="1:5">
      <c r="A11036" s="2" t="s">
        <v>296</v>
      </c>
      <c r="B11036" s="2" t="str">
        <f>"0121660"</f>
        <v>0121660</v>
      </c>
      <c r="C11036" s="2" t="str">
        <f>"0121660"</f>
        <v>0121660</v>
      </c>
      <c r="D11036" s="2" t="s">
        <v>13753</v>
      </c>
      <c r="E11036" s="4">
        <v>22500</v>
      </c>
    </row>
    <row r="11037" spans="1:5">
      <c r="A11037" s="2" t="s">
        <v>296</v>
      </c>
      <c r="B11037" s="2" t="str">
        <f>"0121940"</f>
        <v>0121940</v>
      </c>
      <c r="C11037" s="2" t="str">
        <f>"0121940"</f>
        <v>0121940</v>
      </c>
      <c r="D11037" s="2" t="s">
        <v>13754</v>
      </c>
      <c r="E11037" s="2">
        <v>0</v>
      </c>
    </row>
    <row r="11038" spans="1:5">
      <c r="A11038" s="2" t="s">
        <v>296</v>
      </c>
      <c r="B11038" s="2" t="str">
        <f>"63112-55G32"</f>
        <v>63112-55G32</v>
      </c>
      <c r="C11038" s="2" t="str">
        <f>"63112-55G32"</f>
        <v>63112-55G32</v>
      </c>
      <c r="D11038" s="2" t="s">
        <v>13755</v>
      </c>
      <c r="E11038" s="2">
        <v>0</v>
      </c>
    </row>
    <row r="11039" spans="1:5">
      <c r="A11039" s="2" t="s">
        <v>296</v>
      </c>
      <c r="B11039" s="2" t="s">
        <v>13756</v>
      </c>
      <c r="C11039" s="2" t="s">
        <v>13756</v>
      </c>
      <c r="D11039" s="2" t="s">
        <v>13757</v>
      </c>
      <c r="E11039" s="4">
        <v>69000</v>
      </c>
    </row>
    <row r="11040" spans="1:5">
      <c r="A11040" s="2" t="s">
        <v>296</v>
      </c>
      <c r="B11040" s="2" t="str">
        <f>"020220426"</f>
        <v>020220426</v>
      </c>
      <c r="C11040" s="2" t="str">
        <f>"020220426"</f>
        <v>020220426</v>
      </c>
      <c r="D11040" s="2" t="s">
        <v>13758</v>
      </c>
      <c r="E11040" s="4">
        <v>29000</v>
      </c>
    </row>
    <row r="11041" spans="1:5">
      <c r="A11041" s="2" t="s">
        <v>296</v>
      </c>
      <c r="B11041" s="2" t="str">
        <f>"0121630"</f>
        <v>0121630</v>
      </c>
      <c r="C11041" s="2" t="str">
        <f>"0121630"</f>
        <v>0121630</v>
      </c>
      <c r="D11041" s="2" t="s">
        <v>13759</v>
      </c>
      <c r="E11041" s="4">
        <v>23000</v>
      </c>
    </row>
    <row r="11042" spans="1:5">
      <c r="A11042" s="2" t="s">
        <v>296</v>
      </c>
      <c r="B11042" s="2" t="s">
        <v>13760</v>
      </c>
      <c r="C11042" s="2" t="s">
        <v>13760</v>
      </c>
      <c r="D11042" s="2" t="s">
        <v>13761</v>
      </c>
      <c r="E11042" s="4">
        <v>69000</v>
      </c>
    </row>
    <row r="11043" spans="1:5">
      <c r="A11043" s="2" t="s">
        <v>2541</v>
      </c>
      <c r="B11043" s="2" t="str">
        <f>"3410160"</f>
        <v>3410160</v>
      </c>
      <c r="C11043" s="2" t="str">
        <f>"3410160"</f>
        <v>3410160</v>
      </c>
      <c r="D11043" s="2" t="s">
        <v>13762</v>
      </c>
      <c r="E11043" s="2">
        <v>0</v>
      </c>
    </row>
    <row r="11044" spans="1:5">
      <c r="A11044" s="2" t="s">
        <v>296</v>
      </c>
      <c r="B11044" s="2" t="s">
        <v>13763</v>
      </c>
      <c r="C11044" s="2" t="s">
        <v>13763</v>
      </c>
      <c r="D11044" s="2" t="s">
        <v>13764</v>
      </c>
      <c r="E11044" s="4">
        <v>28000</v>
      </c>
    </row>
    <row r="11045" spans="1:5">
      <c r="A11045" s="2" t="s">
        <v>2541</v>
      </c>
      <c r="B11045" s="2" t="str">
        <f>"231501"</f>
        <v>231501</v>
      </c>
      <c r="C11045" s="2" t="str">
        <f>"231501"</f>
        <v>231501</v>
      </c>
      <c r="D11045" s="2" t="s">
        <v>13765</v>
      </c>
      <c r="E11045" s="4">
        <v>17000</v>
      </c>
    </row>
    <row r="11046" spans="1:5">
      <c r="A11046" s="2" t="s">
        <v>296</v>
      </c>
      <c r="B11046" s="2" t="str">
        <f>"0121610"</f>
        <v>0121610</v>
      </c>
      <c r="C11046" s="2" t="str">
        <f>"0121610"</f>
        <v>0121610</v>
      </c>
      <c r="D11046" s="2" t="s">
        <v>13766</v>
      </c>
      <c r="E11046" s="4">
        <v>21400</v>
      </c>
    </row>
    <row r="11047" spans="1:5">
      <c r="A11047" s="2" t="s">
        <v>296</v>
      </c>
      <c r="B11047" s="2" t="s">
        <v>13767</v>
      </c>
      <c r="C11047" s="2" t="str">
        <f>"1489054229041"</f>
        <v>1489054229041</v>
      </c>
      <c r="D11047" s="2" t="s">
        <v>13768</v>
      </c>
      <c r="E11047" s="4">
        <v>19000</v>
      </c>
    </row>
    <row r="11048" spans="1:5">
      <c r="A11048" s="2" t="s">
        <v>296</v>
      </c>
      <c r="B11048" s="2" t="s">
        <v>13769</v>
      </c>
      <c r="C11048" s="2" t="s">
        <v>13770</v>
      </c>
      <c r="D11048" s="2" t="s">
        <v>13771</v>
      </c>
      <c r="E11048" s="4">
        <v>29000</v>
      </c>
    </row>
    <row r="11049" spans="1:5">
      <c r="A11049" s="2" t="s">
        <v>2541</v>
      </c>
      <c r="B11049" s="2" t="str">
        <f>"0121650"</f>
        <v>0121650</v>
      </c>
      <c r="C11049" s="2" t="str">
        <f>"0121650"</f>
        <v>0121650</v>
      </c>
      <c r="D11049" s="2" t="s">
        <v>13771</v>
      </c>
      <c r="E11049" s="4">
        <v>21400</v>
      </c>
    </row>
    <row r="11050" spans="1:5">
      <c r="A11050" s="2" t="s">
        <v>296</v>
      </c>
      <c r="B11050" s="2" t="str">
        <f>"020220447"</f>
        <v>020220447</v>
      </c>
      <c r="C11050" s="2" t="str">
        <f>"020220447"</f>
        <v>020220447</v>
      </c>
      <c r="D11050" s="2" t="s">
        <v>13772</v>
      </c>
      <c r="E11050" s="4">
        <v>21400</v>
      </c>
    </row>
    <row r="11051" spans="1:5">
      <c r="A11051" s="2" t="s">
        <v>2541</v>
      </c>
      <c r="B11051" s="2" t="str">
        <f>"231502"</f>
        <v>231502</v>
      </c>
      <c r="C11051" s="2" t="str">
        <f>"231502"</f>
        <v>231502</v>
      </c>
      <c r="D11051" s="2" t="s">
        <v>13773</v>
      </c>
      <c r="E11051" s="4">
        <v>15000</v>
      </c>
    </row>
    <row r="11052" spans="1:5">
      <c r="A11052" s="2" t="s">
        <v>296</v>
      </c>
      <c r="B11052" s="2" t="s">
        <v>13774</v>
      </c>
      <c r="C11052" s="2" t="s">
        <v>13774</v>
      </c>
      <c r="D11052" s="2" t="s">
        <v>13775</v>
      </c>
      <c r="E11052" s="4">
        <v>59000</v>
      </c>
    </row>
    <row r="11053" spans="1:5">
      <c r="A11053" s="2" t="s">
        <v>296</v>
      </c>
      <c r="B11053" s="2" t="s">
        <v>13776</v>
      </c>
      <c r="C11053" s="2" t="s">
        <v>13776</v>
      </c>
      <c r="D11053" s="2" t="s">
        <v>13777</v>
      </c>
      <c r="E11053" s="4">
        <v>36500</v>
      </c>
    </row>
    <row r="11054" spans="1:5">
      <c r="A11054" s="2" t="s">
        <v>296</v>
      </c>
      <c r="B11054" s="2" t="str">
        <f>"0037971103"</f>
        <v>0037971103</v>
      </c>
      <c r="C11054" s="2" t="str">
        <f>"0037971103"</f>
        <v>0037971103</v>
      </c>
      <c r="D11054" s="2" t="s">
        <v>13778</v>
      </c>
      <c r="E11054" s="4">
        <v>105000</v>
      </c>
    </row>
    <row r="11055" spans="1:5">
      <c r="A11055" s="2" t="s">
        <v>296</v>
      </c>
      <c r="B11055" s="2" t="s">
        <v>13779</v>
      </c>
      <c r="C11055" s="2" t="s">
        <v>13779</v>
      </c>
      <c r="D11055" s="2" t="s">
        <v>13780</v>
      </c>
      <c r="E11055" s="2">
        <v>0</v>
      </c>
    </row>
    <row r="11056" spans="1:5">
      <c r="A11056" s="2" t="s">
        <v>296</v>
      </c>
      <c r="B11056" s="2" t="str">
        <f>"001797180-8"</f>
        <v>001797180-8</v>
      </c>
      <c r="C11056" s="2" t="str">
        <f>"001797180-8"</f>
        <v>001797180-8</v>
      </c>
      <c r="D11056" s="2" t="s">
        <v>13781</v>
      </c>
      <c r="E11056" s="4">
        <v>97000</v>
      </c>
    </row>
    <row r="11057" spans="1:5">
      <c r="A11057" s="2" t="s">
        <v>296</v>
      </c>
      <c r="B11057" s="2" t="s">
        <v>13782</v>
      </c>
      <c r="C11057" s="2" t="s">
        <v>13782</v>
      </c>
      <c r="D11057" s="2" t="s">
        <v>13783</v>
      </c>
      <c r="E11057" s="2">
        <v>0</v>
      </c>
    </row>
    <row r="11058" spans="1:5">
      <c r="A11058" s="2" t="s">
        <v>296</v>
      </c>
      <c r="B11058" s="2" t="str">
        <f>"0006380"</f>
        <v>0006380</v>
      </c>
      <c r="C11058" s="2" t="str">
        <f>"0006380"</f>
        <v>0006380</v>
      </c>
      <c r="D11058" s="2" t="s">
        <v>13784</v>
      </c>
      <c r="E11058" s="2">
        <v>0</v>
      </c>
    </row>
    <row r="11059" spans="1:5">
      <c r="A11059" s="2" t="s">
        <v>296</v>
      </c>
      <c r="B11059" s="2" t="s">
        <v>13785</v>
      </c>
      <c r="C11059" s="2" t="s">
        <v>13785</v>
      </c>
      <c r="D11059" s="2" t="s">
        <v>13786</v>
      </c>
      <c r="E11059" s="2">
        <v>0</v>
      </c>
    </row>
    <row r="11060" spans="1:5">
      <c r="A11060" s="2" t="s">
        <v>296</v>
      </c>
      <c r="B11060" s="2" t="s">
        <v>13787</v>
      </c>
      <c r="C11060" s="2" t="s">
        <v>13787</v>
      </c>
      <c r="D11060" s="2" t="s">
        <v>13788</v>
      </c>
      <c r="E11060" s="2">
        <v>0</v>
      </c>
    </row>
    <row r="11061" spans="1:5">
      <c r="A11061" s="2" t="s">
        <v>296</v>
      </c>
      <c r="B11061" s="2" t="s">
        <v>13789</v>
      </c>
      <c r="C11061" s="2" t="s">
        <v>13789</v>
      </c>
      <c r="D11061" s="2" t="s">
        <v>13790</v>
      </c>
      <c r="E11061" s="2">
        <v>0</v>
      </c>
    </row>
    <row r="11062" spans="1:5">
      <c r="A11062" s="2" t="s">
        <v>296</v>
      </c>
      <c r="B11062" s="2" t="str">
        <f>"01606NY"</f>
        <v>01606NY</v>
      </c>
      <c r="C11062" s="2" t="str">
        <f>"01606NY"</f>
        <v>01606NY</v>
      </c>
      <c r="D11062" s="2" t="s">
        <v>13791</v>
      </c>
      <c r="E11062" s="4">
        <v>28600</v>
      </c>
    </row>
    <row r="11063" spans="1:5">
      <c r="A11063" s="2" t="s">
        <v>296</v>
      </c>
      <c r="B11063" s="2" t="s">
        <v>13792</v>
      </c>
      <c r="C11063" s="2" t="s">
        <v>13792</v>
      </c>
      <c r="D11063" s="2" t="s">
        <v>13793</v>
      </c>
      <c r="E11063" s="2">
        <v>0</v>
      </c>
    </row>
    <row r="11064" spans="1:5">
      <c r="A11064" s="2" t="s">
        <v>296</v>
      </c>
      <c r="B11064" s="2" t="s">
        <v>13794</v>
      </c>
      <c r="C11064" s="2" t="s">
        <v>13794</v>
      </c>
      <c r="D11064" s="2" t="s">
        <v>13795</v>
      </c>
      <c r="E11064" s="2">
        <v>0</v>
      </c>
    </row>
    <row r="11065" spans="1:5">
      <c r="A11065" s="2" t="s">
        <v>296</v>
      </c>
      <c r="B11065" s="2" t="str">
        <f>"020220475"</f>
        <v>020220475</v>
      </c>
      <c r="C11065" s="2" t="str">
        <f>"020220475"</f>
        <v>020220475</v>
      </c>
      <c r="D11065" s="2" t="s">
        <v>13796</v>
      </c>
      <c r="E11065" s="4">
        <v>29000</v>
      </c>
    </row>
    <row r="11066" spans="1:5">
      <c r="A11066" s="2" t="s">
        <v>296</v>
      </c>
      <c r="B11066" s="2" t="s">
        <v>13797</v>
      </c>
      <c r="C11066" s="2" t="str">
        <f>"501541"</f>
        <v>501541</v>
      </c>
      <c r="D11066" s="2" t="s">
        <v>13798</v>
      </c>
      <c r="E11066" s="4">
        <v>38500</v>
      </c>
    </row>
    <row r="11067" spans="1:5">
      <c r="A11067" s="2" t="s">
        <v>296</v>
      </c>
      <c r="B11067" s="2" t="s">
        <v>13799</v>
      </c>
      <c r="C11067" s="2" t="s">
        <v>13800</v>
      </c>
      <c r="D11067" s="2" t="s">
        <v>13801</v>
      </c>
      <c r="E11067" s="4">
        <v>38500</v>
      </c>
    </row>
    <row r="11068" spans="1:5">
      <c r="A11068" s="2" t="s">
        <v>296</v>
      </c>
      <c r="B11068" s="2" t="s">
        <v>13802</v>
      </c>
      <c r="C11068" s="2" t="s">
        <v>13802</v>
      </c>
      <c r="D11068" s="2" t="s">
        <v>13803</v>
      </c>
      <c r="E11068" s="4">
        <v>52000</v>
      </c>
    </row>
    <row r="11069" spans="1:5">
      <c r="A11069" s="2" t="s">
        <v>296</v>
      </c>
      <c r="B11069" s="2" t="str">
        <f>"000980710-1"</f>
        <v>000980710-1</v>
      </c>
      <c r="C11069" s="2" t="str">
        <f>"000980710-1"</f>
        <v>000980710-1</v>
      </c>
      <c r="D11069" s="2" t="s">
        <v>13804</v>
      </c>
      <c r="E11069" s="4">
        <v>58000</v>
      </c>
    </row>
    <row r="11070" spans="1:5">
      <c r="A11070" s="2" t="s">
        <v>296</v>
      </c>
      <c r="B11070" s="2" t="str">
        <f>"000980709-8"</f>
        <v>000980709-8</v>
      </c>
      <c r="C11070" s="2" t="str">
        <f>"000980709-8"</f>
        <v>000980709-8</v>
      </c>
      <c r="D11070" s="2" t="s">
        <v>13805</v>
      </c>
      <c r="E11070" s="4">
        <v>58000</v>
      </c>
    </row>
    <row r="11071" spans="1:5">
      <c r="A11071" s="2" t="s">
        <v>2541</v>
      </c>
      <c r="B11071" s="2" t="s">
        <v>13806</v>
      </c>
      <c r="C11071" s="2" t="str">
        <f>"1688400053512"</f>
        <v>1688400053512</v>
      </c>
      <c r="D11071" s="2" t="s">
        <v>13807</v>
      </c>
      <c r="E11071" s="4">
        <v>65000</v>
      </c>
    </row>
    <row r="11072" spans="1:5">
      <c r="A11072" s="2" t="s">
        <v>2541</v>
      </c>
      <c r="B11072" s="2" t="s">
        <v>13808</v>
      </c>
      <c r="C11072" s="2" t="str">
        <f>"1688400089214"</f>
        <v>1688400089214</v>
      </c>
      <c r="D11072" s="2" t="s">
        <v>13809</v>
      </c>
      <c r="E11072" s="4">
        <v>65000</v>
      </c>
    </row>
    <row r="11073" spans="1:5">
      <c r="A11073" s="2" t="s">
        <v>1478</v>
      </c>
      <c r="B11073" s="2" t="str">
        <f>"0459-004"</f>
        <v>0459-004</v>
      </c>
      <c r="C11073" s="2" t="str">
        <f>"0459-004"</f>
        <v>0459-004</v>
      </c>
      <c r="D11073" s="2" t="s">
        <v>13810</v>
      </c>
      <c r="E11073" s="4">
        <v>4300</v>
      </c>
    </row>
    <row r="11074" spans="1:5">
      <c r="A11074" s="2" t="s">
        <v>1478</v>
      </c>
      <c r="B11074" s="2" t="str">
        <f>"8005025"</f>
        <v>8005025</v>
      </c>
      <c r="C11074" s="2" t="str">
        <f>"8005025"</f>
        <v>8005025</v>
      </c>
      <c r="D11074" s="2" t="s">
        <v>13811</v>
      </c>
      <c r="E11074" s="4">
        <v>28600</v>
      </c>
    </row>
    <row r="11075" spans="1:5">
      <c r="A11075" s="2" t="s">
        <v>296</v>
      </c>
      <c r="B11075" s="2" t="str">
        <f>"283262"</f>
        <v>283262</v>
      </c>
      <c r="C11075" s="2" t="str">
        <f>"283262"</f>
        <v>283262</v>
      </c>
      <c r="D11075" s="2" t="s">
        <v>13812</v>
      </c>
      <c r="E11075" s="4">
        <v>5200</v>
      </c>
    </row>
    <row r="11076" spans="1:5">
      <c r="A11076" s="2" t="s">
        <v>1478</v>
      </c>
      <c r="B11076" s="2" t="str">
        <f>"013122198678"</f>
        <v>013122198678</v>
      </c>
      <c r="C11076" s="2" t="str">
        <f>"0459-150 HL-2056S"</f>
        <v>0459-150 HL-2056S</v>
      </c>
      <c r="D11076" s="2" t="s">
        <v>13813</v>
      </c>
      <c r="E11076" s="4">
        <v>5900</v>
      </c>
    </row>
    <row r="11077" spans="1:5">
      <c r="A11077" s="2" t="s">
        <v>1478</v>
      </c>
      <c r="B11077" s="2" t="str">
        <f>"0459-035"</f>
        <v>0459-035</v>
      </c>
      <c r="C11077" s="2" t="str">
        <f>"0459-035"</f>
        <v>0459-035</v>
      </c>
      <c r="D11077" s="2" t="s">
        <v>13814</v>
      </c>
      <c r="E11077" s="4">
        <v>8800</v>
      </c>
    </row>
    <row r="11078" spans="1:5">
      <c r="A11078" s="2" t="s">
        <v>1478</v>
      </c>
      <c r="B11078" s="2" t="str">
        <f>"284670"</f>
        <v>284670</v>
      </c>
      <c r="C11078" s="2" t="str">
        <f>"284670"</f>
        <v>284670</v>
      </c>
      <c r="D11078" s="2" t="s">
        <v>13815</v>
      </c>
      <c r="E11078" s="4">
        <v>3800</v>
      </c>
    </row>
    <row r="11079" spans="1:5">
      <c r="A11079" s="2" t="s">
        <v>1478</v>
      </c>
      <c r="B11079" s="2" t="str">
        <f>"1101278"</f>
        <v>1101278</v>
      </c>
      <c r="C11079" s="2" t="str">
        <f>"1101278"</f>
        <v>1101278</v>
      </c>
      <c r="D11079" s="2" t="s">
        <v>13816</v>
      </c>
      <c r="E11079" s="4">
        <v>3200</v>
      </c>
    </row>
    <row r="11080" spans="1:5">
      <c r="A11080" s="2" t="s">
        <v>1478</v>
      </c>
      <c r="B11080" s="2" t="str">
        <f>"0459-335"</f>
        <v>0459-335</v>
      </c>
      <c r="C11080" s="2" t="str">
        <f>"0459-335"</f>
        <v>0459-335</v>
      </c>
      <c r="D11080" s="2" t="s">
        <v>13817</v>
      </c>
      <c r="E11080" s="4">
        <v>7000</v>
      </c>
    </row>
    <row r="11081" spans="1:5">
      <c r="A11081" s="2" t="s">
        <v>1478</v>
      </c>
      <c r="B11081" s="2" t="str">
        <f>"283273"</f>
        <v>283273</v>
      </c>
      <c r="C11081" s="2" t="str">
        <f>"283273"</f>
        <v>283273</v>
      </c>
      <c r="D11081" s="2" t="s">
        <v>13818</v>
      </c>
      <c r="E11081" s="4">
        <v>34500</v>
      </c>
    </row>
    <row r="11082" spans="1:5">
      <c r="A11082" s="2" t="s">
        <v>1478</v>
      </c>
      <c r="B11082" s="2" t="str">
        <f>"0000683"</f>
        <v>0000683</v>
      </c>
      <c r="C11082" s="2" t="str">
        <f>"0000683"</f>
        <v>0000683</v>
      </c>
      <c r="D11082" s="2" t="s">
        <v>13819</v>
      </c>
      <c r="E11082" s="4">
        <v>3900</v>
      </c>
    </row>
    <row r="11083" spans="1:5">
      <c r="A11083" s="2" t="s">
        <v>1478</v>
      </c>
      <c r="B11083" s="2" t="str">
        <f>"0010217"</f>
        <v>0010217</v>
      </c>
      <c r="C11083" s="2" t="str">
        <f>"0010217"</f>
        <v>0010217</v>
      </c>
      <c r="D11083" s="2" t="s">
        <v>13820</v>
      </c>
      <c r="E11083" s="4">
        <v>56000</v>
      </c>
    </row>
    <row r="11084" spans="1:5">
      <c r="A11084" s="2" t="s">
        <v>1478</v>
      </c>
      <c r="B11084" s="2" t="s">
        <v>13821</v>
      </c>
      <c r="C11084" s="2" t="s">
        <v>13821</v>
      </c>
      <c r="D11084" s="2" t="s">
        <v>13822</v>
      </c>
      <c r="E11084" s="4">
        <v>2900</v>
      </c>
    </row>
    <row r="11085" spans="1:5">
      <c r="A11085" s="2" t="s">
        <v>1478</v>
      </c>
      <c r="B11085" s="2" t="str">
        <f>"02357598"</f>
        <v>02357598</v>
      </c>
      <c r="C11085" s="2" t="str">
        <f>"0012109954"</f>
        <v>0012109954</v>
      </c>
      <c r="D11085" s="2" t="s">
        <v>13823</v>
      </c>
      <c r="E11085" s="4">
        <v>6100</v>
      </c>
    </row>
    <row r="11086" spans="1:5">
      <c r="A11086" s="2" t="s">
        <v>296</v>
      </c>
      <c r="B11086" s="2" t="str">
        <f>"0010214"</f>
        <v>0010214</v>
      </c>
      <c r="C11086" s="2" t="str">
        <f>"0010214"</f>
        <v>0010214</v>
      </c>
      <c r="D11086" s="2" t="s">
        <v>13824</v>
      </c>
      <c r="E11086" s="4">
        <v>34000</v>
      </c>
    </row>
    <row r="11087" spans="1:5">
      <c r="A11087" s="2" t="s">
        <v>1478</v>
      </c>
      <c r="B11087" s="2" t="str">
        <f>"246134"</f>
        <v>246134</v>
      </c>
      <c r="C11087" s="2" t="str">
        <f>"246134"</f>
        <v>246134</v>
      </c>
      <c r="D11087" s="2" t="s">
        <v>13825</v>
      </c>
      <c r="E11087" s="4">
        <v>4300</v>
      </c>
    </row>
    <row r="11088" spans="1:5">
      <c r="A11088" s="2" t="s">
        <v>296</v>
      </c>
      <c r="B11088" s="2" t="s">
        <v>13826</v>
      </c>
      <c r="C11088" s="2" t="s">
        <v>13826</v>
      </c>
      <c r="D11088" s="2" t="s">
        <v>13827</v>
      </c>
      <c r="E11088" s="4">
        <v>34000</v>
      </c>
    </row>
    <row r="11089" spans="1:5">
      <c r="A11089" s="2" t="s">
        <v>1478</v>
      </c>
      <c r="B11089" s="2" t="str">
        <f>"283455"</f>
        <v>283455</v>
      </c>
      <c r="C11089" s="2" t="str">
        <f>"283455"</f>
        <v>283455</v>
      </c>
      <c r="D11089" s="2" t="s">
        <v>13828</v>
      </c>
      <c r="E11089" s="4">
        <v>8500</v>
      </c>
    </row>
    <row r="11090" spans="1:5">
      <c r="A11090" s="2" t="s">
        <v>296</v>
      </c>
      <c r="B11090" s="2" t="str">
        <f>"0171050"</f>
        <v>0171050</v>
      </c>
      <c r="C11090" s="2" t="str">
        <f>"0171050"</f>
        <v>0171050</v>
      </c>
      <c r="D11090" s="2" t="s">
        <v>13829</v>
      </c>
      <c r="E11090" s="4">
        <v>16000</v>
      </c>
    </row>
    <row r="11091" spans="1:5">
      <c r="A11091" s="2" t="s">
        <v>296</v>
      </c>
      <c r="B11091" s="2" t="str">
        <f>"0171060"</f>
        <v>0171060</v>
      </c>
      <c r="C11091" s="2" t="str">
        <f>"0171060"</f>
        <v>0171060</v>
      </c>
      <c r="D11091" s="2" t="s">
        <v>13830</v>
      </c>
      <c r="E11091" s="4">
        <v>16000</v>
      </c>
    </row>
    <row r="11092" spans="1:5">
      <c r="A11092" s="2" t="s">
        <v>1478</v>
      </c>
      <c r="B11092" s="2" t="str">
        <f>"247331"</f>
        <v>247331</v>
      </c>
      <c r="C11092" s="2" t="str">
        <f>"247331"</f>
        <v>247331</v>
      </c>
      <c r="D11092" s="2" t="s">
        <v>13831</v>
      </c>
      <c r="E11092" s="4">
        <v>8800</v>
      </c>
    </row>
    <row r="11093" spans="1:5">
      <c r="A11093" s="2" t="s">
        <v>1478</v>
      </c>
      <c r="B11093" s="2" t="str">
        <f>"1810955-7"</f>
        <v>1810955-7</v>
      </c>
      <c r="C11093" s="2" t="str">
        <f>"1810955-7"</f>
        <v>1810955-7</v>
      </c>
      <c r="D11093" s="2" t="s">
        <v>13832</v>
      </c>
      <c r="E11093" s="4">
        <v>68000</v>
      </c>
    </row>
    <row r="11094" spans="1:5">
      <c r="A11094" s="2" t="s">
        <v>1478</v>
      </c>
      <c r="B11094" s="2" t="str">
        <f>"0021199454-9"</f>
        <v>0021199454-9</v>
      </c>
      <c r="C11094" s="2" t="str">
        <f>"21199454-9"</f>
        <v>21199454-9</v>
      </c>
      <c r="D11094" s="2" t="s">
        <v>13833</v>
      </c>
      <c r="E11094" s="4">
        <v>5000</v>
      </c>
    </row>
    <row r="11095" spans="1:5">
      <c r="A11095" s="2" t="s">
        <v>1478</v>
      </c>
      <c r="B11095" s="2" t="str">
        <f>"3211223"</f>
        <v>3211223</v>
      </c>
      <c r="C11095" s="2" t="str">
        <f>"321123"</f>
        <v>321123</v>
      </c>
      <c r="D11095" s="2" t="s">
        <v>13834</v>
      </c>
      <c r="E11095" s="4">
        <v>3500</v>
      </c>
    </row>
    <row r="11096" spans="1:5">
      <c r="A11096" s="2" t="s">
        <v>5</v>
      </c>
      <c r="B11096" s="2" t="s">
        <v>13835</v>
      </c>
      <c r="C11096" s="2" t="s">
        <v>13835</v>
      </c>
      <c r="D11096" s="2" t="s">
        <v>13836</v>
      </c>
      <c r="E11096" s="4">
        <v>3400</v>
      </c>
    </row>
    <row r="11097" spans="1:5">
      <c r="A11097" s="2" t="s">
        <v>296</v>
      </c>
      <c r="B11097" s="2" t="str">
        <f>"001439011-1"</f>
        <v>001439011-1</v>
      </c>
      <c r="C11097" s="2" t="str">
        <f>"001439011-1"</f>
        <v>001439011-1</v>
      </c>
      <c r="D11097" s="2" t="s">
        <v>13837</v>
      </c>
      <c r="E11097" s="4">
        <v>19600</v>
      </c>
    </row>
    <row r="11098" spans="1:5">
      <c r="A11098" s="2" t="s">
        <v>296</v>
      </c>
      <c r="B11098" s="2" t="str">
        <f>"1700260"</f>
        <v>1700260</v>
      </c>
      <c r="C11098" s="2" t="str">
        <f>"1700260"</f>
        <v>1700260</v>
      </c>
      <c r="D11098" s="2" t="s">
        <v>13838</v>
      </c>
      <c r="E11098" s="4">
        <v>9800</v>
      </c>
    </row>
    <row r="11099" spans="1:5">
      <c r="A11099" s="2" t="s">
        <v>296</v>
      </c>
      <c r="B11099" s="2" t="s">
        <v>13839</v>
      </c>
      <c r="C11099" s="2" t="s">
        <v>13839</v>
      </c>
      <c r="D11099" s="2" t="s">
        <v>13840</v>
      </c>
      <c r="E11099" s="4">
        <v>55000</v>
      </c>
    </row>
    <row r="11100" spans="1:5">
      <c r="A11100" s="2" t="s">
        <v>296</v>
      </c>
      <c r="B11100" s="2" t="str">
        <f>"090440596"</f>
        <v>090440596</v>
      </c>
      <c r="C11100" s="2" t="str">
        <f>"090440596"</f>
        <v>090440596</v>
      </c>
      <c r="D11100" s="2" t="s">
        <v>13841</v>
      </c>
      <c r="E11100" s="4">
        <v>34000</v>
      </c>
    </row>
    <row r="11101" spans="1:5">
      <c r="A11101" s="2" t="s">
        <v>296</v>
      </c>
      <c r="B11101" s="2" t="str">
        <f>"001439025-1"</f>
        <v>001439025-1</v>
      </c>
      <c r="C11101" s="2" t="str">
        <f>"1439025-1"</f>
        <v>1439025-1</v>
      </c>
      <c r="D11101" s="2" t="s">
        <v>13842</v>
      </c>
      <c r="E11101" s="4">
        <v>32800</v>
      </c>
    </row>
    <row r="11102" spans="1:5">
      <c r="A11102" s="2" t="s">
        <v>296</v>
      </c>
      <c r="B11102" s="2" t="str">
        <f>"001119315-3"</f>
        <v>001119315-3</v>
      </c>
      <c r="C11102" s="2" t="s">
        <v>13843</v>
      </c>
      <c r="D11102" s="2" t="s">
        <v>13844</v>
      </c>
      <c r="E11102" s="4">
        <v>22300</v>
      </c>
    </row>
    <row r="11103" spans="1:5">
      <c r="A11103" s="2" t="s">
        <v>296</v>
      </c>
      <c r="B11103" s="2" t="s">
        <v>13845</v>
      </c>
      <c r="C11103" s="2" t="s">
        <v>13845</v>
      </c>
      <c r="D11103" s="2" t="s">
        <v>13846</v>
      </c>
      <c r="E11103" s="4">
        <v>16000</v>
      </c>
    </row>
    <row r="11104" spans="1:5">
      <c r="A11104" s="2" t="s">
        <v>296</v>
      </c>
      <c r="B11104" s="2" t="s">
        <v>13847</v>
      </c>
      <c r="C11104" s="2" t="s">
        <v>13847</v>
      </c>
      <c r="D11104" s="2" t="s">
        <v>13848</v>
      </c>
      <c r="E11104" s="4">
        <v>10150</v>
      </c>
    </row>
    <row r="11105" spans="1:5">
      <c r="A11105" s="2" t="s">
        <v>296</v>
      </c>
      <c r="B11105" s="2" t="str">
        <f>"25540"</f>
        <v>25540</v>
      </c>
      <c r="C11105" s="2" t="str">
        <f>"25540"</f>
        <v>25540</v>
      </c>
      <c r="D11105" s="2" t="s">
        <v>13849</v>
      </c>
      <c r="E11105" s="2">
        <v>260</v>
      </c>
    </row>
    <row r="11106" spans="1:5">
      <c r="A11106" s="2" t="s">
        <v>359</v>
      </c>
      <c r="B11106" s="2" t="str">
        <f>"0120147"</f>
        <v>0120147</v>
      </c>
      <c r="C11106" s="2" t="str">
        <f>"0120147"</f>
        <v>0120147</v>
      </c>
      <c r="D11106" s="2" t="s">
        <v>13850</v>
      </c>
      <c r="E11106" s="4">
        <v>14200</v>
      </c>
    </row>
    <row r="11107" spans="1:5">
      <c r="A11107" s="2" t="s">
        <v>365</v>
      </c>
      <c r="B11107" s="2" t="s">
        <v>13851</v>
      </c>
      <c r="C11107" s="2" t="str">
        <f>"1702134326035"</f>
        <v>1702134326035</v>
      </c>
      <c r="D11107" s="2" t="s">
        <v>13852</v>
      </c>
      <c r="E11107" s="4">
        <v>28000</v>
      </c>
    </row>
    <row r="11108" spans="1:5">
      <c r="A11108" s="2" t="s">
        <v>296</v>
      </c>
      <c r="B11108" s="2" t="str">
        <f>"0001410"</f>
        <v>0001410</v>
      </c>
      <c r="C11108" s="2" t="str">
        <f>"0001410"</f>
        <v>0001410</v>
      </c>
      <c r="D11108" s="2" t="s">
        <v>13853</v>
      </c>
      <c r="E11108" s="4">
        <v>22000</v>
      </c>
    </row>
    <row r="11109" spans="1:5">
      <c r="A11109" s="2" t="s">
        <v>296</v>
      </c>
      <c r="B11109" s="2" t="str">
        <f>"0005595"</f>
        <v>0005595</v>
      </c>
      <c r="C11109" s="2" t="str">
        <f>"0005595"</f>
        <v>0005595</v>
      </c>
      <c r="D11109" s="2" t="s">
        <v>13854</v>
      </c>
      <c r="E11109" s="4">
        <v>29000</v>
      </c>
    </row>
    <row r="11110" spans="1:5">
      <c r="A11110" s="2" t="s">
        <v>296</v>
      </c>
      <c r="B11110" s="2" t="str">
        <f>"0008754"</f>
        <v>0008754</v>
      </c>
      <c r="C11110" s="2" t="str">
        <f>"0008754"</f>
        <v>0008754</v>
      </c>
      <c r="D11110" s="2" t="s">
        <v>13855</v>
      </c>
      <c r="E11110" s="4">
        <v>38000</v>
      </c>
    </row>
    <row r="11111" spans="1:5">
      <c r="A11111" s="2" t="s">
        <v>296</v>
      </c>
      <c r="B11111" s="2" t="str">
        <f>"0006440"</f>
        <v>0006440</v>
      </c>
      <c r="C11111" s="2" t="str">
        <f>"0006440"</f>
        <v>0006440</v>
      </c>
      <c r="D11111" s="2" t="s">
        <v>13856</v>
      </c>
      <c r="E11111" s="4">
        <v>16000</v>
      </c>
    </row>
    <row r="11112" spans="1:5">
      <c r="A11112" s="2" t="s">
        <v>296</v>
      </c>
      <c r="B11112" s="2" t="str">
        <f>"0113167"</f>
        <v>0113167</v>
      </c>
      <c r="C11112" s="2" t="str">
        <f>"0113167"</f>
        <v>0113167</v>
      </c>
      <c r="D11112" s="2" t="s">
        <v>13857</v>
      </c>
      <c r="E11112" s="4">
        <v>9700</v>
      </c>
    </row>
    <row r="11113" spans="1:5">
      <c r="A11113" s="2" t="s">
        <v>296</v>
      </c>
      <c r="B11113" s="2" t="s">
        <v>13858</v>
      </c>
      <c r="C11113" s="2" t="s">
        <v>13858</v>
      </c>
      <c r="D11113" s="2" t="s">
        <v>13859</v>
      </c>
      <c r="E11113" s="4">
        <v>14200</v>
      </c>
    </row>
    <row r="11114" spans="1:5">
      <c r="A11114" s="2" t="s">
        <v>296</v>
      </c>
      <c r="B11114" s="2" t="s">
        <v>13860</v>
      </c>
      <c r="C11114" s="2" t="s">
        <v>13860</v>
      </c>
      <c r="D11114" s="2" t="s">
        <v>13861</v>
      </c>
      <c r="E11114" s="4">
        <v>12400</v>
      </c>
    </row>
    <row r="11115" spans="1:5">
      <c r="A11115" s="2" t="s">
        <v>296</v>
      </c>
      <c r="B11115" s="2" t="str">
        <f>"20152140"</f>
        <v>20152140</v>
      </c>
      <c r="C11115" s="2" t="str">
        <f>"20152140"</f>
        <v>20152140</v>
      </c>
      <c r="D11115" s="2" t="s">
        <v>13862</v>
      </c>
      <c r="E11115" s="4">
        <v>6355</v>
      </c>
    </row>
    <row r="11116" spans="1:5">
      <c r="A11116" s="2" t="s">
        <v>1478</v>
      </c>
      <c r="B11116" s="2" t="str">
        <f>"286746"</f>
        <v>286746</v>
      </c>
      <c r="C11116" s="2" t="str">
        <f>"286746"</f>
        <v>286746</v>
      </c>
      <c r="D11116" s="2" t="s">
        <v>13863</v>
      </c>
      <c r="E11116" s="4">
        <v>35000</v>
      </c>
    </row>
    <row r="11117" spans="1:5">
      <c r="A11117" s="2" t="s">
        <v>1478</v>
      </c>
      <c r="B11117" s="2" t="str">
        <f>"181401"</f>
        <v>181401</v>
      </c>
      <c r="C11117" s="2" t="str">
        <f>"181401"</f>
        <v>181401</v>
      </c>
      <c r="D11117" s="2" t="s">
        <v>13864</v>
      </c>
      <c r="E11117" s="4">
        <v>16500</v>
      </c>
    </row>
    <row r="11118" spans="1:5">
      <c r="A11118" s="2" t="s">
        <v>1478</v>
      </c>
      <c r="B11118" s="2" t="str">
        <f>"170517"</f>
        <v>170517</v>
      </c>
      <c r="C11118" s="2" t="str">
        <f>"170517"</f>
        <v>170517</v>
      </c>
      <c r="D11118" s="2" t="s">
        <v>13865</v>
      </c>
      <c r="E11118" s="4">
        <v>14000</v>
      </c>
    </row>
    <row r="11119" spans="1:5">
      <c r="A11119" s="2" t="s">
        <v>1478</v>
      </c>
      <c r="B11119" s="2" t="str">
        <f>"13070-AD200"</f>
        <v>13070-AD200</v>
      </c>
      <c r="C11119" s="2" t="str">
        <f>"302734"</f>
        <v>302734</v>
      </c>
      <c r="D11119" s="2" t="s">
        <v>13866</v>
      </c>
      <c r="E11119" s="4">
        <v>14500</v>
      </c>
    </row>
    <row r="11120" spans="1:5">
      <c r="A11120" s="2" t="s">
        <v>1478</v>
      </c>
      <c r="B11120" s="2" t="str">
        <f>"280188"</f>
        <v>280188</v>
      </c>
      <c r="C11120" s="2" t="str">
        <f>"280188"</f>
        <v>280188</v>
      </c>
      <c r="D11120" s="2" t="s">
        <v>13867</v>
      </c>
      <c r="E11120" s="4">
        <v>19600</v>
      </c>
    </row>
    <row r="11121" spans="1:5">
      <c r="A11121" s="2" t="s">
        <v>1478</v>
      </c>
      <c r="B11121" s="2" t="str">
        <f>"0500038"</f>
        <v>0500038</v>
      </c>
      <c r="C11121" s="2" t="str">
        <f>"0500038"</f>
        <v>0500038</v>
      </c>
      <c r="D11121" s="2" t="s">
        <v>13867</v>
      </c>
      <c r="E11121" s="4">
        <v>8900</v>
      </c>
    </row>
    <row r="11122" spans="1:5">
      <c r="A11122" s="2" t="s">
        <v>296</v>
      </c>
      <c r="B11122" s="2" t="str">
        <f>"010610178"</f>
        <v>010610178</v>
      </c>
      <c r="C11122" s="2" t="str">
        <f>"010610178"</f>
        <v>010610178</v>
      </c>
      <c r="D11122" s="2" t="s">
        <v>13868</v>
      </c>
      <c r="E11122" s="4">
        <v>16000</v>
      </c>
    </row>
    <row r="11123" spans="1:5">
      <c r="A11123" s="2" t="s">
        <v>1478</v>
      </c>
      <c r="B11123" s="2" t="str">
        <f>"0001284"</f>
        <v>0001284</v>
      </c>
      <c r="C11123" s="2" t="str">
        <f>"001284"</f>
        <v>001284</v>
      </c>
      <c r="D11123" s="2" t="s">
        <v>13869</v>
      </c>
      <c r="E11123" s="4">
        <v>25000</v>
      </c>
    </row>
    <row r="11124" spans="1:5">
      <c r="A11124" s="2" t="s">
        <v>296</v>
      </c>
      <c r="B11124" s="2" t="str">
        <f>"0100240"</f>
        <v>0100240</v>
      </c>
      <c r="C11124" s="2" t="str">
        <f>"0100240"</f>
        <v>0100240</v>
      </c>
      <c r="D11124" s="2" t="s">
        <v>13870</v>
      </c>
      <c r="E11124" s="4">
        <v>11900</v>
      </c>
    </row>
    <row r="11125" spans="1:5">
      <c r="A11125" s="2" t="s">
        <v>1478</v>
      </c>
      <c r="B11125" s="2" t="str">
        <f>"020610049"</f>
        <v>020610049</v>
      </c>
      <c r="C11125" s="2" t="str">
        <f>"020610049"</f>
        <v>020610049</v>
      </c>
      <c r="D11125" s="2" t="s">
        <v>13871</v>
      </c>
      <c r="E11125" s="4">
        <v>9700</v>
      </c>
    </row>
    <row r="11126" spans="1:5">
      <c r="A11126" s="2" t="s">
        <v>1478</v>
      </c>
      <c r="B11126" s="2" t="str">
        <f>"5 00000 243532"</f>
        <v>5 00000 243532</v>
      </c>
      <c r="C11126" s="2" t="str">
        <f>"302820"</f>
        <v>302820</v>
      </c>
      <c r="D11126" s="2" t="s">
        <v>13872</v>
      </c>
      <c r="E11126" s="4">
        <v>19500</v>
      </c>
    </row>
    <row r="11127" spans="1:5">
      <c r="A11127" s="2" t="s">
        <v>1478</v>
      </c>
      <c r="B11127" s="2" t="str">
        <f>"5 000000 112951"</f>
        <v>5 000000 112951</v>
      </c>
      <c r="C11127" s="2" t="str">
        <f>"302096"</f>
        <v>302096</v>
      </c>
      <c r="D11127" s="2" t="s">
        <v>13873</v>
      </c>
      <c r="E11127" s="4">
        <v>27700</v>
      </c>
    </row>
    <row r="11128" spans="1:5">
      <c r="A11128" s="2" t="s">
        <v>1478</v>
      </c>
      <c r="B11128" s="2" t="str">
        <f>"5000000111596"</f>
        <v>5000000111596</v>
      </c>
      <c r="C11128" s="2" t="str">
        <f>"280184"</f>
        <v>280184</v>
      </c>
      <c r="D11128" s="2" t="s">
        <v>13874</v>
      </c>
      <c r="E11128" s="4">
        <v>16000</v>
      </c>
    </row>
    <row r="11129" spans="1:5">
      <c r="A11129" s="2" t="s">
        <v>1478</v>
      </c>
      <c r="B11129" s="2" t="str">
        <f>"280187"</f>
        <v>280187</v>
      </c>
      <c r="C11129" s="2" t="str">
        <f>"280187"</f>
        <v>280187</v>
      </c>
      <c r="D11129" s="2" t="s">
        <v>13874</v>
      </c>
      <c r="E11129" s="4">
        <v>15000</v>
      </c>
    </row>
    <row r="11130" spans="1:5">
      <c r="A11130" s="2" t="s">
        <v>296</v>
      </c>
      <c r="B11130" s="2" t="str">
        <f>"0017562"</f>
        <v>0017562</v>
      </c>
      <c r="C11130" s="2" t="str">
        <f>"0017562"</f>
        <v>0017562</v>
      </c>
      <c r="D11130" s="2" t="s">
        <v>13875</v>
      </c>
      <c r="E11130" s="4">
        <v>22300</v>
      </c>
    </row>
    <row r="11131" spans="1:5">
      <c r="A11131" s="2" t="s">
        <v>296</v>
      </c>
      <c r="B11131" s="2" t="str">
        <f>"0014374"</f>
        <v>0014374</v>
      </c>
      <c r="C11131" s="2" t="str">
        <f>"0014374"</f>
        <v>0014374</v>
      </c>
      <c r="D11131" s="2" t="s">
        <v>13876</v>
      </c>
      <c r="E11131" s="4">
        <v>25000</v>
      </c>
    </row>
    <row r="11132" spans="1:5">
      <c r="A11132" s="2" t="s">
        <v>296</v>
      </c>
      <c r="B11132" s="2" t="str">
        <f>"280228"</f>
        <v>280228</v>
      </c>
      <c r="C11132" s="2" t="str">
        <f>"280228"</f>
        <v>280228</v>
      </c>
      <c r="D11132" s="2" t="s">
        <v>13877</v>
      </c>
      <c r="E11132" s="4">
        <v>34000</v>
      </c>
    </row>
    <row r="11133" spans="1:5">
      <c r="A11133" s="2" t="s">
        <v>1478</v>
      </c>
      <c r="B11133" s="2" t="str">
        <f>"020697"</f>
        <v>020697</v>
      </c>
      <c r="C11133" s="2" t="str">
        <f>"020697"</f>
        <v>020697</v>
      </c>
      <c r="D11133" s="2" t="s">
        <v>13878</v>
      </c>
      <c r="E11133" s="4">
        <v>25000</v>
      </c>
    </row>
    <row r="11134" spans="1:5">
      <c r="A11134" s="2" t="s">
        <v>296</v>
      </c>
      <c r="B11134" s="2" t="str">
        <f>"0052170036"</f>
        <v>0052170036</v>
      </c>
      <c r="C11134" s="2" t="str">
        <f>"52170036"</f>
        <v>52170036</v>
      </c>
      <c r="D11134" s="2" t="s">
        <v>13879</v>
      </c>
      <c r="E11134" s="4">
        <v>61000</v>
      </c>
    </row>
    <row r="11135" spans="1:5">
      <c r="A11135" s="2" t="s">
        <v>296</v>
      </c>
      <c r="B11135" s="2" t="str">
        <f>"13070-53Y13"</f>
        <v>13070-53Y13</v>
      </c>
      <c r="C11135" s="2" t="str">
        <f>"13070-53Y13"</f>
        <v>13070-53Y13</v>
      </c>
      <c r="D11135" s="2" t="s">
        <v>13880</v>
      </c>
      <c r="E11135" s="4">
        <v>10600</v>
      </c>
    </row>
    <row r="11136" spans="1:5">
      <c r="A11136" s="2" t="s">
        <v>1478</v>
      </c>
      <c r="B11136" s="2" t="str">
        <f>"01040026"</f>
        <v>01040026</v>
      </c>
      <c r="C11136" s="2" t="str">
        <f>"01040026"</f>
        <v>01040026</v>
      </c>
      <c r="D11136" s="2" t="s">
        <v>13881</v>
      </c>
      <c r="E11136" s="4">
        <v>8900</v>
      </c>
    </row>
    <row r="11137" spans="1:5">
      <c r="A11137" s="2" t="s">
        <v>1394</v>
      </c>
      <c r="B11137" s="2" t="str">
        <f>"1307053Y10"</f>
        <v>1307053Y10</v>
      </c>
      <c r="C11137" s="2" t="str">
        <f>"1446758009"</f>
        <v>1446758009</v>
      </c>
      <c r="D11137" s="2" t="s">
        <v>13882</v>
      </c>
      <c r="E11137" s="4">
        <v>9800</v>
      </c>
    </row>
    <row r="11138" spans="1:5">
      <c r="A11138" s="2" t="s">
        <v>296</v>
      </c>
      <c r="B11138" s="2" t="str">
        <f>"247388"</f>
        <v>247388</v>
      </c>
      <c r="C11138" s="2" t="str">
        <f>"247388"</f>
        <v>247388</v>
      </c>
      <c r="D11138" s="2" t="s">
        <v>13883</v>
      </c>
      <c r="E11138" s="4">
        <v>9700</v>
      </c>
    </row>
    <row r="11139" spans="1:5">
      <c r="A11139" s="2" t="s">
        <v>365</v>
      </c>
      <c r="B11139" s="2" t="s">
        <v>13884</v>
      </c>
      <c r="C11139" s="2" t="str">
        <f>"52003"</f>
        <v>52003</v>
      </c>
      <c r="D11139" s="2" t="s">
        <v>13885</v>
      </c>
      <c r="E11139" s="4">
        <v>6100</v>
      </c>
    </row>
    <row r="11140" spans="1:5">
      <c r="A11140" s="2" t="s">
        <v>365</v>
      </c>
      <c r="B11140" s="2" t="str">
        <f>"090601146"</f>
        <v>090601146</v>
      </c>
      <c r="C11140" s="2" t="str">
        <f>"090601146"</f>
        <v>090601146</v>
      </c>
      <c r="D11140" s="2" t="s">
        <v>13886</v>
      </c>
      <c r="E11140" s="4">
        <v>12500</v>
      </c>
    </row>
    <row r="11141" spans="1:5">
      <c r="A11141" s="2" t="s">
        <v>365</v>
      </c>
      <c r="B11141" s="2" t="str">
        <f>"090980571"</f>
        <v>090980571</v>
      </c>
      <c r="C11141" s="2" t="str">
        <f>"090980571"</f>
        <v>090980571</v>
      </c>
      <c r="D11141" s="2" t="s">
        <v>13887</v>
      </c>
      <c r="E11141" s="4">
        <v>5900</v>
      </c>
    </row>
    <row r="11142" spans="1:5">
      <c r="A11142" s="2" t="s">
        <v>365</v>
      </c>
      <c r="B11142" s="2" t="s">
        <v>13888</v>
      </c>
      <c r="C11142" s="2" t="str">
        <f>"52006"</f>
        <v>52006</v>
      </c>
      <c r="D11142" s="2" t="s">
        <v>13887</v>
      </c>
      <c r="E11142" s="4">
        <v>6100</v>
      </c>
    </row>
    <row r="11143" spans="1:5">
      <c r="A11143" s="2" t="s">
        <v>365</v>
      </c>
      <c r="B11143" s="2" t="s">
        <v>13889</v>
      </c>
      <c r="C11143" s="2" t="s">
        <v>13889</v>
      </c>
      <c r="D11143" s="2" t="s">
        <v>13890</v>
      </c>
      <c r="E11143" s="4">
        <v>4300</v>
      </c>
    </row>
    <row r="11144" spans="1:5">
      <c r="A11144" s="2" t="s">
        <v>296</v>
      </c>
      <c r="B11144" s="2" t="str">
        <f>"9953397"</f>
        <v>9953397</v>
      </c>
      <c r="C11144" s="2" t="str">
        <f>"9953397"</f>
        <v>9953397</v>
      </c>
      <c r="D11144" s="2" t="s">
        <v>13891</v>
      </c>
      <c r="E11144" s="4">
        <v>8800</v>
      </c>
    </row>
    <row r="11145" spans="1:5">
      <c r="A11145" s="2" t="s">
        <v>421</v>
      </c>
      <c r="B11145" s="2" t="str">
        <f>"0148247"</f>
        <v>0148247</v>
      </c>
      <c r="C11145" s="2" t="str">
        <f>"9953406"</f>
        <v>9953406</v>
      </c>
      <c r="D11145" s="2" t="s">
        <v>13892</v>
      </c>
      <c r="E11145" s="4">
        <v>8800</v>
      </c>
    </row>
    <row r="11146" spans="1:5">
      <c r="A11146" s="2" t="s">
        <v>421</v>
      </c>
      <c r="B11146" s="2" t="str">
        <f>"014983"</f>
        <v>014983</v>
      </c>
      <c r="C11146" s="2" t="str">
        <f>"014983"</f>
        <v>014983</v>
      </c>
      <c r="D11146" s="2" t="s">
        <v>13893</v>
      </c>
      <c r="E11146" s="4">
        <v>12400</v>
      </c>
    </row>
    <row r="11147" spans="1:5">
      <c r="A11147" s="2" t="s">
        <v>296</v>
      </c>
      <c r="B11147" s="2" t="str">
        <f>"017054"</f>
        <v>017054</v>
      </c>
      <c r="C11147" s="2" t="str">
        <f>"017054"</f>
        <v>017054</v>
      </c>
      <c r="D11147" s="2" t="s">
        <v>13894</v>
      </c>
      <c r="E11147" s="4">
        <v>5200</v>
      </c>
    </row>
    <row r="11148" spans="1:5">
      <c r="A11148" s="2" t="s">
        <v>421</v>
      </c>
      <c r="B11148" s="2" t="str">
        <f>"054826"</f>
        <v>054826</v>
      </c>
      <c r="C11148" s="2" t="str">
        <f>"054826"</f>
        <v>054826</v>
      </c>
      <c r="D11148" s="2" t="s">
        <v>13895</v>
      </c>
      <c r="E11148" s="4">
        <v>39000</v>
      </c>
    </row>
    <row r="11149" spans="1:5">
      <c r="A11149" s="2" t="s">
        <v>421</v>
      </c>
      <c r="B11149" s="2" t="str">
        <f>"1406468"</f>
        <v>1406468</v>
      </c>
      <c r="C11149" s="2" t="str">
        <f>"1406468"</f>
        <v>1406468</v>
      </c>
      <c r="D11149" s="2" t="s">
        <v>13896</v>
      </c>
      <c r="E11149" s="4">
        <v>4300</v>
      </c>
    </row>
    <row r="11150" spans="1:5">
      <c r="A11150" s="2" t="s">
        <v>421</v>
      </c>
      <c r="B11150" s="2" t="s">
        <v>13897</v>
      </c>
      <c r="C11150" s="2" t="s">
        <v>13897</v>
      </c>
      <c r="D11150" s="2" t="s">
        <v>13898</v>
      </c>
      <c r="E11150" s="4">
        <v>4300</v>
      </c>
    </row>
    <row r="11151" spans="1:5">
      <c r="A11151" s="2" t="s">
        <v>421</v>
      </c>
      <c r="B11151" s="2" t="s">
        <v>13899</v>
      </c>
      <c r="C11151" s="2" t="s">
        <v>13899</v>
      </c>
      <c r="D11151" s="2" t="s">
        <v>13900</v>
      </c>
      <c r="E11151" s="4">
        <v>6100</v>
      </c>
    </row>
    <row r="11152" spans="1:5">
      <c r="A11152" s="2" t="s">
        <v>421</v>
      </c>
      <c r="B11152" s="2" t="str">
        <f>"301047"</f>
        <v>301047</v>
      </c>
      <c r="C11152" s="2" t="str">
        <f>"301047"</f>
        <v>301047</v>
      </c>
      <c r="D11152" s="2" t="s">
        <v>13901</v>
      </c>
      <c r="E11152" s="4">
        <v>6100</v>
      </c>
    </row>
    <row r="11153" spans="1:5">
      <c r="A11153" s="2" t="s">
        <v>421</v>
      </c>
      <c r="B11153" s="2" t="str">
        <f>"011004L"</f>
        <v>011004L</v>
      </c>
      <c r="C11153" s="2" t="str">
        <f>"011004L"</f>
        <v>011004L</v>
      </c>
      <c r="D11153" s="2" t="s">
        <v>13902</v>
      </c>
      <c r="E11153" s="4">
        <v>3400</v>
      </c>
    </row>
    <row r="11154" spans="1:5">
      <c r="A11154" s="2" t="s">
        <v>421</v>
      </c>
      <c r="B11154" s="2" t="str">
        <f>"011003L"</f>
        <v>011003L</v>
      </c>
      <c r="C11154" s="2" t="str">
        <f>"011003L"</f>
        <v>011003L</v>
      </c>
      <c r="D11154" s="2" t="s">
        <v>13903</v>
      </c>
      <c r="E11154" s="4">
        <v>3400</v>
      </c>
    </row>
    <row r="11155" spans="1:5">
      <c r="A11155" s="2" t="s">
        <v>296</v>
      </c>
      <c r="B11155" s="2" t="str">
        <f>"9953461"</f>
        <v>9953461</v>
      </c>
      <c r="C11155" s="2" t="str">
        <f>"9953461"</f>
        <v>9953461</v>
      </c>
      <c r="D11155" s="2" t="s">
        <v>13904</v>
      </c>
      <c r="E11155" s="4">
        <v>8800</v>
      </c>
    </row>
    <row r="11156" spans="1:5">
      <c r="A11156" s="2" t="s">
        <v>421</v>
      </c>
      <c r="B11156" s="2" t="str">
        <f>"5 000000 159 154"</f>
        <v>5 000000 159 154</v>
      </c>
      <c r="C11156" s="2" t="str">
        <f>"289356"</f>
        <v>289356</v>
      </c>
      <c r="D11156" s="2" t="s">
        <v>13905</v>
      </c>
      <c r="E11156" s="4">
        <v>10800</v>
      </c>
    </row>
    <row r="11157" spans="1:5">
      <c r="A11157" s="2" t="s">
        <v>296</v>
      </c>
      <c r="B11157" s="2" t="str">
        <f>"9953455"</f>
        <v>9953455</v>
      </c>
      <c r="C11157" s="2" t="str">
        <f>"9953455"</f>
        <v>9953455</v>
      </c>
      <c r="D11157" s="2" t="s">
        <v>13906</v>
      </c>
      <c r="E11157" s="4">
        <v>8800</v>
      </c>
    </row>
    <row r="11158" spans="1:5">
      <c r="A11158" s="2" t="s">
        <v>421</v>
      </c>
      <c r="B11158" s="2" t="str">
        <f>"301157"</f>
        <v>301157</v>
      </c>
      <c r="C11158" s="2" t="str">
        <f>"301157"</f>
        <v>301157</v>
      </c>
      <c r="D11158" s="2" t="s">
        <v>13907</v>
      </c>
      <c r="E11158" s="4">
        <v>6100</v>
      </c>
    </row>
    <row r="11159" spans="1:5">
      <c r="A11159" s="2" t="s">
        <v>421</v>
      </c>
      <c r="B11159" s="2" t="str">
        <f>"000205149-4"</f>
        <v>000205149-4</v>
      </c>
      <c r="C11159" s="2" t="str">
        <f>"000205149-4"</f>
        <v>000205149-4</v>
      </c>
      <c r="D11159" s="2" t="s">
        <v>13908</v>
      </c>
      <c r="E11159" s="4">
        <v>11700</v>
      </c>
    </row>
    <row r="11160" spans="1:5">
      <c r="A11160" s="2" t="s">
        <v>421</v>
      </c>
      <c r="B11160" s="2" t="str">
        <f>"160150"</f>
        <v>160150</v>
      </c>
      <c r="C11160" s="2" t="str">
        <f>"160150"</f>
        <v>160150</v>
      </c>
      <c r="D11160" s="2" t="s">
        <v>13909</v>
      </c>
      <c r="E11160" s="4">
        <v>9700</v>
      </c>
    </row>
    <row r="11161" spans="1:5">
      <c r="A11161" s="2" t="s">
        <v>421</v>
      </c>
      <c r="B11161" s="2" t="str">
        <f>"190137"</f>
        <v>190137</v>
      </c>
      <c r="C11161" s="2" t="str">
        <f>"190137"</f>
        <v>190137</v>
      </c>
      <c r="D11161" s="2" t="s">
        <v>13910</v>
      </c>
      <c r="E11161" s="4">
        <v>8900</v>
      </c>
    </row>
    <row r="11162" spans="1:5">
      <c r="A11162" s="2" t="s">
        <v>421</v>
      </c>
      <c r="B11162" s="2" t="str">
        <f>"288786"</f>
        <v>288786</v>
      </c>
      <c r="C11162" s="2" t="str">
        <f>"288786"</f>
        <v>288786</v>
      </c>
      <c r="D11162" s="2" t="s">
        <v>13911</v>
      </c>
      <c r="E11162" s="4">
        <v>8500</v>
      </c>
    </row>
    <row r="11163" spans="1:5">
      <c r="A11163" s="2" t="s">
        <v>421</v>
      </c>
      <c r="B11163" s="2" t="str">
        <f>"290136"</f>
        <v>290136</v>
      </c>
      <c r="C11163" s="2" t="str">
        <f>"290136"</f>
        <v>290136</v>
      </c>
      <c r="D11163" s="2" t="s">
        <v>13912</v>
      </c>
      <c r="E11163" s="4">
        <v>15800</v>
      </c>
    </row>
    <row r="11164" spans="1:5">
      <c r="A11164" s="2" t="s">
        <v>421</v>
      </c>
      <c r="B11164" s="2" t="str">
        <f>"5 00000 284764"</f>
        <v>5 00000 284764</v>
      </c>
      <c r="C11164" s="2" t="str">
        <f>"014814"</f>
        <v>014814</v>
      </c>
      <c r="D11164" s="2" t="s">
        <v>13913</v>
      </c>
      <c r="E11164" s="4">
        <v>11500</v>
      </c>
    </row>
    <row r="11165" spans="1:5">
      <c r="A11165" s="2" t="s">
        <v>421</v>
      </c>
      <c r="B11165" s="2" t="str">
        <f>"5 00000 257929"</f>
        <v>5 00000 257929</v>
      </c>
      <c r="C11165" s="2" t="str">
        <f>"050048"</f>
        <v>050048</v>
      </c>
      <c r="D11165" s="2" t="s">
        <v>13914</v>
      </c>
      <c r="E11165" s="4">
        <v>11500</v>
      </c>
    </row>
    <row r="11166" spans="1:5">
      <c r="A11166" s="2" t="s">
        <v>421</v>
      </c>
      <c r="B11166" s="2" t="str">
        <f>"4410160"</f>
        <v>4410160</v>
      </c>
      <c r="C11166" s="2" t="str">
        <f>"4410160"</f>
        <v>4410160</v>
      </c>
      <c r="D11166" s="2" t="s">
        <v>13915</v>
      </c>
      <c r="E11166" s="4">
        <v>5800</v>
      </c>
    </row>
    <row r="11167" spans="1:5">
      <c r="A11167" s="2" t="s">
        <v>421</v>
      </c>
      <c r="B11167" s="2" t="str">
        <f>"247592"</f>
        <v>247592</v>
      </c>
      <c r="C11167" s="2" t="str">
        <f>"247592"</f>
        <v>247592</v>
      </c>
      <c r="D11167" s="2" t="s">
        <v>13916</v>
      </c>
      <c r="E11167" s="4">
        <v>9800</v>
      </c>
    </row>
    <row r="11168" spans="1:5">
      <c r="A11168" s="2" t="s">
        <v>296</v>
      </c>
      <c r="B11168" s="2" t="str">
        <f>"0013745"</f>
        <v>0013745</v>
      </c>
      <c r="C11168" s="2" t="str">
        <f>"0013745"</f>
        <v>0013745</v>
      </c>
      <c r="D11168" s="2" t="s">
        <v>13917</v>
      </c>
      <c r="E11168" s="4">
        <v>16000</v>
      </c>
    </row>
    <row r="11169" spans="1:5">
      <c r="A11169" s="2" t="s">
        <v>421</v>
      </c>
      <c r="B11169" s="2" t="str">
        <f>"301117"</f>
        <v>301117</v>
      </c>
      <c r="C11169" s="2" t="str">
        <f>"301117"</f>
        <v>301117</v>
      </c>
      <c r="D11169" s="2" t="s">
        <v>13918</v>
      </c>
      <c r="E11169" s="4">
        <v>3700</v>
      </c>
    </row>
    <row r="11170" spans="1:5">
      <c r="A11170" s="2" t="s">
        <v>421</v>
      </c>
      <c r="B11170" s="2" t="str">
        <f>"5 000000 185917"</f>
        <v>5 000000 185917</v>
      </c>
      <c r="C11170" s="2" t="str">
        <f>"302392"</f>
        <v>302392</v>
      </c>
      <c r="D11170" s="2" t="s">
        <v>13919</v>
      </c>
      <c r="E11170" s="4">
        <v>4500</v>
      </c>
    </row>
    <row r="11171" spans="1:5">
      <c r="A11171" s="2" t="s">
        <v>421</v>
      </c>
      <c r="B11171" s="2" t="str">
        <f>"5 000000 158102"</f>
        <v>5 000000 158102</v>
      </c>
      <c r="C11171" s="2" t="str">
        <f>"281803"</f>
        <v>281803</v>
      </c>
      <c r="D11171" s="2" t="s">
        <v>13920</v>
      </c>
      <c r="E11171" s="4">
        <v>21400</v>
      </c>
    </row>
    <row r="11172" spans="1:5">
      <c r="A11172" s="2" t="s">
        <v>421</v>
      </c>
      <c r="B11172" s="2" t="str">
        <f>"301128"</f>
        <v>301128</v>
      </c>
      <c r="C11172" s="2" t="str">
        <f>"301128"</f>
        <v>301128</v>
      </c>
      <c r="D11172" s="2" t="s">
        <v>13921</v>
      </c>
      <c r="E11172" s="4">
        <v>4200</v>
      </c>
    </row>
    <row r="11173" spans="1:5">
      <c r="A11173" s="2" t="s">
        <v>421</v>
      </c>
      <c r="B11173" s="2" t="str">
        <f>"290595"</f>
        <v>290595</v>
      </c>
      <c r="C11173" s="2" t="str">
        <f>"290595"</f>
        <v>290595</v>
      </c>
      <c r="D11173" s="2" t="s">
        <v>13922</v>
      </c>
      <c r="E11173" s="4">
        <v>8800</v>
      </c>
    </row>
    <row r="11174" spans="1:5">
      <c r="A11174" s="2" t="s">
        <v>421</v>
      </c>
      <c r="B11174" s="2" t="str">
        <f>"5 00000 280490"</f>
        <v>5 00000 280490</v>
      </c>
      <c r="C11174" s="2" t="str">
        <f>"014815"</f>
        <v>014815</v>
      </c>
      <c r="D11174" s="2" t="s">
        <v>13923</v>
      </c>
      <c r="E11174" s="4">
        <v>14200</v>
      </c>
    </row>
    <row r="11175" spans="1:5">
      <c r="A11175" s="2" t="s">
        <v>421</v>
      </c>
      <c r="B11175" s="2" t="str">
        <f>"0007989"</f>
        <v>0007989</v>
      </c>
      <c r="C11175" s="2" t="str">
        <f>"0007989"</f>
        <v>0007989</v>
      </c>
      <c r="D11175" s="2" t="s">
        <v>13924</v>
      </c>
      <c r="E11175" s="4">
        <v>7000</v>
      </c>
    </row>
    <row r="11176" spans="1:5">
      <c r="A11176" s="2" t="s">
        <v>421</v>
      </c>
      <c r="B11176" s="2" t="str">
        <f>"4410130"</f>
        <v>4410130</v>
      </c>
      <c r="C11176" s="2" t="str">
        <f>"4410130"</f>
        <v>4410130</v>
      </c>
      <c r="D11176" s="2" t="s">
        <v>13925</v>
      </c>
      <c r="E11176" s="4">
        <v>5800</v>
      </c>
    </row>
    <row r="11177" spans="1:5">
      <c r="A11177" s="2" t="s">
        <v>421</v>
      </c>
      <c r="B11177" s="2" t="str">
        <f>"230235"</f>
        <v>230235</v>
      </c>
      <c r="C11177" s="2" t="str">
        <f>"230235"</f>
        <v>230235</v>
      </c>
      <c r="D11177" s="2" t="s">
        <v>13926</v>
      </c>
      <c r="E11177" s="4">
        <v>6800</v>
      </c>
    </row>
    <row r="11178" spans="1:5">
      <c r="A11178" s="2" t="s">
        <v>421</v>
      </c>
      <c r="B11178" s="2" t="str">
        <f>"5000000160136"</f>
        <v>5000000160136</v>
      </c>
      <c r="C11178" s="2" t="str">
        <f>"301160"</f>
        <v>301160</v>
      </c>
      <c r="D11178" s="2" t="s">
        <v>13927</v>
      </c>
      <c r="E11178" s="4">
        <v>6100</v>
      </c>
    </row>
    <row r="11179" spans="1:5">
      <c r="A11179" s="2" t="s">
        <v>421</v>
      </c>
      <c r="B11179" s="2" t="str">
        <f>"289269"</f>
        <v>289269</v>
      </c>
      <c r="C11179" s="2" t="str">
        <f>"289269"</f>
        <v>289269</v>
      </c>
      <c r="D11179" s="2" t="s">
        <v>13928</v>
      </c>
      <c r="E11179" s="4">
        <v>8900</v>
      </c>
    </row>
    <row r="11180" spans="1:5">
      <c r="A11180" s="2" t="s">
        <v>421</v>
      </c>
      <c r="B11180" s="2" t="str">
        <f>"0206087"</f>
        <v>0206087</v>
      </c>
      <c r="C11180" s="2" t="str">
        <f>"0206087"</f>
        <v>0206087</v>
      </c>
      <c r="D11180" s="2" t="s">
        <v>13929</v>
      </c>
      <c r="E11180" s="4">
        <v>4500</v>
      </c>
    </row>
    <row r="11181" spans="1:5">
      <c r="A11181" s="2" t="s">
        <v>421</v>
      </c>
      <c r="B11181" s="2" t="str">
        <f>"301952"</f>
        <v>301952</v>
      </c>
      <c r="C11181" s="2" t="str">
        <f>"301952"</f>
        <v>301952</v>
      </c>
      <c r="D11181" s="2" t="s">
        <v>13930</v>
      </c>
      <c r="E11181" s="4">
        <v>9700</v>
      </c>
    </row>
    <row r="11182" spans="1:5">
      <c r="A11182" s="2" t="s">
        <v>421</v>
      </c>
      <c r="B11182" s="2" t="str">
        <f>"0008044"</f>
        <v>0008044</v>
      </c>
      <c r="C11182" s="2" t="str">
        <f>"0008044"</f>
        <v>0008044</v>
      </c>
      <c r="D11182" s="2" t="s">
        <v>13931</v>
      </c>
      <c r="E11182" s="4">
        <v>6100</v>
      </c>
    </row>
    <row r="11183" spans="1:5">
      <c r="A11183" s="2" t="s">
        <v>296</v>
      </c>
      <c r="B11183" s="2" t="str">
        <f>"288467"</f>
        <v>288467</v>
      </c>
      <c r="C11183" s="2" t="str">
        <f>"288467"</f>
        <v>288467</v>
      </c>
      <c r="D11183" s="2" t="s">
        <v>13932</v>
      </c>
      <c r="E11183" s="4">
        <v>8800</v>
      </c>
    </row>
    <row r="11184" spans="1:5">
      <c r="A11184" s="2" t="s">
        <v>421</v>
      </c>
      <c r="B11184" s="2" t="str">
        <f>"050043"</f>
        <v>050043</v>
      </c>
      <c r="C11184" s="2" t="str">
        <f>"050043"</f>
        <v>050043</v>
      </c>
      <c r="D11184" s="2" t="s">
        <v>13933</v>
      </c>
      <c r="E11184" s="4">
        <v>12000</v>
      </c>
    </row>
    <row r="11185" spans="1:5">
      <c r="A11185" s="2" t="s">
        <v>421</v>
      </c>
      <c r="B11185" s="2" t="str">
        <f>"0108638"</f>
        <v>0108638</v>
      </c>
      <c r="C11185" s="2" t="str">
        <f>"0108638"</f>
        <v>0108638</v>
      </c>
      <c r="D11185" s="2" t="s">
        <v>13934</v>
      </c>
      <c r="E11185" s="4">
        <v>5200</v>
      </c>
    </row>
    <row r="11186" spans="1:5">
      <c r="A11186" s="2" t="s">
        <v>421</v>
      </c>
      <c r="B11186" s="2" t="str">
        <f>"014097"</f>
        <v>014097</v>
      </c>
      <c r="C11186" s="2" t="str">
        <f>"014907"</f>
        <v>014907</v>
      </c>
      <c r="D11186" s="2" t="s">
        <v>13935</v>
      </c>
      <c r="E11186" s="4">
        <v>11500</v>
      </c>
    </row>
    <row r="11187" spans="1:5">
      <c r="A11187" s="2" t="s">
        <v>421</v>
      </c>
      <c r="B11187" s="2" t="str">
        <f>"016409"</f>
        <v>016409</v>
      </c>
      <c r="C11187" s="2" t="str">
        <f>"016409"</f>
        <v>016409</v>
      </c>
      <c r="D11187" s="2" t="s">
        <v>13936</v>
      </c>
      <c r="E11187" s="4">
        <v>25000</v>
      </c>
    </row>
    <row r="11188" spans="1:5">
      <c r="A11188" s="2" t="s">
        <v>421</v>
      </c>
      <c r="B11188" s="2" t="str">
        <f>"301062"</f>
        <v>301062</v>
      </c>
      <c r="C11188" s="2" t="str">
        <f>"301062"</f>
        <v>301062</v>
      </c>
      <c r="D11188" s="2" t="s">
        <v>13937</v>
      </c>
      <c r="E11188" s="4">
        <v>7000</v>
      </c>
    </row>
    <row r="11189" spans="1:5">
      <c r="A11189" s="2" t="s">
        <v>421</v>
      </c>
      <c r="B11189" s="2" t="str">
        <f>"5 000000 197842"</f>
        <v>5 000000 197842</v>
      </c>
      <c r="C11189" s="2" t="str">
        <f>"311407"</f>
        <v>311407</v>
      </c>
      <c r="D11189" s="2" t="s">
        <v>13938</v>
      </c>
      <c r="E11189" s="4">
        <v>12800</v>
      </c>
    </row>
    <row r="11190" spans="1:5">
      <c r="A11190" s="2" t="s">
        <v>421</v>
      </c>
      <c r="B11190" s="2" t="s">
        <v>13939</v>
      </c>
      <c r="C11190" s="2" t="s">
        <v>13939</v>
      </c>
      <c r="D11190" s="2" t="s">
        <v>13940</v>
      </c>
      <c r="E11190" s="4">
        <v>7000</v>
      </c>
    </row>
    <row r="11191" spans="1:5">
      <c r="A11191" s="2" t="s">
        <v>421</v>
      </c>
      <c r="B11191" s="2" t="str">
        <f>"5 000000 160433"</f>
        <v>5 000000 160433</v>
      </c>
      <c r="C11191" s="2" t="str">
        <f>"301326"</f>
        <v>301326</v>
      </c>
      <c r="D11191" s="2" t="s">
        <v>13941</v>
      </c>
      <c r="E11191" s="4">
        <v>6800</v>
      </c>
    </row>
    <row r="11192" spans="1:5">
      <c r="A11192" s="2" t="s">
        <v>296</v>
      </c>
      <c r="B11192" s="2" t="str">
        <f>"002013521-2"</f>
        <v>002013521-2</v>
      </c>
      <c r="C11192" s="2" t="str">
        <f>"002013521-2"</f>
        <v>002013521-2</v>
      </c>
      <c r="D11192" s="2" t="s">
        <v>13942</v>
      </c>
      <c r="E11192" s="4">
        <v>34000</v>
      </c>
    </row>
    <row r="11193" spans="1:5">
      <c r="A11193" s="2" t="s">
        <v>421</v>
      </c>
      <c r="B11193" s="2" t="str">
        <f>"282008"</f>
        <v>282008</v>
      </c>
      <c r="C11193" s="2" t="str">
        <f>"282008"</f>
        <v>282008</v>
      </c>
      <c r="D11193" s="2" t="s">
        <v>13943</v>
      </c>
      <c r="E11193" s="4">
        <v>8800</v>
      </c>
    </row>
    <row r="11194" spans="1:5">
      <c r="A11194" s="2" t="s">
        <v>421</v>
      </c>
      <c r="B11194" s="2" t="str">
        <f>"288876"</f>
        <v>288876</v>
      </c>
      <c r="C11194" s="2" t="str">
        <f>"288876"</f>
        <v>288876</v>
      </c>
      <c r="D11194" s="2" t="s">
        <v>13944</v>
      </c>
      <c r="E11194" s="4">
        <v>8500</v>
      </c>
    </row>
    <row r="11195" spans="1:5">
      <c r="A11195" s="2" t="s">
        <v>421</v>
      </c>
      <c r="B11195" s="2" t="str">
        <f>"301320"</f>
        <v>301320</v>
      </c>
      <c r="C11195" s="2" t="str">
        <f>"301320"</f>
        <v>301320</v>
      </c>
      <c r="D11195" s="2" t="s">
        <v>13945</v>
      </c>
      <c r="E11195" s="4">
        <v>5800</v>
      </c>
    </row>
    <row r="11196" spans="1:5">
      <c r="A11196" s="2" t="s">
        <v>421</v>
      </c>
      <c r="B11196" s="2" t="str">
        <f>"301046"</f>
        <v>301046</v>
      </c>
      <c r="C11196" s="2" t="str">
        <f>"301046"</f>
        <v>301046</v>
      </c>
      <c r="D11196" s="2" t="s">
        <v>13946</v>
      </c>
      <c r="E11196" s="4">
        <v>5200</v>
      </c>
    </row>
    <row r="11197" spans="1:5">
      <c r="A11197" s="2" t="s">
        <v>421</v>
      </c>
      <c r="B11197" s="2" t="str">
        <f>"321916"</f>
        <v>321916</v>
      </c>
      <c r="C11197" s="2" t="str">
        <f>"321916"</f>
        <v>321916</v>
      </c>
      <c r="D11197" s="2" t="s">
        <v>13947</v>
      </c>
      <c r="E11197" s="4">
        <v>16000</v>
      </c>
    </row>
    <row r="11198" spans="1:5">
      <c r="A11198" s="2" t="s">
        <v>421</v>
      </c>
      <c r="B11198" s="2" t="str">
        <f>"5000000159949"</f>
        <v>5000000159949</v>
      </c>
      <c r="C11198" s="2" t="str">
        <f>"301111"</f>
        <v>301111</v>
      </c>
      <c r="D11198" s="2" t="s">
        <v>13948</v>
      </c>
      <c r="E11198" s="4">
        <v>7000</v>
      </c>
    </row>
    <row r="11199" spans="1:5">
      <c r="A11199" s="2" t="s">
        <v>421</v>
      </c>
      <c r="B11199" s="2" t="str">
        <f>"301158"</f>
        <v>301158</v>
      </c>
      <c r="C11199" s="2" t="str">
        <f>"301158"</f>
        <v>301158</v>
      </c>
      <c r="D11199" s="2" t="s">
        <v>13949</v>
      </c>
      <c r="E11199" s="4">
        <v>7000</v>
      </c>
    </row>
    <row r="11200" spans="1:5">
      <c r="A11200" s="2" t="s">
        <v>421</v>
      </c>
      <c r="B11200" s="2" t="str">
        <f>"0108655"</f>
        <v>0108655</v>
      </c>
      <c r="C11200" s="2" t="str">
        <f>"0108655"</f>
        <v>0108655</v>
      </c>
      <c r="D11200" s="2" t="s">
        <v>13950</v>
      </c>
      <c r="E11200" s="4">
        <v>18700</v>
      </c>
    </row>
    <row r="11201" spans="1:5">
      <c r="A11201" s="2" t="s">
        <v>421</v>
      </c>
      <c r="B11201" s="2" t="str">
        <f>"0108627"</f>
        <v>0108627</v>
      </c>
      <c r="C11201" s="2" t="str">
        <f>"0108627"</f>
        <v>0108627</v>
      </c>
      <c r="D11201" s="2" t="s">
        <v>13951</v>
      </c>
      <c r="E11201" s="4">
        <v>4900</v>
      </c>
    </row>
    <row r="11202" spans="1:5">
      <c r="A11202" s="2" t="s">
        <v>421</v>
      </c>
      <c r="B11202" s="2" t="str">
        <f>"321918"</f>
        <v>321918</v>
      </c>
      <c r="C11202" s="2" t="str">
        <f>"321918"</f>
        <v>321918</v>
      </c>
      <c r="D11202" s="2" t="s">
        <v>13952</v>
      </c>
      <c r="E11202" s="4">
        <v>14200</v>
      </c>
    </row>
    <row r="11203" spans="1:5">
      <c r="A11203" s="2" t="s">
        <v>421</v>
      </c>
      <c r="B11203" s="2" t="str">
        <f>"288463"</f>
        <v>288463</v>
      </c>
      <c r="C11203" s="2" t="str">
        <f>"288463"</f>
        <v>288463</v>
      </c>
      <c r="D11203" s="2" t="s">
        <v>13953</v>
      </c>
      <c r="E11203" s="4">
        <v>13000</v>
      </c>
    </row>
    <row r="11204" spans="1:5">
      <c r="A11204" s="2" t="s">
        <v>421</v>
      </c>
      <c r="B11204" s="2" t="str">
        <f>"302146"</f>
        <v>302146</v>
      </c>
      <c r="C11204" s="2" t="str">
        <f>"302146"</f>
        <v>302146</v>
      </c>
      <c r="D11204" s="2" t="s">
        <v>13954</v>
      </c>
      <c r="E11204" s="4">
        <v>26000</v>
      </c>
    </row>
    <row r="11205" spans="1:5">
      <c r="A11205" s="2" t="s">
        <v>296</v>
      </c>
      <c r="B11205" s="2" t="str">
        <f>"011005L2"</f>
        <v>011005L2</v>
      </c>
      <c r="C11205" s="2" t="str">
        <f>"011005L2"</f>
        <v>011005L2</v>
      </c>
      <c r="D11205" s="2" t="s">
        <v>13955</v>
      </c>
      <c r="E11205" s="4">
        <v>9500</v>
      </c>
    </row>
    <row r="11206" spans="1:5">
      <c r="A11206" s="2" t="s">
        <v>421</v>
      </c>
      <c r="B11206" s="2" t="str">
        <f>"230227"</f>
        <v>230227</v>
      </c>
      <c r="C11206" s="2" t="str">
        <f>"230227"</f>
        <v>230227</v>
      </c>
      <c r="D11206" s="2" t="s">
        <v>13956</v>
      </c>
      <c r="E11206" s="4">
        <v>13500</v>
      </c>
    </row>
    <row r="11207" spans="1:5">
      <c r="A11207" s="2" t="s">
        <v>421</v>
      </c>
      <c r="B11207" s="2" t="str">
        <f>"28282151"</f>
        <v>28282151</v>
      </c>
      <c r="C11207" s="2" t="str">
        <f>"0702-0711"</f>
        <v>0702-0711</v>
      </c>
      <c r="D11207" s="2" t="s">
        <v>13957</v>
      </c>
      <c r="E11207" s="4">
        <v>7500</v>
      </c>
    </row>
    <row r="11208" spans="1:5">
      <c r="A11208" s="2" t="s">
        <v>296</v>
      </c>
      <c r="B11208" s="2" t="str">
        <f>"301061"</f>
        <v>301061</v>
      </c>
      <c r="C11208" s="2" t="str">
        <f>"301061"</f>
        <v>301061</v>
      </c>
      <c r="D11208" s="2" t="s">
        <v>13958</v>
      </c>
      <c r="E11208" s="4">
        <v>5500</v>
      </c>
    </row>
    <row r="11209" spans="1:5">
      <c r="A11209" s="2" t="s">
        <v>296</v>
      </c>
      <c r="B11209" s="2" t="str">
        <f>"0012999"</f>
        <v>0012999</v>
      </c>
      <c r="C11209" s="2" t="str">
        <f>"0012999"</f>
        <v>0012999</v>
      </c>
      <c r="D11209" s="2" t="s">
        <v>13959</v>
      </c>
      <c r="E11209" s="4">
        <v>14000</v>
      </c>
    </row>
    <row r="11210" spans="1:5">
      <c r="A11210" s="2" t="s">
        <v>296</v>
      </c>
      <c r="B11210" s="2" t="str">
        <f>"9953474"</f>
        <v>9953474</v>
      </c>
      <c r="C11210" s="2" t="str">
        <f>"9953474"</f>
        <v>9953474</v>
      </c>
      <c r="D11210" s="2" t="s">
        <v>13960</v>
      </c>
      <c r="E11210" s="4">
        <v>14200</v>
      </c>
    </row>
    <row r="11211" spans="1:5">
      <c r="A11211" s="2" t="s">
        <v>296</v>
      </c>
      <c r="B11211" s="2" t="str">
        <f>"017200"</f>
        <v>017200</v>
      </c>
      <c r="C11211" s="2" t="str">
        <f>"017200"</f>
        <v>017200</v>
      </c>
      <c r="D11211" s="2" t="s">
        <v>13961</v>
      </c>
      <c r="E11211" s="4">
        <v>18700</v>
      </c>
    </row>
    <row r="11212" spans="1:5">
      <c r="A11212" s="2" t="s">
        <v>296</v>
      </c>
      <c r="B11212" s="2" t="str">
        <f>"9953475"</f>
        <v>9953475</v>
      </c>
      <c r="C11212" s="2" t="str">
        <f>"9953475"</f>
        <v>9953475</v>
      </c>
      <c r="D11212" s="2" t="s">
        <v>13962</v>
      </c>
      <c r="E11212" s="4">
        <v>14200</v>
      </c>
    </row>
    <row r="11213" spans="1:5">
      <c r="A11213" s="2" t="s">
        <v>296</v>
      </c>
      <c r="B11213" s="2" t="str">
        <f>"000905499-5"</f>
        <v>000905499-5</v>
      </c>
      <c r="C11213" s="2" t="str">
        <f>"000905499-5"</f>
        <v>000905499-5</v>
      </c>
      <c r="D11213" s="2" t="s">
        <v>13963</v>
      </c>
      <c r="E11213" s="4">
        <v>14500</v>
      </c>
    </row>
    <row r="11214" spans="1:5">
      <c r="A11214" s="2" t="s">
        <v>296</v>
      </c>
      <c r="B11214" s="2" t="str">
        <f>"9953476"</f>
        <v>9953476</v>
      </c>
      <c r="C11214" s="2" t="str">
        <f>"9953476"</f>
        <v>9953476</v>
      </c>
      <c r="D11214" s="2" t="s">
        <v>13964</v>
      </c>
      <c r="E11214" s="4">
        <v>8800</v>
      </c>
    </row>
    <row r="11215" spans="1:5">
      <c r="A11215" s="2" t="s">
        <v>421</v>
      </c>
      <c r="B11215" s="2" t="str">
        <f>"289589"</f>
        <v>289589</v>
      </c>
      <c r="C11215" s="2" t="str">
        <f>"289589"</f>
        <v>289589</v>
      </c>
      <c r="D11215" s="2" t="s">
        <v>13965</v>
      </c>
      <c r="E11215" s="4">
        <v>8500</v>
      </c>
    </row>
    <row r="11216" spans="1:5">
      <c r="A11216" s="2" t="s">
        <v>296</v>
      </c>
      <c r="B11216" s="2" t="str">
        <f>"281843"</f>
        <v>281843</v>
      </c>
      <c r="C11216" s="2" t="str">
        <f>"281843"</f>
        <v>281843</v>
      </c>
      <c r="D11216" s="2" t="s">
        <v>13966</v>
      </c>
      <c r="E11216" s="4">
        <v>17500</v>
      </c>
    </row>
    <row r="11217" spans="1:5">
      <c r="A11217" s="2" t="s">
        <v>421</v>
      </c>
      <c r="B11217" s="2" t="str">
        <f>"301119"</f>
        <v>301119</v>
      </c>
      <c r="C11217" s="2" t="str">
        <f>"301119"</f>
        <v>301119</v>
      </c>
      <c r="D11217" s="2" t="s">
        <v>13967</v>
      </c>
      <c r="E11217" s="4">
        <v>7500</v>
      </c>
    </row>
    <row r="11218" spans="1:5">
      <c r="A11218" s="2" t="s">
        <v>296</v>
      </c>
      <c r="B11218" s="2" t="s">
        <v>13968</v>
      </c>
      <c r="C11218" s="2" t="s">
        <v>13968</v>
      </c>
      <c r="D11218" s="2" t="s">
        <v>13969</v>
      </c>
      <c r="E11218" s="4">
        <v>18000</v>
      </c>
    </row>
    <row r="11219" spans="1:5">
      <c r="A11219" s="2" t="s">
        <v>421</v>
      </c>
      <c r="B11219" s="2" t="str">
        <f>"288798"</f>
        <v>288798</v>
      </c>
      <c r="C11219" s="2" t="str">
        <f>"288798"</f>
        <v>288798</v>
      </c>
      <c r="D11219" s="2" t="s">
        <v>13970</v>
      </c>
      <c r="E11219" s="4">
        <v>16000</v>
      </c>
    </row>
    <row r="11220" spans="1:5">
      <c r="A11220" s="2" t="s">
        <v>296</v>
      </c>
      <c r="B11220" s="2" t="str">
        <f>"005255"</f>
        <v>005255</v>
      </c>
      <c r="C11220" s="2" t="str">
        <f>"5000000405503"</f>
        <v>5000000405503</v>
      </c>
      <c r="D11220" s="2" t="s">
        <v>13971</v>
      </c>
      <c r="E11220" s="4">
        <v>6100</v>
      </c>
    </row>
    <row r="11221" spans="1:5">
      <c r="A11221" s="2" t="s">
        <v>421</v>
      </c>
      <c r="B11221" s="2" t="str">
        <f>"017001"</f>
        <v>017001</v>
      </c>
      <c r="C11221" s="2" t="str">
        <f>"017001"</f>
        <v>017001</v>
      </c>
      <c r="D11221" s="2" t="s">
        <v>13972</v>
      </c>
      <c r="E11221" s="4">
        <v>6900</v>
      </c>
    </row>
    <row r="11222" spans="1:5">
      <c r="A11222" s="2" t="s">
        <v>421</v>
      </c>
      <c r="B11222" s="2" t="str">
        <f>"288799"</f>
        <v>288799</v>
      </c>
      <c r="C11222" s="2" t="str">
        <f>"288799"</f>
        <v>288799</v>
      </c>
      <c r="D11222" s="2" t="s">
        <v>13973</v>
      </c>
      <c r="E11222" s="4">
        <v>9900</v>
      </c>
    </row>
    <row r="11223" spans="1:5">
      <c r="A11223" s="2" t="s">
        <v>421</v>
      </c>
      <c r="B11223" s="2" t="str">
        <f>"014014"</f>
        <v>014014</v>
      </c>
      <c r="C11223" s="2" t="str">
        <f>"014014"</f>
        <v>014014</v>
      </c>
      <c r="D11223" s="2" t="s">
        <v>13974</v>
      </c>
      <c r="E11223" s="4">
        <v>16000</v>
      </c>
    </row>
    <row r="11224" spans="1:5">
      <c r="A11224" s="2" t="s">
        <v>296</v>
      </c>
      <c r="B11224" s="2" t="str">
        <f>"170323"</f>
        <v>170323</v>
      </c>
      <c r="C11224" s="2" t="str">
        <f>"170323"</f>
        <v>170323</v>
      </c>
      <c r="D11224" s="2" t="s">
        <v>13975</v>
      </c>
      <c r="E11224" s="4">
        <v>7500</v>
      </c>
    </row>
    <row r="11225" spans="1:5">
      <c r="A11225" s="2" t="s">
        <v>296</v>
      </c>
      <c r="B11225" s="2" t="str">
        <f>"247380"</f>
        <v>247380</v>
      </c>
      <c r="C11225" s="2" t="str">
        <f>"247380"</f>
        <v>247380</v>
      </c>
      <c r="D11225" s="2" t="s">
        <v>13976</v>
      </c>
      <c r="E11225" s="4">
        <v>8800</v>
      </c>
    </row>
    <row r="11226" spans="1:5">
      <c r="A11226" s="2" t="s">
        <v>421</v>
      </c>
      <c r="B11226" s="2" t="str">
        <f>"0248447"</f>
        <v>0248447</v>
      </c>
      <c r="C11226" s="2" t="str">
        <f>"0248447"</f>
        <v>0248447</v>
      </c>
      <c r="D11226" s="2" t="s">
        <v>13977</v>
      </c>
      <c r="E11226" s="4">
        <v>5200</v>
      </c>
    </row>
    <row r="11227" spans="1:5">
      <c r="A11227" s="2" t="s">
        <v>296</v>
      </c>
      <c r="B11227" s="2" t="str">
        <f>"0108678"</f>
        <v>0108678</v>
      </c>
      <c r="C11227" s="2" t="str">
        <f>"0108678"</f>
        <v>0108678</v>
      </c>
      <c r="D11227" s="2" t="s">
        <v>13978</v>
      </c>
      <c r="E11227" s="4">
        <v>6100</v>
      </c>
    </row>
    <row r="11228" spans="1:5">
      <c r="A11228" s="2" t="s">
        <v>296</v>
      </c>
      <c r="B11228" s="2" t="str">
        <f>"017201"</f>
        <v>017201</v>
      </c>
      <c r="C11228" s="2" t="str">
        <f>"1486059779369"</f>
        <v>1486059779369</v>
      </c>
      <c r="D11228" s="2" t="s">
        <v>13979</v>
      </c>
      <c r="E11228" s="4">
        <v>15000</v>
      </c>
    </row>
    <row r="11229" spans="1:5">
      <c r="A11229" s="2" t="s">
        <v>296</v>
      </c>
      <c r="B11229" s="2" t="str">
        <f>"9953791"</f>
        <v>9953791</v>
      </c>
      <c r="C11229" s="2" t="str">
        <f>"9953791"</f>
        <v>9953791</v>
      </c>
      <c r="D11229" s="2" t="s">
        <v>13980</v>
      </c>
      <c r="E11229" s="4">
        <v>12500</v>
      </c>
    </row>
    <row r="11230" spans="1:5">
      <c r="A11230" s="2" t="s">
        <v>296</v>
      </c>
      <c r="B11230" s="2" t="str">
        <f>"014109"</f>
        <v>014109</v>
      </c>
      <c r="C11230" s="2" t="str">
        <f>"014109"</f>
        <v>014109</v>
      </c>
      <c r="D11230" s="2" t="s">
        <v>13981</v>
      </c>
      <c r="E11230" s="4">
        <v>12900</v>
      </c>
    </row>
    <row r="11231" spans="1:5">
      <c r="A11231" s="2" t="s">
        <v>296</v>
      </c>
      <c r="B11231" s="2" t="str">
        <f>"5000000258000"</f>
        <v>5000000258000</v>
      </c>
      <c r="C11231" s="2" t="str">
        <f>"050049"</f>
        <v>050049</v>
      </c>
      <c r="D11231" s="2" t="s">
        <v>13982</v>
      </c>
      <c r="E11231" s="4">
        <v>14000</v>
      </c>
    </row>
    <row r="11232" spans="1:5">
      <c r="A11232" s="2" t="s">
        <v>296</v>
      </c>
      <c r="B11232" s="2" t="str">
        <f>"014110"</f>
        <v>014110</v>
      </c>
      <c r="C11232" s="2" t="str">
        <f>"014110"</f>
        <v>014110</v>
      </c>
      <c r="D11232" s="2" t="s">
        <v>13983</v>
      </c>
      <c r="E11232" s="4">
        <v>12400</v>
      </c>
    </row>
    <row r="11233" spans="1:5">
      <c r="A11233" s="2" t="s">
        <v>421</v>
      </c>
      <c r="B11233" s="2" t="str">
        <f>"014354"</f>
        <v>014354</v>
      </c>
      <c r="C11233" s="2" t="str">
        <f>"014354"</f>
        <v>014354</v>
      </c>
      <c r="D11233" s="2" t="s">
        <v>13984</v>
      </c>
      <c r="E11233" s="4">
        <v>8800</v>
      </c>
    </row>
    <row r="11234" spans="1:5">
      <c r="A11234" s="2" t="s">
        <v>296</v>
      </c>
      <c r="B11234" s="2" t="str">
        <f>"015941"</f>
        <v>015941</v>
      </c>
      <c r="C11234" s="2" t="str">
        <f>"015941"</f>
        <v>015941</v>
      </c>
      <c r="D11234" s="2" t="s">
        <v>13985</v>
      </c>
      <c r="E11234" s="4">
        <v>19600</v>
      </c>
    </row>
    <row r="11235" spans="1:5">
      <c r="A11235" s="2" t="s">
        <v>296</v>
      </c>
      <c r="B11235" s="2" t="s">
        <v>13986</v>
      </c>
      <c r="C11235" s="2" t="s">
        <v>13986</v>
      </c>
      <c r="D11235" s="2" t="s">
        <v>13987</v>
      </c>
      <c r="E11235" s="4">
        <v>1500</v>
      </c>
    </row>
    <row r="11236" spans="1:5">
      <c r="A11236" s="2" t="s">
        <v>296</v>
      </c>
      <c r="B11236" s="2" t="str">
        <f>"287889"</f>
        <v>287889</v>
      </c>
      <c r="C11236" s="2" t="str">
        <f>"287889"</f>
        <v>287889</v>
      </c>
      <c r="D11236" s="2" t="s">
        <v>13988</v>
      </c>
      <c r="E11236" s="4">
        <v>9700</v>
      </c>
    </row>
    <row r="11237" spans="1:5">
      <c r="A11237" s="2" t="s">
        <v>296</v>
      </c>
      <c r="B11237" s="2" t="str">
        <f>"4410150"</f>
        <v>4410150</v>
      </c>
      <c r="C11237" s="2" t="str">
        <f>"4410150"</f>
        <v>4410150</v>
      </c>
      <c r="D11237" s="2" t="s">
        <v>13989</v>
      </c>
      <c r="E11237" s="4">
        <v>5800</v>
      </c>
    </row>
    <row r="11238" spans="1:5">
      <c r="A11238" s="2" t="s">
        <v>296</v>
      </c>
      <c r="B11238" s="2" t="str">
        <f>"289588"</f>
        <v>289588</v>
      </c>
      <c r="C11238" s="2" t="str">
        <f>"289588"</f>
        <v>289588</v>
      </c>
      <c r="D11238" s="2" t="s">
        <v>13990</v>
      </c>
      <c r="E11238" s="4">
        <v>9800</v>
      </c>
    </row>
    <row r="11239" spans="1:5">
      <c r="A11239" s="2" t="s">
        <v>296</v>
      </c>
      <c r="B11239" s="2" t="str">
        <f>"48521-01G25"</f>
        <v>48521-01G25</v>
      </c>
      <c r="C11239" s="2" t="str">
        <f>"48521-01G25"</f>
        <v>48521-01G25</v>
      </c>
      <c r="D11239" s="2" t="s">
        <v>13991</v>
      </c>
      <c r="E11239" s="4">
        <v>6800</v>
      </c>
    </row>
    <row r="11240" spans="1:5">
      <c r="A11240" s="2" t="s">
        <v>296</v>
      </c>
      <c r="B11240" s="2" t="str">
        <f>"0013000"</f>
        <v>0013000</v>
      </c>
      <c r="C11240" s="2" t="str">
        <f>"0013000"</f>
        <v>0013000</v>
      </c>
      <c r="D11240" s="2" t="s">
        <v>13992</v>
      </c>
      <c r="E11240" s="4">
        <v>14000</v>
      </c>
    </row>
    <row r="11241" spans="1:5">
      <c r="A11241" s="2" t="s">
        <v>296</v>
      </c>
      <c r="B11241" s="2" t="str">
        <f>"302337"</f>
        <v>302337</v>
      </c>
      <c r="C11241" s="2" t="str">
        <f>"302337"</f>
        <v>302337</v>
      </c>
      <c r="D11241" s="2" t="s">
        <v>13993</v>
      </c>
      <c r="E11241" s="4">
        <v>9700</v>
      </c>
    </row>
    <row r="11242" spans="1:5">
      <c r="A11242" s="2" t="s">
        <v>296</v>
      </c>
      <c r="B11242" s="2" t="str">
        <f>"0108668"</f>
        <v>0108668</v>
      </c>
      <c r="C11242" s="2" t="str">
        <f>"0108668"</f>
        <v>0108668</v>
      </c>
      <c r="D11242" s="2" t="s">
        <v>13994</v>
      </c>
      <c r="E11242" s="4">
        <v>5200</v>
      </c>
    </row>
    <row r="11243" spans="1:5">
      <c r="A11243" s="2" t="s">
        <v>296</v>
      </c>
      <c r="B11243" s="2" t="str">
        <f>"0149147"</f>
        <v>0149147</v>
      </c>
      <c r="C11243" s="2" t="str">
        <f>"0149147"</f>
        <v>0149147</v>
      </c>
      <c r="D11243" s="2" t="s">
        <v>13995</v>
      </c>
      <c r="E11243" s="4">
        <v>5200</v>
      </c>
    </row>
    <row r="11244" spans="1:5">
      <c r="A11244" s="2" t="s">
        <v>296</v>
      </c>
      <c r="B11244" s="2" t="str">
        <f>"301130"</f>
        <v>301130</v>
      </c>
      <c r="C11244" s="2" t="str">
        <f>"301130"</f>
        <v>301130</v>
      </c>
      <c r="D11244" s="2" t="s">
        <v>13996</v>
      </c>
      <c r="E11244" s="4">
        <v>3800</v>
      </c>
    </row>
    <row r="11245" spans="1:5">
      <c r="A11245" s="2" t="s">
        <v>296</v>
      </c>
      <c r="B11245" s="2" t="str">
        <f>"321024"</f>
        <v>321024</v>
      </c>
      <c r="C11245" s="2" t="str">
        <f>"321024"</f>
        <v>321024</v>
      </c>
      <c r="D11245" s="2" t="s">
        <v>13997</v>
      </c>
      <c r="E11245" s="4">
        <v>14500</v>
      </c>
    </row>
    <row r="11246" spans="1:5">
      <c r="A11246" s="2" t="s">
        <v>296</v>
      </c>
      <c r="B11246" s="2" t="str">
        <f>"0006375"</f>
        <v>0006375</v>
      </c>
      <c r="C11246" s="2" t="str">
        <f>"0006375"</f>
        <v>0006375</v>
      </c>
      <c r="D11246" s="2" t="s">
        <v>13998</v>
      </c>
      <c r="E11246" s="4">
        <v>12400</v>
      </c>
    </row>
    <row r="11247" spans="1:5">
      <c r="A11247" s="2" t="s">
        <v>296</v>
      </c>
      <c r="B11247" s="2" t="s">
        <v>13999</v>
      </c>
      <c r="C11247" s="2" t="s">
        <v>14000</v>
      </c>
      <c r="D11247" s="2" t="s">
        <v>14001</v>
      </c>
      <c r="E11247" s="2">
        <v>100</v>
      </c>
    </row>
    <row r="11248" spans="1:5">
      <c r="A11248" s="2" t="s">
        <v>296</v>
      </c>
      <c r="B11248" s="2" t="str">
        <f>"321904"</f>
        <v>321904</v>
      </c>
      <c r="C11248" s="2" t="str">
        <f>"321904"</f>
        <v>321904</v>
      </c>
      <c r="D11248" s="2" t="s">
        <v>14002</v>
      </c>
      <c r="E11248" s="4">
        <v>19500</v>
      </c>
    </row>
    <row r="11249" spans="1:5">
      <c r="A11249" s="2" t="s">
        <v>296</v>
      </c>
      <c r="B11249" s="2" t="str">
        <f>"282052"</f>
        <v>282052</v>
      </c>
      <c r="C11249" s="2" t="str">
        <f>"282052"</f>
        <v>282052</v>
      </c>
      <c r="D11249" s="2" t="s">
        <v>14003</v>
      </c>
      <c r="E11249" s="4">
        <v>9500</v>
      </c>
    </row>
    <row r="11250" spans="1:5">
      <c r="A11250" s="2" t="s">
        <v>296</v>
      </c>
      <c r="B11250" s="2" t="str">
        <f>"321905"</f>
        <v>321905</v>
      </c>
      <c r="C11250" s="2" t="str">
        <f>"321905"</f>
        <v>321905</v>
      </c>
      <c r="D11250" s="2" t="s">
        <v>14004</v>
      </c>
      <c r="E11250" s="4">
        <v>19500</v>
      </c>
    </row>
    <row r="11251" spans="1:5">
      <c r="A11251" s="2" t="s">
        <v>421</v>
      </c>
      <c r="B11251" s="2" t="s">
        <v>14005</v>
      </c>
      <c r="C11251" s="2" t="str">
        <f>"1697290119785"</f>
        <v>1697290119785</v>
      </c>
      <c r="D11251" s="2" t="s">
        <v>14006</v>
      </c>
      <c r="E11251" s="4">
        <v>10500</v>
      </c>
    </row>
    <row r="11252" spans="1:5">
      <c r="A11252" s="2" t="s">
        <v>365</v>
      </c>
      <c r="B11252" s="2" t="s">
        <v>14007</v>
      </c>
      <c r="C11252" s="2" t="s">
        <v>14007</v>
      </c>
      <c r="D11252" s="2" t="s">
        <v>14008</v>
      </c>
      <c r="E11252" s="2">
        <v>150</v>
      </c>
    </row>
    <row r="11253" spans="1:5">
      <c r="A11253" s="2" t="s">
        <v>296</v>
      </c>
      <c r="B11253" s="2" t="s">
        <v>14009</v>
      </c>
      <c r="C11253" s="2" t="s">
        <v>14010</v>
      </c>
      <c r="D11253" s="2" t="s">
        <v>14011</v>
      </c>
      <c r="E11253" s="4">
        <v>8900</v>
      </c>
    </row>
    <row r="11254" spans="1:5">
      <c r="A11254" s="2" t="s">
        <v>296</v>
      </c>
      <c r="B11254" s="2" t="str">
        <f>"031155"</f>
        <v>031155</v>
      </c>
      <c r="C11254" s="2" t="str">
        <f>"031155"</f>
        <v>031155</v>
      </c>
      <c r="D11254" s="2" t="s">
        <v>14012</v>
      </c>
      <c r="E11254" s="4">
        <v>9700</v>
      </c>
    </row>
    <row r="11255" spans="1:5">
      <c r="A11255" s="2" t="s">
        <v>296</v>
      </c>
      <c r="B11255" s="2" t="str">
        <f>"287894"</f>
        <v>287894</v>
      </c>
      <c r="C11255" s="2" t="str">
        <f>"287894"</f>
        <v>287894</v>
      </c>
      <c r="D11255" s="2" t="s">
        <v>14013</v>
      </c>
      <c r="E11255" s="4">
        <v>8800</v>
      </c>
    </row>
    <row r="11256" spans="1:5">
      <c r="A11256" s="2" t="s">
        <v>296</v>
      </c>
      <c r="B11256" s="2" t="str">
        <f>"0007943"</f>
        <v>0007943</v>
      </c>
      <c r="C11256" s="2" t="str">
        <f>"0007943"</f>
        <v>0007943</v>
      </c>
      <c r="D11256" s="2" t="s">
        <v>14014</v>
      </c>
      <c r="E11256" s="4">
        <v>9700</v>
      </c>
    </row>
    <row r="11257" spans="1:5">
      <c r="A11257" s="2" t="s">
        <v>296</v>
      </c>
      <c r="B11257" s="2" t="str">
        <f>"031157"</f>
        <v>031157</v>
      </c>
      <c r="C11257" s="2" t="str">
        <f>"031157"</f>
        <v>031157</v>
      </c>
      <c r="D11257" s="2" t="s">
        <v>14015</v>
      </c>
      <c r="E11257" s="4">
        <v>9700</v>
      </c>
    </row>
    <row r="11258" spans="1:5">
      <c r="A11258" s="2" t="s">
        <v>296</v>
      </c>
      <c r="B11258" s="2" t="str">
        <f>"287886"</f>
        <v>287886</v>
      </c>
      <c r="C11258" s="2" t="str">
        <f>"287886"</f>
        <v>287886</v>
      </c>
      <c r="D11258" s="2" t="s">
        <v>14016</v>
      </c>
      <c r="E11258" s="4">
        <v>9500</v>
      </c>
    </row>
    <row r="11259" spans="1:5">
      <c r="A11259" s="2" t="s">
        <v>296</v>
      </c>
      <c r="B11259" s="2" t="str">
        <f>"140615"</f>
        <v>140615</v>
      </c>
      <c r="C11259" s="2" t="str">
        <f>"140615"</f>
        <v>140615</v>
      </c>
      <c r="D11259" s="2" t="s">
        <v>14017</v>
      </c>
      <c r="E11259" s="4">
        <v>9700</v>
      </c>
    </row>
    <row r="11260" spans="1:5">
      <c r="A11260" s="2" t="s">
        <v>296</v>
      </c>
      <c r="B11260" s="2" t="str">
        <f>"247405"</f>
        <v>247405</v>
      </c>
      <c r="C11260" s="2" t="str">
        <f>"247405"</f>
        <v>247405</v>
      </c>
      <c r="D11260" s="2" t="s">
        <v>14018</v>
      </c>
      <c r="E11260" s="4">
        <v>14200</v>
      </c>
    </row>
    <row r="11261" spans="1:5">
      <c r="A11261" s="2" t="s">
        <v>296</v>
      </c>
      <c r="B11261" s="2" t="str">
        <f>"247391"</f>
        <v>247391</v>
      </c>
      <c r="C11261" s="2" t="str">
        <f>"030760020"</f>
        <v>030760020</v>
      </c>
      <c r="D11261" s="2" t="s">
        <v>14019</v>
      </c>
      <c r="E11261" s="4">
        <v>12400</v>
      </c>
    </row>
    <row r="11262" spans="1:5">
      <c r="A11262" s="2" t="s">
        <v>296</v>
      </c>
      <c r="B11262" s="2" t="str">
        <f>"055048"</f>
        <v>055048</v>
      </c>
      <c r="C11262" s="2" t="str">
        <f>"055048"</f>
        <v>055048</v>
      </c>
      <c r="D11262" s="2" t="s">
        <v>14020</v>
      </c>
      <c r="E11262" s="4">
        <v>12400</v>
      </c>
    </row>
    <row r="11263" spans="1:5">
      <c r="A11263" s="2" t="s">
        <v>296</v>
      </c>
      <c r="B11263" s="2" t="str">
        <f>"031165"</f>
        <v>031165</v>
      </c>
      <c r="C11263" s="2" t="str">
        <f>"031165"</f>
        <v>031165</v>
      </c>
      <c r="D11263" s="2" t="s">
        <v>14021</v>
      </c>
      <c r="E11263" s="4">
        <v>16000</v>
      </c>
    </row>
    <row r="11264" spans="1:5">
      <c r="A11264" s="2" t="s">
        <v>296</v>
      </c>
      <c r="B11264" s="2" t="str">
        <f>"030760019"</f>
        <v>030760019</v>
      </c>
      <c r="C11264" s="2" t="str">
        <f>"030760019"</f>
        <v>030760019</v>
      </c>
      <c r="D11264" s="2" t="s">
        <v>14022</v>
      </c>
      <c r="E11264" s="4">
        <v>9700</v>
      </c>
    </row>
    <row r="11265" spans="1:5">
      <c r="A11265" s="2" t="s">
        <v>296</v>
      </c>
      <c r="B11265" s="2" t="str">
        <f>"1700830"</f>
        <v>1700830</v>
      </c>
      <c r="C11265" s="2" t="str">
        <f>"1443365909"</f>
        <v>1443365909</v>
      </c>
      <c r="D11265" s="2" t="s">
        <v>14023</v>
      </c>
      <c r="E11265" s="4">
        <v>11500</v>
      </c>
    </row>
    <row r="11266" spans="1:5">
      <c r="A11266" s="2" t="s">
        <v>296</v>
      </c>
      <c r="B11266" s="2" t="str">
        <f>"0008236"</f>
        <v>0008236</v>
      </c>
      <c r="C11266" s="2" t="str">
        <f>"0008236"</f>
        <v>0008236</v>
      </c>
      <c r="D11266" s="2" t="s">
        <v>14024</v>
      </c>
      <c r="E11266" s="4">
        <v>18700</v>
      </c>
    </row>
    <row r="11267" spans="1:5">
      <c r="A11267" s="2" t="s">
        <v>296</v>
      </c>
      <c r="B11267" s="2" t="str">
        <f>"005681"</f>
        <v>005681</v>
      </c>
      <c r="C11267" s="2" t="str">
        <f>"005681"</f>
        <v>005681</v>
      </c>
      <c r="D11267" s="2" t="s">
        <v>14025</v>
      </c>
      <c r="E11267" s="4">
        <v>38500</v>
      </c>
    </row>
    <row r="11268" spans="1:5">
      <c r="A11268" s="2" t="s">
        <v>296</v>
      </c>
      <c r="B11268" s="2" t="str">
        <f>"0033449"</f>
        <v>0033449</v>
      </c>
      <c r="C11268" s="2" t="str">
        <f>"0033449"</f>
        <v>0033449</v>
      </c>
      <c r="D11268" s="2" t="s">
        <v>14026</v>
      </c>
      <c r="E11268" s="4">
        <v>28600</v>
      </c>
    </row>
    <row r="11269" spans="1:5">
      <c r="A11269" s="2" t="s">
        <v>1478</v>
      </c>
      <c r="B11269" s="2" t="str">
        <f>"287890"</f>
        <v>287890</v>
      </c>
      <c r="C11269" s="2" t="str">
        <f>"287890"</f>
        <v>287890</v>
      </c>
      <c r="D11269" s="2" t="s">
        <v>14027</v>
      </c>
      <c r="E11269" s="4">
        <v>13300</v>
      </c>
    </row>
    <row r="11270" spans="1:5">
      <c r="A11270" s="2" t="s">
        <v>296</v>
      </c>
      <c r="B11270" s="2" t="str">
        <f>"0011321"</f>
        <v>0011321</v>
      </c>
      <c r="C11270" s="2" t="str">
        <f>"1419229-8"</f>
        <v>1419229-8</v>
      </c>
      <c r="D11270" s="2" t="s">
        <v>14028</v>
      </c>
      <c r="E11270" s="4">
        <v>16000</v>
      </c>
    </row>
    <row r="11271" spans="1:5">
      <c r="A11271" s="2" t="s">
        <v>296</v>
      </c>
      <c r="B11271" s="2" t="str">
        <f>"0031113"</f>
        <v>0031113</v>
      </c>
      <c r="C11271" s="2" t="str">
        <f>"0031113"</f>
        <v>0031113</v>
      </c>
      <c r="D11271" s="2" t="s">
        <v>14028</v>
      </c>
      <c r="E11271" s="4">
        <v>7000</v>
      </c>
    </row>
    <row r="11272" spans="1:5">
      <c r="A11272" s="2" t="s">
        <v>296</v>
      </c>
      <c r="B11272" s="2" t="str">
        <f>"090440602"</f>
        <v>090440602</v>
      </c>
      <c r="C11272" s="2" t="str">
        <f>"090440602"</f>
        <v>090440602</v>
      </c>
      <c r="D11272" s="2" t="s">
        <v>14028</v>
      </c>
      <c r="E11272" s="4">
        <v>8800</v>
      </c>
    </row>
    <row r="11273" spans="1:5">
      <c r="A11273" s="2" t="s">
        <v>296</v>
      </c>
      <c r="B11273" s="2" t="str">
        <f>"9941719"</f>
        <v>9941719</v>
      </c>
      <c r="C11273" s="2" t="str">
        <f>"9941719"</f>
        <v>9941719</v>
      </c>
      <c r="D11273" s="2" t="s">
        <v>14029</v>
      </c>
      <c r="E11273" s="4">
        <v>28600</v>
      </c>
    </row>
    <row r="11274" spans="1:5">
      <c r="A11274" s="2" t="s">
        <v>296</v>
      </c>
      <c r="B11274" s="2" t="str">
        <f>"5000000244577"</f>
        <v>5000000244577</v>
      </c>
      <c r="C11274" s="2" t="str">
        <f>"014384"</f>
        <v>014384</v>
      </c>
      <c r="D11274" s="2" t="s">
        <v>14030</v>
      </c>
      <c r="E11274" s="4">
        <v>15900</v>
      </c>
    </row>
    <row r="11275" spans="1:5">
      <c r="A11275" s="2" t="s">
        <v>296</v>
      </c>
      <c r="B11275" s="2" t="str">
        <f>"1900020"</f>
        <v>1900020</v>
      </c>
      <c r="C11275" s="2" t="str">
        <f>"9952820"</f>
        <v>9952820</v>
      </c>
      <c r="D11275" s="2" t="s">
        <v>14030</v>
      </c>
      <c r="E11275" s="4">
        <v>14200</v>
      </c>
    </row>
    <row r="11276" spans="1:5">
      <c r="A11276" s="2" t="s">
        <v>296</v>
      </c>
      <c r="B11276" s="2" t="str">
        <f>"004334"</f>
        <v>004334</v>
      </c>
      <c r="C11276" s="2" t="str">
        <f>"004334"</f>
        <v>004334</v>
      </c>
      <c r="D11276" s="2" t="s">
        <v>14031</v>
      </c>
      <c r="E11276" s="4">
        <v>11500</v>
      </c>
    </row>
    <row r="11277" spans="1:5">
      <c r="A11277" s="2" t="s">
        <v>296</v>
      </c>
      <c r="B11277" s="2" t="str">
        <f>"006182"</f>
        <v>006182</v>
      </c>
      <c r="C11277" s="2" t="str">
        <f>"006182"</f>
        <v>006182</v>
      </c>
      <c r="D11277" s="2" t="s">
        <v>14032</v>
      </c>
      <c r="E11277" s="4">
        <v>38000</v>
      </c>
    </row>
    <row r="11278" spans="1:5">
      <c r="A11278" s="2" t="s">
        <v>296</v>
      </c>
      <c r="B11278" s="2" t="str">
        <f>"9941723"</f>
        <v>9941723</v>
      </c>
      <c r="C11278" s="2" t="str">
        <f>"9941723"</f>
        <v>9941723</v>
      </c>
      <c r="D11278" s="2" t="s">
        <v>14033</v>
      </c>
      <c r="E11278" s="4">
        <v>58000</v>
      </c>
    </row>
    <row r="11279" spans="1:5">
      <c r="A11279" s="2" t="s">
        <v>296</v>
      </c>
      <c r="B11279" s="2" t="str">
        <f>"011023"</f>
        <v>011023</v>
      </c>
      <c r="C11279" s="2" t="str">
        <f>"011023"</f>
        <v>011023</v>
      </c>
      <c r="D11279" s="2" t="s">
        <v>14034</v>
      </c>
      <c r="E11279" s="4">
        <v>61000</v>
      </c>
    </row>
    <row r="11280" spans="1:5">
      <c r="A11280" s="2" t="s">
        <v>296</v>
      </c>
      <c r="B11280" s="2" t="str">
        <f>"0006055"</f>
        <v>0006055</v>
      </c>
      <c r="C11280" s="2" t="str">
        <f>"0006055"</f>
        <v>0006055</v>
      </c>
      <c r="D11280" s="2" t="s">
        <v>14035</v>
      </c>
      <c r="E11280" s="4">
        <v>9700</v>
      </c>
    </row>
    <row r="11281" spans="1:5">
      <c r="A11281" s="2" t="s">
        <v>1478</v>
      </c>
      <c r="B11281" s="2" t="str">
        <f>"287888"</f>
        <v>287888</v>
      </c>
      <c r="C11281" s="2" t="str">
        <f>"287888"</f>
        <v>287888</v>
      </c>
      <c r="D11281" s="2" t="s">
        <v>14036</v>
      </c>
      <c r="E11281" s="4">
        <v>11500</v>
      </c>
    </row>
    <row r="11282" spans="1:5">
      <c r="A11282" s="2" t="s">
        <v>296</v>
      </c>
      <c r="B11282" s="2" t="str">
        <f>"287896"</f>
        <v>287896</v>
      </c>
      <c r="C11282" s="2" t="str">
        <f>"287896"</f>
        <v>287896</v>
      </c>
      <c r="D11282" s="2" t="s">
        <v>14037</v>
      </c>
      <c r="E11282" s="4">
        <v>6100</v>
      </c>
    </row>
    <row r="11283" spans="1:5">
      <c r="A11283" s="2" t="s">
        <v>296</v>
      </c>
      <c r="B11283" s="2" t="str">
        <f>"287470"</f>
        <v>287470</v>
      </c>
      <c r="C11283" s="2" t="str">
        <f>"0017431"</f>
        <v>0017431</v>
      </c>
      <c r="D11283" s="2" t="s">
        <v>14038</v>
      </c>
      <c r="E11283" s="4">
        <v>11500</v>
      </c>
    </row>
    <row r="11284" spans="1:5">
      <c r="A11284" s="2" t="s">
        <v>296</v>
      </c>
      <c r="B11284" s="2" t="str">
        <f>"287899"</f>
        <v>287899</v>
      </c>
      <c r="C11284" s="2" t="str">
        <f>"287899"</f>
        <v>287899</v>
      </c>
      <c r="D11284" s="2" t="s">
        <v>14039</v>
      </c>
      <c r="E11284" s="4">
        <v>9900</v>
      </c>
    </row>
    <row r="11285" spans="1:5">
      <c r="A11285" s="2" t="s">
        <v>296</v>
      </c>
      <c r="B11285" s="2" t="str">
        <f>"287898"</f>
        <v>287898</v>
      </c>
      <c r="C11285" s="2" t="str">
        <f>"287898"</f>
        <v>287898</v>
      </c>
      <c r="D11285" s="2" t="s">
        <v>14040</v>
      </c>
      <c r="E11285" s="4">
        <v>9700</v>
      </c>
    </row>
    <row r="11286" spans="1:5">
      <c r="A11286" s="2" t="s">
        <v>296</v>
      </c>
      <c r="B11286" s="2" t="str">
        <f>"7545958"</f>
        <v>7545958</v>
      </c>
      <c r="C11286" s="2" t="str">
        <f>"7545958"</f>
        <v>7545958</v>
      </c>
      <c r="D11286" s="2" t="s">
        <v>14041</v>
      </c>
      <c r="E11286" s="4">
        <v>11500</v>
      </c>
    </row>
    <row r="11287" spans="1:5">
      <c r="A11287" s="2" t="s">
        <v>296</v>
      </c>
      <c r="B11287" s="2" t="str">
        <f>"031169"</f>
        <v>031169</v>
      </c>
      <c r="C11287" s="2" t="str">
        <f>"031169"</f>
        <v>031169</v>
      </c>
      <c r="D11287" s="2" t="s">
        <v>14042</v>
      </c>
      <c r="E11287" s="4">
        <v>11500</v>
      </c>
    </row>
    <row r="11288" spans="1:5">
      <c r="A11288" s="2" t="s">
        <v>296</v>
      </c>
      <c r="B11288" s="2" t="str">
        <f>"0008281"</f>
        <v>0008281</v>
      </c>
      <c r="C11288" s="2" t="str">
        <f>"0008281"</f>
        <v>0008281</v>
      </c>
      <c r="D11288" s="2" t="s">
        <v>14043</v>
      </c>
      <c r="E11288" s="4">
        <v>89000</v>
      </c>
    </row>
    <row r="11289" spans="1:5">
      <c r="A11289" s="2" t="s">
        <v>296</v>
      </c>
      <c r="B11289" s="2" t="str">
        <f>"002013015-6"</f>
        <v>002013015-6</v>
      </c>
      <c r="C11289" s="2" t="str">
        <f>"002013015-6"</f>
        <v>002013015-6</v>
      </c>
      <c r="D11289" s="2" t="s">
        <v>14044</v>
      </c>
      <c r="E11289" s="4">
        <v>34000</v>
      </c>
    </row>
    <row r="11290" spans="1:5">
      <c r="A11290" s="2" t="s">
        <v>296</v>
      </c>
      <c r="B11290" s="2" t="str">
        <f>"031159"</f>
        <v>031159</v>
      </c>
      <c r="C11290" s="2" t="str">
        <f>"031159"</f>
        <v>031159</v>
      </c>
      <c r="D11290" s="2" t="s">
        <v>14045</v>
      </c>
      <c r="E11290" s="4">
        <v>11500</v>
      </c>
    </row>
    <row r="11291" spans="1:5">
      <c r="A11291" s="2" t="s">
        <v>296</v>
      </c>
      <c r="B11291" s="2" t="str">
        <f>"287891"</f>
        <v>287891</v>
      </c>
      <c r="C11291" s="2" t="str">
        <f>"287891"</f>
        <v>287891</v>
      </c>
      <c r="D11291" s="2" t="s">
        <v>14046</v>
      </c>
      <c r="E11291" s="4">
        <v>12500</v>
      </c>
    </row>
    <row r="11292" spans="1:5">
      <c r="A11292" s="2" t="s">
        <v>296</v>
      </c>
      <c r="B11292" s="2" t="str">
        <f>"0008282"</f>
        <v>0008282</v>
      </c>
      <c r="C11292" s="2" t="str">
        <f>"0008282"</f>
        <v>0008282</v>
      </c>
      <c r="D11292" s="2" t="s">
        <v>14047</v>
      </c>
      <c r="E11292" s="4">
        <v>89000</v>
      </c>
    </row>
    <row r="11293" spans="1:5">
      <c r="A11293" s="2" t="s">
        <v>296</v>
      </c>
      <c r="B11293" s="2" t="str">
        <f>"014356"</f>
        <v>014356</v>
      </c>
      <c r="C11293" s="2" t="str">
        <f>"014356"</f>
        <v>014356</v>
      </c>
      <c r="D11293" s="2" t="s">
        <v>14048</v>
      </c>
      <c r="E11293" s="4">
        <v>15500</v>
      </c>
    </row>
    <row r="11294" spans="1:5">
      <c r="A11294" s="2" t="s">
        <v>296</v>
      </c>
      <c r="B11294" s="2" t="str">
        <f>"071231327"</f>
        <v>071231327</v>
      </c>
      <c r="C11294" s="2" t="str">
        <f>"071231327"</f>
        <v>071231327</v>
      </c>
      <c r="D11294" s="2" t="s">
        <v>14049</v>
      </c>
      <c r="E11294" s="4">
        <v>8800</v>
      </c>
    </row>
    <row r="11295" spans="1:5">
      <c r="A11295" s="2" t="s">
        <v>296</v>
      </c>
      <c r="B11295" s="2" t="s">
        <v>14050</v>
      </c>
      <c r="C11295" s="2" t="s">
        <v>14050</v>
      </c>
      <c r="D11295" s="2" t="s">
        <v>14051</v>
      </c>
      <c r="E11295" s="4">
        <v>9700</v>
      </c>
    </row>
    <row r="11296" spans="1:5">
      <c r="A11296" s="2" t="s">
        <v>296</v>
      </c>
      <c r="B11296" s="2" t="str">
        <f>"070710093"</f>
        <v>070710093</v>
      </c>
      <c r="C11296" s="2" t="str">
        <f>"070710093"</f>
        <v>070710093</v>
      </c>
      <c r="D11296" s="2" t="s">
        <v>14052</v>
      </c>
      <c r="E11296" s="4">
        <v>9700</v>
      </c>
    </row>
    <row r="11297" spans="1:5">
      <c r="A11297" s="2" t="s">
        <v>296</v>
      </c>
      <c r="B11297" s="2" t="str">
        <f>"071430102"</f>
        <v>071430102</v>
      </c>
      <c r="C11297" s="2" t="str">
        <f>"071430102"</f>
        <v>071430102</v>
      </c>
      <c r="D11297" s="2" t="s">
        <v>14053</v>
      </c>
      <c r="E11297" s="4">
        <v>14200</v>
      </c>
    </row>
    <row r="11298" spans="1:5">
      <c r="A11298" s="2" t="s">
        <v>296</v>
      </c>
      <c r="B11298" s="2" t="str">
        <f>"014361"</f>
        <v>014361</v>
      </c>
      <c r="C11298" s="2" t="str">
        <f>"014361"</f>
        <v>014361</v>
      </c>
      <c r="D11298" s="2" t="s">
        <v>14054</v>
      </c>
      <c r="E11298" s="4">
        <v>12400</v>
      </c>
    </row>
    <row r="11299" spans="1:5">
      <c r="A11299" s="2" t="s">
        <v>296</v>
      </c>
      <c r="B11299" s="2" t="str">
        <f>"247373"</f>
        <v>247373</v>
      </c>
      <c r="C11299" s="2" t="str">
        <f>"247373"</f>
        <v>247373</v>
      </c>
      <c r="D11299" s="2" t="s">
        <v>14055</v>
      </c>
      <c r="E11299" s="4">
        <v>19000</v>
      </c>
    </row>
    <row r="11300" spans="1:5">
      <c r="A11300" s="2" t="s">
        <v>296</v>
      </c>
      <c r="B11300" s="2" t="str">
        <f>"247406"</f>
        <v>247406</v>
      </c>
      <c r="C11300" s="2" t="str">
        <f>"247406"</f>
        <v>247406</v>
      </c>
      <c r="D11300" s="2" t="s">
        <v>14056</v>
      </c>
      <c r="E11300" s="4">
        <v>14000</v>
      </c>
    </row>
    <row r="11301" spans="1:5">
      <c r="A11301" s="2" t="s">
        <v>296</v>
      </c>
      <c r="B11301" s="2" t="str">
        <f>"283136"</f>
        <v>283136</v>
      </c>
      <c r="C11301" s="2" t="str">
        <f>"283136"</f>
        <v>283136</v>
      </c>
      <c r="D11301" s="2" t="s">
        <v>14057</v>
      </c>
      <c r="E11301" s="4">
        <v>9700</v>
      </c>
    </row>
    <row r="11302" spans="1:5">
      <c r="A11302" s="2" t="s">
        <v>296</v>
      </c>
      <c r="B11302" s="2" t="str">
        <f>"031156"</f>
        <v>031156</v>
      </c>
      <c r="C11302" s="2" t="str">
        <f>"03156"</f>
        <v>03156</v>
      </c>
      <c r="D11302" s="2" t="s">
        <v>14058</v>
      </c>
      <c r="E11302" s="4">
        <v>8800</v>
      </c>
    </row>
    <row r="11303" spans="1:5">
      <c r="A11303" s="2" t="s">
        <v>296</v>
      </c>
      <c r="B11303" s="2" t="str">
        <f>"5 00000 361892"</f>
        <v>5 00000 361892</v>
      </c>
      <c r="C11303" s="2" t="str">
        <f>"017006"</f>
        <v>017006</v>
      </c>
      <c r="D11303" s="2" t="s">
        <v>14059</v>
      </c>
      <c r="E11303" s="4">
        <v>6100</v>
      </c>
    </row>
    <row r="11304" spans="1:5">
      <c r="A11304" s="2" t="s">
        <v>296</v>
      </c>
      <c r="B11304" s="2" t="str">
        <f>"017005"</f>
        <v>017005</v>
      </c>
      <c r="C11304" s="2" t="str">
        <f>"017005"</f>
        <v>017005</v>
      </c>
      <c r="D11304" s="2" t="s">
        <v>14060</v>
      </c>
      <c r="E11304" s="4">
        <v>29000</v>
      </c>
    </row>
    <row r="11305" spans="1:5">
      <c r="A11305" s="2" t="s">
        <v>296</v>
      </c>
      <c r="B11305" s="2" t="str">
        <f>"247409"</f>
        <v>247409</v>
      </c>
      <c r="C11305" s="2" t="str">
        <f>"247409"</f>
        <v>247409</v>
      </c>
      <c r="D11305" s="2" t="s">
        <v>14061</v>
      </c>
      <c r="E11305" s="4">
        <v>9800</v>
      </c>
    </row>
    <row r="11306" spans="1:5">
      <c r="A11306" s="2" t="s">
        <v>296</v>
      </c>
      <c r="B11306" s="2" t="str">
        <f>"1819213-6"</f>
        <v>1819213-6</v>
      </c>
      <c r="C11306" s="2" t="str">
        <f>"1819213-6"</f>
        <v>1819213-6</v>
      </c>
      <c r="D11306" s="2" t="s">
        <v>14062</v>
      </c>
      <c r="E11306" s="4">
        <v>12500</v>
      </c>
    </row>
    <row r="11307" spans="1:5">
      <c r="A11307" s="2" t="s">
        <v>296</v>
      </c>
      <c r="B11307" s="2" t="s">
        <v>14063</v>
      </c>
      <c r="C11307" s="2" t="s">
        <v>14063</v>
      </c>
      <c r="D11307" s="2" t="s">
        <v>14064</v>
      </c>
      <c r="E11307" s="4">
        <v>6100</v>
      </c>
    </row>
    <row r="11308" spans="1:5">
      <c r="A11308" s="2" t="s">
        <v>296</v>
      </c>
      <c r="B11308" s="2" t="str">
        <f>"016106"</f>
        <v>016106</v>
      </c>
      <c r="C11308" s="2" t="str">
        <f>"016106"</f>
        <v>016106</v>
      </c>
      <c r="D11308" s="2" t="s">
        <v>14065</v>
      </c>
      <c r="E11308" s="4">
        <v>29700</v>
      </c>
    </row>
    <row r="11309" spans="1:5">
      <c r="A11309" s="2" t="s">
        <v>296</v>
      </c>
      <c r="B11309" s="2" t="str">
        <f>"006941"</f>
        <v>006941</v>
      </c>
      <c r="C11309" s="2" t="str">
        <f>"0069411"</f>
        <v>0069411</v>
      </c>
      <c r="D11309" s="2" t="s">
        <v>14066</v>
      </c>
      <c r="E11309" s="4">
        <v>10600</v>
      </c>
    </row>
    <row r="11310" spans="1:5">
      <c r="A11310" s="2" t="s">
        <v>296</v>
      </c>
      <c r="B11310" s="2" t="str">
        <f>"247402"</f>
        <v>247402</v>
      </c>
      <c r="C11310" s="2" t="str">
        <f>"247402"</f>
        <v>247402</v>
      </c>
      <c r="D11310" s="2" t="s">
        <v>14067</v>
      </c>
      <c r="E11310" s="4">
        <v>12400</v>
      </c>
    </row>
    <row r="11311" spans="1:5">
      <c r="A11311" s="2" t="s">
        <v>296</v>
      </c>
      <c r="B11311" s="2" t="str">
        <f>"247400"</f>
        <v>247400</v>
      </c>
      <c r="C11311" s="2" t="str">
        <f>"247400"</f>
        <v>247400</v>
      </c>
      <c r="D11311" s="2" t="s">
        <v>14068</v>
      </c>
      <c r="E11311" s="4">
        <v>29000</v>
      </c>
    </row>
    <row r="11312" spans="1:5">
      <c r="A11312" s="2" t="s">
        <v>296</v>
      </c>
      <c r="B11312" s="2" t="str">
        <f>"000413569-5"</f>
        <v>000413569-5</v>
      </c>
      <c r="C11312" s="2" t="str">
        <f>"413569-5"</f>
        <v>413569-5</v>
      </c>
      <c r="D11312" s="2" t="s">
        <v>14069</v>
      </c>
      <c r="E11312" s="4">
        <v>8800</v>
      </c>
    </row>
    <row r="11313" spans="1:5">
      <c r="A11313" s="2" t="s">
        <v>296</v>
      </c>
      <c r="B11313" s="2" t="str">
        <f>"4580281451525"</f>
        <v>4580281451525</v>
      </c>
      <c r="C11313" s="2" t="str">
        <f>"010750024"</f>
        <v>010750024</v>
      </c>
      <c r="D11313" s="2" t="s">
        <v>14070</v>
      </c>
      <c r="E11313" s="4">
        <v>18700</v>
      </c>
    </row>
    <row r="11314" spans="1:5">
      <c r="A11314" s="2" t="s">
        <v>296</v>
      </c>
      <c r="B11314" s="2" t="str">
        <f>"0900370"</f>
        <v>0900370</v>
      </c>
      <c r="C11314" s="2" t="str">
        <f>"0900370"</f>
        <v>0900370</v>
      </c>
      <c r="D11314" s="2" t="s">
        <v>14071</v>
      </c>
      <c r="E11314" s="4">
        <v>6500</v>
      </c>
    </row>
    <row r="11315" spans="1:5">
      <c r="A11315" s="2" t="s">
        <v>296</v>
      </c>
      <c r="B11315" s="2" t="str">
        <f>"247399"</f>
        <v>247399</v>
      </c>
      <c r="C11315" s="2" t="str">
        <f>"247399"</f>
        <v>247399</v>
      </c>
      <c r="D11315" s="2" t="s">
        <v>14072</v>
      </c>
      <c r="E11315" s="4">
        <v>10600</v>
      </c>
    </row>
    <row r="11316" spans="1:5">
      <c r="A11316" s="2" t="s">
        <v>296</v>
      </c>
      <c r="B11316" s="2" t="str">
        <f>"0300830"</f>
        <v>0300830</v>
      </c>
      <c r="C11316" s="2" t="str">
        <f>"0019274"</f>
        <v>0019274</v>
      </c>
      <c r="D11316" s="2" t="s">
        <v>14073</v>
      </c>
      <c r="E11316" s="4">
        <v>12400</v>
      </c>
    </row>
    <row r="11317" spans="1:5">
      <c r="A11317" s="2" t="s">
        <v>296</v>
      </c>
      <c r="B11317" s="2" t="str">
        <f>"0003882"</f>
        <v>0003882</v>
      </c>
      <c r="C11317" s="2" t="str">
        <f>"247403"</f>
        <v>247403</v>
      </c>
      <c r="D11317" s="2" t="s">
        <v>14074</v>
      </c>
      <c r="E11317" s="4">
        <v>16000</v>
      </c>
    </row>
    <row r="11318" spans="1:5">
      <c r="A11318" s="2" t="s">
        <v>296</v>
      </c>
      <c r="B11318" s="2" t="str">
        <f>"006153"</f>
        <v>006153</v>
      </c>
      <c r="C11318" s="2" t="str">
        <f>"006153"</f>
        <v>006153</v>
      </c>
      <c r="D11318" s="2" t="s">
        <v>14075</v>
      </c>
      <c r="E11318" s="4">
        <v>8800</v>
      </c>
    </row>
    <row r="11319" spans="1:5">
      <c r="A11319" s="2" t="s">
        <v>296</v>
      </c>
      <c r="B11319" s="2" t="str">
        <f>"0101010"</f>
        <v>0101010</v>
      </c>
      <c r="C11319" s="2" t="str">
        <f>"0101010"</f>
        <v>0101010</v>
      </c>
      <c r="D11319" s="2" t="s">
        <v>14076</v>
      </c>
      <c r="E11319" s="4">
        <v>7000</v>
      </c>
    </row>
    <row r="11320" spans="1:5">
      <c r="A11320" s="2" t="s">
        <v>296</v>
      </c>
      <c r="B11320" s="2" t="str">
        <f>"014332"</f>
        <v>014332</v>
      </c>
      <c r="C11320" s="2" t="str">
        <f>"009359"</f>
        <v>009359</v>
      </c>
      <c r="D11320" s="2" t="s">
        <v>14077</v>
      </c>
      <c r="E11320" s="4">
        <v>8800</v>
      </c>
    </row>
    <row r="11321" spans="1:5">
      <c r="A11321" s="2" t="s">
        <v>296</v>
      </c>
      <c r="B11321" s="2" t="str">
        <f>"014333"</f>
        <v>014333</v>
      </c>
      <c r="C11321" s="2" t="str">
        <f>"014333"</f>
        <v>014333</v>
      </c>
      <c r="D11321" s="2" t="s">
        <v>14078</v>
      </c>
      <c r="E11321" s="4">
        <v>6100</v>
      </c>
    </row>
    <row r="11322" spans="1:5">
      <c r="A11322" s="2" t="s">
        <v>296</v>
      </c>
      <c r="B11322" s="2" t="str">
        <f>"0301180"</f>
        <v>0301180</v>
      </c>
      <c r="C11322" s="2" t="str">
        <f>"6100"</f>
        <v>6100</v>
      </c>
      <c r="D11322" s="2" t="s">
        <v>14078</v>
      </c>
      <c r="E11322" s="4">
        <v>9700</v>
      </c>
    </row>
    <row r="11323" spans="1:5">
      <c r="A11323" s="2" t="s">
        <v>296</v>
      </c>
      <c r="B11323" s="2" t="str">
        <f>"017000"</f>
        <v>017000</v>
      </c>
      <c r="C11323" s="2" t="str">
        <f>"017000"</f>
        <v>017000</v>
      </c>
      <c r="D11323" s="2" t="s">
        <v>14079</v>
      </c>
      <c r="E11323" s="4">
        <v>9700</v>
      </c>
    </row>
    <row r="11324" spans="1:5">
      <c r="A11324" s="2" t="s">
        <v>296</v>
      </c>
      <c r="B11324" s="2" t="str">
        <f>"181858"</f>
        <v>181858</v>
      </c>
      <c r="C11324" s="2" t="str">
        <f>"181858"</f>
        <v>181858</v>
      </c>
      <c r="D11324" s="2" t="s">
        <v>14080</v>
      </c>
      <c r="E11324" s="4">
        <v>15000</v>
      </c>
    </row>
    <row r="11325" spans="1:5">
      <c r="A11325" s="2" t="s">
        <v>296</v>
      </c>
      <c r="B11325" s="2" t="str">
        <f>"031153"</f>
        <v>031153</v>
      </c>
      <c r="C11325" s="2" t="str">
        <f>"031153"</f>
        <v>031153</v>
      </c>
      <c r="D11325" s="2" t="s">
        <v>14081</v>
      </c>
      <c r="E11325" s="4">
        <v>5200</v>
      </c>
    </row>
    <row r="11326" spans="1:5">
      <c r="A11326" s="2" t="s">
        <v>296</v>
      </c>
      <c r="B11326" s="2" t="str">
        <f>"247389"</f>
        <v>247389</v>
      </c>
      <c r="C11326" s="2" t="str">
        <f>"247389"</f>
        <v>247389</v>
      </c>
      <c r="D11326" s="2" t="s">
        <v>14082</v>
      </c>
      <c r="E11326" s="4">
        <v>12400</v>
      </c>
    </row>
    <row r="11327" spans="1:5">
      <c r="A11327" s="2" t="s">
        <v>296</v>
      </c>
      <c r="B11327" s="2" t="str">
        <f>"014360"</f>
        <v>014360</v>
      </c>
      <c r="C11327" s="2" t="str">
        <f>"014360"</f>
        <v>014360</v>
      </c>
      <c r="D11327" s="2" t="s">
        <v>14083</v>
      </c>
      <c r="E11327" s="4">
        <v>14000</v>
      </c>
    </row>
    <row r="11328" spans="1:5">
      <c r="A11328" s="2" t="s">
        <v>296</v>
      </c>
      <c r="B11328" s="2" t="str">
        <f>"247408"</f>
        <v>247408</v>
      </c>
      <c r="C11328" s="2" t="str">
        <f>"247408"</f>
        <v>247408</v>
      </c>
      <c r="D11328" s="2" t="s">
        <v>14084</v>
      </c>
      <c r="E11328" s="4">
        <v>9700</v>
      </c>
    </row>
    <row r="11329" spans="1:5">
      <c r="A11329" s="2" t="s">
        <v>296</v>
      </c>
      <c r="B11329" s="2" t="s">
        <v>14085</v>
      </c>
      <c r="C11329" s="2" t="s">
        <v>14085</v>
      </c>
      <c r="D11329" s="2" t="s">
        <v>14086</v>
      </c>
      <c r="E11329" s="4">
        <v>5200</v>
      </c>
    </row>
    <row r="11330" spans="1:5">
      <c r="A11330" s="2" t="s">
        <v>296</v>
      </c>
      <c r="B11330" s="2" t="str">
        <f>"283884"</f>
        <v>283884</v>
      </c>
      <c r="C11330" s="2" t="str">
        <f>"283884"</f>
        <v>283884</v>
      </c>
      <c r="D11330" s="2" t="s">
        <v>14087</v>
      </c>
      <c r="E11330" s="4">
        <v>16000</v>
      </c>
    </row>
    <row r="11331" spans="1:5">
      <c r="A11331" s="2" t="s">
        <v>1478</v>
      </c>
      <c r="B11331" s="2" t="s">
        <v>14088</v>
      </c>
      <c r="C11331" s="2" t="s">
        <v>14088</v>
      </c>
      <c r="D11331" s="2" t="s">
        <v>14089</v>
      </c>
      <c r="E11331" s="4">
        <v>7000</v>
      </c>
    </row>
    <row r="11332" spans="1:5">
      <c r="A11332" s="2" t="s">
        <v>296</v>
      </c>
      <c r="B11332" s="2" t="str">
        <f>"248122"</f>
        <v>248122</v>
      </c>
      <c r="C11332" s="2" t="str">
        <f>"248122 000913508-1"</f>
        <v>248122 000913508-1</v>
      </c>
      <c r="D11332" s="2" t="s">
        <v>14090</v>
      </c>
      <c r="E11332" s="4">
        <v>18700</v>
      </c>
    </row>
    <row r="11333" spans="1:5">
      <c r="A11333" s="2" t="s">
        <v>296</v>
      </c>
      <c r="B11333" s="2" t="str">
        <f>"5000000030798"</f>
        <v>5000000030798</v>
      </c>
      <c r="C11333" s="2" t="str">
        <f>"247899"</f>
        <v>247899</v>
      </c>
      <c r="D11333" s="2" t="s">
        <v>14091</v>
      </c>
      <c r="E11333" s="4">
        <v>9900</v>
      </c>
    </row>
    <row r="11334" spans="1:5">
      <c r="A11334" s="2" t="s">
        <v>296</v>
      </c>
      <c r="B11334" s="2" t="str">
        <f>"5000000030286"</f>
        <v>5000000030286</v>
      </c>
      <c r="C11334" s="2" t="str">
        <f>"014334"</f>
        <v>014334</v>
      </c>
      <c r="D11334" s="2" t="s">
        <v>14092</v>
      </c>
      <c r="E11334" s="4">
        <v>6900</v>
      </c>
    </row>
    <row r="11335" spans="1:5">
      <c r="A11335" s="2" t="s">
        <v>296</v>
      </c>
      <c r="B11335" s="2" t="str">
        <f>"014336"</f>
        <v>014336</v>
      </c>
      <c r="C11335" s="2" t="str">
        <f>"014336"</f>
        <v>014336</v>
      </c>
      <c r="D11335" s="2" t="s">
        <v>14093</v>
      </c>
      <c r="E11335" s="4">
        <v>5200</v>
      </c>
    </row>
    <row r="11336" spans="1:5">
      <c r="A11336" s="2" t="s">
        <v>296</v>
      </c>
      <c r="B11336" s="2" t="str">
        <f>"014338"</f>
        <v>014338</v>
      </c>
      <c r="C11336" s="2" t="str">
        <f>"014338"</f>
        <v>014338</v>
      </c>
      <c r="D11336" s="2" t="s">
        <v>14094</v>
      </c>
      <c r="E11336" s="4">
        <v>6900</v>
      </c>
    </row>
    <row r="11337" spans="1:5">
      <c r="A11337" s="2" t="s">
        <v>1478</v>
      </c>
      <c r="B11337" s="2" t="str">
        <f>"010750045"</f>
        <v>010750045</v>
      </c>
      <c r="C11337" s="2" t="str">
        <f>"247407 1719208-6"</f>
        <v>247407 1719208-6</v>
      </c>
      <c r="D11337" s="2" t="s">
        <v>14095</v>
      </c>
      <c r="E11337" s="4">
        <v>12400</v>
      </c>
    </row>
    <row r="11338" spans="1:5">
      <c r="A11338" s="2" t="s">
        <v>296</v>
      </c>
      <c r="B11338" s="2" t="str">
        <f>"014363"</f>
        <v>014363</v>
      </c>
      <c r="C11338" s="2" t="str">
        <f>"014363"</f>
        <v>014363</v>
      </c>
      <c r="D11338" s="2" t="s">
        <v>14096</v>
      </c>
      <c r="E11338" s="4">
        <v>11900</v>
      </c>
    </row>
    <row r="11339" spans="1:5">
      <c r="A11339" s="2" t="s">
        <v>1478</v>
      </c>
      <c r="B11339" s="2" t="str">
        <f>"00101354-82"</f>
        <v>00101354-82</v>
      </c>
      <c r="C11339" s="2" t="str">
        <f>"00101354-82"</f>
        <v>00101354-82</v>
      </c>
      <c r="D11339" s="2" t="s">
        <v>14097</v>
      </c>
      <c r="E11339" s="4">
        <v>4900</v>
      </c>
    </row>
    <row r="11340" spans="1:5">
      <c r="A11340" s="2" t="s">
        <v>296</v>
      </c>
      <c r="B11340" s="2" t="str">
        <f>"010750040"</f>
        <v>010750040</v>
      </c>
      <c r="C11340" s="2" t="str">
        <f>"010750040"</f>
        <v>010750040</v>
      </c>
      <c r="D11340" s="2" t="s">
        <v>14098</v>
      </c>
      <c r="E11340" s="4">
        <v>7000</v>
      </c>
    </row>
    <row r="11341" spans="1:5">
      <c r="A11341" s="2" t="s">
        <v>296</v>
      </c>
      <c r="B11341" s="2" t="s">
        <v>14099</v>
      </c>
      <c r="C11341" s="2" t="s">
        <v>14099</v>
      </c>
      <c r="D11341" s="2" t="s">
        <v>14100</v>
      </c>
      <c r="E11341" s="4">
        <v>6100</v>
      </c>
    </row>
    <row r="11342" spans="1:5">
      <c r="A11342" s="2" t="s">
        <v>1478</v>
      </c>
      <c r="B11342" s="2" t="str">
        <f>"247900"</f>
        <v>247900</v>
      </c>
      <c r="C11342" s="2" t="str">
        <f>"247900"</f>
        <v>247900</v>
      </c>
      <c r="D11342" s="2" t="s">
        <v>14100</v>
      </c>
      <c r="E11342" s="4">
        <v>6100</v>
      </c>
    </row>
    <row r="11343" spans="1:5">
      <c r="A11343" s="2" t="s">
        <v>296</v>
      </c>
      <c r="B11343" s="2" t="str">
        <f>"014348"</f>
        <v>014348</v>
      </c>
      <c r="C11343" s="2" t="str">
        <f>"014348"</f>
        <v>014348</v>
      </c>
      <c r="D11343" s="2" t="s">
        <v>14101</v>
      </c>
      <c r="E11343" s="4">
        <v>11500</v>
      </c>
    </row>
    <row r="11344" spans="1:5">
      <c r="A11344" s="2" t="s">
        <v>296</v>
      </c>
      <c r="B11344" s="2" t="str">
        <f>"0019267"</f>
        <v>0019267</v>
      </c>
      <c r="C11344" s="2" t="str">
        <f>"0019267"</f>
        <v>0019267</v>
      </c>
      <c r="D11344" s="2" t="s">
        <v>14102</v>
      </c>
      <c r="E11344" s="4">
        <v>9700</v>
      </c>
    </row>
    <row r="11345" spans="1:5">
      <c r="A11345" s="2" t="s">
        <v>296</v>
      </c>
      <c r="B11345" s="2" t="str">
        <f>"015363"</f>
        <v>015363</v>
      </c>
      <c r="C11345" s="2" t="str">
        <f>"015363"</f>
        <v>015363</v>
      </c>
      <c r="D11345" s="2" t="s">
        <v>14102</v>
      </c>
      <c r="E11345" s="4">
        <v>10600</v>
      </c>
    </row>
    <row r="11346" spans="1:5">
      <c r="A11346" s="2" t="s">
        <v>296</v>
      </c>
      <c r="B11346" s="2" t="str">
        <f>"017008"</f>
        <v>017008</v>
      </c>
      <c r="C11346" s="2" t="str">
        <f>"017008"</f>
        <v>017008</v>
      </c>
      <c r="D11346" s="2" t="s">
        <v>14103</v>
      </c>
      <c r="E11346" s="4">
        <v>6000</v>
      </c>
    </row>
    <row r="11347" spans="1:5">
      <c r="A11347" s="2" t="s">
        <v>1478</v>
      </c>
      <c r="B11347" s="2" t="str">
        <f>"001013V16TP"</f>
        <v>001013V16TP</v>
      </c>
      <c r="C11347" s="2" t="str">
        <f>"001013V16TP"</f>
        <v>001013V16TP</v>
      </c>
      <c r="D11347" s="2" t="s">
        <v>14104</v>
      </c>
      <c r="E11347" s="4">
        <v>4500</v>
      </c>
    </row>
    <row r="11348" spans="1:5">
      <c r="A11348" s="2" t="s">
        <v>1478</v>
      </c>
      <c r="B11348" s="2" t="str">
        <f>"00101348B76"</f>
        <v>00101348B76</v>
      </c>
      <c r="C11348" s="2" t="str">
        <f>"00101348B76"</f>
        <v>00101348B76</v>
      </c>
      <c r="D11348" s="2" t="s">
        <v>14105</v>
      </c>
      <c r="E11348" s="4">
        <v>8800</v>
      </c>
    </row>
    <row r="11349" spans="1:5">
      <c r="A11349" s="2" t="s">
        <v>296</v>
      </c>
      <c r="B11349" s="2" t="s">
        <v>14106</v>
      </c>
      <c r="C11349" s="2" t="s">
        <v>14106</v>
      </c>
      <c r="D11349" s="2" t="s">
        <v>14107</v>
      </c>
      <c r="E11349" s="4">
        <v>9700</v>
      </c>
    </row>
    <row r="11350" spans="1:5">
      <c r="A11350" s="2" t="s">
        <v>296</v>
      </c>
      <c r="B11350" s="2" t="str">
        <f>"0026013"</f>
        <v>0026013</v>
      </c>
      <c r="C11350" s="2" t="str">
        <f>"0026013"</f>
        <v>0026013</v>
      </c>
      <c r="D11350" s="2" t="s">
        <v>14108</v>
      </c>
      <c r="E11350" s="4">
        <v>18700</v>
      </c>
    </row>
    <row r="11351" spans="1:5">
      <c r="A11351" s="2" t="s">
        <v>296</v>
      </c>
      <c r="B11351" s="2" t="str">
        <f>"0027528"</f>
        <v>0027528</v>
      </c>
      <c r="C11351" s="2" t="str">
        <f>"0027528 010750008"</f>
        <v>0027528 010750008</v>
      </c>
      <c r="D11351" s="2" t="s">
        <v>14109</v>
      </c>
      <c r="E11351" s="4">
        <v>11500</v>
      </c>
    </row>
    <row r="11352" spans="1:5">
      <c r="A11352" s="2" t="s">
        <v>296</v>
      </c>
      <c r="B11352" s="2" t="str">
        <f>"5000000205561"</f>
        <v>5000000205561</v>
      </c>
      <c r="C11352" s="2" t="str">
        <f>"284298"</f>
        <v>284298</v>
      </c>
      <c r="D11352" s="2" t="s">
        <v>14110</v>
      </c>
      <c r="E11352" s="4">
        <v>14000</v>
      </c>
    </row>
    <row r="11353" spans="1:5">
      <c r="A11353" s="2" t="s">
        <v>296</v>
      </c>
      <c r="B11353" s="2" t="str">
        <f>"247901"</f>
        <v>247901</v>
      </c>
      <c r="C11353" s="2" t="str">
        <f>"247901"</f>
        <v>247901</v>
      </c>
      <c r="D11353" s="2" t="s">
        <v>14111</v>
      </c>
      <c r="E11353" s="4">
        <v>11500</v>
      </c>
    </row>
    <row r="11354" spans="1:5">
      <c r="A11354" s="2" t="s">
        <v>296</v>
      </c>
      <c r="B11354" s="2" t="str">
        <f>"0016630"</f>
        <v>0016630</v>
      </c>
      <c r="C11354" s="2" t="str">
        <f>"0016630"</f>
        <v>0016630</v>
      </c>
      <c r="D11354" s="2" t="s">
        <v>14112</v>
      </c>
      <c r="E11354" s="4">
        <v>11500</v>
      </c>
    </row>
    <row r="11355" spans="1:5">
      <c r="A11355" s="2" t="s">
        <v>1478</v>
      </c>
      <c r="B11355" s="2" t="str">
        <f>"247381"</f>
        <v>247381</v>
      </c>
      <c r="C11355" s="2" t="str">
        <f>"247381"</f>
        <v>247381</v>
      </c>
      <c r="D11355" s="2" t="s">
        <v>14113</v>
      </c>
      <c r="E11355" s="4">
        <v>9900</v>
      </c>
    </row>
    <row r="11356" spans="1:5">
      <c r="A11356" s="2" t="s">
        <v>1478</v>
      </c>
      <c r="B11356" s="2" t="str">
        <f>"001013D21ECH"</f>
        <v>001013D21ECH</v>
      </c>
      <c r="C11356" s="2" t="str">
        <f>"001013D21ECH"</f>
        <v>001013D21ECH</v>
      </c>
      <c r="D11356" s="2" t="s">
        <v>14114</v>
      </c>
      <c r="E11356" s="4">
        <v>4800</v>
      </c>
    </row>
    <row r="11357" spans="1:5">
      <c r="A11357" s="2" t="s">
        <v>296</v>
      </c>
      <c r="B11357" s="2" t="str">
        <f>"014346"</f>
        <v>014346</v>
      </c>
      <c r="C11357" s="2" t="str">
        <f>"014346"</f>
        <v>014346</v>
      </c>
      <c r="D11357" s="2" t="s">
        <v>14115</v>
      </c>
      <c r="E11357" s="4">
        <v>29000</v>
      </c>
    </row>
    <row r="11358" spans="1:5">
      <c r="A11358" s="2" t="s">
        <v>296</v>
      </c>
      <c r="B11358" s="2" t="str">
        <f>"014357"</f>
        <v>014357</v>
      </c>
      <c r="C11358" s="2" t="str">
        <f>"014357"</f>
        <v>014357</v>
      </c>
      <c r="D11358" s="2" t="s">
        <v>14116</v>
      </c>
      <c r="E11358" s="4">
        <v>14000</v>
      </c>
    </row>
    <row r="11359" spans="1:5">
      <c r="A11359" s="2" t="s">
        <v>5</v>
      </c>
      <c r="B11359" s="2" t="str">
        <f>"9951888"</f>
        <v>9951888</v>
      </c>
      <c r="C11359" s="2" t="str">
        <f>"9951888"</f>
        <v>9951888</v>
      </c>
      <c r="D11359" s="2" t="s">
        <v>14117</v>
      </c>
      <c r="E11359" s="4">
        <v>35000</v>
      </c>
    </row>
    <row r="11360" spans="1:5">
      <c r="A11360" s="2" t="s">
        <v>296</v>
      </c>
      <c r="B11360" s="2" t="str">
        <f>"014331"</f>
        <v>014331</v>
      </c>
      <c r="C11360" s="2" t="str">
        <f>"014331"</f>
        <v>014331</v>
      </c>
      <c r="D11360" s="2" t="s">
        <v>14118</v>
      </c>
      <c r="E11360" s="4">
        <v>5200</v>
      </c>
    </row>
    <row r="11361" spans="1:5">
      <c r="A11361" s="2" t="s">
        <v>1478</v>
      </c>
      <c r="B11361" s="2" t="s">
        <v>14119</v>
      </c>
      <c r="C11361" s="2" t="s">
        <v>14119</v>
      </c>
      <c r="D11361" s="2" t="s">
        <v>14120</v>
      </c>
      <c r="E11361" s="4">
        <v>2500</v>
      </c>
    </row>
    <row r="11362" spans="1:5">
      <c r="A11362" s="2" t="s">
        <v>1478</v>
      </c>
      <c r="B11362" s="2" t="s">
        <v>14121</v>
      </c>
      <c r="C11362" s="2" t="s">
        <v>14121</v>
      </c>
      <c r="D11362" s="2" t="s">
        <v>14122</v>
      </c>
      <c r="E11362" s="4">
        <v>2000</v>
      </c>
    </row>
    <row r="11363" spans="1:5">
      <c r="A11363" s="2" t="s">
        <v>165</v>
      </c>
      <c r="B11363" s="2" t="str">
        <f>"3847"</f>
        <v>3847</v>
      </c>
      <c r="C11363" s="2" t="str">
        <f>"3847"</f>
        <v>3847</v>
      </c>
      <c r="D11363" s="2" t="s">
        <v>14123</v>
      </c>
      <c r="E11363" s="4">
        <v>6000</v>
      </c>
    </row>
    <row r="11364" spans="1:5">
      <c r="A11364" s="2" t="s">
        <v>165</v>
      </c>
      <c r="B11364" s="2" t="str">
        <f>"079340374218"</f>
        <v>079340374218</v>
      </c>
      <c r="C11364" s="2" t="str">
        <f>"37421"</f>
        <v>37421</v>
      </c>
      <c r="D11364" s="2" t="s">
        <v>14124</v>
      </c>
      <c r="E11364" s="4">
        <v>5500</v>
      </c>
    </row>
    <row r="11365" spans="1:5">
      <c r="A11365" s="2" t="s">
        <v>296</v>
      </c>
      <c r="B11365" s="2" t="s">
        <v>14125</v>
      </c>
      <c r="C11365" s="2" t="s">
        <v>14125</v>
      </c>
      <c r="D11365" s="2" t="s">
        <v>14126</v>
      </c>
      <c r="E11365" s="4">
        <v>28600</v>
      </c>
    </row>
    <row r="11366" spans="1:5">
      <c r="A11366" s="2" t="s">
        <v>1478</v>
      </c>
      <c r="B11366" s="2" t="str">
        <f>"091240022"</f>
        <v>091240022</v>
      </c>
      <c r="C11366" s="2" t="str">
        <f>"091240022"</f>
        <v>091240022</v>
      </c>
      <c r="D11366" s="2" t="s">
        <v>14127</v>
      </c>
      <c r="E11366" s="4">
        <v>260000</v>
      </c>
    </row>
    <row r="11367" spans="1:5">
      <c r="A11367" s="2" t="s">
        <v>1478</v>
      </c>
      <c r="B11367" s="2" t="str">
        <f>"002192754-6"</f>
        <v>002192754-6</v>
      </c>
      <c r="C11367" s="2" t="str">
        <f>"2192754-6"</f>
        <v>2192754-6</v>
      </c>
      <c r="D11367" s="2" t="s">
        <v>14128</v>
      </c>
      <c r="E11367" s="4">
        <v>380000</v>
      </c>
    </row>
    <row r="11368" spans="1:5">
      <c r="A11368" s="2" t="s">
        <v>1478</v>
      </c>
      <c r="B11368" s="2" t="str">
        <f>"091240012"</f>
        <v>091240012</v>
      </c>
      <c r="C11368" s="2" t="str">
        <f>"091240012"</f>
        <v>091240012</v>
      </c>
      <c r="D11368" s="2" t="s">
        <v>14129</v>
      </c>
      <c r="E11368" s="4">
        <v>197000</v>
      </c>
    </row>
    <row r="11369" spans="1:5">
      <c r="A11369" s="2" t="s">
        <v>1478</v>
      </c>
      <c r="B11369" s="2" t="str">
        <f>"0001879"</f>
        <v>0001879</v>
      </c>
      <c r="C11369" s="2" t="str">
        <f>"0001879"</f>
        <v>0001879</v>
      </c>
      <c r="D11369" s="2" t="s">
        <v>14130</v>
      </c>
      <c r="E11369" s="4">
        <v>250000</v>
      </c>
    </row>
    <row r="11370" spans="1:5">
      <c r="A11370" s="2" t="s">
        <v>1478</v>
      </c>
      <c r="B11370" s="2" t="s">
        <v>14131</v>
      </c>
      <c r="C11370" s="2" t="s">
        <v>14131</v>
      </c>
      <c r="D11370" s="2" t="s">
        <v>14132</v>
      </c>
      <c r="E11370" s="4">
        <v>295000</v>
      </c>
    </row>
    <row r="11371" spans="1:5">
      <c r="A11371" s="2" t="s">
        <v>1478</v>
      </c>
      <c r="B11371" s="2" t="str">
        <f>"091240042"</f>
        <v>091240042</v>
      </c>
      <c r="C11371" s="2" t="str">
        <f>"091240042"</f>
        <v>091240042</v>
      </c>
      <c r="D11371" s="2" t="s">
        <v>14133</v>
      </c>
      <c r="E11371" s="4">
        <v>196000</v>
      </c>
    </row>
    <row r="11372" spans="1:5">
      <c r="A11372" s="2" t="s">
        <v>1478</v>
      </c>
      <c r="B11372" s="2" t="str">
        <f>"0032599"</f>
        <v>0032599</v>
      </c>
      <c r="C11372" s="2" t="str">
        <f>"0032599"</f>
        <v>0032599</v>
      </c>
      <c r="D11372" s="2" t="s">
        <v>14134</v>
      </c>
      <c r="E11372" s="4">
        <v>340000</v>
      </c>
    </row>
    <row r="11373" spans="1:5">
      <c r="A11373" s="2" t="s">
        <v>1478</v>
      </c>
      <c r="B11373" s="2" t="str">
        <f>"091240031"</f>
        <v>091240031</v>
      </c>
      <c r="C11373" s="2" t="str">
        <f>"091240031"</f>
        <v>091240031</v>
      </c>
      <c r="D11373" s="2" t="s">
        <v>14135</v>
      </c>
      <c r="E11373" s="4">
        <v>370000</v>
      </c>
    </row>
    <row r="11374" spans="1:5">
      <c r="A11374" s="2" t="s">
        <v>1478</v>
      </c>
      <c r="B11374" s="2" t="str">
        <f>"0004990"</f>
        <v>0004990</v>
      </c>
      <c r="C11374" s="2" t="str">
        <f>"0004990"</f>
        <v>0004990</v>
      </c>
      <c r="D11374" s="2" t="s">
        <v>14136</v>
      </c>
      <c r="E11374" s="4">
        <v>485000</v>
      </c>
    </row>
    <row r="11375" spans="1:5">
      <c r="A11375" s="2" t="s">
        <v>1478</v>
      </c>
      <c r="B11375" s="2" t="str">
        <f>"091240096"</f>
        <v>091240096</v>
      </c>
      <c r="C11375" s="2" t="str">
        <f>"091240096"</f>
        <v>091240096</v>
      </c>
      <c r="D11375" s="2" t="s">
        <v>14137</v>
      </c>
      <c r="E11375" s="4">
        <v>680000</v>
      </c>
    </row>
    <row r="11376" spans="1:5">
      <c r="A11376" s="2" t="s">
        <v>1478</v>
      </c>
      <c r="B11376" s="2" t="str">
        <f>"0004999"</f>
        <v>0004999</v>
      </c>
      <c r="C11376" s="2" t="str">
        <f>"0004999"</f>
        <v>0004999</v>
      </c>
      <c r="D11376" s="2" t="s">
        <v>14138</v>
      </c>
      <c r="E11376" s="4">
        <v>290000</v>
      </c>
    </row>
    <row r="11377" spans="1:5">
      <c r="A11377" s="2" t="s">
        <v>1478</v>
      </c>
      <c r="B11377" s="2" t="str">
        <f>"0004989"</f>
        <v>0004989</v>
      </c>
      <c r="C11377" s="2" t="str">
        <f>"0004989"</f>
        <v>0004989</v>
      </c>
      <c r="D11377" s="2" t="s">
        <v>14139</v>
      </c>
      <c r="E11377" s="4">
        <v>250000</v>
      </c>
    </row>
    <row r="11378" spans="1:5">
      <c r="A11378" s="2" t="s">
        <v>1478</v>
      </c>
      <c r="B11378" s="2" t="str">
        <f>"000411743-3"</f>
        <v>000411743-3</v>
      </c>
      <c r="C11378" s="2" t="str">
        <f>"411743-3"</f>
        <v>411743-3</v>
      </c>
      <c r="D11378" s="2" t="s">
        <v>14140</v>
      </c>
      <c r="E11378" s="4">
        <v>196000</v>
      </c>
    </row>
    <row r="11379" spans="1:5">
      <c r="A11379" s="2" t="s">
        <v>1478</v>
      </c>
      <c r="B11379" s="2" t="str">
        <f>"0014974"</f>
        <v>0014974</v>
      </c>
      <c r="C11379" s="2" t="str">
        <f>"0014974"</f>
        <v>0014974</v>
      </c>
      <c r="D11379" s="2" t="s">
        <v>14141</v>
      </c>
      <c r="E11379" s="4">
        <v>196000</v>
      </c>
    </row>
    <row r="11380" spans="1:5">
      <c r="A11380" s="2" t="s">
        <v>1478</v>
      </c>
      <c r="B11380" s="2" t="str">
        <f>"091240025"</f>
        <v>091240025</v>
      </c>
      <c r="C11380" s="2" t="str">
        <f>"091240025"</f>
        <v>091240025</v>
      </c>
      <c r="D11380" s="2" t="s">
        <v>14142</v>
      </c>
      <c r="E11380" s="4">
        <v>196000</v>
      </c>
    </row>
    <row r="11381" spans="1:5">
      <c r="A11381" s="2" t="s">
        <v>1478</v>
      </c>
      <c r="B11381" s="2" t="str">
        <f>"000204781-0"</f>
        <v>000204781-0</v>
      </c>
      <c r="C11381" s="2" t="s">
        <v>14143</v>
      </c>
      <c r="D11381" s="2" t="s">
        <v>14144</v>
      </c>
      <c r="E11381" s="4">
        <v>29000</v>
      </c>
    </row>
    <row r="11382" spans="1:5">
      <c r="A11382" s="2" t="s">
        <v>1478</v>
      </c>
      <c r="B11382" s="2" t="s">
        <v>14145</v>
      </c>
      <c r="C11382" s="2" t="s">
        <v>14145</v>
      </c>
      <c r="D11382" s="2" t="s">
        <v>14146</v>
      </c>
      <c r="E11382" s="4">
        <v>280000</v>
      </c>
    </row>
    <row r="11383" spans="1:5">
      <c r="A11383" s="2" t="s">
        <v>1478</v>
      </c>
      <c r="B11383" s="2" t="s">
        <v>14143</v>
      </c>
      <c r="C11383" s="2" t="str">
        <f>"1686063420481"</f>
        <v>1686063420481</v>
      </c>
      <c r="D11383" s="2" t="s">
        <v>14147</v>
      </c>
      <c r="E11383" s="2">
        <v>0</v>
      </c>
    </row>
    <row r="11384" spans="1:5">
      <c r="A11384" s="2" t="s">
        <v>296</v>
      </c>
      <c r="B11384" s="2" t="str">
        <f>"28336"</f>
        <v>28336</v>
      </c>
      <c r="C11384" s="2" t="str">
        <f>"28336"</f>
        <v>28336</v>
      </c>
      <c r="D11384" s="2" t="s">
        <v>14148</v>
      </c>
      <c r="E11384" s="4">
        <v>35800</v>
      </c>
    </row>
    <row r="11385" spans="1:5" ht="27.6">
      <c r="A11385" s="2" t="s">
        <v>5</v>
      </c>
      <c r="B11385" s="2" t="str">
        <f>"071440124"</f>
        <v>071440124</v>
      </c>
      <c r="C11385" s="2" t="str">
        <f>"071440124"</f>
        <v>071440124</v>
      </c>
      <c r="D11385" s="2" t="s">
        <v>14149</v>
      </c>
      <c r="E11385" s="4">
        <v>21400</v>
      </c>
    </row>
    <row r="11386" spans="1:5">
      <c r="A11386" s="2" t="s">
        <v>5</v>
      </c>
      <c r="B11386" s="2" t="str">
        <f>"0016868"</f>
        <v>0016868</v>
      </c>
      <c r="C11386" s="2" t="str">
        <f>"0016868"</f>
        <v>0016868</v>
      </c>
      <c r="D11386" s="2" t="s">
        <v>14150</v>
      </c>
      <c r="E11386" s="4">
        <v>140000</v>
      </c>
    </row>
    <row r="11387" spans="1:5">
      <c r="A11387" s="2" t="s">
        <v>5</v>
      </c>
      <c r="B11387" s="2" t="str">
        <f>"8013518"</f>
        <v>8013518</v>
      </c>
      <c r="C11387" s="2" t="str">
        <f>"8013518"</f>
        <v>8013518</v>
      </c>
      <c r="D11387" s="2" t="s">
        <v>14151</v>
      </c>
      <c r="E11387" s="4">
        <v>11500</v>
      </c>
    </row>
    <row r="11388" spans="1:5">
      <c r="A11388" s="2" t="s">
        <v>5</v>
      </c>
      <c r="B11388" s="2" t="s">
        <v>14152</v>
      </c>
      <c r="C11388" s="2" t="s">
        <v>14153</v>
      </c>
      <c r="D11388" s="2" t="s">
        <v>14154</v>
      </c>
      <c r="E11388" s="4">
        <v>125000</v>
      </c>
    </row>
    <row r="11389" spans="1:5">
      <c r="A11389" s="2" t="s">
        <v>5</v>
      </c>
      <c r="B11389" s="2" t="s">
        <v>14155</v>
      </c>
      <c r="C11389" s="2" t="str">
        <f>"1233"</f>
        <v>1233</v>
      </c>
      <c r="D11389" s="2" t="s">
        <v>14156</v>
      </c>
      <c r="E11389" s="4">
        <v>63000</v>
      </c>
    </row>
    <row r="11390" spans="1:5">
      <c r="A11390" s="2" t="s">
        <v>5</v>
      </c>
      <c r="B11390" s="2" t="str">
        <f>"071230724"</f>
        <v>071230724</v>
      </c>
      <c r="C11390" s="2" t="str">
        <f>"071230724"</f>
        <v>071230724</v>
      </c>
      <c r="D11390" s="2" t="s">
        <v>14157</v>
      </c>
      <c r="E11390" s="4">
        <v>61000</v>
      </c>
    </row>
    <row r="11391" spans="1:5">
      <c r="A11391" s="2" t="s">
        <v>1478</v>
      </c>
      <c r="B11391" s="2" t="s">
        <v>14158</v>
      </c>
      <c r="C11391" s="2" t="s">
        <v>14159</v>
      </c>
      <c r="D11391" s="2" t="s">
        <v>14160</v>
      </c>
      <c r="E11391" s="4">
        <v>3800</v>
      </c>
    </row>
    <row r="11392" spans="1:5">
      <c r="A11392" s="2" t="s">
        <v>296</v>
      </c>
      <c r="B11392" s="2" t="s">
        <v>14161</v>
      </c>
      <c r="C11392" s="2" t="s">
        <v>14161</v>
      </c>
      <c r="D11392" s="2" t="s">
        <v>14162</v>
      </c>
      <c r="E11392" s="4">
        <v>8000</v>
      </c>
    </row>
    <row r="11393" spans="1:5">
      <c r="A11393" s="2" t="s">
        <v>1392</v>
      </c>
      <c r="B11393" s="2" t="str">
        <f>"0001871"</f>
        <v>0001871</v>
      </c>
      <c r="C11393" s="2" t="str">
        <f>"0001871"</f>
        <v>0001871</v>
      </c>
      <c r="D11393" s="2" t="s">
        <v>14163</v>
      </c>
      <c r="E11393" s="4">
        <v>450000</v>
      </c>
    </row>
    <row r="11394" spans="1:5">
      <c r="A11394" s="2" t="s">
        <v>1392</v>
      </c>
      <c r="B11394" s="2" t="s">
        <v>14164</v>
      </c>
      <c r="C11394" s="2" t="s">
        <v>14164</v>
      </c>
      <c r="D11394" s="2" t="s">
        <v>14165</v>
      </c>
      <c r="E11394" s="4">
        <v>345000</v>
      </c>
    </row>
    <row r="11395" spans="1:5">
      <c r="A11395" s="2" t="s">
        <v>1392</v>
      </c>
      <c r="B11395" s="2" t="str">
        <f>"001219646-6"</f>
        <v>001219646-6</v>
      </c>
      <c r="C11395" s="2" t="str">
        <f>"001219646-6"</f>
        <v>001219646-6</v>
      </c>
      <c r="D11395" s="2" t="s">
        <v>14166</v>
      </c>
      <c r="E11395" s="4">
        <v>440000</v>
      </c>
    </row>
    <row r="11396" spans="1:5">
      <c r="A11396" s="2" t="s">
        <v>1392</v>
      </c>
      <c r="B11396" s="2" t="s">
        <v>14167</v>
      </c>
      <c r="C11396" s="2" t="s">
        <v>14167</v>
      </c>
      <c r="D11396" s="2" t="s">
        <v>14168</v>
      </c>
      <c r="E11396" s="4">
        <v>487395</v>
      </c>
    </row>
    <row r="11397" spans="1:5">
      <c r="A11397" s="2" t="s">
        <v>1392</v>
      </c>
      <c r="B11397" s="2" t="str">
        <f>"001625006-6"</f>
        <v>001625006-6</v>
      </c>
      <c r="C11397" s="2" t="str">
        <f>"001625006-6"</f>
        <v>001625006-6</v>
      </c>
      <c r="D11397" s="2" t="s">
        <v>14169</v>
      </c>
      <c r="E11397" s="4">
        <v>370000</v>
      </c>
    </row>
    <row r="11398" spans="1:5">
      <c r="A11398" s="2" t="s">
        <v>1392</v>
      </c>
      <c r="B11398" s="2" t="str">
        <f>"1429906-8"</f>
        <v>1429906-8</v>
      </c>
      <c r="C11398" s="2" t="str">
        <f>"1429906-8"</f>
        <v>1429906-8</v>
      </c>
      <c r="D11398" s="2" t="s">
        <v>14170</v>
      </c>
      <c r="E11398" s="4">
        <v>299000</v>
      </c>
    </row>
    <row r="11399" spans="1:5">
      <c r="A11399" s="2" t="s">
        <v>1392</v>
      </c>
      <c r="B11399" s="2" t="str">
        <f>"001219674-1"</f>
        <v>001219674-1</v>
      </c>
      <c r="C11399" s="2" t="str">
        <f>"1219674-1"</f>
        <v>1219674-1</v>
      </c>
      <c r="D11399" s="2" t="s">
        <v>14171</v>
      </c>
      <c r="E11399" s="4">
        <v>270000</v>
      </c>
    </row>
    <row r="11400" spans="1:5">
      <c r="A11400" s="2" t="s">
        <v>1392</v>
      </c>
      <c r="B11400" s="2" t="str">
        <f>"0001865"</f>
        <v>0001865</v>
      </c>
      <c r="C11400" s="2" t="str">
        <f>"0001865"</f>
        <v>0001865</v>
      </c>
      <c r="D11400" s="2" t="s">
        <v>14172</v>
      </c>
      <c r="E11400" s="4">
        <v>297000</v>
      </c>
    </row>
    <row r="11401" spans="1:5">
      <c r="A11401" s="2" t="s">
        <v>1392</v>
      </c>
      <c r="B11401" s="2" t="s">
        <v>14173</v>
      </c>
      <c r="C11401" s="2" t="s">
        <v>14173</v>
      </c>
      <c r="D11401" s="2" t="s">
        <v>14174</v>
      </c>
      <c r="E11401" s="4">
        <v>430000</v>
      </c>
    </row>
    <row r="11402" spans="1:5">
      <c r="A11402" s="2" t="s">
        <v>165</v>
      </c>
      <c r="B11402" s="2" t="str">
        <f>"0220540"</f>
        <v>0220540</v>
      </c>
      <c r="C11402" s="2" t="str">
        <f>"0220540"</f>
        <v>0220540</v>
      </c>
      <c r="D11402" s="2" t="s">
        <v>14175</v>
      </c>
      <c r="E11402" s="4">
        <v>8000</v>
      </c>
    </row>
    <row r="11403" spans="1:5">
      <c r="A11403" s="2" t="s">
        <v>296</v>
      </c>
      <c r="B11403" s="2" t="s">
        <v>14176</v>
      </c>
      <c r="C11403" s="2" t="s">
        <v>14176</v>
      </c>
      <c r="D11403" s="2" t="s">
        <v>14177</v>
      </c>
      <c r="E11403" s="4">
        <v>6000</v>
      </c>
    </row>
    <row r="11404" spans="1:5">
      <c r="A11404" s="2" t="s">
        <v>2076</v>
      </c>
      <c r="B11404" s="2" t="s">
        <v>14178</v>
      </c>
      <c r="C11404" s="2" t="str">
        <f>"1613661056482"</f>
        <v>1613661056482</v>
      </c>
      <c r="D11404" s="2" t="s">
        <v>14179</v>
      </c>
      <c r="E11404" s="4">
        <v>80000</v>
      </c>
    </row>
  </sheetData>
  <pageMargins left="0.75" right="0.75" top="1" bottom="1" header="0.5" footer="0.5"/>
  <pageSetup paperSize="1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Rony</dc:creator>
  <cp:keywords/>
  <dc:description/>
  <cp:lastModifiedBy/>
  <cp:revision/>
  <dcterms:created xsi:type="dcterms:W3CDTF">2025-01-06T02:53:31Z</dcterms:created>
  <dcterms:modified xsi:type="dcterms:W3CDTF">2025-01-10T16:16:21Z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4e9a4a-eb20-4aad-9a64-8872817c1a6f_Enabled">
    <vt:lpwstr>true</vt:lpwstr>
  </property>
  <property fmtid="{D5CDD505-2E9C-101B-9397-08002B2CF9AE}" pid="3" name="MSIP_Label_9f4e9a4a-eb20-4aad-9a64-8872817c1a6f_SetDate">
    <vt:lpwstr>2025-01-10T15:09:28Z</vt:lpwstr>
  </property>
  <property fmtid="{D5CDD505-2E9C-101B-9397-08002B2CF9AE}" pid="4" name="MSIP_Label_9f4e9a4a-eb20-4aad-9a64-8872817c1a6f_Method">
    <vt:lpwstr>Standard</vt:lpwstr>
  </property>
  <property fmtid="{D5CDD505-2E9C-101B-9397-08002B2CF9AE}" pid="5" name="MSIP_Label_9f4e9a4a-eb20-4aad-9a64-8872817c1a6f_Name">
    <vt:lpwstr>defa4170-0d19-0005-0004-bc88714345d2</vt:lpwstr>
  </property>
  <property fmtid="{D5CDD505-2E9C-101B-9397-08002B2CF9AE}" pid="6" name="MSIP_Label_9f4e9a4a-eb20-4aad-9a64-8872817c1a6f_SiteId">
    <vt:lpwstr>7a599002-001c-432c-846e-1ddca9f6b299</vt:lpwstr>
  </property>
  <property fmtid="{D5CDD505-2E9C-101B-9397-08002B2CF9AE}" pid="7" name="MSIP_Label_9f4e9a4a-eb20-4aad-9a64-8872817c1a6f_ActionId">
    <vt:lpwstr>7489665a-f4ea-4264-9823-c34e62d28a9b</vt:lpwstr>
  </property>
  <property fmtid="{D5CDD505-2E9C-101B-9397-08002B2CF9AE}" pid="8" name="MSIP_Label_9f4e9a4a-eb20-4aad-9a64-8872817c1a6f_ContentBits">
    <vt:lpwstr>0</vt:lpwstr>
  </property>
  <property fmtid="{D5CDD505-2E9C-101B-9397-08002B2CF9AE}" pid="9" name="MSIP_Label_9f4e9a4a-eb20-4aad-9a64-8872817c1a6f_Tag">
    <vt:lpwstr>10, 3, 0, 2</vt:lpwstr>
  </property>
</Properties>
</file>