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retórios\Zaldef\"/>
    </mc:Choice>
  </mc:AlternateContent>
  <xr:revisionPtr revIDLastSave="0" documentId="13_ncr:1_{9075F0C0-33BA-454B-AABD-185ACFCCCB77}" xr6:coauthVersionLast="36" xr6:coauthVersionMax="47" xr10:uidLastSave="{00000000-0000-0000-0000-000000000000}"/>
  <bookViews>
    <workbookView xWindow="-120" yWindow="-120" windowWidth="20640" windowHeight="11160" activeTab="6" xr2:uid="{2C1F22F9-8DA6-4F27-8223-5F8B928661FB}"/>
  </bookViews>
  <sheets>
    <sheet name="Leis de N" sheetId="1" r:id="rId1"/>
    <sheet name="Planilha1" sheetId="4" r:id="rId2"/>
    <sheet name="Queda Livre" sheetId="3" r:id="rId3"/>
    <sheet name="teste 1" sheetId="2" r:id="rId4"/>
    <sheet name="Planilha3" sheetId="5" r:id="rId5"/>
    <sheet name="Planilha4" sheetId="6" r:id="rId6"/>
    <sheet name="teste 2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7" l="1"/>
  <c r="M4" i="7"/>
  <c r="M6" i="7" s="1"/>
  <c r="E6" i="7"/>
  <c r="E7" i="7"/>
  <c r="M7" i="7"/>
  <c r="I8" i="7"/>
  <c r="I6" i="7"/>
  <c r="B15" i="7"/>
  <c r="E9" i="7"/>
  <c r="E8" i="7"/>
  <c r="I7" i="7"/>
  <c r="I11" i="7" s="1"/>
  <c r="I15" i="7"/>
  <c r="F19" i="7"/>
  <c r="E15" i="7"/>
  <c r="E14" i="7"/>
  <c r="C16" i="7"/>
  <c r="M3" i="7" l="1"/>
  <c r="I9" i="7"/>
  <c r="I10" i="7" s="1"/>
  <c r="C5" i="7"/>
  <c r="F17" i="7"/>
  <c r="F18" i="7"/>
  <c r="E16" i="7"/>
  <c r="L9" i="6"/>
  <c r="M9" i="6" s="1"/>
  <c r="K9" i="6"/>
  <c r="N9" i="6" s="1"/>
  <c r="O9" i="6" s="1"/>
  <c r="L8" i="6"/>
  <c r="M8" i="6" s="1"/>
  <c r="K8" i="6"/>
  <c r="N8" i="6" s="1"/>
  <c r="O8" i="6" s="1"/>
  <c r="L7" i="6"/>
  <c r="M7" i="6" s="1"/>
  <c r="K7" i="6"/>
  <c r="N7" i="6" s="1"/>
  <c r="O7" i="6" s="1"/>
  <c r="L6" i="6"/>
  <c r="M6" i="6" s="1"/>
  <c r="K6" i="6"/>
  <c r="N6" i="6" s="1"/>
  <c r="O6" i="6" s="1"/>
  <c r="N5" i="6"/>
  <c r="O5" i="6" s="1"/>
  <c r="M5" i="6"/>
  <c r="L5" i="6"/>
  <c r="K5" i="6"/>
  <c r="L4" i="6"/>
  <c r="M4" i="6" s="1"/>
  <c r="K4" i="6"/>
  <c r="N4" i="6" s="1"/>
  <c r="O4" i="6" s="1"/>
  <c r="F20" i="7" l="1"/>
  <c r="F21" i="7" s="1"/>
  <c r="I14" i="7"/>
  <c r="M11" i="6"/>
  <c r="M10" i="6"/>
  <c r="M12" i="6" l="1"/>
  <c r="Q6" i="6" s="1"/>
  <c r="R6" i="6" s="1"/>
  <c r="Q5" i="6" l="1"/>
  <c r="R5" i="6" s="1"/>
  <c r="Q4" i="6"/>
  <c r="R4" i="6" s="1"/>
  <c r="Q7" i="6"/>
  <c r="R7" i="6" s="1"/>
  <c r="Q9" i="6"/>
  <c r="R9" i="6" s="1"/>
  <c r="Q8" i="6"/>
  <c r="R8" i="6" s="1"/>
  <c r="F11" i="6" l="1"/>
  <c r="B11" i="6"/>
  <c r="D11" i="6" s="1"/>
  <c r="G11" i="6" s="1"/>
  <c r="F10" i="6"/>
  <c r="B10" i="6"/>
  <c r="D10" i="6" s="1"/>
  <c r="G10" i="6" s="1"/>
  <c r="F9" i="6"/>
  <c r="B9" i="6"/>
  <c r="D9" i="6" s="1"/>
  <c r="G9" i="6" s="1"/>
  <c r="F8" i="6"/>
  <c r="B8" i="6"/>
  <c r="D8" i="6" s="1"/>
  <c r="G8" i="6" s="1"/>
  <c r="F7" i="6"/>
  <c r="B7" i="6"/>
  <c r="C7" i="6" s="1"/>
  <c r="F6" i="6"/>
  <c r="B6" i="6"/>
  <c r="D6" i="6" s="1"/>
  <c r="G6" i="6" s="1"/>
  <c r="F5" i="6"/>
  <c r="B5" i="6"/>
  <c r="C5" i="6" s="1"/>
  <c r="F4" i="6"/>
  <c r="B4" i="6"/>
  <c r="D4" i="6" s="1"/>
  <c r="G4" i="6" s="1"/>
  <c r="F3" i="6"/>
  <c r="B3" i="6"/>
  <c r="D3" i="6" s="1"/>
  <c r="G3" i="6" s="1"/>
  <c r="F2" i="6"/>
  <c r="B2" i="6"/>
  <c r="D2" i="6" s="1"/>
  <c r="G2" i="6" s="1"/>
  <c r="H9" i="6" l="1"/>
  <c r="H2" i="6"/>
  <c r="H3" i="6"/>
  <c r="H4" i="6"/>
  <c r="H10" i="6"/>
  <c r="H11" i="6"/>
  <c r="D7" i="6"/>
  <c r="G7" i="6" s="1"/>
  <c r="H7" i="6" s="1"/>
  <c r="C9" i="6"/>
  <c r="D5" i="6"/>
  <c r="G5" i="6" s="1"/>
  <c r="H5" i="6" s="1"/>
  <c r="C11" i="6"/>
  <c r="C2" i="6"/>
  <c r="C4" i="6"/>
  <c r="C6" i="6"/>
  <c r="C8" i="6"/>
  <c r="C10" i="6"/>
  <c r="C3" i="6"/>
  <c r="B3" i="5"/>
  <c r="C3" i="5"/>
  <c r="D3" i="5"/>
  <c r="B4" i="5"/>
  <c r="C4" i="5"/>
  <c r="D4" i="5"/>
  <c r="B5" i="5"/>
  <c r="C5" i="5"/>
  <c r="D5" i="5"/>
  <c r="B6" i="5"/>
  <c r="C6" i="5"/>
  <c r="D6" i="5"/>
  <c r="B7" i="5"/>
  <c r="C7" i="5"/>
  <c r="D7" i="5"/>
  <c r="B8" i="5"/>
  <c r="C8" i="5"/>
  <c r="D8" i="5"/>
  <c r="B9" i="5"/>
  <c r="C9" i="5"/>
  <c r="D9" i="5"/>
  <c r="D2" i="5"/>
  <c r="C2" i="5"/>
  <c r="B2" i="5"/>
  <c r="I3" i="4"/>
  <c r="I4" i="4"/>
  <c r="I5" i="4"/>
  <c r="I6" i="4"/>
  <c r="I7" i="4"/>
  <c r="I8" i="4"/>
  <c r="I9" i="4"/>
  <c r="I10" i="4"/>
  <c r="I11" i="4"/>
  <c r="I12" i="4"/>
  <c r="I13" i="4"/>
  <c r="E13" i="6" l="1"/>
  <c r="E14" i="6" s="1"/>
  <c r="H8" i="6"/>
  <c r="G12" i="6"/>
  <c r="E12" i="6" s="1"/>
  <c r="H6" i="6"/>
  <c r="J4" i="4"/>
  <c r="J5" i="4"/>
  <c r="J6" i="4"/>
  <c r="J7" i="4"/>
  <c r="J8" i="4"/>
  <c r="J9" i="4"/>
  <c r="J10" i="4"/>
  <c r="J11" i="4"/>
  <c r="J12" i="4"/>
  <c r="J13" i="4"/>
  <c r="J3" i="4"/>
  <c r="D7" i="2"/>
  <c r="M5" i="2"/>
  <c r="J7" i="2"/>
  <c r="J6" i="2" s="1"/>
  <c r="P11" i="2"/>
  <c r="P9" i="2"/>
  <c r="P12" i="2" s="1"/>
  <c r="P10" i="2" s="1"/>
  <c r="P5" i="2"/>
  <c r="M8" i="2"/>
  <c r="M7" i="2"/>
  <c r="L5" i="3"/>
  <c r="L9" i="3"/>
  <c r="L10" i="3"/>
  <c r="L3" i="3"/>
  <c r="J10" i="2" l="1"/>
  <c r="P8" i="2"/>
  <c r="L8" i="3"/>
  <c r="L6" i="3"/>
  <c r="L7" i="3"/>
  <c r="L4" i="3"/>
  <c r="I16" i="3"/>
  <c r="I8" i="3"/>
  <c r="I18" i="3"/>
  <c r="I17" i="3"/>
  <c r="I12" i="3"/>
  <c r="I6" i="3"/>
  <c r="I9" i="3"/>
  <c r="I4" i="3"/>
  <c r="G6" i="2"/>
  <c r="G7" i="2" s="1"/>
  <c r="D8" i="2"/>
  <c r="D6" i="2"/>
  <c r="D4" i="2"/>
  <c r="G8" i="2" l="1"/>
  <c r="G5" i="2" s="1"/>
</calcChain>
</file>

<file path=xl/sharedStrings.xml><?xml version="1.0" encoding="utf-8"?>
<sst xmlns="http://schemas.openxmlformats.org/spreadsheetml/2006/main" count="302" uniqueCount="232">
  <si>
    <t>MRU/Repouso = Fres = 0</t>
  </si>
  <si>
    <t>Inercia é a tendencia de conservar a energia vetorial do corpo</t>
  </si>
  <si>
    <t>Forças</t>
  </si>
  <si>
    <t>Peso</t>
  </si>
  <si>
    <t>m*g</t>
  </si>
  <si>
    <t>Massa</t>
  </si>
  <si>
    <t>Aceleração</t>
  </si>
  <si>
    <t>Kg</t>
  </si>
  <si>
    <t>m/sˆ2</t>
  </si>
  <si>
    <t>Resultante</t>
  </si>
  <si>
    <t>N</t>
  </si>
  <si>
    <t>m*a</t>
  </si>
  <si>
    <t>Nome</t>
  </si>
  <si>
    <t>Formula</t>
  </si>
  <si>
    <t>Medida</t>
  </si>
  <si>
    <t>Gravidade</t>
  </si>
  <si>
    <t>m</t>
  </si>
  <si>
    <t>a</t>
  </si>
  <si>
    <t>g</t>
  </si>
  <si>
    <t>Primeria lei</t>
  </si>
  <si>
    <t>Inercia</t>
  </si>
  <si>
    <t>Segunda lei</t>
  </si>
  <si>
    <t>dinamica</t>
  </si>
  <si>
    <t>1kgf  ≅ 9.8 N</t>
  </si>
  <si>
    <t>kgf &amp; N</t>
  </si>
  <si>
    <t>≃ 10 m/sˆ2</t>
  </si>
  <si>
    <t>Forças em X</t>
  </si>
  <si>
    <t>Forças em Y</t>
  </si>
  <si>
    <t>Força resultante</t>
  </si>
  <si>
    <t>Valores</t>
  </si>
  <si>
    <t>Dados</t>
  </si>
  <si>
    <t>Obtidos</t>
  </si>
  <si>
    <t>Força</t>
  </si>
  <si>
    <t>ângulo</t>
  </si>
  <si>
    <t>gravidade</t>
  </si>
  <si>
    <t>Py</t>
  </si>
  <si>
    <t>Px</t>
  </si>
  <si>
    <t>Tração</t>
  </si>
  <si>
    <t>Acelaração</t>
  </si>
  <si>
    <t>Calculo de Forças</t>
  </si>
  <si>
    <t>Terceira lei</t>
  </si>
  <si>
    <t>Ação e Reação</t>
  </si>
  <si>
    <t>um objeto tende a manter seu estado de movimento, a menos que uma força atue sobre ele.</t>
  </si>
  <si>
    <t>a aceleração de um objeto é diretamente proporcional à força resultante aplicada a ele e inversamente proporcional à sua massa</t>
  </si>
  <si>
    <t>para cada ação, há sempre uma reação igual e oposta</t>
  </si>
  <si>
    <t>Velocidade</t>
  </si>
  <si>
    <t>tempo</t>
  </si>
  <si>
    <t>Lançamento vertical</t>
  </si>
  <si>
    <t>Tração em plano inclinado</t>
  </si>
  <si>
    <t>Altura</t>
  </si>
  <si>
    <t>Tempo</t>
  </si>
  <si>
    <t>Velocidade Inicial</t>
  </si>
  <si>
    <t>Sempre Nula</t>
  </si>
  <si>
    <t>Aceleração(Gravidade)</t>
  </si>
  <si>
    <t>= (a*tˆ2)/2</t>
  </si>
  <si>
    <t>= a/v &amp; = RAIZ(2h/a)</t>
  </si>
  <si>
    <t>= a*t</t>
  </si>
  <si>
    <t>segundo</t>
  </si>
  <si>
    <t>Teoria</t>
  </si>
  <si>
    <t>dados</t>
  </si>
  <si>
    <t>obtidos</t>
  </si>
  <si>
    <t>Tempo por velocidade</t>
  </si>
  <si>
    <t>Tempo por altura</t>
  </si>
  <si>
    <t>Queda Livre</t>
  </si>
  <si>
    <t>Velocidade inicial</t>
  </si>
  <si>
    <t>Queda livre</t>
  </si>
  <si>
    <t>= Vo + a*t</t>
  </si>
  <si>
    <t>= Vo*t+(a*tˆ2)/2</t>
  </si>
  <si>
    <t xml:space="preserve">Velocidade </t>
  </si>
  <si>
    <t>Velocidade por tempo</t>
  </si>
  <si>
    <t>Velocidade por Altura</t>
  </si>
  <si>
    <t>Lançamento Vertical P/Baixo</t>
  </si>
  <si>
    <t>Altura Maxima</t>
  </si>
  <si>
    <t>Tempo de subida &amp; descida</t>
  </si>
  <si>
    <t>Tempo de subida + descida</t>
  </si>
  <si>
    <t xml:space="preserve">Tempo de S&amp;D </t>
  </si>
  <si>
    <t>Lançamento Vertical P/Cima</t>
  </si>
  <si>
    <t>Lançamento Vertical</t>
  </si>
  <si>
    <t>Força M</t>
  </si>
  <si>
    <t>ForçaP</t>
  </si>
  <si>
    <t>Força P</t>
  </si>
  <si>
    <t>Massa m</t>
  </si>
  <si>
    <t>Massa M</t>
  </si>
  <si>
    <t>Massa Ttl</t>
  </si>
  <si>
    <t>coeficiente de atrito</t>
  </si>
  <si>
    <t>Aceleração do sistema</t>
  </si>
  <si>
    <t>Força do sistema</t>
  </si>
  <si>
    <t>Força de atrito</t>
  </si>
  <si>
    <t>Força Peso</t>
  </si>
  <si>
    <t>Força normal</t>
  </si>
  <si>
    <t>Força 1</t>
  </si>
  <si>
    <t>Força 2</t>
  </si>
  <si>
    <t>força x</t>
  </si>
  <si>
    <t>Aceleração em X</t>
  </si>
  <si>
    <t>Delta Tx</t>
  </si>
  <si>
    <t>Delta Vx</t>
  </si>
  <si>
    <t>Cos do ângulo</t>
  </si>
  <si>
    <t>Plano de estudos</t>
  </si>
  <si>
    <t>Estudo do movimento</t>
  </si>
  <si>
    <t>Leis de newton</t>
  </si>
  <si>
    <t>S</t>
  </si>
  <si>
    <t>Variação de Posição</t>
  </si>
  <si>
    <t>Delta S</t>
  </si>
  <si>
    <t>Tempo final</t>
  </si>
  <si>
    <t>t</t>
  </si>
  <si>
    <t>Tempo inicial</t>
  </si>
  <si>
    <t>t0</t>
  </si>
  <si>
    <t>S0</t>
  </si>
  <si>
    <t>Variação de Tempo</t>
  </si>
  <si>
    <t>Delta t</t>
  </si>
  <si>
    <t>quilometro por hora</t>
  </si>
  <si>
    <t>km/h</t>
  </si>
  <si>
    <t>metro por segundo</t>
  </si>
  <si>
    <t>m/s</t>
  </si>
  <si>
    <t>Velocidade Media</t>
  </si>
  <si>
    <t>Movimento Uniforme</t>
  </si>
  <si>
    <t>v</t>
  </si>
  <si>
    <t>Variaçao de posição</t>
  </si>
  <si>
    <t>Conceitos Base</t>
  </si>
  <si>
    <t>Velocidade Relativa</t>
  </si>
  <si>
    <t>Aceleração Media</t>
  </si>
  <si>
    <t>Variação de velocidade</t>
  </si>
  <si>
    <t>Delta v</t>
  </si>
  <si>
    <t>v0</t>
  </si>
  <si>
    <t>Velocidade final</t>
  </si>
  <si>
    <t>Posição inicial</t>
  </si>
  <si>
    <t>Posição final</t>
  </si>
  <si>
    <t>Função horaria do espaço</t>
  </si>
  <si>
    <t>Equação de torriceli</t>
  </si>
  <si>
    <t>am</t>
  </si>
  <si>
    <t>vm</t>
  </si>
  <si>
    <t>36 km/h = 10 m/s (/3.6)</t>
  </si>
  <si>
    <t>1 m/s = 3,6 km/h (*3.6)</t>
  </si>
  <si>
    <t xml:space="preserve">Derivadas/Instaneas </t>
  </si>
  <si>
    <t>Velocidade Instantanea</t>
  </si>
  <si>
    <t>v(t)</t>
  </si>
  <si>
    <t>Aceleração Instantanea</t>
  </si>
  <si>
    <t>a(t)</t>
  </si>
  <si>
    <t>s'(t)</t>
  </si>
  <si>
    <t>Velocidade escalar media</t>
  </si>
  <si>
    <t>Sméd</t>
  </si>
  <si>
    <t>a(t)= 2</t>
  </si>
  <si>
    <t>s - m</t>
  </si>
  <si>
    <t>v - m/s</t>
  </si>
  <si>
    <t>a - m/sˆ2</t>
  </si>
  <si>
    <t>s(t) = 2-5t+tˆ2</t>
  </si>
  <si>
    <t>v(t) = -5+2t</t>
  </si>
  <si>
    <r>
      <t xml:space="preserve">Distancia total </t>
    </r>
    <r>
      <rPr>
        <sz val="11"/>
        <rFont val="Calibri"/>
        <family val="2"/>
        <scheme val="minor"/>
      </rPr>
      <t>/</t>
    </r>
    <r>
      <rPr>
        <sz val="11"/>
        <color rgb="FFC00000"/>
        <rFont val="Calibri"/>
        <family val="2"/>
        <scheme val="minor"/>
      </rPr>
      <t xml:space="preserve"> delta t</t>
    </r>
  </si>
  <si>
    <r>
      <t xml:space="preserve">S </t>
    </r>
    <r>
      <rPr>
        <sz val="11"/>
        <rFont val="Calibri"/>
        <family val="2"/>
        <scheme val="minor"/>
      </rPr>
      <t>=</t>
    </r>
    <r>
      <rPr>
        <sz val="11"/>
        <color rgb="FFC00000"/>
        <rFont val="Calibri"/>
        <family val="2"/>
        <scheme val="minor"/>
      </rPr>
      <t xml:space="preserve"> S0</t>
    </r>
    <r>
      <rPr>
        <sz val="11"/>
        <rFont val="Calibri"/>
        <family val="2"/>
        <scheme val="minor"/>
      </rPr>
      <t xml:space="preserve"> +</t>
    </r>
    <r>
      <rPr>
        <sz val="11"/>
        <color rgb="FFC00000"/>
        <rFont val="Calibri"/>
        <family val="2"/>
        <scheme val="minor"/>
      </rPr>
      <t xml:space="preserve"> v </t>
    </r>
    <r>
      <rPr>
        <sz val="11"/>
        <rFont val="Calibri"/>
        <family val="2"/>
        <scheme val="minor"/>
      </rPr>
      <t xml:space="preserve">* </t>
    </r>
    <r>
      <rPr>
        <sz val="11"/>
        <color rgb="FFC00000"/>
        <rFont val="Calibri"/>
        <family val="2"/>
        <scheme val="minor"/>
      </rPr>
      <t>t</t>
    </r>
  </si>
  <si>
    <r>
      <t xml:space="preserve">v </t>
    </r>
    <r>
      <rPr>
        <sz val="11"/>
        <rFont val="Calibri"/>
        <family val="2"/>
        <scheme val="minor"/>
      </rPr>
      <t xml:space="preserve">* </t>
    </r>
    <r>
      <rPr>
        <sz val="11"/>
        <color rgb="FFC00000"/>
        <rFont val="Calibri"/>
        <family val="2"/>
        <scheme val="minor"/>
      </rPr>
      <t>t</t>
    </r>
  </si>
  <si>
    <r>
      <t xml:space="preserve">v'(t) </t>
    </r>
    <r>
      <rPr>
        <sz val="11"/>
        <rFont val="Calibri"/>
        <family val="2"/>
        <scheme val="minor"/>
      </rPr>
      <t>=</t>
    </r>
    <r>
      <rPr>
        <sz val="11"/>
        <color rgb="FFC00000"/>
        <rFont val="Calibri"/>
        <family val="2"/>
        <scheme val="minor"/>
      </rPr>
      <t xml:space="preserve"> s''(t)</t>
    </r>
  </si>
  <si>
    <r>
      <t xml:space="preserve">Delta v </t>
    </r>
    <r>
      <rPr>
        <sz val="11"/>
        <rFont val="Calibri"/>
        <family val="2"/>
        <scheme val="minor"/>
      </rPr>
      <t>/</t>
    </r>
    <r>
      <rPr>
        <sz val="11"/>
        <color rgb="FFFF0000"/>
        <rFont val="Calibri"/>
        <family val="2"/>
        <scheme val="minor"/>
      </rPr>
      <t xml:space="preserve"> Delta t</t>
    </r>
  </si>
  <si>
    <r>
      <t>v</t>
    </r>
    <r>
      <rPr>
        <sz val="11"/>
        <rFont val="Calibri"/>
        <family val="2"/>
        <scheme val="minor"/>
      </rPr>
      <t>ˆ2</t>
    </r>
    <r>
      <rPr>
        <sz val="11"/>
        <color rgb="FFFF0000"/>
        <rFont val="Calibri"/>
        <family val="2"/>
        <scheme val="minor"/>
      </rPr>
      <t xml:space="preserve"> = v0</t>
    </r>
    <r>
      <rPr>
        <sz val="11"/>
        <rFont val="Calibri"/>
        <family val="2"/>
        <scheme val="minor"/>
      </rPr>
      <t>ˆ2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+ 2*</t>
    </r>
    <r>
      <rPr>
        <sz val="11"/>
        <color rgb="FFFF0000"/>
        <rFont val="Calibri"/>
        <family val="2"/>
        <scheme val="minor"/>
      </rPr>
      <t>a</t>
    </r>
    <r>
      <rPr>
        <sz val="11"/>
        <rFont val="Calibri"/>
        <family val="2"/>
        <scheme val="minor"/>
      </rPr>
      <t>*</t>
    </r>
    <r>
      <rPr>
        <sz val="11"/>
        <color rgb="FFFF0000"/>
        <rFont val="Calibri"/>
        <family val="2"/>
        <scheme val="minor"/>
      </rPr>
      <t>Delta S</t>
    </r>
  </si>
  <si>
    <r>
      <t xml:space="preserve">S </t>
    </r>
    <r>
      <rPr>
        <sz val="11"/>
        <rFont val="Calibri"/>
        <family val="2"/>
        <scheme val="minor"/>
      </rPr>
      <t>=</t>
    </r>
    <r>
      <rPr>
        <sz val="11"/>
        <color rgb="FFFF0000"/>
        <rFont val="Calibri"/>
        <family val="2"/>
        <scheme val="minor"/>
      </rPr>
      <t xml:space="preserve"> S0</t>
    </r>
    <r>
      <rPr>
        <sz val="11"/>
        <rFont val="Calibri"/>
        <family val="2"/>
        <scheme val="minor"/>
      </rPr>
      <t xml:space="preserve"> +</t>
    </r>
    <r>
      <rPr>
        <sz val="11"/>
        <color rgb="FFFF0000"/>
        <rFont val="Calibri"/>
        <family val="2"/>
        <scheme val="minor"/>
      </rPr>
      <t xml:space="preserve"> v0</t>
    </r>
    <r>
      <rPr>
        <sz val="11"/>
        <rFont val="Calibri"/>
        <family val="2"/>
        <scheme val="minor"/>
      </rPr>
      <t>*</t>
    </r>
    <r>
      <rPr>
        <sz val="11"/>
        <color rgb="FFFF0000"/>
        <rFont val="Calibri"/>
        <family val="2"/>
        <scheme val="minor"/>
      </rPr>
      <t xml:space="preserve">t </t>
    </r>
    <r>
      <rPr>
        <sz val="11"/>
        <rFont val="Calibri"/>
        <family val="2"/>
        <scheme val="minor"/>
      </rPr>
      <t>+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(</t>
    </r>
    <r>
      <rPr>
        <sz val="11"/>
        <color rgb="FFFF0000"/>
        <rFont val="Calibri"/>
        <family val="2"/>
        <scheme val="minor"/>
      </rPr>
      <t>a</t>
    </r>
    <r>
      <rPr>
        <sz val="11"/>
        <rFont val="Calibri"/>
        <family val="2"/>
        <scheme val="minor"/>
      </rPr>
      <t>*</t>
    </r>
    <r>
      <rPr>
        <sz val="11"/>
        <color rgb="FFFF0000"/>
        <rFont val="Calibri"/>
        <family val="2"/>
        <scheme val="minor"/>
      </rPr>
      <t>t</t>
    </r>
    <r>
      <rPr>
        <sz val="11"/>
        <rFont val="Calibri"/>
        <family val="2"/>
        <scheme val="minor"/>
      </rPr>
      <t>)ˆ2)/2</t>
    </r>
  </si>
  <si>
    <r>
      <t xml:space="preserve">v0 </t>
    </r>
    <r>
      <rPr>
        <sz val="11"/>
        <rFont val="Calibri"/>
        <family val="2"/>
        <scheme val="minor"/>
      </rPr>
      <t>+</t>
    </r>
    <r>
      <rPr>
        <sz val="11"/>
        <color rgb="FFFF0000"/>
        <rFont val="Calibri"/>
        <family val="2"/>
        <scheme val="minor"/>
      </rPr>
      <t xml:space="preserve"> a</t>
    </r>
    <r>
      <rPr>
        <sz val="11"/>
        <rFont val="Calibri"/>
        <family val="2"/>
        <scheme val="minor"/>
      </rPr>
      <t>*</t>
    </r>
    <r>
      <rPr>
        <sz val="11"/>
        <color rgb="FFFF0000"/>
        <rFont val="Calibri"/>
        <family val="2"/>
        <scheme val="minor"/>
      </rPr>
      <t>t</t>
    </r>
  </si>
  <si>
    <r>
      <t>Delta S</t>
    </r>
    <r>
      <rPr>
        <sz val="11"/>
        <rFont val="Calibri"/>
        <family val="2"/>
        <scheme val="minor"/>
      </rPr>
      <t xml:space="preserve"> /</t>
    </r>
    <r>
      <rPr>
        <sz val="11"/>
        <color rgb="FFC00000"/>
        <rFont val="Calibri"/>
        <family val="2"/>
        <scheme val="minor"/>
      </rPr>
      <t xml:space="preserve"> Delta t</t>
    </r>
  </si>
  <si>
    <r>
      <t>Va</t>
    </r>
    <r>
      <rPr>
        <sz val="11"/>
        <rFont val="Calibri"/>
        <family val="2"/>
        <scheme val="minor"/>
      </rPr>
      <t>±</t>
    </r>
    <r>
      <rPr>
        <sz val="11"/>
        <color rgb="FFC00000"/>
        <rFont val="Calibri"/>
        <family val="2"/>
        <scheme val="minor"/>
      </rPr>
      <t xml:space="preserve">Vb </t>
    </r>
    <r>
      <rPr>
        <sz val="11"/>
        <rFont val="Calibri"/>
        <family val="2"/>
        <scheme val="minor"/>
      </rPr>
      <t>ou</t>
    </r>
    <r>
      <rPr>
        <sz val="11"/>
        <color rgb="FFC00000"/>
        <rFont val="Calibri"/>
        <family val="2"/>
        <scheme val="minor"/>
      </rPr>
      <t xml:space="preserve"> Vr</t>
    </r>
    <r>
      <rPr>
        <sz val="11"/>
        <rFont val="Calibri"/>
        <family val="2"/>
        <scheme val="minor"/>
      </rPr>
      <t xml:space="preserve"> = (</t>
    </r>
    <r>
      <rPr>
        <sz val="11"/>
        <color rgb="FFC00000"/>
        <rFont val="Calibri"/>
        <family val="2"/>
        <scheme val="minor"/>
      </rPr>
      <t>Sa-Sb</t>
    </r>
    <r>
      <rPr>
        <sz val="11"/>
        <rFont val="Calibri"/>
        <family val="2"/>
        <scheme val="minor"/>
      </rPr>
      <t>)/(</t>
    </r>
    <r>
      <rPr>
        <sz val="11"/>
        <color rgb="FFC00000"/>
        <rFont val="Calibri"/>
        <family val="2"/>
        <scheme val="minor"/>
      </rPr>
      <t>Delta t</t>
    </r>
    <r>
      <rPr>
        <sz val="11"/>
        <rFont val="Calibri"/>
        <family val="2"/>
        <scheme val="minor"/>
      </rPr>
      <t>)</t>
    </r>
  </si>
  <si>
    <t>Atrito</t>
  </si>
  <si>
    <t>Ângulo de Vetores</t>
  </si>
  <si>
    <t>Movimento Uniformemente Variado</t>
  </si>
  <si>
    <t>Movimento Retilineo Uniforme</t>
  </si>
  <si>
    <r>
      <t xml:space="preserve">t </t>
    </r>
    <r>
      <rPr>
        <sz val="11"/>
        <rFont val="Calibri"/>
        <family val="2"/>
        <scheme val="minor"/>
      </rPr>
      <t>-</t>
    </r>
    <r>
      <rPr>
        <sz val="11"/>
        <color rgb="FFC00000"/>
        <rFont val="Calibri"/>
        <family val="2"/>
        <scheme val="minor"/>
      </rPr>
      <t xml:space="preserve"> t0</t>
    </r>
  </si>
  <si>
    <r>
      <t>v</t>
    </r>
    <r>
      <rPr>
        <sz val="11"/>
        <rFont val="Calibri"/>
        <family val="2"/>
        <scheme val="minor"/>
      </rPr>
      <t xml:space="preserve"> -</t>
    </r>
    <r>
      <rPr>
        <sz val="11"/>
        <color rgb="FFFF0000"/>
        <rFont val="Calibri"/>
        <family val="2"/>
        <scheme val="minor"/>
      </rPr>
      <t xml:space="preserve"> v0 </t>
    </r>
    <r>
      <rPr>
        <sz val="11"/>
        <rFont val="Calibri"/>
        <family val="2"/>
        <scheme val="minor"/>
      </rPr>
      <t xml:space="preserve">ou </t>
    </r>
    <r>
      <rPr>
        <sz val="11"/>
        <color rgb="FFFF0000"/>
        <rFont val="Calibri"/>
        <family val="2"/>
        <scheme val="minor"/>
      </rPr>
      <t xml:space="preserve">Delta t </t>
    </r>
    <r>
      <rPr>
        <sz val="11"/>
        <rFont val="Calibri"/>
        <family val="2"/>
        <scheme val="minor"/>
      </rPr>
      <t xml:space="preserve">* </t>
    </r>
    <r>
      <rPr>
        <sz val="11"/>
        <color rgb="FFFF0000"/>
        <rFont val="Calibri"/>
        <family val="2"/>
        <scheme val="minor"/>
      </rPr>
      <t>am</t>
    </r>
  </si>
  <si>
    <t xml:space="preserve">  </t>
  </si>
  <si>
    <t>Velocidade &amp; aceleração Media</t>
  </si>
  <si>
    <r>
      <t xml:space="preserve">v </t>
    </r>
    <r>
      <rPr>
        <sz val="11"/>
        <rFont val="Calibri"/>
        <family val="2"/>
        <scheme val="minor"/>
      </rPr>
      <t>=</t>
    </r>
    <r>
      <rPr>
        <sz val="11"/>
        <color rgb="FFFF0000"/>
        <rFont val="Calibri"/>
        <family val="2"/>
        <scheme val="minor"/>
      </rPr>
      <t xml:space="preserve"> v0 </t>
    </r>
    <r>
      <rPr>
        <sz val="11"/>
        <rFont val="Calibri"/>
        <family val="2"/>
        <scheme val="minor"/>
      </rPr>
      <t>+</t>
    </r>
    <r>
      <rPr>
        <sz val="11"/>
        <color rgb="FFFF0000"/>
        <rFont val="Calibri"/>
        <family val="2"/>
        <scheme val="minor"/>
      </rPr>
      <t xml:space="preserve"> a</t>
    </r>
    <r>
      <rPr>
        <sz val="11"/>
        <rFont val="Calibri"/>
        <family val="2"/>
        <scheme val="minor"/>
      </rPr>
      <t>*</t>
    </r>
    <r>
      <rPr>
        <sz val="11"/>
        <color rgb="FFFF0000"/>
        <rFont val="Calibri"/>
        <family val="2"/>
        <scheme val="minor"/>
      </rPr>
      <t>t</t>
    </r>
  </si>
  <si>
    <r>
      <t xml:space="preserve">S </t>
    </r>
    <r>
      <rPr>
        <sz val="11"/>
        <rFont val="Calibri"/>
        <family val="2"/>
        <scheme val="minor"/>
      </rPr>
      <t>-</t>
    </r>
    <r>
      <rPr>
        <sz val="11"/>
        <color rgb="FFC00000"/>
        <rFont val="Calibri"/>
        <family val="2"/>
        <scheme val="minor"/>
      </rPr>
      <t xml:space="preserve"> S0 </t>
    </r>
    <r>
      <rPr>
        <sz val="11"/>
        <rFont val="Calibri"/>
        <family val="2"/>
        <scheme val="minor"/>
      </rPr>
      <t>ou</t>
    </r>
    <r>
      <rPr>
        <sz val="11"/>
        <color rgb="FFC00000"/>
        <rFont val="Calibri"/>
        <family val="2"/>
        <scheme val="minor"/>
      </rPr>
      <t xml:space="preserve"> Delta t </t>
    </r>
    <r>
      <rPr>
        <sz val="11"/>
        <rFont val="Calibri"/>
        <family val="2"/>
        <scheme val="minor"/>
      </rPr>
      <t>*</t>
    </r>
    <r>
      <rPr>
        <sz val="11"/>
        <color rgb="FFC00000"/>
        <rFont val="Calibri"/>
        <family val="2"/>
        <scheme val="minor"/>
      </rPr>
      <t xml:space="preserve"> vm </t>
    </r>
    <r>
      <rPr>
        <sz val="11"/>
        <rFont val="Calibri"/>
        <family val="2"/>
        <scheme val="minor"/>
      </rPr>
      <t>ou</t>
    </r>
    <r>
      <rPr>
        <sz val="11"/>
        <color rgb="FFC00000"/>
        <rFont val="Calibri"/>
        <family val="2"/>
        <scheme val="minor"/>
      </rPr>
      <t xml:space="preserve"> v*t</t>
    </r>
  </si>
  <si>
    <t>vr</t>
  </si>
  <si>
    <t>s</t>
  </si>
  <si>
    <t>m(g)</t>
  </si>
  <si>
    <t>m(kg)</t>
  </si>
  <si>
    <t>P(N)</t>
  </si>
  <si>
    <t>F(N)</t>
  </si>
  <si>
    <t>L</t>
  </si>
  <si>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>x (L-Lo)</t>
    </r>
  </si>
  <si>
    <t>k (F/Δx)</t>
  </si>
  <si>
    <t>ΔK</t>
  </si>
  <si>
    <t>Valor medio da constante elastica</t>
  </si>
  <si>
    <t>Valor do desvio padrao</t>
  </si>
  <si>
    <t>Valor do erro padrao</t>
  </si>
  <si>
    <t>L0</t>
  </si>
  <si>
    <t>ΔL=L-L0 (cm)</t>
  </si>
  <si>
    <t>ΔL=L-L0 (m)</t>
  </si>
  <si>
    <t>F (N)</t>
  </si>
  <si>
    <t>k (F/ΔL)</t>
  </si>
  <si>
    <t>f</t>
  </si>
  <si>
    <t>Razão</t>
  </si>
  <si>
    <t>Força Gravitacional do planeta</t>
  </si>
  <si>
    <t>Força Gravitacional da terra</t>
  </si>
  <si>
    <t>Raio do Planeta</t>
  </si>
  <si>
    <t>Massa do Planeta</t>
  </si>
  <si>
    <t>Constante gravitacional</t>
  </si>
  <si>
    <t>Ângulo</t>
  </si>
  <si>
    <t>Velocidade Linear</t>
  </si>
  <si>
    <t>Raio da terra</t>
  </si>
  <si>
    <t>velocidade</t>
  </si>
  <si>
    <t>Raio do satelite</t>
  </si>
  <si>
    <t>Massa da terra</t>
  </si>
  <si>
    <t>Raio</t>
  </si>
  <si>
    <t>Pergunta 6</t>
  </si>
  <si>
    <t>Pergunta 5</t>
  </si>
  <si>
    <t>Pergunta 4</t>
  </si>
  <si>
    <t>Coeficiente de atrito minimo</t>
  </si>
  <si>
    <t>Força Centripeta</t>
  </si>
  <si>
    <t>Força Normal</t>
  </si>
  <si>
    <t>Velocidade tangencial</t>
  </si>
  <si>
    <t>Velocidade Angular</t>
  </si>
  <si>
    <t>Constatnte elastica</t>
  </si>
  <si>
    <t>Raio do disco</t>
  </si>
  <si>
    <t xml:space="preserve">Comprimento </t>
  </si>
  <si>
    <t>Valor Maximo</t>
  </si>
  <si>
    <t>Pergunta 3</t>
  </si>
  <si>
    <t>Pergunta 2</t>
  </si>
  <si>
    <t>Pergunta 1</t>
  </si>
  <si>
    <t>Massa 1</t>
  </si>
  <si>
    <t>Massa 2</t>
  </si>
  <si>
    <t>V terminal 1</t>
  </si>
  <si>
    <t>V terminal 2</t>
  </si>
  <si>
    <t>pAC</t>
  </si>
  <si>
    <t xml:space="preserve">P1 </t>
  </si>
  <si>
    <t>P2</t>
  </si>
  <si>
    <t>Fat/N</t>
  </si>
  <si>
    <t>µ =</t>
  </si>
  <si>
    <t>Acp =</t>
  </si>
  <si>
    <t>vˆ2/r</t>
  </si>
  <si>
    <t xml:space="preserve">v = </t>
  </si>
  <si>
    <t>Periodo</t>
  </si>
  <si>
    <r>
      <t>(2</t>
    </r>
    <r>
      <rPr>
        <sz val="11"/>
        <color theme="1"/>
        <rFont val="Calibri"/>
        <family val="2"/>
      </rPr>
      <t>π/p)</t>
    </r>
    <r>
      <rPr>
        <sz val="11"/>
        <color theme="1"/>
        <rFont val="Calibri"/>
        <family val="2"/>
        <scheme val="minor"/>
      </rPr>
      <t>*r</t>
    </r>
  </si>
  <si>
    <t>m.a</t>
  </si>
  <si>
    <t>Fat =</t>
  </si>
  <si>
    <t>N=</t>
  </si>
  <si>
    <t>m.g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</si>
</sst>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7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name val="Comic Sans MS"/>
      <family val="4"/>
    </font>
    <font>
      <sz val="11"/>
      <color theme="1"/>
      <name val="Comic Sans MS"/>
      <family val="4"/>
    </font>
    <font>
      <sz val="11"/>
      <color theme="9" tint="-0.249977111117893"/>
      <name val="Calibri"/>
      <family val="2"/>
      <scheme val="minor"/>
    </font>
    <font>
      <sz val="11"/>
      <color rgb="FFFF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14999847407452621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4">
    <xf numFmtId="0" fontId="0" fillId="0" borderId="0" xfId="0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2" borderId="1" xfId="0" applyFill="1" applyBorder="1"/>
    <xf numFmtId="0" fontId="0" fillId="0" borderId="10" xfId="0" applyBorder="1"/>
    <xf numFmtId="0" fontId="0" fillId="0" borderId="11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6" xfId="0" applyBorder="1"/>
    <xf numFmtId="0" fontId="0" fillId="0" borderId="30" xfId="0" applyBorder="1"/>
    <xf numFmtId="0" fontId="1" fillId="0" borderId="12" xfId="0" applyFont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0" xfId="0" applyNumberFormat="1"/>
    <xf numFmtId="0" fontId="0" fillId="5" borderId="1" xfId="0" applyFill="1" applyBorder="1"/>
    <xf numFmtId="0" fontId="0" fillId="4" borderId="1" xfId="0" applyFill="1" applyBorder="1" applyAlignment="1">
      <alignment horizontal="left"/>
    </xf>
    <xf numFmtId="0" fontId="0" fillId="7" borderId="10" xfId="0" applyFill="1" applyBorder="1"/>
    <xf numFmtId="0" fontId="0" fillId="7" borderId="11" xfId="0" applyFill="1" applyBorder="1"/>
    <xf numFmtId="0" fontId="0" fillId="9" borderId="11" xfId="0" applyFill="1" applyBorder="1"/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left"/>
    </xf>
    <xf numFmtId="0" fontId="0" fillId="8" borderId="36" xfId="0" applyFill="1" applyBorder="1"/>
    <xf numFmtId="0" fontId="0" fillId="3" borderId="37" xfId="0" applyFill="1" applyBorder="1"/>
    <xf numFmtId="0" fontId="0" fillId="6" borderId="26" xfId="0" applyFill="1" applyBorder="1"/>
    <xf numFmtId="0" fontId="0" fillId="4" borderId="37" xfId="0" applyFill="1" applyBorder="1" applyAlignment="1">
      <alignment horizontal="left"/>
    </xf>
    <xf numFmtId="0" fontId="0" fillId="8" borderId="16" xfId="0" applyFill="1" applyBorder="1"/>
    <xf numFmtId="0" fontId="0" fillId="8" borderId="18" xfId="0" applyFill="1" applyBorder="1"/>
    <xf numFmtId="0" fontId="0" fillId="4" borderId="17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8" borderId="21" xfId="0" applyFill="1" applyBorder="1"/>
    <xf numFmtId="0" fontId="0" fillId="3" borderId="37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9" borderId="18" xfId="0" applyFill="1" applyBorder="1"/>
    <xf numFmtId="0" fontId="0" fillId="9" borderId="20" xfId="0" applyFill="1" applyBorder="1"/>
    <xf numFmtId="0" fontId="0" fillId="4" borderId="11" xfId="0" applyFill="1" applyBorder="1" applyAlignment="1">
      <alignment horizontal="left"/>
    </xf>
    <xf numFmtId="0" fontId="0" fillId="12" borderId="11" xfId="0" applyFill="1" applyBorder="1"/>
    <xf numFmtId="0" fontId="0" fillId="12" borderId="16" xfId="0" applyFill="1" applyBorder="1"/>
    <xf numFmtId="0" fontId="0" fillId="12" borderId="18" xfId="0" applyFill="1" applyBorder="1"/>
    <xf numFmtId="0" fontId="0" fillId="12" borderId="21" xfId="0" applyFill="1" applyBorder="1"/>
    <xf numFmtId="0" fontId="0" fillId="12" borderId="36" xfId="0" applyFill="1" applyBorder="1"/>
    <xf numFmtId="0" fontId="0" fillId="12" borderId="38" xfId="0" applyFill="1" applyBorder="1"/>
    <xf numFmtId="0" fontId="0" fillId="0" borderId="39" xfId="0" applyBorder="1"/>
    <xf numFmtId="0" fontId="0" fillId="0" borderId="40" xfId="0" applyBorder="1" applyAlignment="1">
      <alignment horizontal="center"/>
    </xf>
    <xf numFmtId="0" fontId="0" fillId="0" borderId="13" xfId="0" applyBorder="1"/>
    <xf numFmtId="0" fontId="0" fillId="12" borderId="41" xfId="0" applyFill="1" applyBorder="1"/>
    <xf numFmtId="0" fontId="0" fillId="0" borderId="41" xfId="0" applyBorder="1"/>
    <xf numFmtId="0" fontId="0" fillId="12" borderId="42" xfId="0" applyFill="1" applyBorder="1"/>
    <xf numFmtId="0" fontId="0" fillId="12" borderId="20" xfId="0" applyFill="1" applyBorder="1"/>
    <xf numFmtId="164" fontId="3" fillId="13" borderId="18" xfId="0" applyNumberFormat="1" applyFont="1" applyFill="1" applyBorder="1"/>
    <xf numFmtId="0" fontId="3" fillId="13" borderId="38" xfId="0" applyFont="1" applyFill="1" applyBorder="1"/>
    <xf numFmtId="1" fontId="3" fillId="13" borderId="43" xfId="0" applyNumberFormat="1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35" xfId="0" applyBorder="1" applyAlignment="1">
      <alignment horizontal="center"/>
    </xf>
    <xf numFmtId="0" fontId="0" fillId="0" borderId="9" xfId="0" applyBorder="1"/>
    <xf numFmtId="2" fontId="3" fillId="13" borderId="18" xfId="0" applyNumberFormat="1" applyFont="1" applyFill="1" applyBorder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4" fillId="0" borderId="45" xfId="0" applyFont="1" applyBorder="1" applyAlignment="1">
      <alignment horizontal="left"/>
    </xf>
    <xf numFmtId="0" fontId="5" fillId="0" borderId="46" xfId="0" applyFont="1" applyBorder="1" applyAlignment="1">
      <alignment horizontal="right"/>
    </xf>
    <xf numFmtId="0" fontId="4" fillId="0" borderId="47" xfId="0" applyFont="1" applyBorder="1" applyAlignment="1">
      <alignment horizontal="left"/>
    </xf>
    <xf numFmtId="0" fontId="5" fillId="0" borderId="41" xfId="0" applyFont="1" applyBorder="1" applyAlignment="1">
      <alignment horizontal="right"/>
    </xf>
    <xf numFmtId="0" fontId="4" fillId="0" borderId="48" xfId="0" applyFont="1" applyBorder="1" applyAlignment="1">
      <alignment horizontal="left"/>
    </xf>
    <xf numFmtId="0" fontId="0" fillId="0" borderId="42" xfId="0" applyBorder="1" applyAlignment="1">
      <alignment horizontal="center"/>
    </xf>
    <xf numFmtId="0" fontId="5" fillId="0" borderId="43" xfId="0" applyFont="1" applyBorder="1" applyAlignment="1">
      <alignment horizontal="right"/>
    </xf>
    <xf numFmtId="0" fontId="0" fillId="14" borderId="35" xfId="0" applyFill="1" applyBorder="1" applyAlignment="1">
      <alignment horizontal="center"/>
    </xf>
    <xf numFmtId="0" fontId="0" fillId="0" borderId="45" xfId="0" applyBorder="1"/>
    <xf numFmtId="0" fontId="0" fillId="0" borderId="47" xfId="0" applyBorder="1"/>
    <xf numFmtId="0" fontId="0" fillId="0" borderId="48" xfId="0" applyBorder="1"/>
    <xf numFmtId="0" fontId="0" fillId="14" borderId="27" xfId="0" applyFill="1" applyBorder="1" applyAlignment="1">
      <alignment horizontal="center"/>
    </xf>
    <xf numFmtId="0" fontId="0" fillId="14" borderId="46" xfId="0" applyFill="1" applyBorder="1" applyAlignment="1">
      <alignment horizontal="center"/>
    </xf>
    <xf numFmtId="0" fontId="5" fillId="14" borderId="13" xfId="0" applyFont="1" applyFill="1" applyBorder="1" applyAlignment="1">
      <alignment horizontal="left"/>
    </xf>
    <xf numFmtId="0" fontId="0" fillId="14" borderId="31" xfId="0" applyFill="1" applyBorder="1" applyAlignment="1">
      <alignment horizontal="left"/>
    </xf>
    <xf numFmtId="0" fontId="5" fillId="14" borderId="14" xfId="0" applyFont="1" applyFill="1" applyBorder="1" applyAlignment="1">
      <alignment horizontal="left"/>
    </xf>
    <xf numFmtId="0" fontId="3" fillId="0" borderId="41" xfId="0" applyFont="1" applyBorder="1" applyAlignment="1">
      <alignment horizontal="right"/>
    </xf>
    <xf numFmtId="0" fontId="3" fillId="0" borderId="43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0" fillId="12" borderId="0" xfId="0" applyFill="1"/>
    <xf numFmtId="0" fontId="0" fillId="0" borderId="49" xfId="0" applyBorder="1"/>
    <xf numFmtId="0" fontId="0" fillId="0" borderId="50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15" borderId="32" xfId="0" applyFill="1" applyBorder="1" applyAlignment="1">
      <alignment horizontal="center"/>
    </xf>
    <xf numFmtId="0" fontId="0" fillId="15" borderId="33" xfId="0" applyFill="1" applyBorder="1" applyAlignment="1">
      <alignment horizontal="center"/>
    </xf>
    <xf numFmtId="0" fontId="0" fillId="15" borderId="34" xfId="0" applyFill="1" applyBorder="1" applyAlignment="1">
      <alignment horizontal="center"/>
    </xf>
    <xf numFmtId="0" fontId="0" fillId="2" borderId="17" xfId="0" applyFill="1" applyBorder="1"/>
    <xf numFmtId="0" fontId="0" fillId="2" borderId="11" xfId="0" applyFill="1" applyBorder="1"/>
    <xf numFmtId="0" fontId="0" fillId="2" borderId="38" xfId="0" applyFill="1" applyBorder="1"/>
    <xf numFmtId="0" fontId="0" fillId="2" borderId="18" xfId="0" applyFill="1" applyBorder="1"/>
    <xf numFmtId="0" fontId="0" fillId="2" borderId="20" xfId="0" applyFill="1" applyBorder="1"/>
    <xf numFmtId="0" fontId="1" fillId="2" borderId="41" xfId="0" applyFont="1" applyFill="1" applyBorder="1"/>
    <xf numFmtId="0" fontId="1" fillId="2" borderId="43" xfId="0" applyFont="1" applyFill="1" applyBorder="1"/>
    <xf numFmtId="0" fontId="8" fillId="14" borderId="53" xfId="0" applyFont="1" applyFill="1" applyBorder="1"/>
    <xf numFmtId="0" fontId="9" fillId="2" borderId="14" xfId="0" applyFont="1" applyFill="1" applyBorder="1"/>
    <xf numFmtId="0" fontId="9" fillId="0" borderId="0" xfId="0" applyFont="1"/>
    <xf numFmtId="0" fontId="9" fillId="14" borderId="54" xfId="0" applyFont="1" applyFill="1" applyBorder="1"/>
    <xf numFmtId="0" fontId="9" fillId="2" borderId="41" xfId="0" applyFont="1" applyFill="1" applyBorder="1"/>
    <xf numFmtId="0" fontId="9" fillId="14" borderId="55" xfId="0" applyFont="1" applyFill="1" applyBorder="1"/>
    <xf numFmtId="0" fontId="9" fillId="14" borderId="29" xfId="0" applyFont="1" applyFill="1" applyBorder="1"/>
    <xf numFmtId="0" fontId="9" fillId="14" borderId="56" xfId="0" applyFont="1" applyFill="1" applyBorder="1"/>
    <xf numFmtId="0" fontId="9" fillId="4" borderId="38" xfId="0" applyFont="1" applyFill="1" applyBorder="1"/>
    <xf numFmtId="0" fontId="9" fillId="4" borderId="0" xfId="0" applyFont="1" applyFill="1"/>
    <xf numFmtId="0" fontId="9" fillId="4" borderId="51" xfId="0" applyFont="1" applyFill="1" applyBorder="1"/>
    <xf numFmtId="0" fontId="9" fillId="2" borderId="38" xfId="0" applyFont="1" applyFill="1" applyBorder="1"/>
    <xf numFmtId="0" fontId="9" fillId="2" borderId="0" xfId="0" applyFont="1" applyFill="1"/>
    <xf numFmtId="0" fontId="9" fillId="2" borderId="51" xfId="0" applyFont="1" applyFill="1" applyBorder="1"/>
    <xf numFmtId="0" fontId="9" fillId="2" borderId="44" xfId="0" applyFont="1" applyFill="1" applyBorder="1"/>
    <xf numFmtId="0" fontId="9" fillId="2" borderId="57" xfId="0" applyFont="1" applyFill="1" applyBorder="1"/>
    <xf numFmtId="0" fontId="9" fillId="2" borderId="9" xfId="0" applyFont="1" applyFill="1" applyBorder="1"/>
    <xf numFmtId="0" fontId="3" fillId="2" borderId="43" xfId="0" applyFont="1" applyFill="1" applyBorder="1"/>
    <xf numFmtId="0" fontId="0" fillId="2" borderId="59" xfId="0" applyFill="1" applyBorder="1"/>
    <xf numFmtId="0" fontId="0" fillId="2" borderId="41" xfId="0" applyFill="1" applyBorder="1"/>
    <xf numFmtId="0" fontId="0" fillId="12" borderId="0" xfId="0" applyFill="1" applyBorder="1"/>
    <xf numFmtId="0" fontId="0" fillId="2" borderId="54" xfId="0" applyFill="1" applyBorder="1"/>
    <xf numFmtId="0" fontId="0" fillId="2" borderId="14" xfId="0" applyFill="1" applyBorder="1"/>
    <xf numFmtId="0" fontId="0" fillId="12" borderId="13" xfId="0" applyFill="1" applyBorder="1"/>
    <xf numFmtId="0" fontId="0" fillId="2" borderId="53" xfId="0" applyFill="1" applyBorder="1"/>
    <xf numFmtId="0" fontId="0" fillId="2" borderId="43" xfId="0" applyFill="1" applyBorder="1"/>
    <xf numFmtId="0" fontId="0" fillId="2" borderId="48" xfId="0" applyFill="1" applyBorder="1"/>
    <xf numFmtId="0" fontId="0" fillId="0" borderId="0" xfId="0" applyBorder="1"/>
    <xf numFmtId="0" fontId="0" fillId="2" borderId="47" xfId="0" applyFill="1" applyBorder="1"/>
    <xf numFmtId="0" fontId="0" fillId="0" borderId="0" xfId="0" applyFill="1" applyBorder="1"/>
    <xf numFmtId="0" fontId="0" fillId="0" borderId="31" xfId="0" applyFill="1" applyBorder="1"/>
    <xf numFmtId="0" fontId="0" fillId="16" borderId="41" xfId="0" applyFill="1" applyBorder="1"/>
    <xf numFmtId="0" fontId="0" fillId="16" borderId="48" xfId="0" applyFill="1" applyBorder="1"/>
    <xf numFmtId="0" fontId="0" fillId="2" borderId="31" xfId="0" applyFill="1" applyBorder="1"/>
    <xf numFmtId="0" fontId="0" fillId="16" borderId="14" xfId="0" applyFill="1" applyBorder="1"/>
    <xf numFmtId="0" fontId="2" fillId="10" borderId="14" xfId="0" applyFont="1" applyFill="1" applyBorder="1"/>
    <xf numFmtId="0" fontId="2" fillId="10" borderId="31" xfId="0" applyFont="1" applyFill="1" applyBorder="1"/>
    <xf numFmtId="0" fontId="2" fillId="10" borderId="38" xfId="0" applyFont="1" applyFill="1" applyBorder="1"/>
    <xf numFmtId="0" fontId="0" fillId="16" borderId="0" xfId="0" applyFill="1"/>
    <xf numFmtId="0" fontId="0" fillId="2" borderId="0" xfId="0" applyFill="1" applyBorder="1"/>
    <xf numFmtId="2" fontId="3" fillId="2" borderId="43" xfId="0" applyNumberFormat="1" applyFont="1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14" borderId="22" xfId="0" applyFill="1" applyBorder="1" applyAlignment="1">
      <alignment horizontal="center"/>
    </xf>
    <xf numFmtId="0" fontId="0" fillId="14" borderId="23" xfId="0" applyFill="1" applyBorder="1" applyAlignment="1">
      <alignment horizontal="center"/>
    </xf>
    <xf numFmtId="0" fontId="0" fillId="14" borderId="24" xfId="0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11" borderId="35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15" borderId="47" xfId="0" applyFill="1" applyBorder="1" applyAlignment="1">
      <alignment horizontal="left"/>
    </xf>
    <xf numFmtId="0" fontId="0" fillId="15" borderId="0" xfId="0" applyFill="1" applyAlignment="1">
      <alignment horizontal="left"/>
    </xf>
    <xf numFmtId="0" fontId="0" fillId="15" borderId="51" xfId="0" applyFill="1" applyBorder="1" applyAlignment="1">
      <alignment horizontal="left"/>
    </xf>
    <xf numFmtId="0" fontId="0" fillId="15" borderId="48" xfId="0" applyFill="1" applyBorder="1" applyAlignment="1">
      <alignment horizontal="left"/>
    </xf>
    <xf numFmtId="0" fontId="0" fillId="15" borderId="42" xfId="0" applyFill="1" applyBorder="1" applyAlignment="1">
      <alignment horizontal="left"/>
    </xf>
    <xf numFmtId="0" fontId="0" fillId="15" borderId="52" xfId="0" applyFill="1" applyBorder="1" applyAlignment="1">
      <alignment horizontal="left"/>
    </xf>
    <xf numFmtId="0" fontId="9" fillId="14" borderId="36" xfId="0" applyFont="1" applyFill="1" applyBorder="1" applyAlignment="1">
      <alignment horizontal="right"/>
    </xf>
    <xf numFmtId="0" fontId="9" fillId="14" borderId="35" xfId="0" applyFont="1" applyFill="1" applyBorder="1" applyAlignment="1">
      <alignment horizontal="right"/>
    </xf>
    <xf numFmtId="0" fontId="9" fillId="14" borderId="58" xfId="0" applyFont="1" applyFill="1" applyBorder="1" applyAlignment="1">
      <alignment horizontal="right"/>
    </xf>
    <xf numFmtId="0" fontId="9" fillId="14" borderId="38" xfId="0" applyFont="1" applyFill="1" applyBorder="1" applyAlignment="1">
      <alignment horizontal="right"/>
    </xf>
    <xf numFmtId="0" fontId="9" fillId="14" borderId="0" xfId="0" applyFont="1" applyFill="1" applyAlignment="1">
      <alignment horizontal="right"/>
    </xf>
    <xf numFmtId="0" fontId="9" fillId="14" borderId="51" xfId="0" applyFont="1" applyFill="1" applyBorder="1" applyAlignment="1">
      <alignment horizontal="right"/>
    </xf>
    <xf numFmtId="0" fontId="9" fillId="14" borderId="44" xfId="0" applyFont="1" applyFill="1" applyBorder="1" applyAlignment="1">
      <alignment horizontal="right"/>
    </xf>
    <xf numFmtId="0" fontId="9" fillId="14" borderId="57" xfId="0" applyFont="1" applyFill="1" applyBorder="1" applyAlignment="1">
      <alignment horizontal="right"/>
    </xf>
    <xf numFmtId="0" fontId="9" fillId="14" borderId="9" xfId="0" applyFont="1" applyFill="1" applyBorder="1" applyAlignment="1">
      <alignment horizontal="right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3" xfId="0" applyFill="1" applyBorder="1"/>
    <xf numFmtId="0" fontId="0" fillId="2" borderId="42" xfId="0" applyFill="1" applyBorder="1"/>
    <xf numFmtId="2" fontId="3" fillId="2" borderId="0" xfId="0" applyNumberFormat="1" applyFont="1" applyFill="1" applyBorder="1"/>
    <xf numFmtId="0" fontId="3" fillId="0" borderId="0" xfId="0" applyFont="1"/>
    <xf numFmtId="167" fontId="3" fillId="0" borderId="0" xfId="0" applyNumberFormat="1" applyFont="1"/>
    <xf numFmtId="0" fontId="10" fillId="0" borderId="0" xfId="0" applyFont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Planilha1!$K$2</c:f>
              <c:strCache>
                <c:ptCount val="1"/>
                <c:pt idx="0">
                  <c:v>a - m/sˆ2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0717366442047408"/>
                  <c:y val="-0.166932283464566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Planilha1!$H$3:$H$12</c:f>
              <c:numCache>
                <c:formatCode>General</c:formatCode>
                <c:ptCount val="1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</c:numCache>
            </c:numRef>
          </c:xVal>
          <c:yVal>
            <c:numRef>
              <c:f>Planilha1!$K$3:$K$12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CD-48D4-89CC-4F366B5BE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103696"/>
        <c:axId val="1435155200"/>
      </c:scatterChart>
      <c:valAx>
        <c:axId val="140910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155200"/>
        <c:crosses val="autoZero"/>
        <c:crossBetween val="midCat"/>
      </c:valAx>
      <c:valAx>
        <c:axId val="143515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10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Planilha1!$J$2</c:f>
              <c:strCache>
                <c:ptCount val="1"/>
                <c:pt idx="0">
                  <c:v>v - m/s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771256519941088"/>
                  <c:y val="-0.126768575962687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Planilha1!$H$3:$H$12</c:f>
              <c:numCache>
                <c:formatCode>General</c:formatCode>
                <c:ptCount val="1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</c:numCache>
            </c:numRef>
          </c:xVal>
          <c:yVal>
            <c:numRef>
              <c:f>Planilha1!$J$3:$J$12</c:f>
              <c:numCache>
                <c:formatCode>General</c:formatCode>
                <c:ptCount val="10"/>
                <c:pt idx="0">
                  <c:v>-15</c:v>
                </c:pt>
                <c:pt idx="1">
                  <c:v>-13</c:v>
                </c:pt>
                <c:pt idx="2">
                  <c:v>-11</c:v>
                </c:pt>
                <c:pt idx="3">
                  <c:v>-9</c:v>
                </c:pt>
                <c:pt idx="4">
                  <c:v>-7</c:v>
                </c:pt>
                <c:pt idx="5">
                  <c:v>-5</c:v>
                </c:pt>
                <c:pt idx="6">
                  <c:v>-3</c:v>
                </c:pt>
                <c:pt idx="7">
                  <c:v>-1</c:v>
                </c:pt>
                <c:pt idx="8">
                  <c:v>1</c:v>
                </c:pt>
                <c:pt idx="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5E-4F0D-9783-E07CCEF90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515376"/>
        <c:axId val="1490096016"/>
      </c:scatterChart>
      <c:valAx>
        <c:axId val="126951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096016"/>
        <c:crosses val="autoZero"/>
        <c:crossBetween val="midCat"/>
      </c:valAx>
      <c:valAx>
        <c:axId val="149009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51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Planilha1!$I$2</c:f>
              <c:strCache>
                <c:ptCount val="1"/>
                <c:pt idx="0">
                  <c:v>s - m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og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4421052947759114"/>
                  <c:y val="-0.76856396663288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Planilha1!$H$3:$H$12</c:f>
              <c:numCache>
                <c:formatCode>General</c:formatCode>
                <c:ptCount val="1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</c:numCache>
            </c:numRef>
          </c:xVal>
          <c:yVal>
            <c:numRef>
              <c:f>Planilha1!$I$3:$I$12</c:f>
              <c:numCache>
                <c:formatCode>General</c:formatCode>
                <c:ptCount val="10"/>
                <c:pt idx="0">
                  <c:v>52</c:v>
                </c:pt>
                <c:pt idx="1">
                  <c:v>38</c:v>
                </c:pt>
                <c:pt idx="2">
                  <c:v>26</c:v>
                </c:pt>
                <c:pt idx="3">
                  <c:v>16</c:v>
                </c:pt>
                <c:pt idx="4">
                  <c:v>8</c:v>
                </c:pt>
                <c:pt idx="5">
                  <c:v>2</c:v>
                </c:pt>
                <c:pt idx="6">
                  <c:v>-2</c:v>
                </c:pt>
                <c:pt idx="7">
                  <c:v>-4</c:v>
                </c:pt>
                <c:pt idx="8">
                  <c:v>-4</c:v>
                </c:pt>
                <c:pt idx="9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12-49C9-8576-164605358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003248"/>
        <c:axId val="1493532448"/>
      </c:scatterChart>
      <c:valAx>
        <c:axId val="148000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532448"/>
        <c:crosses val="autoZero"/>
        <c:crossBetween val="midCat"/>
      </c:valAx>
      <c:valAx>
        <c:axId val="14935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00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Planilha3!$B$1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Planilha3!$A$2:$A$9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Planilha3!$B$2:$B$9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-4</c:v>
                </c:pt>
                <c:pt idx="3">
                  <c:v>-27</c:v>
                </c:pt>
                <c:pt idx="4">
                  <c:v>-80</c:v>
                </c:pt>
                <c:pt idx="5">
                  <c:v>-175</c:v>
                </c:pt>
                <c:pt idx="6">
                  <c:v>-324</c:v>
                </c:pt>
                <c:pt idx="7">
                  <c:v>-539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B9-40F0-9203-DAAB03742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261695"/>
        <c:axId val="1407072127"/>
      </c:scatterChart>
      <c:valAx>
        <c:axId val="152126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072127"/>
        <c:crosses val="autoZero"/>
        <c:crossBetween val="midCat"/>
      </c:valAx>
      <c:valAx>
        <c:axId val="140707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261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0</xdr:row>
      <xdr:rowOff>1</xdr:rowOff>
    </xdr:from>
    <xdr:to>
      <xdr:col>16</xdr:col>
      <xdr:colOff>9525</xdr:colOff>
      <xdr:row>9</xdr:row>
      <xdr:rowOff>180976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2C053738-D59B-B7D6-7C4E-A42F8DE7B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</xdr:colOff>
      <xdr:row>10</xdr:row>
      <xdr:rowOff>2040</xdr:rowOff>
    </xdr:from>
    <xdr:to>
      <xdr:col>16</xdr:col>
      <xdr:colOff>9525</xdr:colOff>
      <xdr:row>19</xdr:row>
      <xdr:rowOff>180975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1D7A8FF-C712-E718-A165-A2C0271D9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1359</xdr:colOff>
      <xdr:row>0</xdr:row>
      <xdr:rowOff>0</xdr:rowOff>
    </xdr:from>
    <xdr:to>
      <xdr:col>20</xdr:col>
      <xdr:colOff>559252</xdr:colOff>
      <xdr:row>20</xdr:row>
      <xdr:rowOff>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1B7C12A0-808B-5B0A-D78E-DEB73C816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0</xdr:row>
      <xdr:rowOff>0</xdr:rowOff>
    </xdr:from>
    <xdr:to>
      <xdr:col>14</xdr:col>
      <xdr:colOff>419100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22250D3-44D7-5F4B-D04D-C73682CA2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2A1F9-D5E1-4313-93C8-DD987AE5B490}">
  <dimension ref="A1:J15"/>
  <sheetViews>
    <sheetView workbookViewId="0">
      <selection activeCell="D16" sqref="D16"/>
    </sheetView>
  </sheetViews>
  <sheetFormatPr defaultRowHeight="15" x14ac:dyDescent="0.25"/>
  <cols>
    <col min="1" max="5" width="9.140625" style="3"/>
    <col min="6" max="7" width="9.140625" style="3" customWidth="1"/>
    <col min="8" max="16384" width="9.140625" style="3"/>
  </cols>
  <sheetData>
    <row r="1" spans="1:10" x14ac:dyDescent="0.25">
      <c r="A1" s="143" t="s">
        <v>0</v>
      </c>
      <c r="B1" s="143"/>
      <c r="C1" s="143"/>
      <c r="H1" s="3" t="s">
        <v>19</v>
      </c>
      <c r="I1" s="3" t="s">
        <v>20</v>
      </c>
      <c r="J1" s="3" t="s">
        <v>42</v>
      </c>
    </row>
    <row r="2" spans="1:10" x14ac:dyDescent="0.25">
      <c r="A2" s="143" t="s">
        <v>1</v>
      </c>
      <c r="B2" s="143"/>
      <c r="C2" s="143"/>
      <c r="D2" s="143"/>
      <c r="E2" s="143"/>
      <c r="F2" s="143"/>
      <c r="G2" s="1"/>
      <c r="H2" s="3" t="s">
        <v>21</v>
      </c>
      <c r="I2" s="3" t="s">
        <v>22</v>
      </c>
      <c r="J2" s="3" t="s">
        <v>43</v>
      </c>
    </row>
    <row r="3" spans="1:10" ht="15.75" thickBot="1" x14ac:dyDescent="0.3">
      <c r="H3" s="3" t="s">
        <v>40</v>
      </c>
      <c r="I3" s="3" t="s">
        <v>41</v>
      </c>
      <c r="J3" s="3" t="s">
        <v>44</v>
      </c>
    </row>
    <row r="4" spans="1:10" x14ac:dyDescent="0.25">
      <c r="B4" s="144" t="s">
        <v>2</v>
      </c>
      <c r="C4" s="145"/>
      <c r="D4" s="146"/>
      <c r="H4" s="8" t="s">
        <v>5</v>
      </c>
      <c r="I4" s="2" t="s">
        <v>16</v>
      </c>
      <c r="J4" s="8" t="s">
        <v>7</v>
      </c>
    </row>
    <row r="5" spans="1:10" ht="15.75" thickBot="1" x14ac:dyDescent="0.3">
      <c r="B5" s="4" t="s">
        <v>12</v>
      </c>
      <c r="C5" s="5" t="s">
        <v>13</v>
      </c>
      <c r="D5" s="6" t="s">
        <v>14</v>
      </c>
      <c r="H5" s="8" t="s">
        <v>6</v>
      </c>
      <c r="I5" s="2" t="s">
        <v>17</v>
      </c>
      <c r="J5" s="8" t="s">
        <v>8</v>
      </c>
    </row>
    <row r="6" spans="1:10" x14ac:dyDescent="0.25">
      <c r="B6" s="7" t="s">
        <v>9</v>
      </c>
      <c r="C6" s="3" t="s">
        <v>11</v>
      </c>
      <c r="D6" s="1" t="s">
        <v>24</v>
      </c>
      <c r="E6" s="3" t="s">
        <v>23</v>
      </c>
      <c r="H6" s="8" t="s">
        <v>15</v>
      </c>
      <c r="I6" s="2" t="s">
        <v>18</v>
      </c>
      <c r="J6" s="8" t="s">
        <v>25</v>
      </c>
    </row>
    <row r="7" spans="1:10" x14ac:dyDescent="0.25">
      <c r="B7" s="3" t="s">
        <v>3</v>
      </c>
      <c r="C7" s="3" t="s">
        <v>4</v>
      </c>
      <c r="D7" s="1" t="s">
        <v>10</v>
      </c>
      <c r="G7" s="1"/>
    </row>
    <row r="13" spans="1:10" x14ac:dyDescent="0.25">
      <c r="D13" s="3" t="s">
        <v>97</v>
      </c>
    </row>
    <row r="14" spans="1:10" x14ac:dyDescent="0.25">
      <c r="D14" s="3" t="s">
        <v>98</v>
      </c>
    </row>
    <row r="15" spans="1:10" x14ac:dyDescent="0.25">
      <c r="D15" s="3" t="s">
        <v>99</v>
      </c>
    </row>
  </sheetData>
  <mergeCells count="3">
    <mergeCell ref="A1:C1"/>
    <mergeCell ref="A2:F2"/>
    <mergeCell ref="B4:D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F9496-41B1-4EEE-905C-3D65B29DBF63}">
  <dimension ref="A1:K20"/>
  <sheetViews>
    <sheetView zoomScaleNormal="100" workbookViewId="0">
      <selection activeCell="I3" sqref="I3"/>
    </sheetView>
  </sheetViews>
  <sheetFormatPr defaultRowHeight="15" x14ac:dyDescent="0.25"/>
  <cols>
    <col min="1" max="1" width="24" style="67" bestFit="1" customWidth="1"/>
    <col min="2" max="2" width="7.140625" style="62" bestFit="1" customWidth="1"/>
    <col min="3" max="3" width="28.7109375" style="68" bestFit="1" customWidth="1"/>
    <col min="4" max="4" width="23.7109375" style="63" bestFit="1" customWidth="1"/>
    <col min="5" max="5" width="7.140625" style="62" bestFit="1" customWidth="1"/>
    <col min="6" max="6" width="23.85546875" style="87" bestFit="1" customWidth="1"/>
    <col min="9" max="9" width="12.85546875" bestFit="1" customWidth="1"/>
    <col min="10" max="10" width="10.42578125" bestFit="1" customWidth="1"/>
    <col min="11" max="11" width="8.85546875" bestFit="1" customWidth="1"/>
  </cols>
  <sheetData>
    <row r="1" spans="1:11" x14ac:dyDescent="0.25">
      <c r="A1" s="147" t="s">
        <v>118</v>
      </c>
      <c r="B1" s="148"/>
      <c r="C1" s="149"/>
      <c r="D1" s="147" t="s">
        <v>133</v>
      </c>
      <c r="E1" s="148"/>
      <c r="F1" s="149"/>
      <c r="H1" s="83"/>
      <c r="I1" s="82" t="s">
        <v>145</v>
      </c>
      <c r="J1" s="82" t="s">
        <v>146</v>
      </c>
      <c r="K1" s="84" t="s">
        <v>141</v>
      </c>
    </row>
    <row r="2" spans="1:11" x14ac:dyDescent="0.25">
      <c r="A2" s="69" t="s">
        <v>126</v>
      </c>
      <c r="B2" s="64" t="s">
        <v>100</v>
      </c>
      <c r="C2" s="70"/>
      <c r="D2" s="69" t="s">
        <v>134</v>
      </c>
      <c r="E2" s="64" t="s">
        <v>135</v>
      </c>
      <c r="F2" s="70" t="s">
        <v>138</v>
      </c>
      <c r="H2" s="80" t="s">
        <v>104</v>
      </c>
      <c r="I2" s="76" t="s">
        <v>142</v>
      </c>
      <c r="J2" s="76" t="s">
        <v>143</v>
      </c>
      <c r="K2" s="81" t="s">
        <v>144</v>
      </c>
    </row>
    <row r="3" spans="1:11" ht="15.75" thickBot="1" x14ac:dyDescent="0.3">
      <c r="A3" s="71" t="s">
        <v>125</v>
      </c>
      <c r="B3" s="62" t="s">
        <v>107</v>
      </c>
      <c r="C3" s="72"/>
      <c r="D3" s="73" t="s">
        <v>136</v>
      </c>
      <c r="E3" s="74" t="s">
        <v>137</v>
      </c>
      <c r="F3" s="75" t="s">
        <v>150</v>
      </c>
      <c r="H3" s="77">
        <v>-5</v>
      </c>
      <c r="I3" s="9">
        <f>2-5*H3+H3^2</f>
        <v>52</v>
      </c>
      <c r="J3" s="9">
        <f>-5+2*H3</f>
        <v>-15</v>
      </c>
      <c r="K3" s="14">
        <v>2</v>
      </c>
    </row>
    <row r="4" spans="1:11" x14ac:dyDescent="0.25">
      <c r="A4" s="71" t="s">
        <v>101</v>
      </c>
      <c r="B4" s="62" t="s">
        <v>102</v>
      </c>
      <c r="C4" s="72" t="s">
        <v>166</v>
      </c>
      <c r="D4" s="147" t="s">
        <v>159</v>
      </c>
      <c r="E4" s="148"/>
      <c r="F4" s="149"/>
      <c r="H4" s="78">
        <v>-4</v>
      </c>
      <c r="I4" s="10">
        <f t="shared" ref="I4:I13" si="0">2-5*H4+H4^2</f>
        <v>38</v>
      </c>
      <c r="J4" s="10">
        <f t="shared" ref="J4:J13" si="1">-5+2*H4</f>
        <v>-13</v>
      </c>
      <c r="K4" s="16">
        <v>2</v>
      </c>
    </row>
    <row r="5" spans="1:11" x14ac:dyDescent="0.25">
      <c r="A5" s="71" t="s">
        <v>103</v>
      </c>
      <c r="B5" s="62" t="s">
        <v>104</v>
      </c>
      <c r="C5" s="72"/>
      <c r="D5" s="71" t="s">
        <v>127</v>
      </c>
      <c r="F5" s="85" t="s">
        <v>153</v>
      </c>
      <c r="H5" s="78">
        <v>-3</v>
      </c>
      <c r="I5" s="10">
        <f t="shared" si="0"/>
        <v>26</v>
      </c>
      <c r="J5" s="10">
        <f t="shared" si="1"/>
        <v>-11</v>
      </c>
      <c r="K5" s="16">
        <v>2</v>
      </c>
    </row>
    <row r="6" spans="1:11" x14ac:dyDescent="0.25">
      <c r="A6" s="71" t="s">
        <v>105</v>
      </c>
      <c r="B6" s="62" t="s">
        <v>106</v>
      </c>
      <c r="C6" s="72"/>
      <c r="D6" s="71" t="s">
        <v>128</v>
      </c>
      <c r="F6" s="85" t="s">
        <v>152</v>
      </c>
      <c r="H6" s="78">
        <v>-2</v>
      </c>
      <c r="I6" s="10">
        <f t="shared" si="0"/>
        <v>16</v>
      </c>
      <c r="J6" s="10">
        <f t="shared" si="1"/>
        <v>-9</v>
      </c>
      <c r="K6" s="16">
        <v>2</v>
      </c>
    </row>
    <row r="7" spans="1:11" ht="15.75" thickBot="1" x14ac:dyDescent="0.3">
      <c r="A7" s="71" t="s">
        <v>108</v>
      </c>
      <c r="B7" s="62" t="s">
        <v>109</v>
      </c>
      <c r="C7" s="72" t="s">
        <v>161</v>
      </c>
      <c r="D7" s="73" t="s">
        <v>124</v>
      </c>
      <c r="E7" s="74"/>
      <c r="F7" s="86" t="s">
        <v>165</v>
      </c>
      <c r="H7" s="78">
        <v>-1</v>
      </c>
      <c r="I7" s="10">
        <f t="shared" si="0"/>
        <v>8</v>
      </c>
      <c r="J7" s="10">
        <f t="shared" si="1"/>
        <v>-7</v>
      </c>
      <c r="K7" s="16">
        <v>2</v>
      </c>
    </row>
    <row r="8" spans="1:11" x14ac:dyDescent="0.25">
      <c r="A8" s="71" t="s">
        <v>124</v>
      </c>
      <c r="B8" s="62" t="s">
        <v>116</v>
      </c>
      <c r="C8" s="85" t="s">
        <v>154</v>
      </c>
      <c r="H8" s="78">
        <v>0</v>
      </c>
      <c r="I8" s="10">
        <f t="shared" si="0"/>
        <v>2</v>
      </c>
      <c r="J8" s="10">
        <f t="shared" si="1"/>
        <v>-5</v>
      </c>
      <c r="K8" s="16">
        <v>2</v>
      </c>
    </row>
    <row r="9" spans="1:11" x14ac:dyDescent="0.25">
      <c r="A9" s="71" t="s">
        <v>64</v>
      </c>
      <c r="B9" s="62" t="s">
        <v>123</v>
      </c>
      <c r="C9" s="85"/>
      <c r="H9" s="78">
        <v>1</v>
      </c>
      <c r="I9" s="10">
        <f t="shared" si="0"/>
        <v>-2</v>
      </c>
      <c r="J9" s="10">
        <f t="shared" si="1"/>
        <v>-3</v>
      </c>
      <c r="K9" s="16">
        <v>2</v>
      </c>
    </row>
    <row r="10" spans="1:11" ht="15.75" thickBot="1" x14ac:dyDescent="0.3">
      <c r="A10" s="71" t="s">
        <v>121</v>
      </c>
      <c r="B10" s="62" t="s">
        <v>122</v>
      </c>
      <c r="C10" s="85" t="s">
        <v>162</v>
      </c>
      <c r="H10" s="78">
        <v>2</v>
      </c>
      <c r="I10" s="10">
        <f t="shared" si="0"/>
        <v>-4</v>
      </c>
      <c r="J10" s="10">
        <f t="shared" si="1"/>
        <v>-1</v>
      </c>
      <c r="K10" s="16">
        <v>2</v>
      </c>
    </row>
    <row r="11" spans="1:11" x14ac:dyDescent="0.25">
      <c r="A11" s="147" t="s">
        <v>164</v>
      </c>
      <c r="B11" s="148"/>
      <c r="C11" s="149"/>
      <c r="F11" s="87" t="s">
        <v>163</v>
      </c>
      <c r="H11" s="78">
        <v>3</v>
      </c>
      <c r="I11" s="10">
        <f t="shared" si="0"/>
        <v>-4</v>
      </c>
      <c r="J11" s="10">
        <f t="shared" si="1"/>
        <v>1</v>
      </c>
      <c r="K11" s="16">
        <v>2</v>
      </c>
    </row>
    <row r="12" spans="1:11" x14ac:dyDescent="0.25">
      <c r="A12" s="69" t="s">
        <v>112</v>
      </c>
      <c r="B12" s="64" t="s">
        <v>113</v>
      </c>
      <c r="C12" s="70" t="s">
        <v>132</v>
      </c>
      <c r="H12" s="78">
        <v>4</v>
      </c>
      <c r="I12" s="10">
        <f t="shared" si="0"/>
        <v>-2</v>
      </c>
      <c r="J12" s="10">
        <f t="shared" si="1"/>
        <v>3</v>
      </c>
      <c r="K12" s="16">
        <v>2</v>
      </c>
    </row>
    <row r="13" spans="1:11" ht="15.75" thickBot="1" x14ac:dyDescent="0.3">
      <c r="A13" s="71" t="s">
        <v>110</v>
      </c>
      <c r="B13" s="62" t="s">
        <v>111</v>
      </c>
      <c r="C13" s="72" t="s">
        <v>131</v>
      </c>
      <c r="H13" s="79">
        <v>5</v>
      </c>
      <c r="I13" s="18">
        <f t="shared" si="0"/>
        <v>2</v>
      </c>
      <c r="J13" s="18">
        <f t="shared" si="1"/>
        <v>5</v>
      </c>
      <c r="K13" s="19">
        <v>2</v>
      </c>
    </row>
    <row r="14" spans="1:11" x14ac:dyDescent="0.25">
      <c r="A14" s="71" t="s">
        <v>114</v>
      </c>
      <c r="B14" s="62" t="s">
        <v>130</v>
      </c>
      <c r="C14" s="72" t="s">
        <v>155</v>
      </c>
    </row>
    <row r="15" spans="1:11" ht="15.75" thickBot="1" x14ac:dyDescent="0.3">
      <c r="A15" s="73" t="s">
        <v>120</v>
      </c>
      <c r="B15" s="74" t="s">
        <v>129</v>
      </c>
      <c r="C15" s="86" t="s">
        <v>151</v>
      </c>
    </row>
    <row r="16" spans="1:11" x14ac:dyDescent="0.25">
      <c r="A16" s="147" t="s">
        <v>160</v>
      </c>
      <c r="B16" s="148"/>
      <c r="C16" s="149"/>
    </row>
    <row r="17" spans="1:3" x14ac:dyDescent="0.25">
      <c r="A17" s="69" t="s">
        <v>139</v>
      </c>
      <c r="B17" s="64" t="s">
        <v>140</v>
      </c>
      <c r="C17" s="70" t="s">
        <v>147</v>
      </c>
    </row>
    <row r="18" spans="1:3" x14ac:dyDescent="0.25">
      <c r="A18" s="71" t="s">
        <v>119</v>
      </c>
      <c r="B18" s="62" t="s">
        <v>167</v>
      </c>
      <c r="C18" s="72" t="s">
        <v>156</v>
      </c>
    </row>
    <row r="19" spans="1:3" x14ac:dyDescent="0.25">
      <c r="A19" s="71" t="s">
        <v>117</v>
      </c>
      <c r="B19" s="62" t="s">
        <v>102</v>
      </c>
      <c r="C19" s="72" t="s">
        <v>149</v>
      </c>
    </row>
    <row r="20" spans="1:3" ht="15.75" thickBot="1" x14ac:dyDescent="0.3">
      <c r="A20" s="73" t="s">
        <v>115</v>
      </c>
      <c r="B20" s="74"/>
      <c r="C20" s="75" t="s">
        <v>148</v>
      </c>
    </row>
  </sheetData>
  <mergeCells count="5">
    <mergeCell ref="D4:F4"/>
    <mergeCell ref="A1:C1"/>
    <mergeCell ref="A11:C11"/>
    <mergeCell ref="A16:C16"/>
    <mergeCell ref="D1:F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F13CE-3F06-4D1E-A7A2-EEFAB9B54F36}">
  <dimension ref="A1:L18"/>
  <sheetViews>
    <sheetView workbookViewId="0">
      <selection activeCell="I14" sqref="I14"/>
    </sheetView>
  </sheetViews>
  <sheetFormatPr defaultRowHeight="15" x14ac:dyDescent="0.25"/>
  <cols>
    <col min="1" max="1" width="21.5703125" bestFit="1" customWidth="1"/>
    <col min="2" max="2" width="10.28515625" bestFit="1" customWidth="1"/>
    <col min="7" max="7" width="21" bestFit="1" customWidth="1"/>
    <col min="10" max="10" width="25.7109375" bestFit="1" customWidth="1"/>
  </cols>
  <sheetData>
    <row r="1" spans="1:12" x14ac:dyDescent="0.25">
      <c r="A1" s="153" t="s">
        <v>58</v>
      </c>
      <c r="B1" s="153"/>
      <c r="C1" s="153"/>
      <c r="D1" s="153"/>
      <c r="G1" s="150" t="s">
        <v>63</v>
      </c>
      <c r="H1" s="151"/>
      <c r="I1" s="152"/>
      <c r="J1" s="150" t="s">
        <v>76</v>
      </c>
      <c r="K1" s="151"/>
      <c r="L1" s="152"/>
    </row>
    <row r="2" spans="1:12" x14ac:dyDescent="0.25">
      <c r="A2" s="155" t="s">
        <v>65</v>
      </c>
      <c r="B2" s="155"/>
      <c r="C2" s="155"/>
      <c r="D2" s="155"/>
      <c r="G2" s="41"/>
      <c r="H2" s="30"/>
      <c r="I2" s="42"/>
      <c r="J2" s="33" t="s">
        <v>29</v>
      </c>
      <c r="K2" s="25" t="s">
        <v>59</v>
      </c>
      <c r="L2" s="34" t="s">
        <v>60</v>
      </c>
    </row>
    <row r="3" spans="1:12" x14ac:dyDescent="0.25">
      <c r="A3" t="s">
        <v>49</v>
      </c>
      <c r="B3" s="24" t="s">
        <v>54</v>
      </c>
      <c r="G3" s="33" t="s">
        <v>29</v>
      </c>
      <c r="H3" s="25" t="s">
        <v>59</v>
      </c>
      <c r="I3" s="34" t="s">
        <v>60</v>
      </c>
      <c r="J3" s="35" t="s">
        <v>72</v>
      </c>
      <c r="K3" s="27"/>
      <c r="L3" s="36">
        <f>POWER(K5,2)/(2*K4)</f>
        <v>-4</v>
      </c>
    </row>
    <row r="4" spans="1:12" x14ac:dyDescent="0.25">
      <c r="A4" t="s">
        <v>53</v>
      </c>
      <c r="B4">
        <v>10</v>
      </c>
      <c r="C4" t="s">
        <v>8</v>
      </c>
      <c r="G4" s="35" t="s">
        <v>49</v>
      </c>
      <c r="H4" s="27">
        <v>25</v>
      </c>
      <c r="I4" s="36">
        <f>(H5*POWER(H7,2))/2</f>
        <v>0</v>
      </c>
      <c r="J4" s="35" t="s">
        <v>6</v>
      </c>
      <c r="K4" s="28">
        <v>-2</v>
      </c>
      <c r="L4" s="37">
        <f>K5/K6</f>
        <v>-2</v>
      </c>
    </row>
    <row r="5" spans="1:12" x14ac:dyDescent="0.25">
      <c r="A5" t="s">
        <v>50</v>
      </c>
      <c r="B5" s="154" t="s">
        <v>55</v>
      </c>
      <c r="C5" s="154"/>
      <c r="D5" t="s">
        <v>57</v>
      </c>
      <c r="G5" s="35" t="s">
        <v>6</v>
      </c>
      <c r="H5" s="28">
        <v>10</v>
      </c>
      <c r="I5" s="43"/>
      <c r="J5" s="35" t="s">
        <v>51</v>
      </c>
      <c r="K5" s="28">
        <v>-4</v>
      </c>
      <c r="L5" s="37">
        <f>K6*K4</f>
        <v>-4</v>
      </c>
    </row>
    <row r="6" spans="1:12" x14ac:dyDescent="0.25">
      <c r="A6" t="s">
        <v>45</v>
      </c>
      <c r="B6" s="24" t="s">
        <v>56</v>
      </c>
      <c r="C6" t="s">
        <v>8</v>
      </c>
      <c r="G6" s="35" t="s">
        <v>45</v>
      </c>
      <c r="H6" s="28"/>
      <c r="I6" s="37">
        <f>H5*H7</f>
        <v>0</v>
      </c>
      <c r="J6" s="35" t="s">
        <v>73</v>
      </c>
      <c r="K6" s="28">
        <v>2</v>
      </c>
      <c r="L6" s="37">
        <f>K5/K4</f>
        <v>2</v>
      </c>
    </row>
    <row r="7" spans="1:12" x14ac:dyDescent="0.25">
      <c r="A7" t="s">
        <v>51</v>
      </c>
      <c r="B7">
        <v>0</v>
      </c>
      <c r="C7" t="s">
        <v>52</v>
      </c>
      <c r="G7" s="38" t="s">
        <v>50</v>
      </c>
      <c r="H7" s="28"/>
      <c r="I7" s="43"/>
      <c r="J7" s="35" t="s">
        <v>74</v>
      </c>
      <c r="K7" s="28">
        <v>4</v>
      </c>
      <c r="L7" s="37">
        <f>K6*2</f>
        <v>4</v>
      </c>
    </row>
    <row r="8" spans="1:12" ht="15.75" thickBot="1" x14ac:dyDescent="0.3">
      <c r="A8" s="156" t="s">
        <v>77</v>
      </c>
      <c r="B8" s="156"/>
      <c r="C8" s="156"/>
      <c r="D8" s="156"/>
      <c r="G8" s="35" t="s">
        <v>61</v>
      </c>
      <c r="H8" s="29"/>
      <c r="I8" s="37">
        <f>H6/H5</f>
        <v>0</v>
      </c>
      <c r="J8" s="39" t="s">
        <v>75</v>
      </c>
      <c r="K8" s="44"/>
      <c r="L8" s="40">
        <f>K7/2</f>
        <v>2</v>
      </c>
    </row>
    <row r="9" spans="1:12" ht="15.75" thickBot="1" x14ac:dyDescent="0.3">
      <c r="A9" t="s">
        <v>49</v>
      </c>
      <c r="B9" s="24" t="s">
        <v>67</v>
      </c>
      <c r="G9" s="39" t="s">
        <v>62</v>
      </c>
      <c r="H9" s="44"/>
      <c r="I9" s="40">
        <f>SQRT(2*H4/H5)</f>
        <v>2.2360679774997898</v>
      </c>
      <c r="J9" s="35" t="s">
        <v>78</v>
      </c>
      <c r="K9" s="27"/>
      <c r="L9" s="36">
        <f>K11*K4-K10</f>
        <v>40</v>
      </c>
    </row>
    <row r="10" spans="1:12" x14ac:dyDescent="0.25">
      <c r="A10" t="s">
        <v>45</v>
      </c>
      <c r="B10" s="24" t="s">
        <v>66</v>
      </c>
      <c r="G10" s="150" t="s">
        <v>71</v>
      </c>
      <c r="H10" s="151"/>
      <c r="I10" s="152"/>
      <c r="J10" s="26" t="s">
        <v>80</v>
      </c>
      <c r="K10" s="28">
        <v>-50</v>
      </c>
      <c r="L10" s="37">
        <f>K11*10</f>
        <v>50</v>
      </c>
    </row>
    <row r="11" spans="1:12" x14ac:dyDescent="0.25">
      <c r="G11" s="33" t="s">
        <v>29</v>
      </c>
      <c r="H11" s="25" t="s">
        <v>59</v>
      </c>
      <c r="I11" s="34" t="s">
        <v>60</v>
      </c>
      <c r="J11" s="45" t="s">
        <v>5</v>
      </c>
      <c r="K11">
        <v>5</v>
      </c>
    </row>
    <row r="12" spans="1:12" x14ac:dyDescent="0.25">
      <c r="G12" s="35" t="s">
        <v>49</v>
      </c>
      <c r="H12" s="27">
        <v>7</v>
      </c>
      <c r="I12" s="32">
        <f>H15*H16+((POWER(H16,2)*H13)/2)</f>
        <v>0</v>
      </c>
    </row>
    <row r="13" spans="1:12" x14ac:dyDescent="0.25">
      <c r="G13" s="35" t="s">
        <v>6</v>
      </c>
      <c r="H13" s="28">
        <v>10</v>
      </c>
      <c r="I13" s="43"/>
      <c r="J13" s="31"/>
      <c r="K13" s="28"/>
      <c r="L13" s="37"/>
    </row>
    <row r="14" spans="1:12" x14ac:dyDescent="0.25">
      <c r="G14" s="35" t="s">
        <v>68</v>
      </c>
      <c r="H14" s="28">
        <v>12</v>
      </c>
      <c r="I14" s="43"/>
      <c r="J14" s="31"/>
      <c r="K14" s="28"/>
      <c r="L14" s="37"/>
    </row>
    <row r="15" spans="1:12" x14ac:dyDescent="0.25">
      <c r="G15" s="38" t="s">
        <v>64</v>
      </c>
      <c r="H15" s="28">
        <v>2</v>
      </c>
      <c r="I15" s="37"/>
      <c r="J15" s="31"/>
      <c r="K15" s="28"/>
      <c r="L15" s="37"/>
    </row>
    <row r="16" spans="1:12" x14ac:dyDescent="0.25">
      <c r="G16" s="35" t="s">
        <v>50</v>
      </c>
      <c r="H16" s="28"/>
      <c r="I16" s="37">
        <f>(H14-H15)/H13</f>
        <v>1</v>
      </c>
    </row>
    <row r="17" spans="7:9" x14ac:dyDescent="0.25">
      <c r="G17" s="35" t="s">
        <v>69</v>
      </c>
      <c r="H17" s="29"/>
      <c r="I17" s="37">
        <f>H15+H13*H16</f>
        <v>2</v>
      </c>
    </row>
    <row r="18" spans="7:9" ht="15.75" thickBot="1" x14ac:dyDescent="0.3">
      <c r="G18" s="39" t="s">
        <v>70</v>
      </c>
      <c r="H18" s="44"/>
      <c r="I18" s="40">
        <f>SQRT(POWER(H15,2)+2*H13*H12)</f>
        <v>12</v>
      </c>
    </row>
  </sheetData>
  <mergeCells count="7">
    <mergeCell ref="J1:L1"/>
    <mergeCell ref="A1:D1"/>
    <mergeCell ref="G1:I1"/>
    <mergeCell ref="G10:I10"/>
    <mergeCell ref="B5:C5"/>
    <mergeCell ref="A2:D2"/>
    <mergeCell ref="A8:D8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5E641-1E4C-4AD3-846C-1EDC687262F8}">
  <dimension ref="B1:P12"/>
  <sheetViews>
    <sheetView topLeftCell="B13" workbookViewId="0">
      <selection activeCell="B15" sqref="B15:J35"/>
    </sheetView>
  </sheetViews>
  <sheetFormatPr defaultRowHeight="15" x14ac:dyDescent="0.25"/>
  <cols>
    <col min="8" max="8" width="15.7109375" bestFit="1" customWidth="1"/>
    <col min="11" max="11" width="11" bestFit="1" customWidth="1"/>
    <col min="14" max="14" width="21" bestFit="1" customWidth="1"/>
  </cols>
  <sheetData>
    <row r="1" spans="2:16" ht="15.75" thickBot="1" x14ac:dyDescent="0.3">
      <c r="B1" s="162" t="s">
        <v>39</v>
      </c>
      <c r="C1" s="163"/>
      <c r="D1" s="164"/>
      <c r="E1" s="159" t="s">
        <v>48</v>
      </c>
      <c r="F1" s="160"/>
      <c r="G1" s="161"/>
      <c r="H1" s="162" t="s">
        <v>158</v>
      </c>
      <c r="I1" s="163"/>
      <c r="J1" s="164"/>
      <c r="K1" s="162" t="s">
        <v>47</v>
      </c>
      <c r="L1" s="163"/>
      <c r="M1" s="163"/>
      <c r="N1" s="162" t="s">
        <v>157</v>
      </c>
      <c r="O1" s="163"/>
      <c r="P1" s="164"/>
    </row>
    <row r="2" spans="2:16" x14ac:dyDescent="0.25">
      <c r="B2" s="165" t="s">
        <v>26</v>
      </c>
      <c r="C2" s="166"/>
      <c r="D2" s="89">
        <v>7</v>
      </c>
      <c r="E2" s="23" t="s">
        <v>29</v>
      </c>
      <c r="F2" s="11" t="s">
        <v>30</v>
      </c>
      <c r="G2" s="12" t="s">
        <v>31</v>
      </c>
      <c r="H2" s="90" t="s">
        <v>29</v>
      </c>
      <c r="I2" s="91" t="s">
        <v>30</v>
      </c>
      <c r="J2" s="65" t="s">
        <v>31</v>
      </c>
      <c r="K2" s="23" t="s">
        <v>29</v>
      </c>
      <c r="L2" s="11" t="s">
        <v>30</v>
      </c>
      <c r="M2" s="54" t="s">
        <v>31</v>
      </c>
      <c r="N2" s="53" t="s">
        <v>29</v>
      </c>
      <c r="O2" s="11" t="s">
        <v>30</v>
      </c>
      <c r="P2" s="12" t="s">
        <v>31</v>
      </c>
    </row>
    <row r="3" spans="2:16" x14ac:dyDescent="0.25">
      <c r="B3" s="167" t="s">
        <v>27</v>
      </c>
      <c r="C3" s="168"/>
      <c r="D3" s="20">
        <v>-12</v>
      </c>
      <c r="E3" s="13" t="s">
        <v>5</v>
      </c>
      <c r="F3" s="9">
        <v>0.42</v>
      </c>
      <c r="G3" s="47"/>
      <c r="H3" s="13" t="s">
        <v>90</v>
      </c>
      <c r="I3">
        <v>3</v>
      </c>
      <c r="J3" s="55"/>
      <c r="K3" s="13" t="s">
        <v>5</v>
      </c>
      <c r="L3" s="9">
        <v>5</v>
      </c>
      <c r="M3" s="50"/>
      <c r="N3" s="13" t="s">
        <v>81</v>
      </c>
      <c r="O3" s="9">
        <v>3.0999999999999999E-3</v>
      </c>
      <c r="P3" s="47"/>
    </row>
    <row r="4" spans="2:16" ht="15.75" thickBot="1" x14ac:dyDescent="0.3">
      <c r="B4" s="157" t="s">
        <v>28</v>
      </c>
      <c r="C4" s="158"/>
      <c r="D4" s="21">
        <f>SQRT(POWER(D2,2)+POWER(D3,2))</f>
        <v>13.892443989449804</v>
      </c>
      <c r="E4" s="15" t="s">
        <v>6</v>
      </c>
      <c r="F4" s="10">
        <v>3</v>
      </c>
      <c r="G4" s="48"/>
      <c r="H4" s="15" t="s">
        <v>91</v>
      </c>
      <c r="I4">
        <v>37</v>
      </c>
      <c r="J4" s="55"/>
      <c r="K4" s="15" t="s">
        <v>38</v>
      </c>
      <c r="L4" s="10">
        <v>-2</v>
      </c>
      <c r="M4" s="51"/>
      <c r="N4" s="15" t="s">
        <v>82</v>
      </c>
      <c r="O4" s="10">
        <v>17.100000000000001</v>
      </c>
      <c r="P4" s="48"/>
    </row>
    <row r="5" spans="2:16" x14ac:dyDescent="0.25">
      <c r="B5" s="22" t="s">
        <v>29</v>
      </c>
      <c r="C5" s="11" t="s">
        <v>30</v>
      </c>
      <c r="D5" s="12" t="s">
        <v>31</v>
      </c>
      <c r="E5" s="15" t="s">
        <v>37</v>
      </c>
      <c r="F5" s="46"/>
      <c r="G5" s="59">
        <f>F3*F4+G8</f>
        <v>4.8601026629488713</v>
      </c>
      <c r="H5" s="15" t="s">
        <v>5</v>
      </c>
      <c r="I5">
        <v>3</v>
      </c>
      <c r="J5" s="55"/>
      <c r="K5" s="15" t="s">
        <v>45</v>
      </c>
      <c r="L5" s="46"/>
      <c r="M5" s="60">
        <f>L4*L6+4</f>
        <v>-6</v>
      </c>
      <c r="N5" s="15" t="s">
        <v>83</v>
      </c>
      <c r="O5" s="46"/>
      <c r="P5" s="16">
        <f>O3+O4</f>
        <v>17.103100000000001</v>
      </c>
    </row>
    <row r="6" spans="2:16" x14ac:dyDescent="0.25">
      <c r="B6" s="13" t="s">
        <v>5</v>
      </c>
      <c r="C6" s="9">
        <v>2.6</v>
      </c>
      <c r="D6" s="14">
        <f>C8/C7</f>
        <v>1</v>
      </c>
      <c r="E6" s="15" t="s">
        <v>3</v>
      </c>
      <c r="F6" s="46"/>
      <c r="G6" s="16">
        <f>F9*F3</f>
        <v>4.2</v>
      </c>
      <c r="H6" s="15" t="s">
        <v>92</v>
      </c>
      <c r="I6" s="88"/>
      <c r="J6" s="56">
        <f>I5*J7</f>
        <v>-3.75</v>
      </c>
      <c r="K6" s="15" t="s">
        <v>46</v>
      </c>
      <c r="L6" s="10">
        <v>5</v>
      </c>
      <c r="M6" s="51"/>
      <c r="N6" s="15" t="s">
        <v>84</v>
      </c>
      <c r="O6" s="10">
        <v>0.7</v>
      </c>
      <c r="P6" s="48"/>
    </row>
    <row r="7" spans="2:16" x14ac:dyDescent="0.25">
      <c r="B7" s="15" t="s">
        <v>6</v>
      </c>
      <c r="C7" s="10">
        <v>13.892443989449804</v>
      </c>
      <c r="D7" s="66">
        <f>C8/C6</f>
        <v>5.3432476882499245</v>
      </c>
      <c r="E7" s="15" t="s">
        <v>36</v>
      </c>
      <c r="F7" s="46"/>
      <c r="G7" s="16">
        <f>COS(F10*PI()/180)*G6</f>
        <v>2.1631599146222285</v>
      </c>
      <c r="H7" s="15" t="s">
        <v>93</v>
      </c>
      <c r="I7" s="88"/>
      <c r="J7" s="56">
        <f>I8/I9</f>
        <v>-1.25</v>
      </c>
      <c r="K7" s="15" t="s">
        <v>78</v>
      </c>
      <c r="L7" s="46"/>
      <c r="M7" s="60">
        <f>L3*L4-L8</f>
        <v>40</v>
      </c>
      <c r="N7" s="15" t="s">
        <v>34</v>
      </c>
      <c r="O7" s="10">
        <v>10</v>
      </c>
      <c r="P7" s="48"/>
    </row>
    <row r="8" spans="2:16" ht="15.75" thickBot="1" x14ac:dyDescent="0.3">
      <c r="B8" s="17" t="s">
        <v>32</v>
      </c>
      <c r="C8" s="18">
        <v>13.892443989449804</v>
      </c>
      <c r="D8" s="19">
        <f>C7*C6</f>
        <v>36.120354372569494</v>
      </c>
      <c r="E8" s="15" t="s">
        <v>35</v>
      </c>
      <c r="F8" s="46"/>
      <c r="G8" s="16">
        <f>SIN(F10*PI()/180)*G6</f>
        <v>3.6001026629488715</v>
      </c>
      <c r="H8" s="15" t="s">
        <v>95</v>
      </c>
      <c r="I8" s="3">
        <v>5</v>
      </c>
      <c r="J8" s="55"/>
      <c r="K8" s="17" t="s">
        <v>79</v>
      </c>
      <c r="L8" s="18">
        <v>-50</v>
      </c>
      <c r="M8" s="52">
        <f>L3*-10</f>
        <v>-50</v>
      </c>
      <c r="N8" s="15" t="s">
        <v>86</v>
      </c>
      <c r="O8" s="46"/>
      <c r="P8" s="59">
        <f>P5*P9</f>
        <v>244.33000000000004</v>
      </c>
    </row>
    <row r="9" spans="2:16" x14ac:dyDescent="0.25">
      <c r="E9" s="15" t="s">
        <v>34</v>
      </c>
      <c r="F9" s="10">
        <v>10</v>
      </c>
      <c r="G9" s="48"/>
      <c r="H9" s="15" t="s">
        <v>94</v>
      </c>
      <c r="I9" s="3">
        <v>-4</v>
      </c>
      <c r="J9" s="55"/>
      <c r="N9" s="15" t="s">
        <v>85</v>
      </c>
      <c r="O9" s="46"/>
      <c r="P9" s="16">
        <f>O7/O6</f>
        <v>14.285714285714286</v>
      </c>
    </row>
    <row r="10" spans="2:16" ht="15.75" thickBot="1" x14ac:dyDescent="0.3">
      <c r="E10" s="17" t="s">
        <v>33</v>
      </c>
      <c r="F10" s="18">
        <v>59</v>
      </c>
      <c r="G10" s="49"/>
      <c r="H10" s="17" t="s">
        <v>96</v>
      </c>
      <c r="I10" s="57"/>
      <c r="J10" s="61">
        <f>DEGREES(ACOS(((J6-I3)/I4)))</f>
        <v>100.51147428403566</v>
      </c>
      <c r="N10" s="15" t="s">
        <v>87</v>
      </c>
      <c r="O10" s="46"/>
      <c r="P10" s="16">
        <f>O6*P12</f>
        <v>3.1E-2</v>
      </c>
    </row>
    <row r="11" spans="2:16" x14ac:dyDescent="0.25">
      <c r="N11" s="15" t="s">
        <v>88</v>
      </c>
      <c r="O11" s="46"/>
      <c r="P11" s="16">
        <f>O3*O7</f>
        <v>3.1E-2</v>
      </c>
    </row>
    <row r="12" spans="2:16" ht="15.75" thickBot="1" x14ac:dyDescent="0.3">
      <c r="N12" s="17" t="s">
        <v>89</v>
      </c>
      <c r="O12" s="58"/>
      <c r="P12" s="19">
        <f>O3*P9</f>
        <v>4.4285714285714289E-2</v>
      </c>
    </row>
  </sheetData>
  <mergeCells count="8">
    <mergeCell ref="B4:C4"/>
    <mergeCell ref="E1:G1"/>
    <mergeCell ref="H1:J1"/>
    <mergeCell ref="K1:M1"/>
    <mergeCell ref="N1:P1"/>
    <mergeCell ref="B1:D1"/>
    <mergeCell ref="B2:C2"/>
    <mergeCell ref="B3:C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9B223-0321-498F-912E-09BE35F41D6D}">
  <dimension ref="A1:D9"/>
  <sheetViews>
    <sheetView workbookViewId="0">
      <selection activeCell="C6" sqref="C3:D6"/>
    </sheetView>
  </sheetViews>
  <sheetFormatPr defaultRowHeight="15" x14ac:dyDescent="0.25"/>
  <sheetData>
    <row r="1" spans="1:4" x14ac:dyDescent="0.25">
      <c r="A1" t="s">
        <v>104</v>
      </c>
      <c r="B1" t="s">
        <v>168</v>
      </c>
      <c r="C1" t="s">
        <v>116</v>
      </c>
      <c r="D1" t="s">
        <v>17</v>
      </c>
    </row>
    <row r="2" spans="1:4" x14ac:dyDescent="0.25">
      <c r="A2">
        <v>0</v>
      </c>
      <c r="B2">
        <f>3*A2 ^2 -2*A2 ^3</f>
        <v>0</v>
      </c>
      <c r="C2">
        <f>6*A2-6*A2 ^2</f>
        <v>0</v>
      </c>
      <c r="D2">
        <f>6-12*A2</f>
        <v>6</v>
      </c>
    </row>
    <row r="3" spans="1:4" x14ac:dyDescent="0.25">
      <c r="A3">
        <v>1</v>
      </c>
      <c r="B3">
        <f t="shared" ref="B3:B9" si="0">3*A3 ^2 -2*A3 ^3</f>
        <v>1</v>
      </c>
      <c r="C3">
        <f t="shared" ref="C3:C9" si="1">6*A3-6*A3 ^2</f>
        <v>0</v>
      </c>
      <c r="D3">
        <f t="shared" ref="D3:D9" si="2">6-12*A3</f>
        <v>-6</v>
      </c>
    </row>
    <row r="4" spans="1:4" x14ac:dyDescent="0.25">
      <c r="A4">
        <v>2</v>
      </c>
      <c r="B4">
        <f t="shared" si="0"/>
        <v>-4</v>
      </c>
      <c r="C4">
        <f t="shared" si="1"/>
        <v>-12</v>
      </c>
      <c r="D4">
        <f t="shared" si="2"/>
        <v>-18</v>
      </c>
    </row>
    <row r="5" spans="1:4" x14ac:dyDescent="0.25">
      <c r="A5">
        <v>3</v>
      </c>
      <c r="B5">
        <f t="shared" si="0"/>
        <v>-27</v>
      </c>
      <c r="C5">
        <f t="shared" si="1"/>
        <v>-36</v>
      </c>
      <c r="D5">
        <f t="shared" si="2"/>
        <v>-30</v>
      </c>
    </row>
    <row r="6" spans="1:4" x14ac:dyDescent="0.25">
      <c r="A6">
        <v>4</v>
      </c>
      <c r="B6">
        <f t="shared" si="0"/>
        <v>-80</v>
      </c>
      <c r="C6">
        <f t="shared" si="1"/>
        <v>-72</v>
      </c>
      <c r="D6">
        <f t="shared" si="2"/>
        <v>-42</v>
      </c>
    </row>
    <row r="7" spans="1:4" x14ac:dyDescent="0.25">
      <c r="A7">
        <v>5</v>
      </c>
      <c r="B7">
        <f t="shared" si="0"/>
        <v>-175</v>
      </c>
      <c r="C7">
        <f t="shared" si="1"/>
        <v>-120</v>
      </c>
      <c r="D7">
        <f t="shared" si="2"/>
        <v>-54</v>
      </c>
    </row>
    <row r="8" spans="1:4" x14ac:dyDescent="0.25">
      <c r="A8">
        <v>6</v>
      </c>
      <c r="B8">
        <f t="shared" si="0"/>
        <v>-324</v>
      </c>
      <c r="C8">
        <f t="shared" si="1"/>
        <v>-180</v>
      </c>
      <c r="D8">
        <f t="shared" si="2"/>
        <v>-66</v>
      </c>
    </row>
    <row r="9" spans="1:4" x14ac:dyDescent="0.25">
      <c r="A9">
        <v>7</v>
      </c>
      <c r="B9">
        <f t="shared" si="0"/>
        <v>-539</v>
      </c>
      <c r="C9">
        <f t="shared" si="1"/>
        <v>-252</v>
      </c>
      <c r="D9">
        <f t="shared" si="2"/>
        <v>-78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AD83A-DA60-4E85-99F1-7ED826F0099D}">
  <dimension ref="A1:R14"/>
  <sheetViews>
    <sheetView workbookViewId="0">
      <selection activeCell="I20" sqref="I20"/>
    </sheetView>
  </sheetViews>
  <sheetFormatPr defaultRowHeight="15" x14ac:dyDescent="0.25"/>
  <sheetData>
    <row r="1" spans="1:18" ht="17.25" thickBot="1" x14ac:dyDescent="0.35">
      <c r="A1" s="92" t="s">
        <v>169</v>
      </c>
      <c r="B1" s="93" t="s">
        <v>170</v>
      </c>
      <c r="C1" s="93" t="s">
        <v>171</v>
      </c>
      <c r="D1" s="93" t="s">
        <v>172</v>
      </c>
      <c r="E1" s="93" t="s">
        <v>173</v>
      </c>
      <c r="F1" s="93" t="s">
        <v>174</v>
      </c>
      <c r="G1" s="93" t="s">
        <v>175</v>
      </c>
      <c r="H1" s="94" t="s">
        <v>176</v>
      </c>
      <c r="J1" s="102" t="s">
        <v>180</v>
      </c>
      <c r="K1" s="103">
        <v>6.6</v>
      </c>
      <c r="L1" s="104"/>
      <c r="M1" s="104"/>
      <c r="N1" s="104"/>
      <c r="O1" s="104"/>
      <c r="P1" s="104"/>
      <c r="Q1" s="104"/>
      <c r="R1" s="104"/>
    </row>
    <row r="2" spans="1:18" ht="16.5" x14ac:dyDescent="0.3">
      <c r="A2" s="95">
        <v>23.04</v>
      </c>
      <c r="B2" s="96">
        <f>A2*0.001</f>
        <v>2.3039999999999998E-2</v>
      </c>
      <c r="C2" s="96">
        <f>B2*9.8</f>
        <v>0.22579199999999999</v>
      </c>
      <c r="D2" s="96">
        <f>B2*9.8</f>
        <v>0.22579199999999999</v>
      </c>
      <c r="E2" s="96">
        <v>11</v>
      </c>
      <c r="F2" s="96">
        <f>(E2-10)*0.01</f>
        <v>0.01</v>
      </c>
      <c r="G2" s="97">
        <f>D2/F2</f>
        <v>22.5792</v>
      </c>
      <c r="H2" s="98">
        <f>G2-0</f>
        <v>22.5792</v>
      </c>
      <c r="J2" s="105" t="s">
        <v>15</v>
      </c>
      <c r="K2" s="106">
        <v>9.8000000000000007</v>
      </c>
      <c r="L2" s="104"/>
      <c r="M2" s="104"/>
      <c r="N2" s="104"/>
      <c r="O2" s="104"/>
      <c r="P2" s="104"/>
      <c r="Q2" s="104"/>
      <c r="R2" s="104"/>
    </row>
    <row r="3" spans="1:18" ht="17.25" thickBot="1" x14ac:dyDescent="0.35">
      <c r="A3" s="95">
        <v>28.23</v>
      </c>
      <c r="B3" s="96">
        <f t="shared" ref="B3:B11" si="0">A3*0.001</f>
        <v>2.8230000000000002E-2</v>
      </c>
      <c r="C3" s="96">
        <f t="shared" ref="C3:C11" si="1">B3*9.8</f>
        <v>0.27665400000000001</v>
      </c>
      <c r="D3" s="96">
        <f t="shared" ref="D3:D11" si="2">B3*9.8</f>
        <v>0.27665400000000001</v>
      </c>
      <c r="E3" s="96">
        <v>11.3</v>
      </c>
      <c r="F3" s="96">
        <f t="shared" ref="F3:F11" si="3">(E3-10)*0.01</f>
        <v>1.3000000000000008E-2</v>
      </c>
      <c r="G3" s="97">
        <f t="shared" ref="G3:G11" si="4">D3/F3</f>
        <v>21.28107692307691</v>
      </c>
      <c r="H3" s="98">
        <f>G3-G2</f>
        <v>-1.2981230769230905</v>
      </c>
      <c r="J3" s="107" t="s">
        <v>169</v>
      </c>
      <c r="K3" s="108" t="s">
        <v>170</v>
      </c>
      <c r="L3" s="108" t="s">
        <v>181</v>
      </c>
      <c r="M3" s="108" t="s">
        <v>182</v>
      </c>
      <c r="N3" s="108" t="s">
        <v>183</v>
      </c>
      <c r="O3" s="109" t="s">
        <v>184</v>
      </c>
      <c r="P3" s="104"/>
      <c r="Q3" s="104" t="s">
        <v>185</v>
      </c>
      <c r="R3" s="104"/>
    </row>
    <row r="4" spans="1:18" ht="16.5" x14ac:dyDescent="0.3">
      <c r="A4" s="95">
        <v>38.130000000000003</v>
      </c>
      <c r="B4" s="96">
        <f t="shared" si="0"/>
        <v>3.8130000000000004E-2</v>
      </c>
      <c r="C4" s="96">
        <f t="shared" si="1"/>
        <v>0.37367400000000006</v>
      </c>
      <c r="D4" s="96">
        <f t="shared" si="2"/>
        <v>0.37367400000000006</v>
      </c>
      <c r="E4" s="96">
        <v>11.9</v>
      </c>
      <c r="F4" s="96">
        <f t="shared" si="3"/>
        <v>1.9000000000000003E-2</v>
      </c>
      <c r="G4" s="97">
        <f t="shared" si="4"/>
        <v>19.667052631578947</v>
      </c>
      <c r="H4" s="98">
        <f t="shared" ref="H4:H11" si="5">G4-G3</f>
        <v>-1.6140242914979623</v>
      </c>
      <c r="J4" s="110">
        <v>10</v>
      </c>
      <c r="K4" s="111">
        <f t="shared" ref="K4:K9" si="6">J4*0.001</f>
        <v>0.01</v>
      </c>
      <c r="L4" s="111">
        <f>7-K1</f>
        <v>0.40000000000000036</v>
      </c>
      <c r="M4" s="111">
        <f t="shared" ref="M4:M9" si="7">L4*0.01</f>
        <v>4.0000000000000036E-3</v>
      </c>
      <c r="N4" s="111">
        <f>K4*K2</f>
        <v>9.8000000000000004E-2</v>
      </c>
      <c r="O4" s="112">
        <f t="shared" ref="O4:O9" si="8">N4/M4</f>
        <v>24.499999999999979</v>
      </c>
      <c r="P4" s="111"/>
      <c r="Q4" s="111">
        <f>(44.48+M11+M12)*M4-0.109</f>
        <v>0.10381715972683055</v>
      </c>
      <c r="R4" s="111">
        <f>Q4+M12</f>
        <v>2.6329709135421737</v>
      </c>
    </row>
    <row r="5" spans="1:18" ht="16.5" x14ac:dyDescent="0.3">
      <c r="A5" s="95">
        <v>68.069999999999993</v>
      </c>
      <c r="B5" s="96">
        <f t="shared" si="0"/>
        <v>6.8069999999999992E-2</v>
      </c>
      <c r="C5" s="96">
        <f t="shared" si="1"/>
        <v>0.66708599999999996</v>
      </c>
      <c r="D5" s="96">
        <f t="shared" si="2"/>
        <v>0.66708599999999996</v>
      </c>
      <c r="E5" s="96">
        <v>13.6</v>
      </c>
      <c r="F5" s="96">
        <f t="shared" si="3"/>
        <v>3.5999999999999997E-2</v>
      </c>
      <c r="G5" s="97">
        <f t="shared" si="4"/>
        <v>18.530166666666666</v>
      </c>
      <c r="H5" s="98">
        <f t="shared" si="5"/>
        <v>-1.1368859649122811</v>
      </c>
      <c r="J5" s="113">
        <v>32.04</v>
      </c>
      <c r="K5" s="114">
        <f t="shared" si="6"/>
        <v>3.2039999999999999E-2</v>
      </c>
      <c r="L5" s="114">
        <f>7.6-K1</f>
        <v>1</v>
      </c>
      <c r="M5" s="114">
        <f t="shared" si="7"/>
        <v>0.01</v>
      </c>
      <c r="N5" s="114">
        <f>K5*K2</f>
        <v>0.31399199999999999</v>
      </c>
      <c r="O5" s="115">
        <f t="shared" si="8"/>
        <v>31.3992</v>
      </c>
      <c r="P5" s="114"/>
      <c r="Q5" s="111">
        <f>(44.48+M11+M12)</f>
        <v>53.204289931707592</v>
      </c>
      <c r="R5" s="111">
        <f>Q5+M12</f>
        <v>55.733443685522936</v>
      </c>
    </row>
    <row r="6" spans="1:18" ht="16.5" x14ac:dyDescent="0.3">
      <c r="A6" s="95">
        <v>69.13</v>
      </c>
      <c r="B6" s="96">
        <f t="shared" si="0"/>
        <v>6.9129999999999997E-2</v>
      </c>
      <c r="C6" s="96">
        <f t="shared" si="1"/>
        <v>0.67747400000000002</v>
      </c>
      <c r="D6" s="96">
        <f t="shared" si="2"/>
        <v>0.67747400000000002</v>
      </c>
      <c r="E6" s="96">
        <v>13.7</v>
      </c>
      <c r="F6" s="96">
        <f t="shared" si="3"/>
        <v>3.6999999999999991E-2</v>
      </c>
      <c r="G6" s="97">
        <f t="shared" si="4"/>
        <v>18.310108108108114</v>
      </c>
      <c r="H6" s="98">
        <f t="shared" si="5"/>
        <v>-0.22005855855855216</v>
      </c>
      <c r="J6" s="110">
        <v>50.64</v>
      </c>
      <c r="K6" s="111">
        <f t="shared" si="6"/>
        <v>5.0640000000000004E-2</v>
      </c>
      <c r="L6" s="111">
        <f>8-K1</f>
        <v>1.4000000000000004</v>
      </c>
      <c r="M6" s="111">
        <f t="shared" si="7"/>
        <v>1.4000000000000004E-2</v>
      </c>
      <c r="N6" s="111">
        <f>K6*K2</f>
        <v>0.4962720000000001</v>
      </c>
      <c r="O6" s="112">
        <f t="shared" si="8"/>
        <v>35.448</v>
      </c>
      <c r="P6" s="111"/>
      <c r="Q6" s="111">
        <f>(44.48+M11+M12)</f>
        <v>53.204289931707592</v>
      </c>
      <c r="R6" s="111">
        <f>Q6+M12</f>
        <v>55.733443685522936</v>
      </c>
    </row>
    <row r="7" spans="1:18" ht="16.5" x14ac:dyDescent="0.3">
      <c r="A7" s="95">
        <v>78.22</v>
      </c>
      <c r="B7" s="96">
        <f t="shared" si="0"/>
        <v>7.8219999999999998E-2</v>
      </c>
      <c r="C7" s="96">
        <f t="shared" si="1"/>
        <v>0.76655600000000002</v>
      </c>
      <c r="D7" s="96">
        <f t="shared" si="2"/>
        <v>0.76655600000000002</v>
      </c>
      <c r="E7" s="96">
        <v>14</v>
      </c>
      <c r="F7" s="96">
        <f t="shared" si="3"/>
        <v>0.04</v>
      </c>
      <c r="G7" s="97">
        <f t="shared" si="4"/>
        <v>19.163900000000002</v>
      </c>
      <c r="H7" s="98">
        <f t="shared" si="5"/>
        <v>0.85379189189188764</v>
      </c>
      <c r="J7" s="113">
        <v>70.28</v>
      </c>
      <c r="K7" s="114">
        <f t="shared" si="6"/>
        <v>7.0280000000000009E-2</v>
      </c>
      <c r="L7" s="114">
        <f>8.4-K1</f>
        <v>1.8000000000000007</v>
      </c>
      <c r="M7" s="114">
        <f t="shared" si="7"/>
        <v>1.8000000000000009E-2</v>
      </c>
      <c r="N7" s="114">
        <f>K7*K2</f>
        <v>0.68874400000000013</v>
      </c>
      <c r="O7" s="115">
        <f t="shared" si="8"/>
        <v>38.263555555555541</v>
      </c>
      <c r="P7" s="114"/>
      <c r="Q7" s="111">
        <f>(44.48+M11+M12)</f>
        <v>53.204289931707592</v>
      </c>
      <c r="R7" s="111">
        <f>Q7+M12</f>
        <v>55.733443685522936</v>
      </c>
    </row>
    <row r="8" spans="1:18" ht="16.5" x14ac:dyDescent="0.3">
      <c r="A8" s="95">
        <v>87.72</v>
      </c>
      <c r="B8" s="96">
        <f t="shared" si="0"/>
        <v>8.7720000000000006E-2</v>
      </c>
      <c r="C8" s="96">
        <f t="shared" si="1"/>
        <v>0.85965600000000009</v>
      </c>
      <c r="D8" s="96">
        <f t="shared" si="2"/>
        <v>0.85965600000000009</v>
      </c>
      <c r="E8" s="96">
        <v>14.6</v>
      </c>
      <c r="F8" s="96">
        <f t="shared" si="3"/>
        <v>4.5999999999999999E-2</v>
      </c>
      <c r="G8" s="97">
        <f t="shared" si="4"/>
        <v>18.688173913043482</v>
      </c>
      <c r="H8" s="98">
        <f t="shared" si="5"/>
        <v>-0.47572608695652008</v>
      </c>
      <c r="J8" s="110">
        <v>90.63</v>
      </c>
      <c r="K8" s="111">
        <f t="shared" si="6"/>
        <v>9.0630000000000002E-2</v>
      </c>
      <c r="L8" s="111">
        <f>8.9-K1</f>
        <v>2.3000000000000007</v>
      </c>
      <c r="M8" s="111">
        <f t="shared" si="7"/>
        <v>2.3000000000000007E-2</v>
      </c>
      <c r="N8" s="111">
        <f>K8*K2</f>
        <v>0.88817400000000013</v>
      </c>
      <c r="O8" s="112">
        <f t="shared" si="8"/>
        <v>38.61626086956521</v>
      </c>
      <c r="P8" s="111"/>
      <c r="Q8" s="111">
        <f>(44.48+M11+M12)</f>
        <v>53.204289931707592</v>
      </c>
      <c r="R8" s="111">
        <f>Q8+M12</f>
        <v>55.733443685522936</v>
      </c>
    </row>
    <row r="9" spans="1:18" ht="16.5" x14ac:dyDescent="0.3">
      <c r="A9" s="95">
        <v>88.45</v>
      </c>
      <c r="B9" s="96">
        <f t="shared" si="0"/>
        <v>8.8450000000000001E-2</v>
      </c>
      <c r="C9" s="96">
        <f t="shared" si="1"/>
        <v>0.86681000000000008</v>
      </c>
      <c r="D9" s="96">
        <f t="shared" si="2"/>
        <v>0.86681000000000008</v>
      </c>
      <c r="E9" s="96">
        <v>14.7</v>
      </c>
      <c r="F9" s="96">
        <f t="shared" si="3"/>
        <v>4.6999999999999993E-2</v>
      </c>
      <c r="G9" s="97">
        <f t="shared" si="4"/>
        <v>18.442765957446813</v>
      </c>
      <c r="H9" s="98">
        <f t="shared" si="5"/>
        <v>-0.24540795559666861</v>
      </c>
      <c r="J9" s="116">
        <v>114.86</v>
      </c>
      <c r="K9" s="117">
        <f t="shared" si="6"/>
        <v>0.11486</v>
      </c>
      <c r="L9" s="117">
        <f>9.3-K1</f>
        <v>2.7000000000000011</v>
      </c>
      <c r="M9" s="117">
        <f t="shared" si="7"/>
        <v>2.700000000000001E-2</v>
      </c>
      <c r="N9" s="117">
        <f>K9*K2</f>
        <v>1.1256280000000001</v>
      </c>
      <c r="O9" s="118">
        <f t="shared" si="8"/>
        <v>41.689925925925913</v>
      </c>
      <c r="P9" s="114"/>
      <c r="Q9" s="111">
        <f>(44.48+M11+M12)</f>
        <v>53.204289931707592</v>
      </c>
      <c r="R9" s="111">
        <f>Q9+M12</f>
        <v>55.733443685522936</v>
      </c>
    </row>
    <row r="10" spans="1:18" ht="16.5" x14ac:dyDescent="0.3">
      <c r="A10" s="95">
        <v>97.8</v>
      </c>
      <c r="B10" s="96">
        <f t="shared" si="0"/>
        <v>9.7799999999999998E-2</v>
      </c>
      <c r="C10" s="96">
        <f t="shared" si="1"/>
        <v>0.95844000000000007</v>
      </c>
      <c r="D10" s="96">
        <f t="shared" si="2"/>
        <v>0.95844000000000007</v>
      </c>
      <c r="E10" s="96">
        <v>15.3</v>
      </c>
      <c r="F10" s="96">
        <f t="shared" si="3"/>
        <v>5.3000000000000005E-2</v>
      </c>
      <c r="G10" s="97">
        <f t="shared" si="4"/>
        <v>18.083773584905661</v>
      </c>
      <c r="H10" s="98">
        <f t="shared" si="5"/>
        <v>-0.35899237254115235</v>
      </c>
      <c r="J10" s="175" t="s">
        <v>177</v>
      </c>
      <c r="K10" s="176"/>
      <c r="L10" s="177"/>
      <c r="M10" s="104">
        <f>AVERAGE(O4:O9)</f>
        <v>34.986157058507771</v>
      </c>
      <c r="N10" s="104"/>
      <c r="O10" s="104"/>
      <c r="P10" s="104"/>
      <c r="Q10" s="104"/>
      <c r="R10" s="104"/>
    </row>
    <row r="11" spans="1:18" ht="17.25" thickBot="1" x14ac:dyDescent="0.35">
      <c r="A11" s="95">
        <v>98.52</v>
      </c>
      <c r="B11" s="96">
        <f t="shared" si="0"/>
        <v>9.8519999999999996E-2</v>
      </c>
      <c r="C11" s="96">
        <f t="shared" si="1"/>
        <v>0.96549600000000002</v>
      </c>
      <c r="D11" s="96">
        <f t="shared" si="2"/>
        <v>0.96549600000000002</v>
      </c>
      <c r="E11" s="99">
        <v>15.4</v>
      </c>
      <c r="F11" s="96">
        <f t="shared" si="3"/>
        <v>5.4000000000000006E-2</v>
      </c>
      <c r="G11" s="97">
        <f t="shared" si="4"/>
        <v>17.879555555555555</v>
      </c>
      <c r="H11" s="98">
        <f t="shared" si="5"/>
        <v>-0.20421802935010547</v>
      </c>
      <c r="J11" s="178" t="s">
        <v>178</v>
      </c>
      <c r="K11" s="179"/>
      <c r="L11" s="180"/>
      <c r="M11" s="104">
        <f>_xlfn.STDEV.S(O4:O9)</f>
        <v>6.1951361778922536</v>
      </c>
      <c r="N11" s="104"/>
      <c r="O11" s="104"/>
      <c r="P11" s="104"/>
      <c r="Q11" s="104"/>
      <c r="R11" s="104"/>
    </row>
    <row r="12" spans="1:18" ht="16.5" x14ac:dyDescent="0.3">
      <c r="A12" s="169" t="s">
        <v>177</v>
      </c>
      <c r="B12" s="170"/>
      <c r="C12" s="170"/>
      <c r="D12" s="171"/>
      <c r="E12" s="100">
        <f>G12</f>
        <v>19.262577334038216</v>
      </c>
      <c r="F12" s="3"/>
      <c r="G12" s="3">
        <f>AVERAGE(G2:G11)</f>
        <v>19.262577334038216</v>
      </c>
      <c r="H12" s="3"/>
      <c r="J12" s="181" t="s">
        <v>179</v>
      </c>
      <c r="K12" s="182"/>
      <c r="L12" s="183"/>
      <c r="M12" s="104">
        <f>M11/SQRT(6)</f>
        <v>2.529153753815343</v>
      </c>
      <c r="N12" s="104"/>
      <c r="O12" s="104"/>
      <c r="P12" s="104"/>
      <c r="Q12" s="104"/>
      <c r="R12" s="104"/>
    </row>
    <row r="13" spans="1:18" x14ac:dyDescent="0.25">
      <c r="A13" s="169" t="s">
        <v>178</v>
      </c>
      <c r="B13" s="170"/>
      <c r="C13" s="170"/>
      <c r="D13" s="171"/>
      <c r="E13" s="100">
        <f>_xlfn.STDEV.S(G2:G11)</f>
        <v>1.5273668152842281</v>
      </c>
      <c r="F13" s="3"/>
      <c r="G13" s="3"/>
      <c r="H13" s="3"/>
    </row>
    <row r="14" spans="1:18" ht="15.75" thickBot="1" x14ac:dyDescent="0.3">
      <c r="A14" s="172" t="s">
        <v>179</v>
      </c>
      <c r="B14" s="173"/>
      <c r="C14" s="173"/>
      <c r="D14" s="174"/>
      <c r="E14" s="101">
        <f>E13/SQRT(10)</f>
        <v>0.48299579588558378</v>
      </c>
      <c r="F14" s="3"/>
      <c r="G14" s="3"/>
      <c r="H14" s="3"/>
    </row>
  </sheetData>
  <mergeCells count="6">
    <mergeCell ref="A12:D12"/>
    <mergeCell ref="A13:D13"/>
    <mergeCell ref="A14:D14"/>
    <mergeCell ref="J10:L10"/>
    <mergeCell ref="J11:L11"/>
    <mergeCell ref="J12:L12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8AE2E-27D8-40C8-B129-F8ECE2FE09EF}">
  <dimension ref="A1:M21"/>
  <sheetViews>
    <sheetView tabSelected="1" workbookViewId="0">
      <selection activeCell="K12" sqref="K12"/>
    </sheetView>
  </sheetViews>
  <sheetFormatPr defaultRowHeight="15" x14ac:dyDescent="0.25"/>
  <cols>
    <col min="1" max="1" width="18.140625" bestFit="1" customWidth="1"/>
    <col min="2" max="3" width="12" bestFit="1" customWidth="1"/>
    <col min="4" max="4" width="28.140625" bestFit="1" customWidth="1"/>
    <col min="5" max="5" width="10" bestFit="1" customWidth="1"/>
    <col min="6" max="6" width="12" bestFit="1" customWidth="1"/>
    <col min="7" max="7" width="27.140625" bestFit="1" customWidth="1"/>
    <col min="8" max="9" width="12" bestFit="1" customWidth="1"/>
  </cols>
  <sheetData>
    <row r="1" spans="1:13" ht="15.75" thickBot="1" x14ac:dyDescent="0.3">
      <c r="A1" s="184" t="s">
        <v>213</v>
      </c>
      <c r="B1" s="185"/>
      <c r="C1" s="186"/>
      <c r="D1" s="184" t="s">
        <v>212</v>
      </c>
      <c r="E1" s="185"/>
      <c r="F1" s="186"/>
      <c r="G1" s="184" t="s">
        <v>211</v>
      </c>
      <c r="H1" s="185"/>
      <c r="I1" s="186"/>
    </row>
    <row r="2" spans="1:13" ht="15.75" thickBot="1" x14ac:dyDescent="0.3">
      <c r="A2" s="139"/>
      <c r="B2" s="138" t="s">
        <v>30</v>
      </c>
      <c r="C2" s="137" t="s">
        <v>31</v>
      </c>
      <c r="D2" s="139"/>
      <c r="E2" s="138" t="s">
        <v>30</v>
      </c>
      <c r="F2" s="137" t="s">
        <v>31</v>
      </c>
      <c r="G2" s="139"/>
      <c r="H2" s="138" t="s">
        <v>30</v>
      </c>
      <c r="I2" s="137" t="s">
        <v>31</v>
      </c>
    </row>
    <row r="3" spans="1:13" x14ac:dyDescent="0.25">
      <c r="A3" s="135" t="s">
        <v>210</v>
      </c>
      <c r="B3" s="135">
        <v>16</v>
      </c>
      <c r="C3" s="136"/>
      <c r="D3" s="135" t="s">
        <v>214</v>
      </c>
      <c r="E3" s="135">
        <v>3.5</v>
      </c>
      <c r="F3" s="136"/>
      <c r="G3" s="187" t="s">
        <v>5</v>
      </c>
      <c r="H3" s="135">
        <v>1</v>
      </c>
      <c r="I3" s="136"/>
      <c r="K3" s="193" t="s">
        <v>222</v>
      </c>
      <c r="L3" s="190" t="s">
        <v>221</v>
      </c>
      <c r="M3" s="190">
        <f>M6/M7</f>
        <v>0.14149789983194438</v>
      </c>
    </row>
    <row r="4" spans="1:13" x14ac:dyDescent="0.25">
      <c r="A4" s="130" t="s">
        <v>209</v>
      </c>
      <c r="B4" s="130">
        <v>0.21</v>
      </c>
      <c r="C4" s="133"/>
      <c r="D4" s="130" t="s">
        <v>215</v>
      </c>
      <c r="E4" s="130">
        <v>6.3</v>
      </c>
      <c r="F4" s="133"/>
      <c r="G4" s="141" t="s">
        <v>208</v>
      </c>
      <c r="H4" s="130">
        <v>0.28100000000000003</v>
      </c>
      <c r="I4" s="133"/>
      <c r="K4" t="s">
        <v>223</v>
      </c>
      <c r="L4" t="s">
        <v>224</v>
      </c>
      <c r="M4">
        <f>(((2*PI()/H5)*H4) ^2)/H4</f>
        <v>1.4149789983194438</v>
      </c>
    </row>
    <row r="5" spans="1:13" ht="15.75" thickBot="1" x14ac:dyDescent="0.3">
      <c r="A5" s="128" t="s">
        <v>207</v>
      </c>
      <c r="B5" s="134"/>
      <c r="C5" s="142">
        <f>B3/B4</f>
        <v>76.19047619047619</v>
      </c>
      <c r="D5" s="128" t="s">
        <v>216</v>
      </c>
      <c r="E5" s="128">
        <v>2.6</v>
      </c>
      <c r="F5" s="127"/>
      <c r="G5" s="188" t="s">
        <v>226</v>
      </c>
      <c r="H5" s="128">
        <v>2.8</v>
      </c>
      <c r="I5" s="127"/>
      <c r="K5" t="s">
        <v>225</v>
      </c>
      <c r="L5" t="s">
        <v>227</v>
      </c>
      <c r="M5">
        <f>(2*PI()/H5)*H4</f>
        <v>0.63056252547052283</v>
      </c>
    </row>
    <row r="6" spans="1:13" x14ac:dyDescent="0.25">
      <c r="D6" s="130" t="s">
        <v>217</v>
      </c>
      <c r="E6" s="189">
        <f>SQRT(2*E9/E7)</f>
        <v>3.4882660448996718</v>
      </c>
      <c r="F6" s="121"/>
      <c r="G6" s="141" t="s">
        <v>206</v>
      </c>
      <c r="H6" s="140"/>
      <c r="I6">
        <f>2*PI()/H5</f>
        <v>2.2439947525641379</v>
      </c>
      <c r="K6" t="s">
        <v>229</v>
      </c>
      <c r="L6" t="s">
        <v>228</v>
      </c>
      <c r="M6">
        <f>H3*M4</f>
        <v>1.4149789983194438</v>
      </c>
    </row>
    <row r="7" spans="1:13" x14ac:dyDescent="0.25">
      <c r="D7" s="130" t="s">
        <v>218</v>
      </c>
      <c r="E7" s="141">
        <f>2*E8/E5 ^2</f>
        <v>10.147928994082841</v>
      </c>
      <c r="F7" s="121"/>
      <c r="G7" s="141" t="s">
        <v>205</v>
      </c>
      <c r="H7" s="140"/>
      <c r="I7">
        <f>H4*I6</f>
        <v>0.63056252547052283</v>
      </c>
      <c r="K7" t="s">
        <v>230</v>
      </c>
      <c r="L7" t="s">
        <v>231</v>
      </c>
      <c r="M7">
        <f>H3*J10</f>
        <v>10</v>
      </c>
    </row>
    <row r="8" spans="1:13" x14ac:dyDescent="0.25">
      <c r="D8" s="130" t="s">
        <v>219</v>
      </c>
      <c r="E8" s="141">
        <f>E3*E10</f>
        <v>34.300000000000004</v>
      </c>
      <c r="F8" s="121"/>
      <c r="G8" s="141" t="s">
        <v>204</v>
      </c>
      <c r="H8" s="140"/>
      <c r="I8">
        <f>H3*10</f>
        <v>10</v>
      </c>
    </row>
    <row r="9" spans="1:13" x14ac:dyDescent="0.25">
      <c r="D9" s="130" t="s">
        <v>220</v>
      </c>
      <c r="E9" s="141">
        <f>E4*E10</f>
        <v>61.74</v>
      </c>
      <c r="F9" s="121"/>
      <c r="G9" s="141" t="s">
        <v>203</v>
      </c>
      <c r="H9" s="140"/>
      <c r="I9">
        <f>H3*I7^2/H4</f>
        <v>1.4149789983194438</v>
      </c>
    </row>
    <row r="10" spans="1:13" ht="15.75" thickBot="1" x14ac:dyDescent="0.3">
      <c r="D10" s="128" t="s">
        <v>34</v>
      </c>
      <c r="E10" s="188">
        <v>9.8000000000000007</v>
      </c>
      <c r="F10" s="127"/>
      <c r="G10" s="141" t="s">
        <v>202</v>
      </c>
      <c r="H10" s="140"/>
      <c r="I10" s="191">
        <f>I9/I8</f>
        <v>0.14149789983194438</v>
      </c>
      <c r="J10">
        <v>10</v>
      </c>
    </row>
    <row r="11" spans="1:13" ht="15.75" thickBot="1" x14ac:dyDescent="0.3">
      <c r="I11" s="192">
        <f>I7^2/(H4*9.8)</f>
        <v>0.14438561207341263</v>
      </c>
      <c r="J11">
        <v>9.8000000000000007</v>
      </c>
    </row>
    <row r="12" spans="1:13" ht="15.75" thickBot="1" x14ac:dyDescent="0.3">
      <c r="A12" s="184" t="s">
        <v>201</v>
      </c>
      <c r="B12" s="185"/>
      <c r="C12" s="186"/>
      <c r="D12" s="184" t="s">
        <v>200</v>
      </c>
      <c r="E12" s="185"/>
      <c r="F12" s="186"/>
      <c r="G12" s="184" t="s">
        <v>199</v>
      </c>
      <c r="H12" s="185"/>
      <c r="I12" s="186"/>
    </row>
    <row r="13" spans="1:13" ht="15.75" thickBot="1" x14ac:dyDescent="0.3">
      <c r="A13" s="139"/>
      <c r="B13" s="138" t="s">
        <v>30</v>
      </c>
      <c r="C13" s="137" t="s">
        <v>31</v>
      </c>
      <c r="D13" s="139"/>
      <c r="E13" s="138" t="s">
        <v>30</v>
      </c>
      <c r="F13" s="137" t="s">
        <v>31</v>
      </c>
      <c r="G13" s="139"/>
      <c r="H13" s="138" t="s">
        <v>30</v>
      </c>
      <c r="I13" s="137" t="s">
        <v>31</v>
      </c>
    </row>
    <row r="14" spans="1:13" x14ac:dyDescent="0.25">
      <c r="A14" s="135" t="s">
        <v>198</v>
      </c>
      <c r="B14" s="135">
        <v>8</v>
      </c>
      <c r="C14" s="136"/>
      <c r="D14" s="126" t="s">
        <v>197</v>
      </c>
      <c r="E14" s="135">
        <f>5.972 * 10^24</f>
        <v>5.9720000000000003E+24</v>
      </c>
      <c r="F14" s="136"/>
      <c r="G14" s="135" t="s">
        <v>196</v>
      </c>
      <c r="H14" s="135">
        <v>20</v>
      </c>
      <c r="I14" s="124">
        <f>E15*H14</f>
        <v>127420000</v>
      </c>
    </row>
    <row r="15" spans="1:13" ht="15.75" thickBot="1" x14ac:dyDescent="0.3">
      <c r="A15" s="130" t="s">
        <v>195</v>
      </c>
      <c r="B15" s="130">
        <f>25/3.6</f>
        <v>6.9444444444444446</v>
      </c>
      <c r="C15" s="133"/>
      <c r="D15" s="123" t="s">
        <v>194</v>
      </c>
      <c r="E15" s="130">
        <f>6.371*10^6</f>
        <v>6371000</v>
      </c>
      <c r="F15" s="133"/>
      <c r="G15" s="128" t="s">
        <v>193</v>
      </c>
      <c r="H15" s="134"/>
      <c r="I15" s="142">
        <f>SQRT(E14*E16/I14)</f>
        <v>1768.6186499789951</v>
      </c>
    </row>
    <row r="16" spans="1:13" ht="15.75" thickBot="1" x14ac:dyDescent="0.3">
      <c r="A16" s="128" t="s">
        <v>192</v>
      </c>
      <c r="B16" s="134"/>
      <c r="C16" s="142">
        <f>DEGREES(ATAN((B15^2/B14)/9.8))</f>
        <v>31.596451412502134</v>
      </c>
      <c r="D16" s="123" t="s">
        <v>191</v>
      </c>
      <c r="E16" s="130">
        <f>6.674 * 10^(-11)</f>
        <v>6.6739999999999994E-11</v>
      </c>
      <c r="F16" s="133"/>
      <c r="G16" s="132"/>
      <c r="H16" s="131"/>
      <c r="I16" s="131"/>
    </row>
    <row r="17" spans="4:9" x14ac:dyDescent="0.25">
      <c r="D17" s="123" t="s">
        <v>190</v>
      </c>
      <c r="E17" s="130">
        <v>9</v>
      </c>
      <c r="F17" s="121">
        <f>E14*E17</f>
        <v>5.3748000000000005E+25</v>
      </c>
      <c r="H17" s="129"/>
      <c r="I17" s="129"/>
    </row>
    <row r="18" spans="4:9" ht="15.75" thickBot="1" x14ac:dyDescent="0.3">
      <c r="D18" s="120" t="s">
        <v>189</v>
      </c>
      <c r="E18" s="128">
        <v>5</v>
      </c>
      <c r="F18" s="127">
        <f>E15*E18</f>
        <v>31855000</v>
      </c>
    </row>
    <row r="19" spans="4:9" x14ac:dyDescent="0.25">
      <c r="D19" s="126" t="s">
        <v>188</v>
      </c>
      <c r="E19" s="125"/>
      <c r="F19" s="124">
        <f>E16*(E14/(E15^2))</f>
        <v>9.8195320328159585</v>
      </c>
    </row>
    <row r="20" spans="4:9" x14ac:dyDescent="0.25">
      <c r="D20" s="123" t="s">
        <v>187</v>
      </c>
      <c r="E20" s="122"/>
      <c r="F20" s="121">
        <f>E16*(F17/(F18^2))</f>
        <v>3.5350315318137451</v>
      </c>
    </row>
    <row r="21" spans="4:9" ht="15.75" thickBot="1" x14ac:dyDescent="0.3">
      <c r="D21" s="120" t="s">
        <v>186</v>
      </c>
      <c r="E21" s="57"/>
      <c r="F21" s="119">
        <f>F20/F19</f>
        <v>0.36</v>
      </c>
    </row>
  </sheetData>
  <mergeCells count="6">
    <mergeCell ref="G12:I12"/>
    <mergeCell ref="A1:C1"/>
    <mergeCell ref="D1:F1"/>
    <mergeCell ref="G1:I1"/>
    <mergeCell ref="A12:C12"/>
    <mergeCell ref="D12:F1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Leis de N</vt:lpstr>
      <vt:lpstr>Planilha1</vt:lpstr>
      <vt:lpstr>Queda Livre</vt:lpstr>
      <vt:lpstr>teste 1</vt:lpstr>
      <vt:lpstr>Planilha3</vt:lpstr>
      <vt:lpstr>Planilha4</vt:lpstr>
      <vt:lpstr>teste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</dc:creator>
  <cp:lastModifiedBy>Guilh</cp:lastModifiedBy>
  <dcterms:created xsi:type="dcterms:W3CDTF">2023-03-14T22:43:23Z</dcterms:created>
  <dcterms:modified xsi:type="dcterms:W3CDTF">2023-04-13T20:11:22Z</dcterms:modified>
</cp:coreProperties>
</file>