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retórios\Zaldef\Fisica A\"/>
    </mc:Choice>
  </mc:AlternateContent>
  <xr:revisionPtr revIDLastSave="0" documentId="13_ncr:1_{433DFBDE-9E15-40D6-A40F-8D9B9601FA5C}" xr6:coauthVersionLast="36" xr6:coauthVersionMax="36" xr10:uidLastSave="{00000000-0000-0000-0000-000000000000}"/>
  <bookViews>
    <workbookView xWindow="-120" yWindow="-120" windowWidth="20640" windowHeight="11160" firstSheet="1" activeTab="8" xr2:uid="{2C1F22F9-8DA6-4F27-8223-5F8B928661FB}"/>
  </bookViews>
  <sheets>
    <sheet name="Leis de N" sheetId="1" r:id="rId1"/>
    <sheet name="Planilha1" sheetId="4" r:id="rId2"/>
    <sheet name="Queda Livre" sheetId="3" r:id="rId3"/>
    <sheet name="Planilha3" sheetId="5" r:id="rId4"/>
    <sheet name="Planilha4" sheetId="6" r:id="rId5"/>
    <sheet name="teste 1" sheetId="2" r:id="rId6"/>
    <sheet name="teste 2" sheetId="7" r:id="rId7"/>
    <sheet name="Teste 3" sheetId="8" r:id="rId8"/>
    <sheet name="At 6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9" l="1"/>
  <c r="G44" i="9"/>
  <c r="G43" i="9"/>
  <c r="G42" i="9"/>
  <c r="G41" i="9"/>
  <c r="F41" i="9"/>
  <c r="D42" i="9"/>
  <c r="D41" i="9"/>
  <c r="G23" i="9"/>
  <c r="G27" i="9"/>
  <c r="G26" i="9"/>
  <c r="G25" i="9"/>
  <c r="G24" i="9"/>
  <c r="D50" i="9" l="1"/>
  <c r="D54" i="9"/>
  <c r="D53" i="9"/>
  <c r="D52" i="9"/>
  <c r="D51" i="9"/>
  <c r="D55" i="9"/>
  <c r="D45" i="9"/>
  <c r="D44" i="9"/>
  <c r="D43" i="9"/>
  <c r="B2" i="9"/>
  <c r="G36" i="9"/>
  <c r="H36" i="9" s="1"/>
  <c r="E54" i="9" s="1"/>
  <c r="F54" i="9" s="1"/>
  <c r="G54" i="9" s="1"/>
  <c r="G35" i="9"/>
  <c r="H35" i="9" s="1"/>
  <c r="E53" i="9" s="1"/>
  <c r="F53" i="9" s="1"/>
  <c r="G53" i="9" s="1"/>
  <c r="G34" i="9"/>
  <c r="H34" i="9" s="1"/>
  <c r="E52" i="9" s="1"/>
  <c r="F52" i="9" s="1"/>
  <c r="G52" i="9" s="1"/>
  <c r="G33" i="9"/>
  <c r="H33" i="9" s="1"/>
  <c r="E51" i="9" s="1"/>
  <c r="F51" i="9" s="1"/>
  <c r="G51" i="9" s="1"/>
  <c r="G32" i="9"/>
  <c r="H32" i="9" s="1"/>
  <c r="E50" i="9" s="1"/>
  <c r="F50" i="9" s="1"/>
  <c r="G50" i="9" s="1"/>
  <c r="E32" i="9"/>
  <c r="E45" i="9"/>
  <c r="E44" i="9"/>
  <c r="E42" i="9"/>
  <c r="F42" i="9" s="1"/>
  <c r="E36" i="9"/>
  <c r="E35" i="9"/>
  <c r="E34" i="9"/>
  <c r="E33" i="9"/>
  <c r="F37" i="9"/>
  <c r="D37" i="9"/>
  <c r="H28" i="9"/>
  <c r="D28" i="9"/>
  <c r="G28" i="9"/>
  <c r="F28" i="9"/>
  <c r="H24" i="9"/>
  <c r="H25" i="9"/>
  <c r="E43" i="9" s="1"/>
  <c r="F43" i="9" s="1"/>
  <c r="H26" i="9"/>
  <c r="H27" i="9"/>
  <c r="H23" i="9"/>
  <c r="E41" i="9" s="1"/>
  <c r="E27" i="9"/>
  <c r="E26" i="9"/>
  <c r="E25" i="9"/>
  <c r="E24" i="9"/>
  <c r="E23" i="9"/>
  <c r="E28" i="9" s="1"/>
  <c r="E3" i="9"/>
  <c r="E4" i="9"/>
  <c r="E5" i="9"/>
  <c r="D18" i="9"/>
  <c r="F18" i="9"/>
  <c r="G17" i="9"/>
  <c r="G16" i="9"/>
  <c r="G15" i="9"/>
  <c r="G13" i="9"/>
  <c r="G14" i="9"/>
  <c r="E17" i="9"/>
  <c r="E16" i="9"/>
  <c r="E15" i="9"/>
  <c r="E14" i="9"/>
  <c r="E13" i="9"/>
  <c r="F44" i="9" l="1"/>
  <c r="E46" i="9"/>
  <c r="G55" i="9"/>
  <c r="E55" i="9"/>
  <c r="F45" i="9"/>
  <c r="D46" i="9"/>
  <c r="E37" i="9"/>
  <c r="G37" i="9"/>
  <c r="H37" i="9"/>
  <c r="H17" i="9"/>
  <c r="I17" i="9"/>
  <c r="H16" i="9"/>
  <c r="I16" i="9"/>
  <c r="H15" i="9"/>
  <c r="I15" i="9"/>
  <c r="H14" i="9"/>
  <c r="I14" i="9"/>
  <c r="H13" i="9"/>
  <c r="G18" i="9"/>
  <c r="F19" i="9" s="1"/>
  <c r="H4" i="9"/>
  <c r="H5" i="9"/>
  <c r="H6" i="9"/>
  <c r="H7" i="9"/>
  <c r="H3" i="9"/>
  <c r="G46" i="9" l="1"/>
  <c r="F46" i="9"/>
  <c r="F55" i="9"/>
  <c r="H8" i="9"/>
  <c r="H18" i="9"/>
  <c r="E18" i="9"/>
  <c r="D19" i="9" s="1"/>
  <c r="I13" i="9"/>
  <c r="I18" i="9" s="1"/>
  <c r="E7" i="9"/>
  <c r="E6" i="9"/>
  <c r="G7" i="9"/>
  <c r="I7" i="9" s="1"/>
  <c r="G6" i="9"/>
  <c r="I6" i="9" s="1"/>
  <c r="G5" i="9"/>
  <c r="I5" i="9" s="1"/>
  <c r="G4" i="9"/>
  <c r="I4" i="9" s="1"/>
  <c r="G3" i="9"/>
  <c r="F8" i="9"/>
  <c r="D8" i="9"/>
  <c r="E15" i="8"/>
  <c r="B14" i="8"/>
  <c r="B16" i="8" s="1"/>
  <c r="K13" i="8"/>
  <c r="K14" i="8" s="1"/>
  <c r="K11" i="8" s="1"/>
  <c r="L10" i="8" s="1"/>
  <c r="E13" i="8"/>
  <c r="N12" i="8"/>
  <c r="N8" i="8" s="1"/>
  <c r="O7" i="8" s="1"/>
  <c r="E12" i="8"/>
  <c r="E11" i="8"/>
  <c r="N10" i="8"/>
  <c r="E10" i="8"/>
  <c r="O9" i="8"/>
  <c r="F9" i="8"/>
  <c r="B9" i="8"/>
  <c r="C8" i="8" s="1"/>
  <c r="E8" i="8"/>
  <c r="F7" i="8" s="1"/>
  <c r="H5" i="8"/>
  <c r="H19" i="9" l="1"/>
  <c r="E8" i="9"/>
  <c r="D9" i="9" s="1"/>
  <c r="I3" i="9"/>
  <c r="I8" i="9" s="1"/>
  <c r="H9" i="9" s="1"/>
  <c r="G8" i="9"/>
  <c r="F9" i="9" s="1"/>
  <c r="K9" i="8"/>
  <c r="L8" i="8" s="1"/>
  <c r="H12" i="8"/>
  <c r="H8" i="8"/>
  <c r="I7" i="8" s="1"/>
  <c r="B11" i="8"/>
  <c r="B15" i="8"/>
  <c r="B12" i="8"/>
  <c r="C10" i="8" l="1"/>
  <c r="H14" i="8"/>
  <c r="H13" i="8"/>
  <c r="I14" i="8" s="1"/>
  <c r="H10" i="8" l="1"/>
  <c r="I9" i="8" s="1"/>
  <c r="M5" i="7"/>
  <c r="M4" i="7"/>
  <c r="M6" i="7" s="1"/>
  <c r="M7" i="7"/>
  <c r="I8" i="7"/>
  <c r="I6" i="7"/>
  <c r="B15" i="7"/>
  <c r="C16" i="7" s="1"/>
  <c r="E9" i="7"/>
  <c r="E8" i="7"/>
  <c r="E7" i="7" s="1"/>
  <c r="I7" i="7"/>
  <c r="I11" i="7" s="1"/>
  <c r="E15" i="7"/>
  <c r="E14" i="7"/>
  <c r="E6" i="7" l="1"/>
  <c r="M3" i="7"/>
  <c r="I9" i="7"/>
  <c r="I10" i="7" s="1"/>
  <c r="C5" i="7"/>
  <c r="F17" i="7"/>
  <c r="F18" i="7"/>
  <c r="E16" i="7"/>
  <c r="F19" i="7" s="1"/>
  <c r="L9" i="6"/>
  <c r="M9" i="6" s="1"/>
  <c r="K9" i="6"/>
  <c r="N9" i="6" s="1"/>
  <c r="O9" i="6" s="1"/>
  <c r="L8" i="6"/>
  <c r="M8" i="6" s="1"/>
  <c r="K8" i="6"/>
  <c r="N8" i="6" s="1"/>
  <c r="O8" i="6" s="1"/>
  <c r="L7" i="6"/>
  <c r="M7" i="6" s="1"/>
  <c r="K7" i="6"/>
  <c r="N7" i="6" s="1"/>
  <c r="O7" i="6" s="1"/>
  <c r="L6" i="6"/>
  <c r="M6" i="6" s="1"/>
  <c r="K6" i="6"/>
  <c r="N6" i="6" s="1"/>
  <c r="O6" i="6" s="1"/>
  <c r="L5" i="6"/>
  <c r="M5" i="6" s="1"/>
  <c r="K5" i="6"/>
  <c r="N5" i="6" s="1"/>
  <c r="O5" i="6" s="1"/>
  <c r="L4" i="6"/>
  <c r="M4" i="6" s="1"/>
  <c r="K4" i="6"/>
  <c r="N4" i="6" s="1"/>
  <c r="O4" i="6" s="1"/>
  <c r="F20" i="7" l="1"/>
  <c r="F21" i="7" s="1"/>
  <c r="I14" i="7"/>
  <c r="I15" i="7" s="1"/>
  <c r="M11" i="6"/>
  <c r="M10" i="6"/>
  <c r="M12" i="6" l="1"/>
  <c r="Q6" i="6" s="1"/>
  <c r="R6" i="6" s="1"/>
  <c r="Q5" i="6" l="1"/>
  <c r="R5" i="6" s="1"/>
  <c r="Q4" i="6"/>
  <c r="R4" i="6" s="1"/>
  <c r="Q7" i="6"/>
  <c r="R7" i="6" s="1"/>
  <c r="Q9" i="6"/>
  <c r="R9" i="6" s="1"/>
  <c r="Q8" i="6"/>
  <c r="R8" i="6" s="1"/>
  <c r="F11" i="6" l="1"/>
  <c r="B11" i="6"/>
  <c r="D11" i="6" s="1"/>
  <c r="G11" i="6" s="1"/>
  <c r="F10" i="6"/>
  <c r="B10" i="6"/>
  <c r="D10" i="6" s="1"/>
  <c r="G10" i="6" s="1"/>
  <c r="F9" i="6"/>
  <c r="B9" i="6"/>
  <c r="D9" i="6" s="1"/>
  <c r="G9" i="6" s="1"/>
  <c r="F8" i="6"/>
  <c r="B8" i="6"/>
  <c r="D8" i="6" s="1"/>
  <c r="G8" i="6" s="1"/>
  <c r="F7" i="6"/>
  <c r="B7" i="6"/>
  <c r="C7" i="6" s="1"/>
  <c r="F6" i="6"/>
  <c r="B6" i="6"/>
  <c r="D6" i="6" s="1"/>
  <c r="G6" i="6" s="1"/>
  <c r="F5" i="6"/>
  <c r="B5" i="6"/>
  <c r="C5" i="6" s="1"/>
  <c r="F4" i="6"/>
  <c r="B4" i="6"/>
  <c r="D4" i="6" s="1"/>
  <c r="G4" i="6" s="1"/>
  <c r="F3" i="6"/>
  <c r="B3" i="6"/>
  <c r="D3" i="6" s="1"/>
  <c r="G3" i="6" s="1"/>
  <c r="F2" i="6"/>
  <c r="B2" i="6"/>
  <c r="D2" i="6" s="1"/>
  <c r="G2" i="6" s="1"/>
  <c r="H9" i="6" l="1"/>
  <c r="H2" i="6"/>
  <c r="H3" i="6"/>
  <c r="H4" i="6"/>
  <c r="H10" i="6"/>
  <c r="H11" i="6"/>
  <c r="D7" i="6"/>
  <c r="G7" i="6" s="1"/>
  <c r="H7" i="6" s="1"/>
  <c r="C9" i="6"/>
  <c r="D5" i="6"/>
  <c r="G5" i="6" s="1"/>
  <c r="H5" i="6" s="1"/>
  <c r="C11" i="6"/>
  <c r="C2" i="6"/>
  <c r="C4" i="6"/>
  <c r="C6" i="6"/>
  <c r="C8" i="6"/>
  <c r="C10" i="6"/>
  <c r="C3" i="6"/>
  <c r="B3" i="5"/>
  <c r="C3" i="5"/>
  <c r="D3" i="5"/>
  <c r="B4" i="5"/>
  <c r="C4" i="5"/>
  <c r="D4" i="5"/>
  <c r="B5" i="5"/>
  <c r="C5" i="5"/>
  <c r="D5" i="5"/>
  <c r="B6" i="5"/>
  <c r="C6" i="5"/>
  <c r="D6" i="5"/>
  <c r="B7" i="5"/>
  <c r="C7" i="5"/>
  <c r="D7" i="5"/>
  <c r="B8" i="5"/>
  <c r="C8" i="5"/>
  <c r="D8" i="5"/>
  <c r="B9" i="5"/>
  <c r="C9" i="5"/>
  <c r="D9" i="5"/>
  <c r="D2" i="5"/>
  <c r="C2" i="5"/>
  <c r="B2" i="5"/>
  <c r="I3" i="4"/>
  <c r="I4" i="4"/>
  <c r="I5" i="4"/>
  <c r="I6" i="4"/>
  <c r="I7" i="4"/>
  <c r="I8" i="4"/>
  <c r="I9" i="4"/>
  <c r="I10" i="4"/>
  <c r="I11" i="4"/>
  <c r="I12" i="4"/>
  <c r="I13" i="4"/>
  <c r="E13" i="6" l="1"/>
  <c r="E14" i="6" s="1"/>
  <c r="H8" i="6"/>
  <c r="G12" i="6"/>
  <c r="E12" i="6" s="1"/>
  <c r="H6" i="6"/>
  <c r="J4" i="4"/>
  <c r="J5" i="4"/>
  <c r="J6" i="4"/>
  <c r="J7" i="4"/>
  <c r="J8" i="4"/>
  <c r="J9" i="4"/>
  <c r="J10" i="4"/>
  <c r="J11" i="4"/>
  <c r="J12" i="4"/>
  <c r="J13" i="4"/>
  <c r="J3" i="4"/>
  <c r="D7" i="2"/>
  <c r="M5" i="2"/>
  <c r="J7" i="2"/>
  <c r="J6" i="2" s="1"/>
  <c r="P11" i="2"/>
  <c r="P9" i="2"/>
  <c r="P12" i="2" s="1"/>
  <c r="P10" i="2" s="1"/>
  <c r="P5" i="2"/>
  <c r="M8" i="2"/>
  <c r="M7" i="2"/>
  <c r="L5" i="3"/>
  <c r="L9" i="3"/>
  <c r="L10" i="3"/>
  <c r="L3" i="3"/>
  <c r="J10" i="2" l="1"/>
  <c r="P8" i="2"/>
  <c r="L8" i="3"/>
  <c r="L6" i="3"/>
  <c r="L7" i="3"/>
  <c r="L4" i="3"/>
  <c r="I16" i="3"/>
  <c r="I8" i="3"/>
  <c r="I18" i="3"/>
  <c r="I17" i="3"/>
  <c r="I12" i="3"/>
  <c r="I6" i="3"/>
  <c r="I9" i="3"/>
  <c r="I4" i="3"/>
  <c r="G6" i="2"/>
  <c r="G7" i="2" s="1"/>
  <c r="D8" i="2"/>
  <c r="D6" i="2"/>
  <c r="D4" i="2"/>
  <c r="G8" i="2" l="1"/>
  <c r="G5" i="2" s="1"/>
</calcChain>
</file>

<file path=xl/sharedStrings.xml><?xml version="1.0" encoding="utf-8"?>
<sst xmlns="http://schemas.openxmlformats.org/spreadsheetml/2006/main" count="422" uniqueCount="290">
  <si>
    <t>MRU/Repouso = Fres = 0</t>
  </si>
  <si>
    <t>Inercia é a tendencia de conservar a energia vetorial do corpo</t>
  </si>
  <si>
    <t>Forças</t>
  </si>
  <si>
    <t>Peso</t>
  </si>
  <si>
    <t>m*g</t>
  </si>
  <si>
    <t>Massa</t>
  </si>
  <si>
    <t>Aceleração</t>
  </si>
  <si>
    <t>Kg</t>
  </si>
  <si>
    <t>m/sˆ2</t>
  </si>
  <si>
    <t>Resultante</t>
  </si>
  <si>
    <t>N</t>
  </si>
  <si>
    <t>m*a</t>
  </si>
  <si>
    <t>Nome</t>
  </si>
  <si>
    <t>Formula</t>
  </si>
  <si>
    <t>Medida</t>
  </si>
  <si>
    <t>Gravidade</t>
  </si>
  <si>
    <t>m</t>
  </si>
  <si>
    <t>a</t>
  </si>
  <si>
    <t>g</t>
  </si>
  <si>
    <t>Primeria lei</t>
  </si>
  <si>
    <t>Inercia</t>
  </si>
  <si>
    <t>Segunda lei</t>
  </si>
  <si>
    <t>dinamica</t>
  </si>
  <si>
    <t>1kgf  ≅ 9.8 N</t>
  </si>
  <si>
    <t>kgf &amp; N</t>
  </si>
  <si>
    <t>≃ 10 m/sˆ2</t>
  </si>
  <si>
    <t>Forças em X</t>
  </si>
  <si>
    <t>Forças em Y</t>
  </si>
  <si>
    <t>Força resultante</t>
  </si>
  <si>
    <t>Valores</t>
  </si>
  <si>
    <t>Dados</t>
  </si>
  <si>
    <t>Obtidos</t>
  </si>
  <si>
    <t>Força</t>
  </si>
  <si>
    <t>ângulo</t>
  </si>
  <si>
    <t>gravidade</t>
  </si>
  <si>
    <t>Py</t>
  </si>
  <si>
    <t>Px</t>
  </si>
  <si>
    <t>Tração</t>
  </si>
  <si>
    <t>Acelaração</t>
  </si>
  <si>
    <t>Calculo de Forças</t>
  </si>
  <si>
    <t>Terceira lei</t>
  </si>
  <si>
    <t>Ação e Reação</t>
  </si>
  <si>
    <t>um objeto tende a manter seu estado de movimento, a menos que uma força atue sobre ele.</t>
  </si>
  <si>
    <t>a aceleração de um objeto é diretamente proporcional à força resultante aplicada a ele e inversamente proporcional à sua massa</t>
  </si>
  <si>
    <t>para cada ação, há sempre uma reação igual e oposta</t>
  </si>
  <si>
    <t>Velocidade</t>
  </si>
  <si>
    <t>tempo</t>
  </si>
  <si>
    <t>Lançamento vertical</t>
  </si>
  <si>
    <t>Tração em plano inclinado</t>
  </si>
  <si>
    <t>Altura</t>
  </si>
  <si>
    <t>Tempo</t>
  </si>
  <si>
    <t>Velocidade Inicial</t>
  </si>
  <si>
    <t>Sempre Nula</t>
  </si>
  <si>
    <t>Aceleração(Gravidade)</t>
  </si>
  <si>
    <t>= (a*tˆ2)/2</t>
  </si>
  <si>
    <t>= a/v &amp; = RAIZ(2h/a)</t>
  </si>
  <si>
    <t>= a*t</t>
  </si>
  <si>
    <t>segundo</t>
  </si>
  <si>
    <t>Teoria</t>
  </si>
  <si>
    <t>dados</t>
  </si>
  <si>
    <t>obtidos</t>
  </si>
  <si>
    <t>Tempo por velocidade</t>
  </si>
  <si>
    <t>Tempo por altura</t>
  </si>
  <si>
    <t>Queda Livre</t>
  </si>
  <si>
    <t>Velocidade inicial</t>
  </si>
  <si>
    <t>Queda livre</t>
  </si>
  <si>
    <t>= Vo + a*t</t>
  </si>
  <si>
    <t>= Vo*t+(a*tˆ2)/2</t>
  </si>
  <si>
    <t xml:space="preserve">Velocidade </t>
  </si>
  <si>
    <t>Velocidade por tempo</t>
  </si>
  <si>
    <t>Velocidade por Altura</t>
  </si>
  <si>
    <t>Lançamento Vertical P/Baixo</t>
  </si>
  <si>
    <t>Altura Maxima</t>
  </si>
  <si>
    <t>Tempo de subida &amp; descida</t>
  </si>
  <si>
    <t>Tempo de subida + descida</t>
  </si>
  <si>
    <t xml:space="preserve">Tempo de S&amp;D </t>
  </si>
  <si>
    <t>Lançamento Vertical P/Cima</t>
  </si>
  <si>
    <t>Lançamento Vertical</t>
  </si>
  <si>
    <t>Força M</t>
  </si>
  <si>
    <t>ForçaP</t>
  </si>
  <si>
    <t>Força P</t>
  </si>
  <si>
    <t>Massa m</t>
  </si>
  <si>
    <t>Massa M</t>
  </si>
  <si>
    <t>Massa Ttl</t>
  </si>
  <si>
    <t>coeficiente de atrito</t>
  </si>
  <si>
    <t>Aceleração do sistema</t>
  </si>
  <si>
    <t>Força do sistema</t>
  </si>
  <si>
    <t>Força de atrito</t>
  </si>
  <si>
    <t>Força Peso</t>
  </si>
  <si>
    <t>Força normal</t>
  </si>
  <si>
    <t>Força 1</t>
  </si>
  <si>
    <t>Força 2</t>
  </si>
  <si>
    <t>força x</t>
  </si>
  <si>
    <t>Aceleração em X</t>
  </si>
  <si>
    <t>Delta Tx</t>
  </si>
  <si>
    <t>Delta Vx</t>
  </si>
  <si>
    <t>Cos do ângulo</t>
  </si>
  <si>
    <t>Plano de estudos</t>
  </si>
  <si>
    <t>Estudo do movimento</t>
  </si>
  <si>
    <t>Leis de newton</t>
  </si>
  <si>
    <t>S</t>
  </si>
  <si>
    <t>Variação de Posição</t>
  </si>
  <si>
    <t>Delta S</t>
  </si>
  <si>
    <t>Tempo final</t>
  </si>
  <si>
    <t>t</t>
  </si>
  <si>
    <t>Tempo inicial</t>
  </si>
  <si>
    <t>t0</t>
  </si>
  <si>
    <t>S0</t>
  </si>
  <si>
    <t>Variação de Tempo</t>
  </si>
  <si>
    <t>Delta t</t>
  </si>
  <si>
    <t>quilometro por hora</t>
  </si>
  <si>
    <t>km/h</t>
  </si>
  <si>
    <t>metro por segundo</t>
  </si>
  <si>
    <t>m/s</t>
  </si>
  <si>
    <t>Velocidade Media</t>
  </si>
  <si>
    <t>Movimento Uniforme</t>
  </si>
  <si>
    <t>v</t>
  </si>
  <si>
    <t>Variaçao de posição</t>
  </si>
  <si>
    <t>Conceitos Base</t>
  </si>
  <si>
    <t>Velocidade Relativa</t>
  </si>
  <si>
    <t>Aceleração Media</t>
  </si>
  <si>
    <t>Variação de velocidade</t>
  </si>
  <si>
    <t>Delta v</t>
  </si>
  <si>
    <t>v0</t>
  </si>
  <si>
    <t>Velocidade final</t>
  </si>
  <si>
    <t>Posição inicial</t>
  </si>
  <si>
    <t>Posição final</t>
  </si>
  <si>
    <t>Função horaria do espaço</t>
  </si>
  <si>
    <t>Equação de torriceli</t>
  </si>
  <si>
    <t>am</t>
  </si>
  <si>
    <t>vm</t>
  </si>
  <si>
    <t>36 km/h = 10 m/s (/3.6)</t>
  </si>
  <si>
    <t>1 m/s = 3,6 km/h (*3.6)</t>
  </si>
  <si>
    <t xml:space="preserve">Derivadas/Instaneas </t>
  </si>
  <si>
    <t>Velocidade Instantanea</t>
  </si>
  <si>
    <t>v(t)</t>
  </si>
  <si>
    <t>Aceleração Instantanea</t>
  </si>
  <si>
    <t>a(t)</t>
  </si>
  <si>
    <t>s'(t)</t>
  </si>
  <si>
    <t>Velocidade escalar media</t>
  </si>
  <si>
    <t>Sméd</t>
  </si>
  <si>
    <t>a(t)= 2</t>
  </si>
  <si>
    <t>s - m</t>
  </si>
  <si>
    <t>v - m/s</t>
  </si>
  <si>
    <t>a - m/sˆ2</t>
  </si>
  <si>
    <t>s(t) = 2-5t+tˆ2</t>
  </si>
  <si>
    <t>v(t) = -5+2t</t>
  </si>
  <si>
    <r>
      <t xml:space="preserve">Distancia total </t>
    </r>
    <r>
      <rPr>
        <sz val="11"/>
        <rFont val="Calibri"/>
        <family val="2"/>
        <scheme val="minor"/>
      </rPr>
      <t>/</t>
    </r>
    <r>
      <rPr>
        <sz val="11"/>
        <color rgb="FFC00000"/>
        <rFont val="Calibri"/>
        <family val="2"/>
        <scheme val="minor"/>
      </rPr>
      <t xml:space="preserve"> delta t</t>
    </r>
  </si>
  <si>
    <r>
      <t xml:space="preserve">S </t>
    </r>
    <r>
      <rPr>
        <sz val="11"/>
        <rFont val="Calibri"/>
        <family val="2"/>
        <scheme val="minor"/>
      </rPr>
      <t>=</t>
    </r>
    <r>
      <rPr>
        <sz val="11"/>
        <color rgb="FFC00000"/>
        <rFont val="Calibri"/>
        <family val="2"/>
        <scheme val="minor"/>
      </rPr>
      <t xml:space="preserve"> S0</t>
    </r>
    <r>
      <rPr>
        <sz val="11"/>
        <rFont val="Calibri"/>
        <family val="2"/>
        <scheme val="minor"/>
      </rPr>
      <t xml:space="preserve"> +</t>
    </r>
    <r>
      <rPr>
        <sz val="11"/>
        <color rgb="FFC00000"/>
        <rFont val="Calibri"/>
        <family val="2"/>
        <scheme val="minor"/>
      </rPr>
      <t xml:space="preserve"> v </t>
    </r>
    <r>
      <rPr>
        <sz val="11"/>
        <rFont val="Calibri"/>
        <family val="2"/>
        <scheme val="minor"/>
      </rPr>
      <t xml:space="preserve">* </t>
    </r>
    <r>
      <rPr>
        <sz val="11"/>
        <color rgb="FFC00000"/>
        <rFont val="Calibri"/>
        <family val="2"/>
        <scheme val="minor"/>
      </rPr>
      <t>t</t>
    </r>
  </si>
  <si>
    <r>
      <t xml:space="preserve">v </t>
    </r>
    <r>
      <rPr>
        <sz val="11"/>
        <rFont val="Calibri"/>
        <family val="2"/>
        <scheme val="minor"/>
      </rPr>
      <t xml:space="preserve">* </t>
    </r>
    <r>
      <rPr>
        <sz val="11"/>
        <color rgb="FFC00000"/>
        <rFont val="Calibri"/>
        <family val="2"/>
        <scheme val="minor"/>
      </rPr>
      <t>t</t>
    </r>
  </si>
  <si>
    <r>
      <t xml:space="preserve">v'(t) </t>
    </r>
    <r>
      <rPr>
        <sz val="11"/>
        <rFont val="Calibri"/>
        <family val="2"/>
        <scheme val="minor"/>
      </rPr>
      <t>=</t>
    </r>
    <r>
      <rPr>
        <sz val="11"/>
        <color rgb="FFC00000"/>
        <rFont val="Calibri"/>
        <family val="2"/>
        <scheme val="minor"/>
      </rPr>
      <t xml:space="preserve"> s''(t)</t>
    </r>
  </si>
  <si>
    <r>
      <t xml:space="preserve">Delta v </t>
    </r>
    <r>
      <rPr>
        <sz val="11"/>
        <rFont val="Calibri"/>
        <family val="2"/>
        <scheme val="minor"/>
      </rPr>
      <t>/</t>
    </r>
    <r>
      <rPr>
        <sz val="11"/>
        <color rgb="FFFF0000"/>
        <rFont val="Calibri"/>
        <family val="2"/>
        <scheme val="minor"/>
      </rPr>
      <t xml:space="preserve"> Delta t</t>
    </r>
  </si>
  <si>
    <r>
      <t>v</t>
    </r>
    <r>
      <rPr>
        <sz val="11"/>
        <rFont val="Calibri"/>
        <family val="2"/>
        <scheme val="minor"/>
      </rPr>
      <t>ˆ2</t>
    </r>
    <r>
      <rPr>
        <sz val="11"/>
        <color rgb="FFFF0000"/>
        <rFont val="Calibri"/>
        <family val="2"/>
        <scheme val="minor"/>
      </rPr>
      <t xml:space="preserve"> = v0</t>
    </r>
    <r>
      <rPr>
        <sz val="11"/>
        <rFont val="Calibri"/>
        <family val="2"/>
        <scheme val="minor"/>
      </rPr>
      <t>ˆ2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+ 2*</t>
    </r>
    <r>
      <rPr>
        <sz val="11"/>
        <color rgb="FFFF0000"/>
        <rFont val="Calibri"/>
        <family val="2"/>
        <scheme val="minor"/>
      </rPr>
      <t>a</t>
    </r>
    <r>
      <rPr>
        <sz val="11"/>
        <rFont val="Calibri"/>
        <family val="2"/>
        <scheme val="minor"/>
      </rPr>
      <t>*</t>
    </r>
    <r>
      <rPr>
        <sz val="11"/>
        <color rgb="FFFF0000"/>
        <rFont val="Calibri"/>
        <family val="2"/>
        <scheme val="minor"/>
      </rPr>
      <t>Delta S</t>
    </r>
  </si>
  <si>
    <r>
      <t xml:space="preserve">S </t>
    </r>
    <r>
      <rPr>
        <sz val="11"/>
        <rFont val="Calibri"/>
        <family val="2"/>
        <scheme val="minor"/>
      </rPr>
      <t>=</t>
    </r>
    <r>
      <rPr>
        <sz val="11"/>
        <color rgb="FFFF0000"/>
        <rFont val="Calibri"/>
        <family val="2"/>
        <scheme val="minor"/>
      </rPr>
      <t xml:space="preserve"> S0</t>
    </r>
    <r>
      <rPr>
        <sz val="11"/>
        <rFont val="Calibri"/>
        <family val="2"/>
        <scheme val="minor"/>
      </rPr>
      <t xml:space="preserve"> +</t>
    </r>
    <r>
      <rPr>
        <sz val="11"/>
        <color rgb="FFFF0000"/>
        <rFont val="Calibri"/>
        <family val="2"/>
        <scheme val="minor"/>
      </rPr>
      <t xml:space="preserve"> v0</t>
    </r>
    <r>
      <rPr>
        <sz val="11"/>
        <rFont val="Calibri"/>
        <family val="2"/>
        <scheme val="minor"/>
      </rPr>
      <t>*</t>
    </r>
    <r>
      <rPr>
        <sz val="11"/>
        <color rgb="FFFF0000"/>
        <rFont val="Calibri"/>
        <family val="2"/>
        <scheme val="minor"/>
      </rPr>
      <t xml:space="preserve">t </t>
    </r>
    <r>
      <rPr>
        <sz val="11"/>
        <rFont val="Calibri"/>
        <family val="2"/>
        <scheme val="minor"/>
      </rPr>
      <t>+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(</t>
    </r>
    <r>
      <rPr>
        <sz val="11"/>
        <color rgb="FFFF0000"/>
        <rFont val="Calibri"/>
        <family val="2"/>
        <scheme val="minor"/>
      </rPr>
      <t>a</t>
    </r>
    <r>
      <rPr>
        <sz val="11"/>
        <rFont val="Calibri"/>
        <family val="2"/>
        <scheme val="minor"/>
      </rPr>
      <t>*</t>
    </r>
    <r>
      <rPr>
        <sz val="11"/>
        <color rgb="FFFF0000"/>
        <rFont val="Calibri"/>
        <family val="2"/>
        <scheme val="minor"/>
      </rPr>
      <t>t</t>
    </r>
    <r>
      <rPr>
        <sz val="11"/>
        <rFont val="Calibri"/>
        <family val="2"/>
        <scheme val="minor"/>
      </rPr>
      <t>)ˆ2)/2</t>
    </r>
  </si>
  <si>
    <r>
      <t xml:space="preserve">v0 </t>
    </r>
    <r>
      <rPr>
        <sz val="11"/>
        <rFont val="Calibri"/>
        <family val="2"/>
        <scheme val="minor"/>
      </rPr>
      <t>+</t>
    </r>
    <r>
      <rPr>
        <sz val="11"/>
        <color rgb="FFFF0000"/>
        <rFont val="Calibri"/>
        <family val="2"/>
        <scheme val="minor"/>
      </rPr>
      <t xml:space="preserve"> a</t>
    </r>
    <r>
      <rPr>
        <sz val="11"/>
        <rFont val="Calibri"/>
        <family val="2"/>
        <scheme val="minor"/>
      </rPr>
      <t>*</t>
    </r>
    <r>
      <rPr>
        <sz val="11"/>
        <color rgb="FFFF0000"/>
        <rFont val="Calibri"/>
        <family val="2"/>
        <scheme val="minor"/>
      </rPr>
      <t>t</t>
    </r>
  </si>
  <si>
    <r>
      <t>Delta S</t>
    </r>
    <r>
      <rPr>
        <sz val="11"/>
        <rFont val="Calibri"/>
        <family val="2"/>
        <scheme val="minor"/>
      </rPr>
      <t xml:space="preserve"> /</t>
    </r>
    <r>
      <rPr>
        <sz val="11"/>
        <color rgb="FFC00000"/>
        <rFont val="Calibri"/>
        <family val="2"/>
        <scheme val="minor"/>
      </rPr>
      <t xml:space="preserve"> Delta t</t>
    </r>
  </si>
  <si>
    <r>
      <t>Va</t>
    </r>
    <r>
      <rPr>
        <sz val="11"/>
        <rFont val="Calibri"/>
        <family val="2"/>
        <scheme val="minor"/>
      </rPr>
      <t>±</t>
    </r>
    <r>
      <rPr>
        <sz val="11"/>
        <color rgb="FFC00000"/>
        <rFont val="Calibri"/>
        <family val="2"/>
        <scheme val="minor"/>
      </rPr>
      <t xml:space="preserve">Vb </t>
    </r>
    <r>
      <rPr>
        <sz val="11"/>
        <rFont val="Calibri"/>
        <family val="2"/>
        <scheme val="minor"/>
      </rPr>
      <t>ou</t>
    </r>
    <r>
      <rPr>
        <sz val="11"/>
        <color rgb="FFC00000"/>
        <rFont val="Calibri"/>
        <family val="2"/>
        <scheme val="minor"/>
      </rPr>
      <t xml:space="preserve"> Vr</t>
    </r>
    <r>
      <rPr>
        <sz val="11"/>
        <rFont val="Calibri"/>
        <family val="2"/>
        <scheme val="minor"/>
      </rPr>
      <t xml:space="preserve"> = (</t>
    </r>
    <r>
      <rPr>
        <sz val="11"/>
        <color rgb="FFC00000"/>
        <rFont val="Calibri"/>
        <family val="2"/>
        <scheme val="minor"/>
      </rPr>
      <t>Sa-Sb</t>
    </r>
    <r>
      <rPr>
        <sz val="11"/>
        <rFont val="Calibri"/>
        <family val="2"/>
        <scheme val="minor"/>
      </rPr>
      <t>)/(</t>
    </r>
    <r>
      <rPr>
        <sz val="11"/>
        <color rgb="FFC00000"/>
        <rFont val="Calibri"/>
        <family val="2"/>
        <scheme val="minor"/>
      </rPr>
      <t>Delta t</t>
    </r>
    <r>
      <rPr>
        <sz val="11"/>
        <rFont val="Calibri"/>
        <family val="2"/>
        <scheme val="minor"/>
      </rPr>
      <t>)</t>
    </r>
  </si>
  <si>
    <t>Atrito</t>
  </si>
  <si>
    <t>Ângulo de Vetores</t>
  </si>
  <si>
    <t>Movimento Uniformemente Variado</t>
  </si>
  <si>
    <t>Movimento Retilineo Uniforme</t>
  </si>
  <si>
    <r>
      <t xml:space="preserve">t </t>
    </r>
    <r>
      <rPr>
        <sz val="11"/>
        <rFont val="Calibri"/>
        <family val="2"/>
        <scheme val="minor"/>
      </rPr>
      <t>-</t>
    </r>
    <r>
      <rPr>
        <sz val="11"/>
        <color rgb="FFC00000"/>
        <rFont val="Calibri"/>
        <family val="2"/>
        <scheme val="minor"/>
      </rPr>
      <t xml:space="preserve"> t0</t>
    </r>
  </si>
  <si>
    <r>
      <t>v</t>
    </r>
    <r>
      <rPr>
        <sz val="11"/>
        <rFont val="Calibri"/>
        <family val="2"/>
        <scheme val="minor"/>
      </rPr>
      <t xml:space="preserve"> -</t>
    </r>
    <r>
      <rPr>
        <sz val="11"/>
        <color rgb="FFFF0000"/>
        <rFont val="Calibri"/>
        <family val="2"/>
        <scheme val="minor"/>
      </rPr>
      <t xml:space="preserve"> v0 </t>
    </r>
    <r>
      <rPr>
        <sz val="11"/>
        <rFont val="Calibri"/>
        <family val="2"/>
        <scheme val="minor"/>
      </rPr>
      <t xml:space="preserve">ou </t>
    </r>
    <r>
      <rPr>
        <sz val="11"/>
        <color rgb="FFFF0000"/>
        <rFont val="Calibri"/>
        <family val="2"/>
        <scheme val="minor"/>
      </rPr>
      <t xml:space="preserve">Delta t </t>
    </r>
    <r>
      <rPr>
        <sz val="11"/>
        <rFont val="Calibri"/>
        <family val="2"/>
        <scheme val="minor"/>
      </rPr>
      <t xml:space="preserve">* </t>
    </r>
    <r>
      <rPr>
        <sz val="11"/>
        <color rgb="FFFF0000"/>
        <rFont val="Calibri"/>
        <family val="2"/>
        <scheme val="minor"/>
      </rPr>
      <t>am</t>
    </r>
  </si>
  <si>
    <t xml:space="preserve">  </t>
  </si>
  <si>
    <t>Velocidade &amp; aceleração Media</t>
  </si>
  <si>
    <r>
      <t xml:space="preserve">v </t>
    </r>
    <r>
      <rPr>
        <sz val="11"/>
        <rFont val="Calibri"/>
        <family val="2"/>
        <scheme val="minor"/>
      </rPr>
      <t>=</t>
    </r>
    <r>
      <rPr>
        <sz val="11"/>
        <color rgb="FFFF0000"/>
        <rFont val="Calibri"/>
        <family val="2"/>
        <scheme val="minor"/>
      </rPr>
      <t xml:space="preserve"> v0 </t>
    </r>
    <r>
      <rPr>
        <sz val="11"/>
        <rFont val="Calibri"/>
        <family val="2"/>
        <scheme val="minor"/>
      </rPr>
      <t>+</t>
    </r>
    <r>
      <rPr>
        <sz val="11"/>
        <color rgb="FFFF0000"/>
        <rFont val="Calibri"/>
        <family val="2"/>
        <scheme val="minor"/>
      </rPr>
      <t xml:space="preserve"> a</t>
    </r>
    <r>
      <rPr>
        <sz val="11"/>
        <rFont val="Calibri"/>
        <family val="2"/>
        <scheme val="minor"/>
      </rPr>
      <t>*</t>
    </r>
    <r>
      <rPr>
        <sz val="11"/>
        <color rgb="FFFF0000"/>
        <rFont val="Calibri"/>
        <family val="2"/>
        <scheme val="minor"/>
      </rPr>
      <t>t</t>
    </r>
  </si>
  <si>
    <r>
      <t xml:space="preserve">S </t>
    </r>
    <r>
      <rPr>
        <sz val="11"/>
        <rFont val="Calibri"/>
        <family val="2"/>
        <scheme val="minor"/>
      </rPr>
      <t>-</t>
    </r>
    <r>
      <rPr>
        <sz val="11"/>
        <color rgb="FFC00000"/>
        <rFont val="Calibri"/>
        <family val="2"/>
        <scheme val="minor"/>
      </rPr>
      <t xml:space="preserve"> S0 </t>
    </r>
    <r>
      <rPr>
        <sz val="11"/>
        <rFont val="Calibri"/>
        <family val="2"/>
        <scheme val="minor"/>
      </rPr>
      <t>ou</t>
    </r>
    <r>
      <rPr>
        <sz val="11"/>
        <color rgb="FFC00000"/>
        <rFont val="Calibri"/>
        <family val="2"/>
        <scheme val="minor"/>
      </rPr>
      <t xml:space="preserve"> Delta t </t>
    </r>
    <r>
      <rPr>
        <sz val="11"/>
        <rFont val="Calibri"/>
        <family val="2"/>
        <scheme val="minor"/>
      </rPr>
      <t>*</t>
    </r>
    <r>
      <rPr>
        <sz val="11"/>
        <color rgb="FFC00000"/>
        <rFont val="Calibri"/>
        <family val="2"/>
        <scheme val="minor"/>
      </rPr>
      <t xml:space="preserve"> vm </t>
    </r>
    <r>
      <rPr>
        <sz val="11"/>
        <rFont val="Calibri"/>
        <family val="2"/>
        <scheme val="minor"/>
      </rPr>
      <t>ou</t>
    </r>
    <r>
      <rPr>
        <sz val="11"/>
        <color rgb="FFC00000"/>
        <rFont val="Calibri"/>
        <family val="2"/>
        <scheme val="minor"/>
      </rPr>
      <t xml:space="preserve"> v*t</t>
    </r>
  </si>
  <si>
    <t>vr</t>
  </si>
  <si>
    <t>s</t>
  </si>
  <si>
    <t>m(g)</t>
  </si>
  <si>
    <t>m(kg)</t>
  </si>
  <si>
    <t>P(N)</t>
  </si>
  <si>
    <t>F(N)</t>
  </si>
  <si>
    <t>L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</si>
  <si>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x (L-Lo)</t>
    </r>
  </si>
  <si>
    <t>k (F/Δx)</t>
  </si>
  <si>
    <t>ΔK</t>
  </si>
  <si>
    <t>Valor medio da constante elastica</t>
  </si>
  <si>
    <t>Valor do desvio padrao</t>
  </si>
  <si>
    <t>Valor do erro padrao</t>
  </si>
  <si>
    <t>L0</t>
  </si>
  <si>
    <t>ΔL=L-L0 (cm)</t>
  </si>
  <si>
    <t>ΔL=L-L0 (m)</t>
  </si>
  <si>
    <t>F (N)</t>
  </si>
  <si>
    <t>k (F/ΔL)</t>
  </si>
  <si>
    <t>f</t>
  </si>
  <si>
    <t>Razão</t>
  </si>
  <si>
    <t>Força Gravitacional do planeta</t>
  </si>
  <si>
    <t>Força Gravitacional da terra</t>
  </si>
  <si>
    <t>Raio do Planeta</t>
  </si>
  <si>
    <t>Massa do Planeta</t>
  </si>
  <si>
    <t>Constante gravitacional</t>
  </si>
  <si>
    <t>Ângulo</t>
  </si>
  <si>
    <t>Velocidade Linear</t>
  </si>
  <si>
    <t>Raio da terra</t>
  </si>
  <si>
    <t>velocidade</t>
  </si>
  <si>
    <t>Raio do satelite</t>
  </si>
  <si>
    <t>Massa da terra</t>
  </si>
  <si>
    <t>Raio</t>
  </si>
  <si>
    <t>Pergunta 6</t>
  </si>
  <si>
    <t>Pergunta 5</t>
  </si>
  <si>
    <t>Pergunta 4</t>
  </si>
  <si>
    <t>Coeficiente de atrito minimo</t>
  </si>
  <si>
    <t>Força Centripeta</t>
  </si>
  <si>
    <t>Força Normal</t>
  </si>
  <si>
    <t>Velocidade tangencial</t>
  </si>
  <si>
    <t>Velocidade Angular</t>
  </si>
  <si>
    <t>Constatnte elastica</t>
  </si>
  <si>
    <t>Raio do disco</t>
  </si>
  <si>
    <t xml:space="preserve">Comprimento </t>
  </si>
  <si>
    <t>Valor Maximo</t>
  </si>
  <si>
    <t>Pergunta 3</t>
  </si>
  <si>
    <t>Pergunta 2</t>
  </si>
  <si>
    <t>Pergunta 1</t>
  </si>
  <si>
    <t>Massa 1</t>
  </si>
  <si>
    <t>Massa 2</t>
  </si>
  <si>
    <t>V terminal 1</t>
  </si>
  <si>
    <t>V terminal 2</t>
  </si>
  <si>
    <t>pAC</t>
  </si>
  <si>
    <t xml:space="preserve">P1 </t>
  </si>
  <si>
    <t>P2</t>
  </si>
  <si>
    <t>Fat/N</t>
  </si>
  <si>
    <t>µ =</t>
  </si>
  <si>
    <t>Acp =</t>
  </si>
  <si>
    <t>vˆ2/r</t>
  </si>
  <si>
    <t xml:space="preserve">v = </t>
  </si>
  <si>
    <t>Periodo</t>
  </si>
  <si>
    <r>
      <t>(2</t>
    </r>
    <r>
      <rPr>
        <sz val="11"/>
        <color theme="1"/>
        <rFont val="Calibri"/>
        <family val="2"/>
      </rPr>
      <t>π/p)</t>
    </r>
    <r>
      <rPr>
        <sz val="11"/>
        <color theme="1"/>
        <rFont val="Calibri"/>
        <family val="2"/>
        <scheme val="minor"/>
      </rPr>
      <t>*r</t>
    </r>
  </si>
  <si>
    <t>m.a</t>
  </si>
  <si>
    <t>Fat =</t>
  </si>
  <si>
    <t>N=</t>
  </si>
  <si>
    <t>m.g</t>
  </si>
  <si>
    <t>GRAVIDADE</t>
  </si>
  <si>
    <t>Exerciceo 1</t>
  </si>
  <si>
    <t>Exerciceo 2</t>
  </si>
  <si>
    <t>Exerciceo 3</t>
  </si>
  <si>
    <t>Exerciceo 4</t>
  </si>
  <si>
    <t>Exerciceo 5</t>
  </si>
  <si>
    <t>Entrada</t>
  </si>
  <si>
    <t xml:space="preserve">Massa </t>
  </si>
  <si>
    <t xml:space="preserve">Graus </t>
  </si>
  <si>
    <t>Comprimento</t>
  </si>
  <si>
    <t>Compressão</t>
  </si>
  <si>
    <t>Vi</t>
  </si>
  <si>
    <t>h</t>
  </si>
  <si>
    <t xml:space="preserve">tempo </t>
  </si>
  <si>
    <t>Graus</t>
  </si>
  <si>
    <t>µ</t>
  </si>
  <si>
    <t>Mecanica Inical</t>
  </si>
  <si>
    <t>Mecanica Inical (kJ)</t>
  </si>
  <si>
    <t>Deslocamento</t>
  </si>
  <si>
    <t>m1gh</t>
  </si>
  <si>
    <t>-(mviˆ2)/2</t>
  </si>
  <si>
    <t>kxˆ2/2</t>
  </si>
  <si>
    <t>Mecanica Final</t>
  </si>
  <si>
    <t>Mecanica Final (kJ)</t>
  </si>
  <si>
    <t>mgh</t>
  </si>
  <si>
    <t>(m1vfˆ2)/2</t>
  </si>
  <si>
    <t>-µmgd</t>
  </si>
  <si>
    <t>-mgsen(θ)D</t>
  </si>
  <si>
    <t>(m2vfˆ2)/2</t>
  </si>
  <si>
    <t>Saida</t>
  </si>
  <si>
    <t>-µmgcos(θ)D</t>
  </si>
  <si>
    <t>m1gh/2</t>
  </si>
  <si>
    <t xml:space="preserve">k </t>
  </si>
  <si>
    <t>m2gh/2</t>
  </si>
  <si>
    <t>Deslocameno</t>
  </si>
  <si>
    <t>Coeficiente de atrito</t>
  </si>
  <si>
    <t>vf</t>
  </si>
  <si>
    <t>Distancia</t>
  </si>
  <si>
    <t>Deslocamento do dado (cm)</t>
  </si>
  <si>
    <t>Massa do dado (g)</t>
  </si>
  <si>
    <t>Média</t>
  </si>
  <si>
    <t>Lado de madeira</t>
  </si>
  <si>
    <r>
      <t>µ</t>
    </r>
    <r>
      <rPr>
        <b/>
        <sz val="8"/>
        <color theme="1"/>
        <rFont val="Calibri"/>
        <family val="2"/>
      </rPr>
      <t>est</t>
    </r>
    <r>
      <rPr>
        <b/>
        <sz val="11"/>
        <color theme="1"/>
        <rFont val="Calibri"/>
        <family val="2"/>
      </rPr>
      <t>[θ - Medido]</t>
    </r>
  </si>
  <si>
    <r>
      <t>µ</t>
    </r>
    <r>
      <rPr>
        <b/>
        <sz val="8"/>
        <color theme="1"/>
        <rFont val="Calibri"/>
        <family val="2"/>
      </rPr>
      <t>est</t>
    </r>
    <r>
      <rPr>
        <b/>
        <sz val="11"/>
        <color theme="1"/>
        <rFont val="Calibri"/>
        <family val="2"/>
      </rPr>
      <t>[θ - Calculado]</t>
    </r>
  </si>
  <si>
    <t>Lado com fita</t>
  </si>
  <si>
    <t>h(cm)[Medido]</t>
  </si>
  <si>
    <t>θ(graus)[Calculado]</t>
  </si>
  <si>
    <t>h(cm)[Calculado]</t>
  </si>
  <si>
    <t>θ(graus)[Medido]</t>
  </si>
  <si>
    <t>Δt(s)[Medido]</t>
  </si>
  <si>
    <t>v(m/s)</t>
  </si>
  <si>
    <t>a(m/sˆ2)</t>
  </si>
  <si>
    <t>En. Mec. Inicial(J)</t>
  </si>
  <si>
    <t>Lado com Fita</t>
  </si>
  <si>
    <t>En. Mec. Final(J)</t>
  </si>
  <si>
    <t>ΔEn Mec.(J)</t>
  </si>
  <si>
    <r>
      <t>μ</t>
    </r>
    <r>
      <rPr>
        <b/>
        <sz val="8"/>
        <color theme="1"/>
        <rFont val="Calibri"/>
        <family val="2"/>
        <scheme val="minor"/>
      </rPr>
      <t xml:space="preserve">cin </t>
    </r>
  </si>
  <si>
    <t>Deslocamento do dado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</si>
</sst>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omic Sans MS"/>
      <family val="4"/>
    </font>
    <font>
      <sz val="11"/>
      <color theme="1"/>
      <name val="Comic Sans MS"/>
      <family val="4"/>
    </font>
    <font>
      <sz val="11"/>
      <color theme="9" tint="-0.249977111117893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</font>
    <font>
      <b/>
      <sz val="8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07">
    <xf numFmtId="0" fontId="0" fillId="0" borderId="0" xfId="0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2" borderId="1" xfId="0" applyFill="1" applyBorder="1"/>
    <xf numFmtId="0" fontId="0" fillId="0" borderId="10" xfId="0" applyBorder="1"/>
    <xf numFmtId="0" fontId="0" fillId="0" borderId="11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6" xfId="0" applyBorder="1"/>
    <xf numFmtId="0" fontId="0" fillId="0" borderId="30" xfId="0" applyBorder="1"/>
    <xf numFmtId="0" fontId="1" fillId="0" borderId="12" xfId="0" applyFon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0" xfId="0" applyNumberFormat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0" fillId="7" borderId="10" xfId="0" applyFill="1" applyBorder="1"/>
    <xf numFmtId="0" fontId="0" fillId="7" borderId="11" xfId="0" applyFill="1" applyBorder="1"/>
    <xf numFmtId="0" fontId="0" fillId="9" borderId="11" xfId="0" applyFill="1" applyBorder="1"/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left"/>
    </xf>
    <xf numFmtId="0" fontId="0" fillId="8" borderId="36" xfId="0" applyFill="1" applyBorder="1"/>
    <xf numFmtId="0" fontId="0" fillId="3" borderId="37" xfId="0" applyFill="1" applyBorder="1"/>
    <xf numFmtId="0" fontId="0" fillId="6" borderId="26" xfId="0" applyFill="1" applyBorder="1"/>
    <xf numFmtId="0" fontId="0" fillId="4" borderId="37" xfId="0" applyFill="1" applyBorder="1" applyAlignment="1">
      <alignment horizontal="left"/>
    </xf>
    <xf numFmtId="0" fontId="0" fillId="8" borderId="16" xfId="0" applyFill="1" applyBorder="1"/>
    <xf numFmtId="0" fontId="0" fillId="8" borderId="18" xfId="0" applyFill="1" applyBorder="1"/>
    <xf numFmtId="0" fontId="0" fillId="4" borderId="17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8" borderId="21" xfId="0" applyFill="1" applyBorder="1"/>
    <xf numFmtId="0" fontId="0" fillId="3" borderId="37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9" borderId="18" xfId="0" applyFill="1" applyBorder="1"/>
    <xf numFmtId="0" fontId="0" fillId="9" borderId="20" xfId="0" applyFill="1" applyBorder="1"/>
    <xf numFmtId="0" fontId="0" fillId="4" borderId="11" xfId="0" applyFill="1" applyBorder="1" applyAlignment="1">
      <alignment horizontal="left"/>
    </xf>
    <xf numFmtId="0" fontId="0" fillId="12" borderId="11" xfId="0" applyFill="1" applyBorder="1"/>
    <xf numFmtId="0" fontId="0" fillId="12" borderId="16" xfId="0" applyFill="1" applyBorder="1"/>
    <xf numFmtId="0" fontId="0" fillId="12" borderId="18" xfId="0" applyFill="1" applyBorder="1"/>
    <xf numFmtId="0" fontId="0" fillId="12" borderId="21" xfId="0" applyFill="1" applyBorder="1"/>
    <xf numFmtId="0" fontId="0" fillId="12" borderId="36" xfId="0" applyFill="1" applyBorder="1"/>
    <xf numFmtId="0" fontId="0" fillId="12" borderId="38" xfId="0" applyFill="1" applyBorder="1"/>
    <xf numFmtId="0" fontId="0" fillId="0" borderId="39" xfId="0" applyBorder="1"/>
    <xf numFmtId="0" fontId="0" fillId="0" borderId="40" xfId="0" applyBorder="1" applyAlignment="1">
      <alignment horizontal="center"/>
    </xf>
    <xf numFmtId="0" fontId="0" fillId="0" borderId="13" xfId="0" applyBorder="1"/>
    <xf numFmtId="0" fontId="0" fillId="12" borderId="41" xfId="0" applyFill="1" applyBorder="1"/>
    <xf numFmtId="0" fontId="0" fillId="0" borderId="41" xfId="0" applyBorder="1"/>
    <xf numFmtId="0" fontId="0" fillId="12" borderId="42" xfId="0" applyFill="1" applyBorder="1"/>
    <xf numFmtId="0" fontId="0" fillId="12" borderId="20" xfId="0" applyFill="1" applyBorder="1"/>
    <xf numFmtId="164" fontId="3" fillId="13" borderId="18" xfId="0" applyNumberFormat="1" applyFont="1" applyFill="1" applyBorder="1"/>
    <xf numFmtId="0" fontId="3" fillId="13" borderId="38" xfId="0" applyFont="1" applyFill="1" applyBorder="1"/>
    <xf numFmtId="1" fontId="3" fillId="13" borderId="43" xfId="0" applyNumberFormat="1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35" xfId="0" applyBorder="1" applyAlignment="1">
      <alignment horizontal="center"/>
    </xf>
    <xf numFmtId="0" fontId="0" fillId="0" borderId="9" xfId="0" applyBorder="1"/>
    <xf numFmtId="2" fontId="3" fillId="13" borderId="18" xfId="0" applyNumberFormat="1" applyFont="1" applyFill="1" applyBorder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4" fillId="0" borderId="45" xfId="0" applyFont="1" applyBorder="1" applyAlignment="1">
      <alignment horizontal="left"/>
    </xf>
    <xf numFmtId="0" fontId="5" fillId="0" borderId="46" xfId="0" applyFont="1" applyBorder="1" applyAlignment="1">
      <alignment horizontal="right"/>
    </xf>
    <xf numFmtId="0" fontId="4" fillId="0" borderId="47" xfId="0" applyFont="1" applyBorder="1" applyAlignment="1">
      <alignment horizontal="left"/>
    </xf>
    <xf numFmtId="0" fontId="5" fillId="0" borderId="41" xfId="0" applyFont="1" applyBorder="1" applyAlignment="1">
      <alignment horizontal="right"/>
    </xf>
    <xf numFmtId="0" fontId="4" fillId="0" borderId="48" xfId="0" applyFont="1" applyBorder="1" applyAlignment="1">
      <alignment horizontal="left"/>
    </xf>
    <xf numFmtId="0" fontId="0" fillId="0" borderId="42" xfId="0" applyBorder="1" applyAlignment="1">
      <alignment horizontal="center"/>
    </xf>
    <xf numFmtId="0" fontId="5" fillId="0" borderId="43" xfId="0" applyFont="1" applyBorder="1" applyAlignment="1">
      <alignment horizontal="right"/>
    </xf>
    <xf numFmtId="0" fontId="0" fillId="14" borderId="35" xfId="0" applyFill="1" applyBorder="1" applyAlignment="1">
      <alignment horizontal="center"/>
    </xf>
    <xf numFmtId="0" fontId="0" fillId="0" borderId="45" xfId="0" applyBorder="1"/>
    <xf numFmtId="0" fontId="0" fillId="0" borderId="47" xfId="0" applyBorder="1"/>
    <xf numFmtId="0" fontId="0" fillId="0" borderId="48" xfId="0" applyBorder="1"/>
    <xf numFmtId="0" fontId="0" fillId="14" borderId="27" xfId="0" applyFill="1" applyBorder="1" applyAlignment="1">
      <alignment horizontal="center"/>
    </xf>
    <xf numFmtId="0" fontId="0" fillId="14" borderId="46" xfId="0" applyFill="1" applyBorder="1" applyAlignment="1">
      <alignment horizontal="center"/>
    </xf>
    <xf numFmtId="0" fontId="5" fillId="14" borderId="13" xfId="0" applyFont="1" applyFill="1" applyBorder="1" applyAlignment="1">
      <alignment horizontal="left"/>
    </xf>
    <xf numFmtId="0" fontId="0" fillId="14" borderId="31" xfId="0" applyFill="1" applyBorder="1" applyAlignment="1">
      <alignment horizontal="left"/>
    </xf>
    <xf numFmtId="0" fontId="5" fillId="14" borderId="14" xfId="0" applyFont="1" applyFill="1" applyBorder="1" applyAlignment="1">
      <alignment horizontal="left"/>
    </xf>
    <xf numFmtId="0" fontId="3" fillId="0" borderId="41" xfId="0" applyFont="1" applyBorder="1" applyAlignment="1">
      <alignment horizontal="right"/>
    </xf>
    <xf numFmtId="0" fontId="3" fillId="0" borderId="43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0" fillId="12" borderId="0" xfId="0" applyFill="1"/>
    <xf numFmtId="0" fontId="0" fillId="0" borderId="49" xfId="0" applyBorder="1"/>
    <xf numFmtId="0" fontId="0" fillId="0" borderId="50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15" borderId="32" xfId="0" applyFill="1" applyBorder="1" applyAlignment="1">
      <alignment horizontal="center"/>
    </xf>
    <xf numFmtId="0" fontId="0" fillId="15" borderId="33" xfId="0" applyFill="1" applyBorder="1" applyAlignment="1">
      <alignment horizontal="center"/>
    </xf>
    <xf numFmtId="0" fontId="0" fillId="15" borderId="34" xfId="0" applyFill="1" applyBorder="1" applyAlignment="1">
      <alignment horizontal="center"/>
    </xf>
    <xf numFmtId="0" fontId="0" fillId="2" borderId="17" xfId="0" applyFill="1" applyBorder="1"/>
    <xf numFmtId="0" fontId="0" fillId="2" borderId="11" xfId="0" applyFill="1" applyBorder="1"/>
    <xf numFmtId="0" fontId="0" fillId="2" borderId="38" xfId="0" applyFill="1" applyBorder="1"/>
    <xf numFmtId="0" fontId="0" fillId="2" borderId="18" xfId="0" applyFill="1" applyBorder="1"/>
    <xf numFmtId="0" fontId="0" fillId="2" borderId="20" xfId="0" applyFill="1" applyBorder="1"/>
    <xf numFmtId="0" fontId="1" fillId="2" borderId="41" xfId="0" applyFont="1" applyFill="1" applyBorder="1"/>
    <xf numFmtId="0" fontId="1" fillId="2" borderId="43" xfId="0" applyFont="1" applyFill="1" applyBorder="1"/>
    <xf numFmtId="0" fontId="8" fillId="14" borderId="53" xfId="0" applyFont="1" applyFill="1" applyBorder="1"/>
    <xf numFmtId="0" fontId="9" fillId="2" borderId="14" xfId="0" applyFont="1" applyFill="1" applyBorder="1"/>
    <xf numFmtId="0" fontId="9" fillId="0" borderId="0" xfId="0" applyFont="1"/>
    <xf numFmtId="0" fontId="9" fillId="14" borderId="54" xfId="0" applyFont="1" applyFill="1" applyBorder="1"/>
    <xf numFmtId="0" fontId="9" fillId="2" borderId="41" xfId="0" applyFont="1" applyFill="1" applyBorder="1"/>
    <xf numFmtId="0" fontId="9" fillId="14" borderId="55" xfId="0" applyFont="1" applyFill="1" applyBorder="1"/>
    <xf numFmtId="0" fontId="9" fillId="14" borderId="29" xfId="0" applyFont="1" applyFill="1" applyBorder="1"/>
    <xf numFmtId="0" fontId="9" fillId="14" borderId="56" xfId="0" applyFont="1" applyFill="1" applyBorder="1"/>
    <xf numFmtId="0" fontId="9" fillId="4" borderId="38" xfId="0" applyFont="1" applyFill="1" applyBorder="1"/>
    <xf numFmtId="0" fontId="9" fillId="4" borderId="0" xfId="0" applyFont="1" applyFill="1"/>
    <xf numFmtId="0" fontId="9" fillId="4" borderId="51" xfId="0" applyFont="1" applyFill="1" applyBorder="1"/>
    <xf numFmtId="0" fontId="9" fillId="2" borderId="38" xfId="0" applyFont="1" applyFill="1" applyBorder="1"/>
    <xf numFmtId="0" fontId="9" fillId="2" borderId="0" xfId="0" applyFont="1" applyFill="1"/>
    <xf numFmtId="0" fontId="9" fillId="2" borderId="51" xfId="0" applyFont="1" applyFill="1" applyBorder="1"/>
    <xf numFmtId="0" fontId="9" fillId="2" borderId="44" xfId="0" applyFont="1" applyFill="1" applyBorder="1"/>
    <xf numFmtId="0" fontId="9" fillId="2" borderId="57" xfId="0" applyFont="1" applyFill="1" applyBorder="1"/>
    <xf numFmtId="0" fontId="9" fillId="2" borderId="9" xfId="0" applyFont="1" applyFill="1" applyBorder="1"/>
    <xf numFmtId="0" fontId="3" fillId="2" borderId="43" xfId="0" applyFont="1" applyFill="1" applyBorder="1"/>
    <xf numFmtId="0" fontId="0" fillId="2" borderId="59" xfId="0" applyFill="1" applyBorder="1"/>
    <xf numFmtId="0" fontId="0" fillId="2" borderId="41" xfId="0" applyFill="1" applyBorder="1"/>
    <xf numFmtId="0" fontId="0" fillId="12" borderId="0" xfId="0" applyFill="1" applyBorder="1"/>
    <xf numFmtId="0" fontId="0" fillId="2" borderId="54" xfId="0" applyFill="1" applyBorder="1"/>
    <xf numFmtId="0" fontId="0" fillId="2" borderId="14" xfId="0" applyFill="1" applyBorder="1"/>
    <xf numFmtId="0" fontId="0" fillId="12" borderId="13" xfId="0" applyFill="1" applyBorder="1"/>
    <xf numFmtId="0" fontId="0" fillId="2" borderId="53" xfId="0" applyFill="1" applyBorder="1"/>
    <xf numFmtId="0" fontId="0" fillId="2" borderId="43" xfId="0" applyFill="1" applyBorder="1"/>
    <xf numFmtId="0" fontId="0" fillId="2" borderId="48" xfId="0" applyFill="1" applyBorder="1"/>
    <xf numFmtId="0" fontId="0" fillId="0" borderId="0" xfId="0" applyBorder="1"/>
    <xf numFmtId="0" fontId="0" fillId="2" borderId="47" xfId="0" applyFill="1" applyBorder="1"/>
    <xf numFmtId="0" fontId="0" fillId="0" borderId="0" xfId="0" applyFill="1" applyBorder="1"/>
    <xf numFmtId="0" fontId="0" fillId="0" borderId="31" xfId="0" applyFill="1" applyBorder="1"/>
    <xf numFmtId="0" fontId="0" fillId="16" borderId="41" xfId="0" applyFill="1" applyBorder="1"/>
    <xf numFmtId="0" fontId="0" fillId="16" borderId="48" xfId="0" applyFill="1" applyBorder="1"/>
    <xf numFmtId="0" fontId="0" fillId="2" borderId="31" xfId="0" applyFill="1" applyBorder="1"/>
    <xf numFmtId="0" fontId="0" fillId="16" borderId="14" xfId="0" applyFill="1" applyBorder="1"/>
    <xf numFmtId="0" fontId="2" fillId="10" borderId="14" xfId="0" applyFont="1" applyFill="1" applyBorder="1"/>
    <xf numFmtId="0" fontId="2" fillId="10" borderId="31" xfId="0" applyFont="1" applyFill="1" applyBorder="1"/>
    <xf numFmtId="0" fontId="2" fillId="10" borderId="38" xfId="0" applyFont="1" applyFill="1" applyBorder="1"/>
    <xf numFmtId="0" fontId="0" fillId="16" borderId="0" xfId="0" applyFill="1"/>
    <xf numFmtId="0" fontId="0" fillId="2" borderId="0" xfId="0" applyFill="1" applyBorder="1"/>
    <xf numFmtId="2" fontId="3" fillId="2" borderId="43" xfId="0" applyNumberFormat="1" applyFont="1" applyFill="1" applyBorder="1"/>
    <xf numFmtId="0" fontId="0" fillId="2" borderId="13" xfId="0" applyFill="1" applyBorder="1"/>
    <xf numFmtId="0" fontId="0" fillId="2" borderId="42" xfId="0" applyFill="1" applyBorder="1"/>
    <xf numFmtId="2" fontId="3" fillId="2" borderId="0" xfId="0" applyNumberFormat="1" applyFont="1" applyFill="1" applyBorder="1"/>
    <xf numFmtId="0" fontId="3" fillId="0" borderId="0" xfId="0" applyFont="1"/>
    <xf numFmtId="165" fontId="3" fillId="0" borderId="0" xfId="0" applyNumberFormat="1" applyFont="1"/>
    <xf numFmtId="0" fontId="10" fillId="0" borderId="0" xfId="0" applyFont="1"/>
    <xf numFmtId="0" fontId="11" fillId="0" borderId="0" xfId="0" applyFont="1"/>
    <xf numFmtId="0" fontId="0" fillId="0" borderId="0" xfId="0"/>
    <xf numFmtId="0" fontId="0" fillId="2" borderId="43" xfId="0" applyFill="1" applyBorder="1"/>
    <xf numFmtId="0" fontId="0" fillId="0" borderId="0" xfId="0" applyBorder="1"/>
    <xf numFmtId="0" fontId="0" fillId="2" borderId="14" xfId="0" applyFill="1" applyBorder="1"/>
    <xf numFmtId="0" fontId="0" fillId="2" borderId="41" xfId="0" applyFill="1" applyBorder="1"/>
    <xf numFmtId="0" fontId="0" fillId="2" borderId="0" xfId="0" applyFill="1" applyBorder="1"/>
    <xf numFmtId="0" fontId="3" fillId="2" borderId="43" xfId="0" applyFont="1" applyFill="1" applyBorder="1"/>
    <xf numFmtId="0" fontId="0" fillId="2" borderId="0" xfId="0" applyFill="1"/>
    <xf numFmtId="0" fontId="7" fillId="2" borderId="0" xfId="0" applyFont="1" applyFill="1"/>
    <xf numFmtId="0" fontId="0" fillId="2" borderId="52" xfId="0" applyFill="1" applyBorder="1"/>
    <xf numFmtId="0" fontId="7" fillId="11" borderId="48" xfId="0" applyFont="1" applyFill="1" applyBorder="1"/>
    <xf numFmtId="2" fontId="3" fillId="0" borderId="52" xfId="0" applyNumberFormat="1" applyFont="1" applyBorder="1"/>
    <xf numFmtId="0" fontId="0" fillId="11" borderId="42" xfId="0" applyFill="1" applyBorder="1"/>
    <xf numFmtId="2" fontId="3" fillId="2" borderId="51" xfId="0" applyNumberFormat="1" applyFont="1" applyFill="1" applyBorder="1"/>
    <xf numFmtId="0" fontId="7" fillId="11" borderId="47" xfId="0" applyFont="1" applyFill="1" applyBorder="1"/>
    <xf numFmtId="2" fontId="3" fillId="2" borderId="52" xfId="0" applyNumberFormat="1" applyFont="1" applyFill="1" applyBorder="1"/>
    <xf numFmtId="0" fontId="0" fillId="2" borderId="55" xfId="0" applyFill="1" applyBorder="1"/>
    <xf numFmtId="0" fontId="0" fillId="2" borderId="42" xfId="0" applyFill="1" applyBorder="1"/>
    <xf numFmtId="0" fontId="0" fillId="11" borderId="48" xfId="0" applyFill="1" applyBorder="1"/>
    <xf numFmtId="0" fontId="3" fillId="2" borderId="18" xfId="0" applyFont="1" applyFill="1" applyBorder="1"/>
    <xf numFmtId="0" fontId="0" fillId="2" borderId="51" xfId="0" applyFill="1" applyBorder="1"/>
    <xf numFmtId="0" fontId="0" fillId="11" borderId="47" xfId="0" applyFill="1" applyBorder="1"/>
    <xf numFmtId="0" fontId="2" fillId="2" borderId="41" xfId="0" applyFont="1" applyFill="1" applyBorder="1" applyAlignment="1"/>
    <xf numFmtId="0" fontId="0" fillId="11" borderId="0" xfId="0" applyFill="1" applyBorder="1"/>
    <xf numFmtId="0" fontId="0" fillId="2" borderId="58" xfId="0" applyFill="1" applyBorder="1"/>
    <xf numFmtId="0" fontId="0" fillId="11" borderId="45" xfId="0" applyFill="1" applyBorder="1"/>
    <xf numFmtId="49" fontId="7" fillId="11" borderId="47" xfId="0" applyNumberFormat="1" applyFont="1" applyFill="1" applyBorder="1"/>
    <xf numFmtId="0" fontId="0" fillId="0" borderId="51" xfId="0" applyBorder="1"/>
    <xf numFmtId="49" fontId="0" fillId="11" borderId="47" xfId="0" applyNumberFormat="1" applyFill="1" applyBorder="1"/>
    <xf numFmtId="0" fontId="2" fillId="2" borderId="0" xfId="0" applyFont="1" applyFill="1" applyBorder="1" applyAlignment="1"/>
    <xf numFmtId="0" fontId="7" fillId="11" borderId="0" xfId="0" applyFont="1" applyFill="1" applyBorder="1"/>
    <xf numFmtId="0" fontId="0" fillId="2" borderId="60" xfId="0" applyFill="1" applyBorder="1"/>
    <xf numFmtId="0" fontId="0" fillId="0" borderId="26" xfId="0" applyBorder="1"/>
    <xf numFmtId="0" fontId="0" fillId="0" borderId="41" xfId="0" applyBorder="1"/>
    <xf numFmtId="1" fontId="3" fillId="2" borderId="61" xfId="0" applyNumberFormat="1" applyFont="1" applyFill="1" applyBorder="1"/>
    <xf numFmtId="0" fontId="0" fillId="0" borderId="60" xfId="0" applyBorder="1"/>
    <xf numFmtId="0" fontId="0" fillId="2" borderId="62" xfId="0" applyFill="1" applyBorder="1"/>
    <xf numFmtId="0" fontId="0" fillId="11" borderId="51" xfId="0" applyFill="1" applyBorder="1"/>
    <xf numFmtId="0" fontId="0" fillId="11" borderId="52" xfId="0" applyFill="1" applyBorder="1"/>
    <xf numFmtId="0" fontId="12" fillId="18" borderId="58" xfId="0" applyFont="1" applyFill="1" applyBorder="1" applyAlignment="1"/>
    <xf numFmtId="0" fontId="12" fillId="18" borderId="45" xfId="0" applyFont="1" applyFill="1" applyBorder="1" applyAlignment="1"/>
    <xf numFmtId="0" fontId="6" fillId="10" borderId="0" xfId="0" applyFont="1" applyFill="1"/>
    <xf numFmtId="0" fontId="0" fillId="10" borderId="0" xfId="0" applyFill="1"/>
    <xf numFmtId="0" fontId="0" fillId="10" borderId="14" xfId="0" applyFill="1" applyBorder="1"/>
    <xf numFmtId="0" fontId="3" fillId="10" borderId="34" xfId="0" applyFont="1" applyFill="1" applyBorder="1"/>
    <xf numFmtId="0" fontId="3" fillId="10" borderId="32" xfId="0" applyFont="1" applyFill="1" applyBorder="1"/>
    <xf numFmtId="0" fontId="1" fillId="0" borderId="0" xfId="0" applyFont="1"/>
    <xf numFmtId="0" fontId="1" fillId="4" borderId="1" xfId="0" applyFont="1" applyFill="1" applyBorder="1" applyAlignment="1">
      <alignment horizontal="center"/>
    </xf>
    <xf numFmtId="0" fontId="1" fillId="4" borderId="62" xfId="0" applyFont="1" applyFill="1" applyBorder="1" applyAlignment="1">
      <alignment horizontal="center"/>
    </xf>
    <xf numFmtId="0" fontId="13" fillId="4" borderId="62" xfId="0" applyFont="1" applyFill="1" applyBorder="1" applyAlignment="1">
      <alignment horizontal="center"/>
    </xf>
    <xf numFmtId="0" fontId="13" fillId="4" borderId="8" xfId="0" applyFont="1" applyFill="1" applyBorder="1" applyAlignment="1">
      <alignment horizontal="center"/>
    </xf>
    <xf numFmtId="0" fontId="1" fillId="4" borderId="61" xfId="0" applyFont="1" applyFill="1" applyBorder="1" applyAlignment="1">
      <alignment horizontal="center"/>
    </xf>
    <xf numFmtId="0" fontId="13" fillId="4" borderId="6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38" xfId="0" applyFill="1" applyBorder="1" applyAlignment="1"/>
    <xf numFmtId="2" fontId="0" fillId="2" borderId="58" xfId="0" applyNumberFormat="1" applyFill="1" applyBorder="1" applyAlignment="1">
      <alignment horizontal="center"/>
    </xf>
    <xf numFmtId="2" fontId="0" fillId="2" borderId="51" xfId="0" applyNumberFormat="1" applyFill="1" applyBorder="1" applyAlignment="1">
      <alignment horizontal="center"/>
    </xf>
    <xf numFmtId="2" fontId="0" fillId="2" borderId="36" xfId="0" applyNumberFormat="1" applyFill="1" applyBorder="1" applyAlignment="1">
      <alignment horizontal="center"/>
    </xf>
    <xf numFmtId="2" fontId="0" fillId="2" borderId="38" xfId="0" applyNumberFormat="1" applyFill="1" applyBorder="1" applyAlignment="1">
      <alignment horizontal="center"/>
    </xf>
    <xf numFmtId="2" fontId="0" fillId="2" borderId="61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165" fontId="0" fillId="2" borderId="51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165" fontId="0" fillId="2" borderId="62" xfId="0" applyNumberFormat="1" applyFill="1" applyBorder="1" applyAlignment="1">
      <alignment horizontal="center"/>
    </xf>
    <xf numFmtId="2" fontId="0" fillId="2" borderId="35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2" borderId="44" xfId="0" applyNumberFormat="1" applyFill="1" applyBorder="1" applyAlignment="1">
      <alignment horizontal="center"/>
    </xf>
    <xf numFmtId="2" fontId="0" fillId="2" borderId="57" xfId="0" applyNumberFormat="1" applyFill="1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2" fontId="0" fillId="2" borderId="62" xfId="0" applyNumberForma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2" fontId="0" fillId="2" borderId="10" xfId="0" applyNumberFormat="1" applyFill="1" applyBorder="1" applyAlignment="1">
      <alignment horizontal="center"/>
    </xf>
    <xf numFmtId="2" fontId="0" fillId="2" borderId="11" xfId="0" applyNumberFormat="1" applyFill="1" applyBorder="1" applyAlignment="1">
      <alignment horizontal="center"/>
    </xf>
    <xf numFmtId="166" fontId="0" fillId="2" borderId="10" xfId="0" applyNumberFormat="1" applyFill="1" applyBorder="1" applyAlignment="1">
      <alignment horizontal="center"/>
    </xf>
    <xf numFmtId="166" fontId="0" fillId="2" borderId="11" xfId="0" applyNumberFormat="1" applyFill="1" applyBorder="1" applyAlignment="1">
      <alignment horizontal="center"/>
    </xf>
    <xf numFmtId="166" fontId="0" fillId="2" borderId="38" xfId="0" applyNumberFormat="1" applyFill="1" applyBorder="1" applyAlignment="1">
      <alignment horizontal="center"/>
    </xf>
    <xf numFmtId="166" fontId="0" fillId="2" borderId="51" xfId="0" applyNumberForma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14" borderId="22" xfId="0" applyFill="1" applyBorder="1" applyAlignment="1">
      <alignment horizontal="center"/>
    </xf>
    <xf numFmtId="0" fontId="0" fillId="14" borderId="23" xfId="0" applyFill="1" applyBorder="1" applyAlignment="1">
      <alignment horizontal="center"/>
    </xf>
    <xf numFmtId="0" fontId="0" fillId="14" borderId="24" xfId="0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11" borderId="35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5" borderId="47" xfId="0" applyFill="1" applyBorder="1" applyAlignment="1">
      <alignment horizontal="left"/>
    </xf>
    <xf numFmtId="0" fontId="0" fillId="15" borderId="0" xfId="0" applyFill="1" applyAlignment="1">
      <alignment horizontal="left"/>
    </xf>
    <xf numFmtId="0" fontId="0" fillId="15" borderId="51" xfId="0" applyFill="1" applyBorder="1" applyAlignment="1">
      <alignment horizontal="left"/>
    </xf>
    <xf numFmtId="0" fontId="0" fillId="15" borderId="48" xfId="0" applyFill="1" applyBorder="1" applyAlignment="1">
      <alignment horizontal="left"/>
    </xf>
    <xf numFmtId="0" fontId="0" fillId="15" borderId="42" xfId="0" applyFill="1" applyBorder="1" applyAlignment="1">
      <alignment horizontal="left"/>
    </xf>
    <xf numFmtId="0" fontId="0" fillId="15" borderId="52" xfId="0" applyFill="1" applyBorder="1" applyAlignment="1">
      <alignment horizontal="left"/>
    </xf>
    <xf numFmtId="0" fontId="9" fillId="14" borderId="36" xfId="0" applyFont="1" applyFill="1" applyBorder="1" applyAlignment="1">
      <alignment horizontal="right"/>
    </xf>
    <xf numFmtId="0" fontId="9" fillId="14" borderId="35" xfId="0" applyFont="1" applyFill="1" applyBorder="1" applyAlignment="1">
      <alignment horizontal="right"/>
    </xf>
    <xf numFmtId="0" fontId="9" fillId="14" borderId="58" xfId="0" applyFont="1" applyFill="1" applyBorder="1" applyAlignment="1">
      <alignment horizontal="right"/>
    </xf>
    <xf numFmtId="0" fontId="9" fillId="14" borderId="38" xfId="0" applyFont="1" applyFill="1" applyBorder="1" applyAlignment="1">
      <alignment horizontal="right"/>
    </xf>
    <xf numFmtId="0" fontId="9" fillId="14" borderId="0" xfId="0" applyFont="1" applyFill="1" applyAlignment="1">
      <alignment horizontal="right"/>
    </xf>
    <xf numFmtId="0" fontId="9" fillId="14" borderId="51" xfId="0" applyFont="1" applyFill="1" applyBorder="1" applyAlignment="1">
      <alignment horizontal="right"/>
    </xf>
    <xf numFmtId="0" fontId="9" fillId="14" borderId="44" xfId="0" applyFont="1" applyFill="1" applyBorder="1" applyAlignment="1">
      <alignment horizontal="right"/>
    </xf>
    <xf numFmtId="0" fontId="9" fillId="14" borderId="57" xfId="0" applyFont="1" applyFill="1" applyBorder="1" applyAlignment="1">
      <alignment horizontal="right"/>
    </xf>
    <xf numFmtId="0" fontId="9" fillId="14" borderId="9" xfId="0" applyFont="1" applyFill="1" applyBorder="1" applyAlignment="1">
      <alignment horizontal="right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2" fillId="10" borderId="31" xfId="0" applyFont="1" applyFill="1" applyBorder="1" applyAlignment="1">
      <alignment horizontal="center"/>
    </xf>
    <xf numFmtId="0" fontId="2" fillId="10" borderId="13" xfId="0" applyFont="1" applyFill="1" applyBorder="1" applyAlignment="1">
      <alignment horizontal="center"/>
    </xf>
    <xf numFmtId="0" fontId="2" fillId="10" borderId="14" xfId="0" applyFont="1" applyFill="1" applyBorder="1" applyAlignment="1">
      <alignment horizontal="center"/>
    </xf>
    <xf numFmtId="0" fontId="2" fillId="10" borderId="33" xfId="0" applyFont="1" applyFill="1" applyBorder="1" applyAlignment="1">
      <alignment horizontal="center"/>
    </xf>
    <xf numFmtId="0" fontId="2" fillId="10" borderId="34" xfId="0" applyFont="1" applyFill="1" applyBorder="1" applyAlignment="1">
      <alignment horizontal="center"/>
    </xf>
    <xf numFmtId="0" fontId="2" fillId="17" borderId="13" xfId="0" applyFont="1" applyFill="1" applyBorder="1" applyAlignment="1">
      <alignment horizontal="center"/>
    </xf>
    <xf numFmtId="0" fontId="2" fillId="17" borderId="63" xfId="0" applyFont="1" applyFill="1" applyBorder="1" applyAlignment="1">
      <alignment horizontal="center"/>
    </xf>
    <xf numFmtId="0" fontId="2" fillId="17" borderId="45" xfId="0" applyFont="1" applyFill="1" applyBorder="1" applyAlignment="1">
      <alignment horizontal="center"/>
    </xf>
    <xf numFmtId="0" fontId="2" fillId="17" borderId="58" xfId="0" applyFont="1" applyFill="1" applyBorder="1" applyAlignment="1">
      <alignment horizontal="center"/>
    </xf>
    <xf numFmtId="0" fontId="2" fillId="10" borderId="47" xfId="0" applyFont="1" applyFill="1" applyBorder="1" applyAlignment="1">
      <alignment horizontal="center"/>
    </xf>
    <xf numFmtId="0" fontId="2" fillId="10" borderId="51" xfId="0" applyFont="1" applyFill="1" applyBorder="1" applyAlignment="1">
      <alignment horizontal="center"/>
    </xf>
    <xf numFmtId="0" fontId="2" fillId="10" borderId="25" xfId="0" applyFont="1" applyFill="1" applyBorder="1" applyAlignment="1">
      <alignment horizontal="center"/>
    </xf>
    <xf numFmtId="0" fontId="2" fillId="10" borderId="9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10" borderId="63" xfId="0" applyFont="1" applyFill="1" applyBorder="1" applyAlignment="1">
      <alignment horizontal="center"/>
    </xf>
    <xf numFmtId="0" fontId="1" fillId="3" borderId="61" xfId="0" applyFont="1" applyFill="1" applyBorder="1" applyAlignment="1">
      <alignment horizontal="center"/>
    </xf>
    <xf numFmtId="0" fontId="1" fillId="3" borderId="62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4" borderId="61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3" fillId="4" borderId="61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62" xfId="0" applyFont="1" applyFill="1" applyBorder="1" applyAlignment="1">
      <alignment horizontal="center"/>
    </xf>
    <xf numFmtId="0" fontId="0" fillId="19" borderId="0" xfId="0" applyFill="1"/>
    <xf numFmtId="0" fontId="1" fillId="0" borderId="0" xfId="0" applyFont="1" applyBorder="1" applyAlignment="1">
      <alignment horizontal="center"/>
    </xf>
    <xf numFmtId="0" fontId="0" fillId="0" borderId="3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Planilha1!$K$2</c:f>
              <c:strCache>
                <c:ptCount val="1"/>
                <c:pt idx="0">
                  <c:v>a - m/sˆ2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717366442047408"/>
                  <c:y val="-0.166932283464566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Planilha1!$H$3:$H$12</c:f>
              <c:numCache>
                <c:formatCode>General</c:formatCode>
                <c:ptCount val="1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xVal>
          <c:yVal>
            <c:numRef>
              <c:f>Planilha1!$K$3:$K$12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CD-48D4-89CC-4F366B5BE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103696"/>
        <c:axId val="1435155200"/>
      </c:scatterChart>
      <c:valAx>
        <c:axId val="140910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155200"/>
        <c:crosses val="autoZero"/>
        <c:crossBetween val="midCat"/>
      </c:valAx>
      <c:valAx>
        <c:axId val="143515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10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Planilha1!$J$2</c:f>
              <c:strCache>
                <c:ptCount val="1"/>
                <c:pt idx="0">
                  <c:v>v - m/s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771256519941088"/>
                  <c:y val="-0.126768575962687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Planilha1!$H$3:$H$12</c:f>
              <c:numCache>
                <c:formatCode>General</c:formatCode>
                <c:ptCount val="1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xVal>
          <c:yVal>
            <c:numRef>
              <c:f>Planilha1!$J$3:$J$12</c:f>
              <c:numCache>
                <c:formatCode>General</c:formatCode>
                <c:ptCount val="10"/>
                <c:pt idx="0">
                  <c:v>-15</c:v>
                </c:pt>
                <c:pt idx="1">
                  <c:v>-13</c:v>
                </c:pt>
                <c:pt idx="2">
                  <c:v>-11</c:v>
                </c:pt>
                <c:pt idx="3">
                  <c:v>-9</c:v>
                </c:pt>
                <c:pt idx="4">
                  <c:v>-7</c:v>
                </c:pt>
                <c:pt idx="5">
                  <c:v>-5</c:v>
                </c:pt>
                <c:pt idx="6">
                  <c:v>-3</c:v>
                </c:pt>
                <c:pt idx="7">
                  <c:v>-1</c:v>
                </c:pt>
                <c:pt idx="8">
                  <c:v>1</c:v>
                </c:pt>
                <c:pt idx="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E-4F0D-9783-E07CCEF90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515376"/>
        <c:axId val="1490096016"/>
      </c:scatterChart>
      <c:valAx>
        <c:axId val="126951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096016"/>
        <c:crosses val="autoZero"/>
        <c:crossBetween val="midCat"/>
      </c:valAx>
      <c:valAx>
        <c:axId val="149009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51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Planilha1!$I$2</c:f>
              <c:strCache>
                <c:ptCount val="1"/>
                <c:pt idx="0">
                  <c:v>s - m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og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4421052947759114"/>
                  <c:y val="-0.76856396663288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Planilha1!$H$3:$H$12</c:f>
              <c:numCache>
                <c:formatCode>General</c:formatCode>
                <c:ptCount val="10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xVal>
          <c:yVal>
            <c:numRef>
              <c:f>Planilha1!$I$3:$I$12</c:f>
              <c:numCache>
                <c:formatCode>General</c:formatCode>
                <c:ptCount val="10"/>
                <c:pt idx="0">
                  <c:v>52</c:v>
                </c:pt>
                <c:pt idx="1">
                  <c:v>38</c:v>
                </c:pt>
                <c:pt idx="2">
                  <c:v>26</c:v>
                </c:pt>
                <c:pt idx="3">
                  <c:v>16</c:v>
                </c:pt>
                <c:pt idx="4">
                  <c:v>8</c:v>
                </c:pt>
                <c:pt idx="5">
                  <c:v>2</c:v>
                </c:pt>
                <c:pt idx="6">
                  <c:v>-2</c:v>
                </c:pt>
                <c:pt idx="7">
                  <c:v>-4</c:v>
                </c:pt>
                <c:pt idx="8">
                  <c:v>-4</c:v>
                </c:pt>
                <c:pt idx="9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12-49C9-8576-164605358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003248"/>
        <c:axId val="1493532448"/>
      </c:scatterChart>
      <c:valAx>
        <c:axId val="148000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532448"/>
        <c:crosses val="autoZero"/>
        <c:crossBetween val="midCat"/>
      </c:valAx>
      <c:valAx>
        <c:axId val="14935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00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Planilha3!$B$1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Planilha3!$A$2:$A$9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Planilha3!$B$2:$B$9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-4</c:v>
                </c:pt>
                <c:pt idx="3">
                  <c:v>-27</c:v>
                </c:pt>
                <c:pt idx="4">
                  <c:v>-80</c:v>
                </c:pt>
                <c:pt idx="5">
                  <c:v>-175</c:v>
                </c:pt>
                <c:pt idx="6">
                  <c:v>-324</c:v>
                </c:pt>
                <c:pt idx="7">
                  <c:v>-539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B9-40F0-9203-DAAB03742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261695"/>
        <c:axId val="1407072127"/>
      </c:scatterChart>
      <c:valAx>
        <c:axId val="152126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072127"/>
        <c:crosses val="autoZero"/>
        <c:crossBetween val="midCat"/>
      </c:valAx>
      <c:valAx>
        <c:axId val="140707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26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0</xdr:row>
      <xdr:rowOff>1</xdr:rowOff>
    </xdr:from>
    <xdr:to>
      <xdr:col>16</xdr:col>
      <xdr:colOff>9525</xdr:colOff>
      <xdr:row>9</xdr:row>
      <xdr:rowOff>180976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C053738-D59B-B7D6-7C4E-A42F8DE7B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10</xdr:row>
      <xdr:rowOff>2040</xdr:rowOff>
    </xdr:from>
    <xdr:to>
      <xdr:col>16</xdr:col>
      <xdr:colOff>9525</xdr:colOff>
      <xdr:row>19</xdr:row>
      <xdr:rowOff>180975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1D7A8FF-C712-E718-A165-A2C0271D9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1359</xdr:colOff>
      <xdr:row>0</xdr:row>
      <xdr:rowOff>0</xdr:rowOff>
    </xdr:from>
    <xdr:to>
      <xdr:col>20</xdr:col>
      <xdr:colOff>559252</xdr:colOff>
      <xdr:row>20</xdr:row>
      <xdr:rowOff>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1B7C12A0-808B-5B0A-D78E-DEB73C816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0</xdr:row>
      <xdr:rowOff>0</xdr:rowOff>
    </xdr:from>
    <xdr:to>
      <xdr:col>14</xdr:col>
      <xdr:colOff>419100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2250D3-44D7-5F4B-D04D-C73682CA2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A1F9-D5E1-4313-93C8-DD987AE5B490}">
  <dimension ref="A1:J15"/>
  <sheetViews>
    <sheetView workbookViewId="0">
      <selection activeCell="D16" sqref="D16"/>
    </sheetView>
  </sheetViews>
  <sheetFormatPr defaultRowHeight="15" x14ac:dyDescent="0.25"/>
  <cols>
    <col min="1" max="5" width="9.140625" style="3"/>
    <col min="6" max="7" width="9.140625" style="3" customWidth="1"/>
    <col min="8" max="16384" width="9.140625" style="3"/>
  </cols>
  <sheetData>
    <row r="1" spans="1:10" x14ac:dyDescent="0.25">
      <c r="A1" s="236" t="s">
        <v>0</v>
      </c>
      <c r="B1" s="236"/>
      <c r="C1" s="236"/>
      <c r="H1" s="3" t="s">
        <v>19</v>
      </c>
      <c r="I1" s="3" t="s">
        <v>20</v>
      </c>
      <c r="J1" s="3" t="s">
        <v>42</v>
      </c>
    </row>
    <row r="2" spans="1:10" x14ac:dyDescent="0.25">
      <c r="A2" s="236" t="s">
        <v>1</v>
      </c>
      <c r="B2" s="236"/>
      <c r="C2" s="236"/>
      <c r="D2" s="236"/>
      <c r="E2" s="236"/>
      <c r="F2" s="236"/>
      <c r="G2" s="1"/>
      <c r="H2" s="3" t="s">
        <v>21</v>
      </c>
      <c r="I2" s="3" t="s">
        <v>22</v>
      </c>
      <c r="J2" s="3" t="s">
        <v>43</v>
      </c>
    </row>
    <row r="3" spans="1:10" ht="15.75" thickBot="1" x14ac:dyDescent="0.3">
      <c r="H3" s="3" t="s">
        <v>40</v>
      </c>
      <c r="I3" s="3" t="s">
        <v>41</v>
      </c>
      <c r="J3" s="3" t="s">
        <v>44</v>
      </c>
    </row>
    <row r="4" spans="1:10" x14ac:dyDescent="0.25">
      <c r="B4" s="237" t="s">
        <v>2</v>
      </c>
      <c r="C4" s="238"/>
      <c r="D4" s="239"/>
      <c r="H4" s="8" t="s">
        <v>5</v>
      </c>
      <c r="I4" s="2" t="s">
        <v>16</v>
      </c>
      <c r="J4" s="8" t="s">
        <v>7</v>
      </c>
    </row>
    <row r="5" spans="1:10" ht="15.75" thickBot="1" x14ac:dyDescent="0.3">
      <c r="B5" s="4" t="s">
        <v>12</v>
      </c>
      <c r="C5" s="5" t="s">
        <v>13</v>
      </c>
      <c r="D5" s="6" t="s">
        <v>14</v>
      </c>
      <c r="H5" s="8" t="s">
        <v>6</v>
      </c>
      <c r="I5" s="2" t="s">
        <v>17</v>
      </c>
      <c r="J5" s="8" t="s">
        <v>8</v>
      </c>
    </row>
    <row r="6" spans="1:10" x14ac:dyDescent="0.25">
      <c r="B6" s="7" t="s">
        <v>9</v>
      </c>
      <c r="C6" s="3" t="s">
        <v>11</v>
      </c>
      <c r="D6" s="1" t="s">
        <v>24</v>
      </c>
      <c r="E6" s="3" t="s">
        <v>23</v>
      </c>
      <c r="H6" s="8" t="s">
        <v>15</v>
      </c>
      <c r="I6" s="2" t="s">
        <v>18</v>
      </c>
      <c r="J6" s="8" t="s">
        <v>25</v>
      </c>
    </row>
    <row r="7" spans="1:10" x14ac:dyDescent="0.25">
      <c r="B7" s="3" t="s">
        <v>3</v>
      </c>
      <c r="C7" s="3" t="s">
        <v>4</v>
      </c>
      <c r="D7" s="1" t="s">
        <v>10</v>
      </c>
      <c r="G7" s="1"/>
    </row>
    <row r="13" spans="1:10" x14ac:dyDescent="0.25">
      <c r="D13" s="3" t="s">
        <v>97</v>
      </c>
    </row>
    <row r="14" spans="1:10" x14ac:dyDescent="0.25">
      <c r="D14" s="3" t="s">
        <v>98</v>
      </c>
    </row>
    <row r="15" spans="1:10" x14ac:dyDescent="0.25">
      <c r="D15" s="3" t="s">
        <v>99</v>
      </c>
    </row>
  </sheetData>
  <mergeCells count="3">
    <mergeCell ref="A1:C1"/>
    <mergeCell ref="A2:F2"/>
    <mergeCell ref="B4:D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F9496-41B1-4EEE-905C-3D65B29DBF63}">
  <dimension ref="A1:K20"/>
  <sheetViews>
    <sheetView zoomScaleNormal="100" workbookViewId="0">
      <selection activeCell="I3" sqref="I3"/>
    </sheetView>
  </sheetViews>
  <sheetFormatPr defaultRowHeight="15" x14ac:dyDescent="0.25"/>
  <cols>
    <col min="1" max="1" width="24" style="67" bestFit="1" customWidth="1"/>
    <col min="2" max="2" width="7.140625" style="62" bestFit="1" customWidth="1"/>
    <col min="3" max="3" width="28.7109375" style="68" bestFit="1" customWidth="1"/>
    <col min="4" max="4" width="23.7109375" style="63" bestFit="1" customWidth="1"/>
    <col min="5" max="5" width="7.140625" style="62" bestFit="1" customWidth="1"/>
    <col min="6" max="6" width="23.85546875" style="87" bestFit="1" customWidth="1"/>
    <col min="9" max="9" width="12.85546875" bestFit="1" customWidth="1"/>
    <col min="10" max="10" width="10.42578125" bestFit="1" customWidth="1"/>
    <col min="11" max="11" width="8.85546875" bestFit="1" customWidth="1"/>
  </cols>
  <sheetData>
    <row r="1" spans="1:11" x14ac:dyDescent="0.25">
      <c r="A1" s="240" t="s">
        <v>118</v>
      </c>
      <c r="B1" s="241"/>
      <c r="C1" s="242"/>
      <c r="D1" s="240" t="s">
        <v>133</v>
      </c>
      <c r="E1" s="241"/>
      <c r="F1" s="242"/>
      <c r="H1" s="83"/>
      <c r="I1" s="82" t="s">
        <v>145</v>
      </c>
      <c r="J1" s="82" t="s">
        <v>146</v>
      </c>
      <c r="K1" s="84" t="s">
        <v>141</v>
      </c>
    </row>
    <row r="2" spans="1:11" x14ac:dyDescent="0.25">
      <c r="A2" s="69" t="s">
        <v>126</v>
      </c>
      <c r="B2" s="64" t="s">
        <v>100</v>
      </c>
      <c r="C2" s="70"/>
      <c r="D2" s="69" t="s">
        <v>134</v>
      </c>
      <c r="E2" s="64" t="s">
        <v>135</v>
      </c>
      <c r="F2" s="70" t="s">
        <v>138</v>
      </c>
      <c r="H2" s="80" t="s">
        <v>104</v>
      </c>
      <c r="I2" s="76" t="s">
        <v>142</v>
      </c>
      <c r="J2" s="76" t="s">
        <v>143</v>
      </c>
      <c r="K2" s="81" t="s">
        <v>144</v>
      </c>
    </row>
    <row r="3" spans="1:11" ht="15.75" thickBot="1" x14ac:dyDescent="0.3">
      <c r="A3" s="71" t="s">
        <v>125</v>
      </c>
      <c r="B3" s="62" t="s">
        <v>107</v>
      </c>
      <c r="C3" s="72"/>
      <c r="D3" s="73" t="s">
        <v>136</v>
      </c>
      <c r="E3" s="74" t="s">
        <v>137</v>
      </c>
      <c r="F3" s="75" t="s">
        <v>150</v>
      </c>
      <c r="H3" s="77">
        <v>-5</v>
      </c>
      <c r="I3" s="9">
        <f>2-5*H3+H3^2</f>
        <v>52</v>
      </c>
      <c r="J3" s="9">
        <f>-5+2*H3</f>
        <v>-15</v>
      </c>
      <c r="K3" s="14">
        <v>2</v>
      </c>
    </row>
    <row r="4" spans="1:11" x14ac:dyDescent="0.25">
      <c r="A4" s="71" t="s">
        <v>101</v>
      </c>
      <c r="B4" s="62" t="s">
        <v>102</v>
      </c>
      <c r="C4" s="72" t="s">
        <v>166</v>
      </c>
      <c r="D4" s="240" t="s">
        <v>159</v>
      </c>
      <c r="E4" s="241"/>
      <c r="F4" s="242"/>
      <c r="H4" s="78">
        <v>-4</v>
      </c>
      <c r="I4" s="10">
        <f t="shared" ref="I4:I13" si="0">2-5*H4+H4^2</f>
        <v>38</v>
      </c>
      <c r="J4" s="10">
        <f t="shared" ref="J4:J13" si="1">-5+2*H4</f>
        <v>-13</v>
      </c>
      <c r="K4" s="16">
        <v>2</v>
      </c>
    </row>
    <row r="5" spans="1:11" x14ac:dyDescent="0.25">
      <c r="A5" s="71" t="s">
        <v>103</v>
      </c>
      <c r="B5" s="62" t="s">
        <v>104</v>
      </c>
      <c r="C5" s="72"/>
      <c r="D5" s="71" t="s">
        <v>127</v>
      </c>
      <c r="F5" s="85" t="s">
        <v>153</v>
      </c>
      <c r="H5" s="78">
        <v>-3</v>
      </c>
      <c r="I5" s="10">
        <f t="shared" si="0"/>
        <v>26</v>
      </c>
      <c r="J5" s="10">
        <f t="shared" si="1"/>
        <v>-11</v>
      </c>
      <c r="K5" s="16">
        <v>2</v>
      </c>
    </row>
    <row r="6" spans="1:11" x14ac:dyDescent="0.25">
      <c r="A6" s="71" t="s">
        <v>105</v>
      </c>
      <c r="B6" s="62" t="s">
        <v>106</v>
      </c>
      <c r="C6" s="72"/>
      <c r="D6" s="71" t="s">
        <v>128</v>
      </c>
      <c r="F6" s="85" t="s">
        <v>152</v>
      </c>
      <c r="H6" s="78">
        <v>-2</v>
      </c>
      <c r="I6" s="10">
        <f t="shared" si="0"/>
        <v>16</v>
      </c>
      <c r="J6" s="10">
        <f t="shared" si="1"/>
        <v>-9</v>
      </c>
      <c r="K6" s="16">
        <v>2</v>
      </c>
    </row>
    <row r="7" spans="1:11" ht="15.75" thickBot="1" x14ac:dyDescent="0.3">
      <c r="A7" s="71" t="s">
        <v>108</v>
      </c>
      <c r="B7" s="62" t="s">
        <v>109</v>
      </c>
      <c r="C7" s="72" t="s">
        <v>161</v>
      </c>
      <c r="D7" s="73" t="s">
        <v>124</v>
      </c>
      <c r="E7" s="74"/>
      <c r="F7" s="86" t="s">
        <v>165</v>
      </c>
      <c r="H7" s="78">
        <v>-1</v>
      </c>
      <c r="I7" s="10">
        <f t="shared" si="0"/>
        <v>8</v>
      </c>
      <c r="J7" s="10">
        <f t="shared" si="1"/>
        <v>-7</v>
      </c>
      <c r="K7" s="16">
        <v>2</v>
      </c>
    </row>
    <row r="8" spans="1:11" x14ac:dyDescent="0.25">
      <c r="A8" s="71" t="s">
        <v>124</v>
      </c>
      <c r="B8" s="62" t="s">
        <v>116</v>
      </c>
      <c r="C8" s="85" t="s">
        <v>154</v>
      </c>
      <c r="H8" s="78">
        <v>0</v>
      </c>
      <c r="I8" s="10">
        <f t="shared" si="0"/>
        <v>2</v>
      </c>
      <c r="J8" s="10">
        <f t="shared" si="1"/>
        <v>-5</v>
      </c>
      <c r="K8" s="16">
        <v>2</v>
      </c>
    </row>
    <row r="9" spans="1:11" x14ac:dyDescent="0.25">
      <c r="A9" s="71" t="s">
        <v>64</v>
      </c>
      <c r="B9" s="62" t="s">
        <v>123</v>
      </c>
      <c r="C9" s="85"/>
      <c r="H9" s="78">
        <v>1</v>
      </c>
      <c r="I9" s="10">
        <f t="shared" si="0"/>
        <v>-2</v>
      </c>
      <c r="J9" s="10">
        <f t="shared" si="1"/>
        <v>-3</v>
      </c>
      <c r="K9" s="16">
        <v>2</v>
      </c>
    </row>
    <row r="10" spans="1:11" ht="15.75" thickBot="1" x14ac:dyDescent="0.3">
      <c r="A10" s="71" t="s">
        <v>121</v>
      </c>
      <c r="B10" s="62" t="s">
        <v>122</v>
      </c>
      <c r="C10" s="85" t="s">
        <v>162</v>
      </c>
      <c r="H10" s="78">
        <v>2</v>
      </c>
      <c r="I10" s="10">
        <f t="shared" si="0"/>
        <v>-4</v>
      </c>
      <c r="J10" s="10">
        <f t="shared" si="1"/>
        <v>-1</v>
      </c>
      <c r="K10" s="16">
        <v>2</v>
      </c>
    </row>
    <row r="11" spans="1:11" x14ac:dyDescent="0.25">
      <c r="A11" s="240" t="s">
        <v>164</v>
      </c>
      <c r="B11" s="241"/>
      <c r="C11" s="242"/>
      <c r="F11" s="87" t="s">
        <v>163</v>
      </c>
      <c r="H11" s="78">
        <v>3</v>
      </c>
      <c r="I11" s="10">
        <f t="shared" si="0"/>
        <v>-4</v>
      </c>
      <c r="J11" s="10">
        <f t="shared" si="1"/>
        <v>1</v>
      </c>
      <c r="K11" s="16">
        <v>2</v>
      </c>
    </row>
    <row r="12" spans="1:11" x14ac:dyDescent="0.25">
      <c r="A12" s="69" t="s">
        <v>112</v>
      </c>
      <c r="B12" s="64" t="s">
        <v>113</v>
      </c>
      <c r="C12" s="70" t="s">
        <v>132</v>
      </c>
      <c r="H12" s="78">
        <v>4</v>
      </c>
      <c r="I12" s="10">
        <f t="shared" si="0"/>
        <v>-2</v>
      </c>
      <c r="J12" s="10">
        <f t="shared" si="1"/>
        <v>3</v>
      </c>
      <c r="K12" s="16">
        <v>2</v>
      </c>
    </row>
    <row r="13" spans="1:11" ht="15.75" thickBot="1" x14ac:dyDescent="0.3">
      <c r="A13" s="71" t="s">
        <v>110</v>
      </c>
      <c r="B13" s="62" t="s">
        <v>111</v>
      </c>
      <c r="C13" s="72" t="s">
        <v>131</v>
      </c>
      <c r="H13" s="79">
        <v>5</v>
      </c>
      <c r="I13" s="18">
        <f t="shared" si="0"/>
        <v>2</v>
      </c>
      <c r="J13" s="18">
        <f t="shared" si="1"/>
        <v>5</v>
      </c>
      <c r="K13" s="19">
        <v>2</v>
      </c>
    </row>
    <row r="14" spans="1:11" x14ac:dyDescent="0.25">
      <c r="A14" s="71" t="s">
        <v>114</v>
      </c>
      <c r="B14" s="62" t="s">
        <v>130</v>
      </c>
      <c r="C14" s="72" t="s">
        <v>155</v>
      </c>
    </row>
    <row r="15" spans="1:11" ht="15.75" thickBot="1" x14ac:dyDescent="0.3">
      <c r="A15" s="73" t="s">
        <v>120</v>
      </c>
      <c r="B15" s="74" t="s">
        <v>129</v>
      </c>
      <c r="C15" s="86" t="s">
        <v>151</v>
      </c>
    </row>
    <row r="16" spans="1:11" x14ac:dyDescent="0.25">
      <c r="A16" s="240" t="s">
        <v>160</v>
      </c>
      <c r="B16" s="241"/>
      <c r="C16" s="242"/>
    </row>
    <row r="17" spans="1:3" x14ac:dyDescent="0.25">
      <c r="A17" s="69" t="s">
        <v>139</v>
      </c>
      <c r="B17" s="64" t="s">
        <v>140</v>
      </c>
      <c r="C17" s="70" t="s">
        <v>147</v>
      </c>
    </row>
    <row r="18" spans="1:3" x14ac:dyDescent="0.25">
      <c r="A18" s="71" t="s">
        <v>119</v>
      </c>
      <c r="B18" s="62" t="s">
        <v>167</v>
      </c>
      <c r="C18" s="72" t="s">
        <v>156</v>
      </c>
    </row>
    <row r="19" spans="1:3" x14ac:dyDescent="0.25">
      <c r="A19" s="71" t="s">
        <v>117</v>
      </c>
      <c r="B19" s="62" t="s">
        <v>102</v>
      </c>
      <c r="C19" s="72" t="s">
        <v>149</v>
      </c>
    </row>
    <row r="20" spans="1:3" ht="15.75" thickBot="1" x14ac:dyDescent="0.3">
      <c r="A20" s="73" t="s">
        <v>115</v>
      </c>
      <c r="B20" s="74"/>
      <c r="C20" s="75" t="s">
        <v>148</v>
      </c>
    </row>
  </sheetData>
  <mergeCells count="5">
    <mergeCell ref="D4:F4"/>
    <mergeCell ref="A1:C1"/>
    <mergeCell ref="A11:C11"/>
    <mergeCell ref="A16:C16"/>
    <mergeCell ref="D1:F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F13CE-3F06-4D1E-A7A2-EEFAB9B54F36}">
  <dimension ref="A1:L18"/>
  <sheetViews>
    <sheetView workbookViewId="0">
      <selection activeCell="I14" sqref="I14"/>
    </sheetView>
  </sheetViews>
  <sheetFormatPr defaultRowHeight="15" x14ac:dyDescent="0.25"/>
  <cols>
    <col min="1" max="1" width="21.5703125" bestFit="1" customWidth="1"/>
    <col min="2" max="2" width="10.28515625" bestFit="1" customWidth="1"/>
    <col min="7" max="7" width="21" bestFit="1" customWidth="1"/>
    <col min="10" max="10" width="25.7109375" bestFit="1" customWidth="1"/>
  </cols>
  <sheetData>
    <row r="1" spans="1:12" x14ac:dyDescent="0.25">
      <c r="A1" s="246" t="s">
        <v>58</v>
      </c>
      <c r="B1" s="246"/>
      <c r="C1" s="246"/>
      <c r="D1" s="246"/>
      <c r="G1" s="243" t="s">
        <v>63</v>
      </c>
      <c r="H1" s="244"/>
      <c r="I1" s="245"/>
      <c r="J1" s="243" t="s">
        <v>76</v>
      </c>
      <c r="K1" s="244"/>
      <c r="L1" s="245"/>
    </row>
    <row r="2" spans="1:12" x14ac:dyDescent="0.25">
      <c r="A2" s="248" t="s">
        <v>65</v>
      </c>
      <c r="B2" s="248"/>
      <c r="C2" s="248"/>
      <c r="D2" s="248"/>
      <c r="G2" s="41"/>
      <c r="H2" s="30"/>
      <c r="I2" s="42"/>
      <c r="J2" s="33" t="s">
        <v>29</v>
      </c>
      <c r="K2" s="25" t="s">
        <v>59</v>
      </c>
      <c r="L2" s="34" t="s">
        <v>60</v>
      </c>
    </row>
    <row r="3" spans="1:12" x14ac:dyDescent="0.25">
      <c r="A3" t="s">
        <v>49</v>
      </c>
      <c r="B3" s="24" t="s">
        <v>54</v>
      </c>
      <c r="G3" s="33" t="s">
        <v>29</v>
      </c>
      <c r="H3" s="25" t="s">
        <v>59</v>
      </c>
      <c r="I3" s="34" t="s">
        <v>60</v>
      </c>
      <c r="J3" s="35" t="s">
        <v>72</v>
      </c>
      <c r="K3" s="27"/>
      <c r="L3" s="36">
        <f>POWER(K5,2)/(2*K4)</f>
        <v>-4</v>
      </c>
    </row>
    <row r="4" spans="1:12" x14ac:dyDescent="0.25">
      <c r="A4" t="s">
        <v>53</v>
      </c>
      <c r="B4">
        <v>10</v>
      </c>
      <c r="C4" t="s">
        <v>8</v>
      </c>
      <c r="G4" s="35" t="s">
        <v>49</v>
      </c>
      <c r="H4" s="27">
        <v>25</v>
      </c>
      <c r="I4" s="36">
        <f>(H5*POWER(H7,2))/2</f>
        <v>0</v>
      </c>
      <c r="J4" s="35" t="s">
        <v>6</v>
      </c>
      <c r="K4" s="28">
        <v>-2</v>
      </c>
      <c r="L4" s="37">
        <f>K5/K6</f>
        <v>-2</v>
      </c>
    </row>
    <row r="5" spans="1:12" x14ac:dyDescent="0.25">
      <c r="A5" t="s">
        <v>50</v>
      </c>
      <c r="B5" s="247" t="s">
        <v>55</v>
      </c>
      <c r="C5" s="247"/>
      <c r="D5" t="s">
        <v>57</v>
      </c>
      <c r="G5" s="35" t="s">
        <v>6</v>
      </c>
      <c r="H5" s="28">
        <v>10</v>
      </c>
      <c r="I5" s="43"/>
      <c r="J5" s="35" t="s">
        <v>51</v>
      </c>
      <c r="K5" s="28">
        <v>-4</v>
      </c>
      <c r="L5" s="37">
        <f>K6*K4</f>
        <v>-4</v>
      </c>
    </row>
    <row r="6" spans="1:12" x14ac:dyDescent="0.25">
      <c r="A6" t="s">
        <v>45</v>
      </c>
      <c r="B6" s="24" t="s">
        <v>56</v>
      </c>
      <c r="C6" t="s">
        <v>8</v>
      </c>
      <c r="G6" s="35" t="s">
        <v>45</v>
      </c>
      <c r="H6" s="28"/>
      <c r="I6" s="37">
        <f>H5*H7</f>
        <v>0</v>
      </c>
      <c r="J6" s="35" t="s">
        <v>73</v>
      </c>
      <c r="K6" s="28">
        <v>2</v>
      </c>
      <c r="L6" s="37">
        <f>K5/K4</f>
        <v>2</v>
      </c>
    </row>
    <row r="7" spans="1:12" x14ac:dyDescent="0.25">
      <c r="A7" t="s">
        <v>51</v>
      </c>
      <c r="B7">
        <v>0</v>
      </c>
      <c r="C7" t="s">
        <v>52</v>
      </c>
      <c r="G7" s="38" t="s">
        <v>50</v>
      </c>
      <c r="H7" s="28"/>
      <c r="I7" s="43"/>
      <c r="J7" s="35" t="s">
        <v>74</v>
      </c>
      <c r="K7" s="28">
        <v>4</v>
      </c>
      <c r="L7" s="37">
        <f>K6*2</f>
        <v>4</v>
      </c>
    </row>
    <row r="8" spans="1:12" ht="15.75" thickBot="1" x14ac:dyDescent="0.3">
      <c r="A8" s="249" t="s">
        <v>77</v>
      </c>
      <c r="B8" s="249"/>
      <c r="C8" s="249"/>
      <c r="D8" s="249"/>
      <c r="G8" s="35" t="s">
        <v>61</v>
      </c>
      <c r="H8" s="29"/>
      <c r="I8" s="37">
        <f>H6/H5</f>
        <v>0</v>
      </c>
      <c r="J8" s="39" t="s">
        <v>75</v>
      </c>
      <c r="K8" s="44"/>
      <c r="L8" s="40">
        <f>K7/2</f>
        <v>2</v>
      </c>
    </row>
    <row r="9" spans="1:12" ht="15.75" thickBot="1" x14ac:dyDescent="0.3">
      <c r="A9" t="s">
        <v>49</v>
      </c>
      <c r="B9" s="24" t="s">
        <v>67</v>
      </c>
      <c r="G9" s="39" t="s">
        <v>62</v>
      </c>
      <c r="H9" s="44"/>
      <c r="I9" s="40">
        <f>SQRT(2*H4/H5)</f>
        <v>2.2360679774997898</v>
      </c>
      <c r="J9" s="35" t="s">
        <v>78</v>
      </c>
      <c r="K9" s="27"/>
      <c r="L9" s="36">
        <f>K11*K4-K10</f>
        <v>40</v>
      </c>
    </row>
    <row r="10" spans="1:12" x14ac:dyDescent="0.25">
      <c r="A10" t="s">
        <v>45</v>
      </c>
      <c r="B10" s="24" t="s">
        <v>66</v>
      </c>
      <c r="G10" s="243" t="s">
        <v>71</v>
      </c>
      <c r="H10" s="244"/>
      <c r="I10" s="245"/>
      <c r="J10" s="26" t="s">
        <v>80</v>
      </c>
      <c r="K10" s="28">
        <v>-50</v>
      </c>
      <c r="L10" s="37">
        <f>K11*10</f>
        <v>50</v>
      </c>
    </row>
    <row r="11" spans="1:12" x14ac:dyDescent="0.25">
      <c r="G11" s="33" t="s">
        <v>29</v>
      </c>
      <c r="H11" s="25" t="s">
        <v>59</v>
      </c>
      <c r="I11" s="34" t="s">
        <v>60</v>
      </c>
      <c r="J11" s="45" t="s">
        <v>5</v>
      </c>
      <c r="K11">
        <v>5</v>
      </c>
    </row>
    <row r="12" spans="1:12" x14ac:dyDescent="0.25">
      <c r="G12" s="35" t="s">
        <v>49</v>
      </c>
      <c r="H12" s="27">
        <v>7</v>
      </c>
      <c r="I12" s="32">
        <f>H15*H16+((POWER(H16,2)*H13)/2)</f>
        <v>0</v>
      </c>
    </row>
    <row r="13" spans="1:12" x14ac:dyDescent="0.25">
      <c r="G13" s="35" t="s">
        <v>6</v>
      </c>
      <c r="H13" s="28">
        <v>10</v>
      </c>
      <c r="I13" s="43"/>
      <c r="J13" s="31"/>
      <c r="K13" s="28"/>
      <c r="L13" s="37"/>
    </row>
    <row r="14" spans="1:12" x14ac:dyDescent="0.25">
      <c r="G14" s="35" t="s">
        <v>68</v>
      </c>
      <c r="H14" s="28">
        <v>12</v>
      </c>
      <c r="I14" s="43"/>
      <c r="J14" s="31"/>
      <c r="K14" s="28"/>
      <c r="L14" s="37"/>
    </row>
    <row r="15" spans="1:12" x14ac:dyDescent="0.25">
      <c r="G15" s="38" t="s">
        <v>64</v>
      </c>
      <c r="H15" s="28">
        <v>2</v>
      </c>
      <c r="I15" s="37"/>
      <c r="J15" s="31"/>
      <c r="K15" s="28"/>
      <c r="L15" s="37"/>
    </row>
    <row r="16" spans="1:12" x14ac:dyDescent="0.25">
      <c r="G16" s="35" t="s">
        <v>50</v>
      </c>
      <c r="H16" s="28"/>
      <c r="I16" s="37">
        <f>(H14-H15)/H13</f>
        <v>1</v>
      </c>
    </row>
    <row r="17" spans="7:9" x14ac:dyDescent="0.25">
      <c r="G17" s="35" t="s">
        <v>69</v>
      </c>
      <c r="H17" s="29"/>
      <c r="I17" s="37">
        <f>H15+H13*H16</f>
        <v>2</v>
      </c>
    </row>
    <row r="18" spans="7:9" ht="15.75" thickBot="1" x14ac:dyDescent="0.3">
      <c r="G18" s="39" t="s">
        <v>70</v>
      </c>
      <c r="H18" s="44"/>
      <c r="I18" s="40">
        <f>SQRT(POWER(H15,2)+2*H13*H12)</f>
        <v>12</v>
      </c>
    </row>
  </sheetData>
  <mergeCells count="7">
    <mergeCell ref="J1:L1"/>
    <mergeCell ref="A1:D1"/>
    <mergeCell ref="G1:I1"/>
    <mergeCell ref="G10:I10"/>
    <mergeCell ref="B5:C5"/>
    <mergeCell ref="A2:D2"/>
    <mergeCell ref="A8:D8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9B223-0321-498F-912E-09BE35F41D6D}">
  <dimension ref="A1:D9"/>
  <sheetViews>
    <sheetView workbookViewId="0">
      <selection activeCell="C6" sqref="C3:D6"/>
    </sheetView>
  </sheetViews>
  <sheetFormatPr defaultRowHeight="15" x14ac:dyDescent="0.25"/>
  <sheetData>
    <row r="1" spans="1:4" x14ac:dyDescent="0.25">
      <c r="A1" t="s">
        <v>104</v>
      </c>
      <c r="B1" t="s">
        <v>168</v>
      </c>
      <c r="C1" t="s">
        <v>116</v>
      </c>
      <c r="D1" t="s">
        <v>17</v>
      </c>
    </row>
    <row r="2" spans="1:4" x14ac:dyDescent="0.25">
      <c r="A2">
        <v>0</v>
      </c>
      <c r="B2">
        <f>3*A2 ^2 -2*A2 ^3</f>
        <v>0</v>
      </c>
      <c r="C2">
        <f>6*A2-6*A2 ^2</f>
        <v>0</v>
      </c>
      <c r="D2">
        <f>6-12*A2</f>
        <v>6</v>
      </c>
    </row>
    <row r="3" spans="1:4" x14ac:dyDescent="0.25">
      <c r="A3">
        <v>1</v>
      </c>
      <c r="B3">
        <f t="shared" ref="B3:B9" si="0">3*A3 ^2 -2*A3 ^3</f>
        <v>1</v>
      </c>
      <c r="C3">
        <f t="shared" ref="C3:C9" si="1">6*A3-6*A3 ^2</f>
        <v>0</v>
      </c>
      <c r="D3">
        <f t="shared" ref="D3:D9" si="2">6-12*A3</f>
        <v>-6</v>
      </c>
    </row>
    <row r="4" spans="1:4" x14ac:dyDescent="0.25">
      <c r="A4">
        <v>2</v>
      </c>
      <c r="B4">
        <f t="shared" si="0"/>
        <v>-4</v>
      </c>
      <c r="C4">
        <f t="shared" si="1"/>
        <v>-12</v>
      </c>
      <c r="D4">
        <f t="shared" si="2"/>
        <v>-18</v>
      </c>
    </row>
    <row r="5" spans="1:4" x14ac:dyDescent="0.25">
      <c r="A5">
        <v>3</v>
      </c>
      <c r="B5">
        <f t="shared" si="0"/>
        <v>-27</v>
      </c>
      <c r="C5">
        <f t="shared" si="1"/>
        <v>-36</v>
      </c>
      <c r="D5">
        <f t="shared" si="2"/>
        <v>-30</v>
      </c>
    </row>
    <row r="6" spans="1:4" x14ac:dyDescent="0.25">
      <c r="A6">
        <v>4</v>
      </c>
      <c r="B6">
        <f t="shared" si="0"/>
        <v>-80</v>
      </c>
      <c r="C6">
        <f t="shared" si="1"/>
        <v>-72</v>
      </c>
      <c r="D6">
        <f t="shared" si="2"/>
        <v>-42</v>
      </c>
    </row>
    <row r="7" spans="1:4" x14ac:dyDescent="0.25">
      <c r="A7">
        <v>5</v>
      </c>
      <c r="B7">
        <f t="shared" si="0"/>
        <v>-175</v>
      </c>
      <c r="C7">
        <f t="shared" si="1"/>
        <v>-120</v>
      </c>
      <c r="D7">
        <f t="shared" si="2"/>
        <v>-54</v>
      </c>
    </row>
    <row r="8" spans="1:4" x14ac:dyDescent="0.25">
      <c r="A8">
        <v>6</v>
      </c>
      <c r="B8">
        <f t="shared" si="0"/>
        <v>-324</v>
      </c>
      <c r="C8">
        <f t="shared" si="1"/>
        <v>-180</v>
      </c>
      <c r="D8">
        <f t="shared" si="2"/>
        <v>-66</v>
      </c>
    </row>
    <row r="9" spans="1:4" x14ac:dyDescent="0.25">
      <c r="A9">
        <v>7</v>
      </c>
      <c r="B9">
        <f t="shared" si="0"/>
        <v>-539</v>
      </c>
      <c r="C9">
        <f t="shared" si="1"/>
        <v>-252</v>
      </c>
      <c r="D9">
        <f t="shared" si="2"/>
        <v>-78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AD83A-DA60-4E85-99F1-7ED826F0099D}">
  <dimension ref="A1:R14"/>
  <sheetViews>
    <sheetView workbookViewId="0">
      <selection activeCell="I20" sqref="I20"/>
    </sheetView>
  </sheetViews>
  <sheetFormatPr defaultRowHeight="15" x14ac:dyDescent="0.25"/>
  <sheetData>
    <row r="1" spans="1:18" ht="17.25" thickBot="1" x14ac:dyDescent="0.35">
      <c r="A1" s="92" t="s">
        <v>169</v>
      </c>
      <c r="B1" s="93" t="s">
        <v>170</v>
      </c>
      <c r="C1" s="93" t="s">
        <v>171</v>
      </c>
      <c r="D1" s="93" t="s">
        <v>172</v>
      </c>
      <c r="E1" s="93" t="s">
        <v>173</v>
      </c>
      <c r="F1" s="93" t="s">
        <v>174</v>
      </c>
      <c r="G1" s="93" t="s">
        <v>175</v>
      </c>
      <c r="H1" s="94" t="s">
        <v>176</v>
      </c>
      <c r="J1" s="102" t="s">
        <v>180</v>
      </c>
      <c r="K1" s="103">
        <v>6.6</v>
      </c>
      <c r="L1" s="104"/>
      <c r="M1" s="104"/>
      <c r="N1" s="104"/>
      <c r="O1" s="104"/>
      <c r="P1" s="104"/>
      <c r="Q1" s="104"/>
      <c r="R1" s="104"/>
    </row>
    <row r="2" spans="1:18" ht="16.5" x14ac:dyDescent="0.3">
      <c r="A2" s="95">
        <v>23.04</v>
      </c>
      <c r="B2" s="96">
        <f>A2*0.001</f>
        <v>2.3039999999999998E-2</v>
      </c>
      <c r="C2" s="96">
        <f>B2*9.8</f>
        <v>0.22579199999999999</v>
      </c>
      <c r="D2" s="96">
        <f>B2*9.8</f>
        <v>0.22579199999999999</v>
      </c>
      <c r="E2" s="96">
        <v>11</v>
      </c>
      <c r="F2" s="96">
        <f>(E2-10)*0.01</f>
        <v>0.01</v>
      </c>
      <c r="G2" s="97">
        <f>D2/F2</f>
        <v>22.5792</v>
      </c>
      <c r="H2" s="98">
        <f>G2-0</f>
        <v>22.5792</v>
      </c>
      <c r="J2" s="105" t="s">
        <v>15</v>
      </c>
      <c r="K2" s="106">
        <v>9.8000000000000007</v>
      </c>
      <c r="L2" s="104"/>
      <c r="M2" s="104"/>
      <c r="N2" s="104"/>
      <c r="O2" s="104"/>
      <c r="P2" s="104"/>
      <c r="Q2" s="104"/>
      <c r="R2" s="104"/>
    </row>
    <row r="3" spans="1:18" ht="17.25" thickBot="1" x14ac:dyDescent="0.35">
      <c r="A3" s="95">
        <v>28.23</v>
      </c>
      <c r="B3" s="96">
        <f t="shared" ref="B3:B11" si="0">A3*0.001</f>
        <v>2.8230000000000002E-2</v>
      </c>
      <c r="C3" s="96">
        <f t="shared" ref="C3:C11" si="1">B3*9.8</f>
        <v>0.27665400000000001</v>
      </c>
      <c r="D3" s="96">
        <f t="shared" ref="D3:D11" si="2">B3*9.8</f>
        <v>0.27665400000000001</v>
      </c>
      <c r="E3" s="96">
        <v>11.3</v>
      </c>
      <c r="F3" s="96">
        <f t="shared" ref="F3:F11" si="3">(E3-10)*0.01</f>
        <v>1.3000000000000008E-2</v>
      </c>
      <c r="G3" s="97">
        <f t="shared" ref="G3:G11" si="4">D3/F3</f>
        <v>21.28107692307691</v>
      </c>
      <c r="H3" s="98">
        <f>G3-G2</f>
        <v>-1.2981230769230905</v>
      </c>
      <c r="J3" s="107" t="s">
        <v>169</v>
      </c>
      <c r="K3" s="108" t="s">
        <v>170</v>
      </c>
      <c r="L3" s="108" t="s">
        <v>181</v>
      </c>
      <c r="M3" s="108" t="s">
        <v>182</v>
      </c>
      <c r="N3" s="108" t="s">
        <v>183</v>
      </c>
      <c r="O3" s="109" t="s">
        <v>184</v>
      </c>
      <c r="P3" s="104"/>
      <c r="Q3" s="104" t="s">
        <v>185</v>
      </c>
      <c r="R3" s="104"/>
    </row>
    <row r="4" spans="1:18" ht="16.5" x14ac:dyDescent="0.3">
      <c r="A4" s="95">
        <v>38.130000000000003</v>
      </c>
      <c r="B4" s="96">
        <f t="shared" si="0"/>
        <v>3.8130000000000004E-2</v>
      </c>
      <c r="C4" s="96">
        <f t="shared" si="1"/>
        <v>0.37367400000000006</v>
      </c>
      <c r="D4" s="96">
        <f t="shared" si="2"/>
        <v>0.37367400000000006</v>
      </c>
      <c r="E4" s="96">
        <v>11.9</v>
      </c>
      <c r="F4" s="96">
        <f t="shared" si="3"/>
        <v>1.9000000000000003E-2</v>
      </c>
      <c r="G4" s="97">
        <f t="shared" si="4"/>
        <v>19.667052631578947</v>
      </c>
      <c r="H4" s="98">
        <f t="shared" ref="H4:H11" si="5">G4-G3</f>
        <v>-1.6140242914979623</v>
      </c>
      <c r="J4" s="110">
        <v>10</v>
      </c>
      <c r="K4" s="111">
        <f t="shared" ref="K4:K9" si="6">J4*0.001</f>
        <v>0.01</v>
      </c>
      <c r="L4" s="111">
        <f>7-K1</f>
        <v>0.40000000000000036</v>
      </c>
      <c r="M4" s="111">
        <f t="shared" ref="M4:M9" si="7">L4*0.01</f>
        <v>4.0000000000000036E-3</v>
      </c>
      <c r="N4" s="111">
        <f>K4*K2</f>
        <v>9.8000000000000004E-2</v>
      </c>
      <c r="O4" s="112">
        <f t="shared" ref="O4:O9" si="8">N4/M4</f>
        <v>24.499999999999979</v>
      </c>
      <c r="P4" s="111"/>
      <c r="Q4" s="111">
        <f>(44.48+M11+M12)*M4-0.109</f>
        <v>0.10381715972683055</v>
      </c>
      <c r="R4" s="111">
        <f>Q4+M12</f>
        <v>2.6329709135421737</v>
      </c>
    </row>
    <row r="5" spans="1:18" ht="16.5" x14ac:dyDescent="0.3">
      <c r="A5" s="95">
        <v>68.069999999999993</v>
      </c>
      <c r="B5" s="96">
        <f t="shared" si="0"/>
        <v>6.8069999999999992E-2</v>
      </c>
      <c r="C5" s="96">
        <f t="shared" si="1"/>
        <v>0.66708599999999996</v>
      </c>
      <c r="D5" s="96">
        <f t="shared" si="2"/>
        <v>0.66708599999999996</v>
      </c>
      <c r="E5" s="96">
        <v>13.6</v>
      </c>
      <c r="F5" s="96">
        <f t="shared" si="3"/>
        <v>3.5999999999999997E-2</v>
      </c>
      <c r="G5" s="97">
        <f t="shared" si="4"/>
        <v>18.530166666666666</v>
      </c>
      <c r="H5" s="98">
        <f t="shared" si="5"/>
        <v>-1.1368859649122811</v>
      </c>
      <c r="J5" s="113">
        <v>32.04</v>
      </c>
      <c r="K5" s="114">
        <f t="shared" si="6"/>
        <v>3.2039999999999999E-2</v>
      </c>
      <c r="L5" s="114">
        <f>7.6-K1</f>
        <v>1</v>
      </c>
      <c r="M5" s="114">
        <f t="shared" si="7"/>
        <v>0.01</v>
      </c>
      <c r="N5" s="114">
        <f>K5*K2</f>
        <v>0.31399199999999999</v>
      </c>
      <c r="O5" s="115">
        <f t="shared" si="8"/>
        <v>31.3992</v>
      </c>
      <c r="P5" s="114"/>
      <c r="Q5" s="111">
        <f>(44.48+M11+M12)</f>
        <v>53.204289931707592</v>
      </c>
      <c r="R5" s="111">
        <f>Q5+M12</f>
        <v>55.733443685522936</v>
      </c>
    </row>
    <row r="6" spans="1:18" ht="16.5" x14ac:dyDescent="0.3">
      <c r="A6" s="95">
        <v>69.13</v>
      </c>
      <c r="B6" s="96">
        <f t="shared" si="0"/>
        <v>6.9129999999999997E-2</v>
      </c>
      <c r="C6" s="96">
        <f t="shared" si="1"/>
        <v>0.67747400000000002</v>
      </c>
      <c r="D6" s="96">
        <f t="shared" si="2"/>
        <v>0.67747400000000002</v>
      </c>
      <c r="E6" s="96">
        <v>13.7</v>
      </c>
      <c r="F6" s="96">
        <f t="shared" si="3"/>
        <v>3.6999999999999991E-2</v>
      </c>
      <c r="G6" s="97">
        <f t="shared" si="4"/>
        <v>18.310108108108114</v>
      </c>
      <c r="H6" s="98">
        <f t="shared" si="5"/>
        <v>-0.22005855855855216</v>
      </c>
      <c r="J6" s="110">
        <v>50.64</v>
      </c>
      <c r="K6" s="111">
        <f t="shared" si="6"/>
        <v>5.0640000000000004E-2</v>
      </c>
      <c r="L6" s="111">
        <f>8-K1</f>
        <v>1.4000000000000004</v>
      </c>
      <c r="M6" s="111">
        <f t="shared" si="7"/>
        <v>1.4000000000000004E-2</v>
      </c>
      <c r="N6" s="111">
        <f>K6*K2</f>
        <v>0.4962720000000001</v>
      </c>
      <c r="O6" s="112">
        <f t="shared" si="8"/>
        <v>35.448</v>
      </c>
      <c r="P6" s="111"/>
      <c r="Q6" s="111">
        <f>(44.48+M11+M12)</f>
        <v>53.204289931707592</v>
      </c>
      <c r="R6" s="111">
        <f>Q6+M12</f>
        <v>55.733443685522936</v>
      </c>
    </row>
    <row r="7" spans="1:18" ht="16.5" x14ac:dyDescent="0.3">
      <c r="A7" s="95">
        <v>78.22</v>
      </c>
      <c r="B7" s="96">
        <f t="shared" si="0"/>
        <v>7.8219999999999998E-2</v>
      </c>
      <c r="C7" s="96">
        <f t="shared" si="1"/>
        <v>0.76655600000000002</v>
      </c>
      <c r="D7" s="96">
        <f t="shared" si="2"/>
        <v>0.76655600000000002</v>
      </c>
      <c r="E7" s="96">
        <v>14</v>
      </c>
      <c r="F7" s="96">
        <f t="shared" si="3"/>
        <v>0.04</v>
      </c>
      <c r="G7" s="97">
        <f t="shared" si="4"/>
        <v>19.163900000000002</v>
      </c>
      <c r="H7" s="98">
        <f t="shared" si="5"/>
        <v>0.85379189189188764</v>
      </c>
      <c r="J7" s="113">
        <v>70.28</v>
      </c>
      <c r="K7" s="114">
        <f t="shared" si="6"/>
        <v>7.0280000000000009E-2</v>
      </c>
      <c r="L7" s="114">
        <f>8.4-K1</f>
        <v>1.8000000000000007</v>
      </c>
      <c r="M7" s="114">
        <f t="shared" si="7"/>
        <v>1.8000000000000009E-2</v>
      </c>
      <c r="N7" s="114">
        <f>K7*K2</f>
        <v>0.68874400000000013</v>
      </c>
      <c r="O7" s="115">
        <f t="shared" si="8"/>
        <v>38.263555555555541</v>
      </c>
      <c r="P7" s="114"/>
      <c r="Q7" s="111">
        <f>(44.48+M11+M12)</f>
        <v>53.204289931707592</v>
      </c>
      <c r="R7" s="111">
        <f>Q7+M12</f>
        <v>55.733443685522936</v>
      </c>
    </row>
    <row r="8" spans="1:18" ht="16.5" x14ac:dyDescent="0.3">
      <c r="A8" s="95">
        <v>87.72</v>
      </c>
      <c r="B8" s="96">
        <f t="shared" si="0"/>
        <v>8.7720000000000006E-2</v>
      </c>
      <c r="C8" s="96">
        <f t="shared" si="1"/>
        <v>0.85965600000000009</v>
      </c>
      <c r="D8" s="96">
        <f t="shared" si="2"/>
        <v>0.85965600000000009</v>
      </c>
      <c r="E8" s="96">
        <v>14.6</v>
      </c>
      <c r="F8" s="96">
        <f t="shared" si="3"/>
        <v>4.5999999999999999E-2</v>
      </c>
      <c r="G8" s="97">
        <f t="shared" si="4"/>
        <v>18.688173913043482</v>
      </c>
      <c r="H8" s="98">
        <f t="shared" si="5"/>
        <v>-0.47572608695652008</v>
      </c>
      <c r="J8" s="110">
        <v>90.63</v>
      </c>
      <c r="K8" s="111">
        <f t="shared" si="6"/>
        <v>9.0630000000000002E-2</v>
      </c>
      <c r="L8" s="111">
        <f>8.9-K1</f>
        <v>2.3000000000000007</v>
      </c>
      <c r="M8" s="111">
        <f t="shared" si="7"/>
        <v>2.3000000000000007E-2</v>
      </c>
      <c r="N8" s="111">
        <f>K8*K2</f>
        <v>0.88817400000000013</v>
      </c>
      <c r="O8" s="112">
        <f t="shared" si="8"/>
        <v>38.61626086956521</v>
      </c>
      <c r="P8" s="111"/>
      <c r="Q8" s="111">
        <f>(44.48+M11+M12)</f>
        <v>53.204289931707592</v>
      </c>
      <c r="R8" s="111">
        <f>Q8+M12</f>
        <v>55.733443685522936</v>
      </c>
    </row>
    <row r="9" spans="1:18" ht="16.5" x14ac:dyDescent="0.3">
      <c r="A9" s="95">
        <v>88.45</v>
      </c>
      <c r="B9" s="96">
        <f t="shared" si="0"/>
        <v>8.8450000000000001E-2</v>
      </c>
      <c r="C9" s="96">
        <f t="shared" si="1"/>
        <v>0.86681000000000008</v>
      </c>
      <c r="D9" s="96">
        <f t="shared" si="2"/>
        <v>0.86681000000000008</v>
      </c>
      <c r="E9" s="96">
        <v>14.7</v>
      </c>
      <c r="F9" s="96">
        <f t="shared" si="3"/>
        <v>4.6999999999999993E-2</v>
      </c>
      <c r="G9" s="97">
        <f t="shared" si="4"/>
        <v>18.442765957446813</v>
      </c>
      <c r="H9" s="98">
        <f t="shared" si="5"/>
        <v>-0.24540795559666861</v>
      </c>
      <c r="J9" s="116">
        <v>114.86</v>
      </c>
      <c r="K9" s="117">
        <f t="shared" si="6"/>
        <v>0.11486</v>
      </c>
      <c r="L9" s="117">
        <f>9.3-K1</f>
        <v>2.7000000000000011</v>
      </c>
      <c r="M9" s="117">
        <f t="shared" si="7"/>
        <v>2.700000000000001E-2</v>
      </c>
      <c r="N9" s="117">
        <f>K9*K2</f>
        <v>1.1256280000000001</v>
      </c>
      <c r="O9" s="118">
        <f t="shared" si="8"/>
        <v>41.689925925925913</v>
      </c>
      <c r="P9" s="114"/>
      <c r="Q9" s="111">
        <f>(44.48+M11+M12)</f>
        <v>53.204289931707592</v>
      </c>
      <c r="R9" s="111">
        <f>Q9+M12</f>
        <v>55.733443685522936</v>
      </c>
    </row>
    <row r="10" spans="1:18" ht="16.5" x14ac:dyDescent="0.3">
      <c r="A10" s="95">
        <v>97.8</v>
      </c>
      <c r="B10" s="96">
        <f t="shared" si="0"/>
        <v>9.7799999999999998E-2</v>
      </c>
      <c r="C10" s="96">
        <f t="shared" si="1"/>
        <v>0.95844000000000007</v>
      </c>
      <c r="D10" s="96">
        <f t="shared" si="2"/>
        <v>0.95844000000000007</v>
      </c>
      <c r="E10" s="96">
        <v>15.3</v>
      </c>
      <c r="F10" s="96">
        <f t="shared" si="3"/>
        <v>5.3000000000000005E-2</v>
      </c>
      <c r="G10" s="97">
        <f t="shared" si="4"/>
        <v>18.083773584905661</v>
      </c>
      <c r="H10" s="98">
        <f t="shared" si="5"/>
        <v>-0.35899237254115235</v>
      </c>
      <c r="J10" s="256" t="s">
        <v>177</v>
      </c>
      <c r="K10" s="257"/>
      <c r="L10" s="258"/>
      <c r="M10" s="104">
        <f>AVERAGE(O4:O9)</f>
        <v>34.986157058507771</v>
      </c>
      <c r="N10" s="104"/>
      <c r="O10" s="104"/>
      <c r="P10" s="104"/>
      <c r="Q10" s="104"/>
      <c r="R10" s="104"/>
    </row>
    <row r="11" spans="1:18" ht="17.25" thickBot="1" x14ac:dyDescent="0.35">
      <c r="A11" s="95">
        <v>98.52</v>
      </c>
      <c r="B11" s="96">
        <f t="shared" si="0"/>
        <v>9.8519999999999996E-2</v>
      </c>
      <c r="C11" s="96">
        <f t="shared" si="1"/>
        <v>0.96549600000000002</v>
      </c>
      <c r="D11" s="96">
        <f t="shared" si="2"/>
        <v>0.96549600000000002</v>
      </c>
      <c r="E11" s="99">
        <v>15.4</v>
      </c>
      <c r="F11" s="96">
        <f t="shared" si="3"/>
        <v>5.4000000000000006E-2</v>
      </c>
      <c r="G11" s="97">
        <f t="shared" si="4"/>
        <v>17.879555555555555</v>
      </c>
      <c r="H11" s="98">
        <f t="shared" si="5"/>
        <v>-0.20421802935010547</v>
      </c>
      <c r="J11" s="259" t="s">
        <v>178</v>
      </c>
      <c r="K11" s="260"/>
      <c r="L11" s="261"/>
      <c r="M11" s="104">
        <f>_xlfn.STDEV.S(O4:O9)</f>
        <v>6.1951361778922536</v>
      </c>
      <c r="N11" s="104"/>
      <c r="O11" s="104"/>
      <c r="P11" s="104"/>
      <c r="Q11" s="104"/>
      <c r="R11" s="104"/>
    </row>
    <row r="12" spans="1:18" ht="16.5" x14ac:dyDescent="0.3">
      <c r="A12" s="250" t="s">
        <v>177</v>
      </c>
      <c r="B12" s="251"/>
      <c r="C12" s="251"/>
      <c r="D12" s="252"/>
      <c r="E12" s="100">
        <f>G12</f>
        <v>19.262577334038216</v>
      </c>
      <c r="F12" s="3"/>
      <c r="G12" s="3">
        <f>AVERAGE(G2:G11)</f>
        <v>19.262577334038216</v>
      </c>
      <c r="H12" s="3"/>
      <c r="J12" s="262" t="s">
        <v>179</v>
      </c>
      <c r="K12" s="263"/>
      <c r="L12" s="264"/>
      <c r="M12" s="104">
        <f>M11/SQRT(6)</f>
        <v>2.529153753815343</v>
      </c>
      <c r="N12" s="104"/>
      <c r="O12" s="104"/>
      <c r="P12" s="104"/>
      <c r="Q12" s="104"/>
      <c r="R12" s="104"/>
    </row>
    <row r="13" spans="1:18" x14ac:dyDescent="0.25">
      <c r="A13" s="250" t="s">
        <v>178</v>
      </c>
      <c r="B13" s="251"/>
      <c r="C13" s="251"/>
      <c r="D13" s="252"/>
      <c r="E13" s="100">
        <f>_xlfn.STDEV.S(G2:G11)</f>
        <v>1.5273668152842281</v>
      </c>
      <c r="F13" s="3"/>
      <c r="G13" s="3"/>
      <c r="H13" s="3"/>
    </row>
    <row r="14" spans="1:18" ht="15.75" thickBot="1" x14ac:dyDescent="0.3">
      <c r="A14" s="253" t="s">
        <v>179</v>
      </c>
      <c r="B14" s="254"/>
      <c r="C14" s="254"/>
      <c r="D14" s="255"/>
      <c r="E14" s="101">
        <f>E13/SQRT(10)</f>
        <v>0.48299579588558378</v>
      </c>
      <c r="F14" s="3"/>
      <c r="G14" s="3"/>
      <c r="H14" s="3"/>
    </row>
  </sheetData>
  <mergeCells count="6">
    <mergeCell ref="A12:D12"/>
    <mergeCell ref="A13:D13"/>
    <mergeCell ref="A14:D14"/>
    <mergeCell ref="J10:L10"/>
    <mergeCell ref="J11:L11"/>
    <mergeCell ref="J12:L1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5E641-1E4C-4AD3-846C-1EDC687262F8}">
  <dimension ref="B1:P12"/>
  <sheetViews>
    <sheetView topLeftCell="B1" workbookViewId="0">
      <selection activeCell="J28" sqref="J28"/>
    </sheetView>
  </sheetViews>
  <sheetFormatPr defaultRowHeight="15" x14ac:dyDescent="0.25"/>
  <cols>
    <col min="8" max="8" width="15.7109375" bestFit="1" customWidth="1"/>
    <col min="11" max="11" width="11" bestFit="1" customWidth="1"/>
    <col min="14" max="14" width="21" bestFit="1" customWidth="1"/>
  </cols>
  <sheetData>
    <row r="1" spans="2:16" ht="15.75" thickBot="1" x14ac:dyDescent="0.3">
      <c r="B1" s="270" t="s">
        <v>39</v>
      </c>
      <c r="C1" s="271"/>
      <c r="D1" s="272"/>
      <c r="E1" s="267" t="s">
        <v>48</v>
      </c>
      <c r="F1" s="268"/>
      <c r="G1" s="269"/>
      <c r="H1" s="270" t="s">
        <v>158</v>
      </c>
      <c r="I1" s="271"/>
      <c r="J1" s="272"/>
      <c r="K1" s="270" t="s">
        <v>47</v>
      </c>
      <c r="L1" s="271"/>
      <c r="M1" s="271"/>
      <c r="N1" s="270" t="s">
        <v>157</v>
      </c>
      <c r="O1" s="271"/>
      <c r="P1" s="272"/>
    </row>
    <row r="2" spans="2:16" x14ac:dyDescent="0.25">
      <c r="B2" s="273" t="s">
        <v>26</v>
      </c>
      <c r="C2" s="274"/>
      <c r="D2" s="89">
        <v>7</v>
      </c>
      <c r="E2" s="23" t="s">
        <v>29</v>
      </c>
      <c r="F2" s="11" t="s">
        <v>30</v>
      </c>
      <c r="G2" s="12" t="s">
        <v>31</v>
      </c>
      <c r="H2" s="90" t="s">
        <v>29</v>
      </c>
      <c r="I2" s="91" t="s">
        <v>30</v>
      </c>
      <c r="J2" s="65" t="s">
        <v>31</v>
      </c>
      <c r="K2" s="23" t="s">
        <v>29</v>
      </c>
      <c r="L2" s="11" t="s">
        <v>30</v>
      </c>
      <c r="M2" s="54" t="s">
        <v>31</v>
      </c>
      <c r="N2" s="53" t="s">
        <v>29</v>
      </c>
      <c r="O2" s="11" t="s">
        <v>30</v>
      </c>
      <c r="P2" s="12" t="s">
        <v>31</v>
      </c>
    </row>
    <row r="3" spans="2:16" x14ac:dyDescent="0.25">
      <c r="B3" s="275" t="s">
        <v>27</v>
      </c>
      <c r="C3" s="276"/>
      <c r="D3" s="20">
        <v>-12</v>
      </c>
      <c r="E3" s="13" t="s">
        <v>5</v>
      </c>
      <c r="F3" s="9">
        <v>0.42</v>
      </c>
      <c r="G3" s="47"/>
      <c r="H3" s="13" t="s">
        <v>90</v>
      </c>
      <c r="I3">
        <v>3</v>
      </c>
      <c r="J3" s="55"/>
      <c r="K3" s="13" t="s">
        <v>5</v>
      </c>
      <c r="L3" s="9">
        <v>5</v>
      </c>
      <c r="M3" s="50"/>
      <c r="N3" s="13" t="s">
        <v>81</v>
      </c>
      <c r="O3" s="9">
        <v>3.0999999999999999E-3</v>
      </c>
      <c r="P3" s="47"/>
    </row>
    <row r="4" spans="2:16" ht="15.75" thickBot="1" x14ac:dyDescent="0.3">
      <c r="B4" s="265" t="s">
        <v>28</v>
      </c>
      <c r="C4" s="266"/>
      <c r="D4" s="21">
        <f>SQRT(POWER(D2,2)+POWER(D3,2))</f>
        <v>13.892443989449804</v>
      </c>
      <c r="E4" s="15" t="s">
        <v>6</v>
      </c>
      <c r="F4" s="10">
        <v>3</v>
      </c>
      <c r="G4" s="48"/>
      <c r="H4" s="15" t="s">
        <v>91</v>
      </c>
      <c r="I4">
        <v>37</v>
      </c>
      <c r="J4" s="55"/>
      <c r="K4" s="15" t="s">
        <v>38</v>
      </c>
      <c r="L4" s="10">
        <v>-2</v>
      </c>
      <c r="M4" s="51"/>
      <c r="N4" s="15" t="s">
        <v>82</v>
      </c>
      <c r="O4" s="10">
        <v>17.100000000000001</v>
      </c>
      <c r="P4" s="48"/>
    </row>
    <row r="5" spans="2:16" x14ac:dyDescent="0.25">
      <c r="B5" s="22" t="s">
        <v>29</v>
      </c>
      <c r="C5" s="11" t="s">
        <v>30</v>
      </c>
      <c r="D5" s="12" t="s">
        <v>31</v>
      </c>
      <c r="E5" s="15" t="s">
        <v>37</v>
      </c>
      <c r="F5" s="46"/>
      <c r="G5" s="59">
        <f>F3*F4+G8</f>
        <v>4.8601026629488713</v>
      </c>
      <c r="H5" s="15" t="s">
        <v>5</v>
      </c>
      <c r="I5">
        <v>3</v>
      </c>
      <c r="J5" s="55"/>
      <c r="K5" s="15" t="s">
        <v>45</v>
      </c>
      <c r="L5" s="46"/>
      <c r="M5" s="60">
        <f>L4*L6+4</f>
        <v>-6</v>
      </c>
      <c r="N5" s="15" t="s">
        <v>83</v>
      </c>
      <c r="O5" s="46"/>
      <c r="P5" s="16">
        <f>O3+O4</f>
        <v>17.103100000000001</v>
      </c>
    </row>
    <row r="6" spans="2:16" x14ac:dyDescent="0.25">
      <c r="B6" s="13" t="s">
        <v>5</v>
      </c>
      <c r="C6" s="9">
        <v>2.6</v>
      </c>
      <c r="D6" s="14">
        <f>C8/C7</f>
        <v>1</v>
      </c>
      <c r="E6" s="15" t="s">
        <v>3</v>
      </c>
      <c r="F6" s="46"/>
      <c r="G6" s="16">
        <f>F9*F3</f>
        <v>4.2</v>
      </c>
      <c r="H6" s="15" t="s">
        <v>92</v>
      </c>
      <c r="I6" s="88"/>
      <c r="J6" s="56">
        <f>I5*J7</f>
        <v>-3.75</v>
      </c>
      <c r="K6" s="15" t="s">
        <v>46</v>
      </c>
      <c r="L6" s="10">
        <v>5</v>
      </c>
      <c r="M6" s="51"/>
      <c r="N6" s="15" t="s">
        <v>84</v>
      </c>
      <c r="O6" s="10">
        <v>0.7</v>
      </c>
      <c r="P6" s="48"/>
    </row>
    <row r="7" spans="2:16" x14ac:dyDescent="0.25">
      <c r="B7" s="15" t="s">
        <v>6</v>
      </c>
      <c r="C7" s="10">
        <v>13.892443989449804</v>
      </c>
      <c r="D7" s="66">
        <f>C8/C6</f>
        <v>5.3432476882499245</v>
      </c>
      <c r="E7" s="15" t="s">
        <v>36</v>
      </c>
      <c r="F7" s="46"/>
      <c r="G7" s="16">
        <f>COS(F10*PI()/180)*G6</f>
        <v>2.1631599146222285</v>
      </c>
      <c r="H7" s="15" t="s">
        <v>93</v>
      </c>
      <c r="I7" s="88"/>
      <c r="J7" s="56">
        <f>I8/I9</f>
        <v>-1.25</v>
      </c>
      <c r="K7" s="15" t="s">
        <v>78</v>
      </c>
      <c r="L7" s="46"/>
      <c r="M7" s="60">
        <f>L3*L4-L8</f>
        <v>40</v>
      </c>
      <c r="N7" s="15" t="s">
        <v>34</v>
      </c>
      <c r="O7" s="10">
        <v>10</v>
      </c>
      <c r="P7" s="48"/>
    </row>
    <row r="8" spans="2:16" ht="15.75" thickBot="1" x14ac:dyDescent="0.3">
      <c r="B8" s="17" t="s">
        <v>32</v>
      </c>
      <c r="C8" s="18">
        <v>13.892443989449804</v>
      </c>
      <c r="D8" s="19">
        <f>C7*C6</f>
        <v>36.120354372569494</v>
      </c>
      <c r="E8" s="15" t="s">
        <v>35</v>
      </c>
      <c r="F8" s="46"/>
      <c r="G8" s="16">
        <f>SIN(F10*PI()/180)*G6</f>
        <v>3.6001026629488715</v>
      </c>
      <c r="H8" s="15" t="s">
        <v>95</v>
      </c>
      <c r="I8" s="3">
        <v>5</v>
      </c>
      <c r="J8" s="55"/>
      <c r="K8" s="17" t="s">
        <v>79</v>
      </c>
      <c r="L8" s="18">
        <v>-50</v>
      </c>
      <c r="M8" s="52">
        <f>L3*-10</f>
        <v>-50</v>
      </c>
      <c r="N8" s="15" t="s">
        <v>86</v>
      </c>
      <c r="O8" s="46"/>
      <c r="P8" s="59">
        <f>P5*P9</f>
        <v>244.33000000000004</v>
      </c>
    </row>
    <row r="9" spans="2:16" x14ac:dyDescent="0.25">
      <c r="E9" s="15" t="s">
        <v>34</v>
      </c>
      <c r="F9" s="10">
        <v>10</v>
      </c>
      <c r="G9" s="48"/>
      <c r="H9" s="15" t="s">
        <v>94</v>
      </c>
      <c r="I9" s="3">
        <v>-4</v>
      </c>
      <c r="J9" s="55"/>
      <c r="N9" s="15" t="s">
        <v>85</v>
      </c>
      <c r="O9" s="46"/>
      <c r="P9" s="16">
        <f>O7/O6</f>
        <v>14.285714285714286</v>
      </c>
    </row>
    <row r="10" spans="2:16" ht="15.75" thickBot="1" x14ac:dyDescent="0.3">
      <c r="E10" s="17" t="s">
        <v>33</v>
      </c>
      <c r="F10" s="18">
        <v>59</v>
      </c>
      <c r="G10" s="49"/>
      <c r="H10" s="17" t="s">
        <v>96</v>
      </c>
      <c r="I10" s="57"/>
      <c r="J10" s="61">
        <f>DEGREES(ACOS(((J6-I3)/I4)))</f>
        <v>100.51147428403566</v>
      </c>
      <c r="N10" s="15" t="s">
        <v>87</v>
      </c>
      <c r="O10" s="46"/>
      <c r="P10" s="16">
        <f>O6*P12</f>
        <v>3.1E-2</v>
      </c>
    </row>
    <row r="11" spans="2:16" x14ac:dyDescent="0.25">
      <c r="N11" s="15" t="s">
        <v>88</v>
      </c>
      <c r="O11" s="46"/>
      <c r="P11" s="16">
        <f>O3*O7</f>
        <v>3.1E-2</v>
      </c>
    </row>
    <row r="12" spans="2:16" ht="15.75" thickBot="1" x14ac:dyDescent="0.3">
      <c r="N12" s="17" t="s">
        <v>89</v>
      </c>
      <c r="O12" s="58"/>
      <c r="P12" s="19">
        <f>O3*P9</f>
        <v>4.4285714285714289E-2</v>
      </c>
    </row>
  </sheetData>
  <mergeCells count="8">
    <mergeCell ref="B4:C4"/>
    <mergeCell ref="E1:G1"/>
    <mergeCell ref="H1:J1"/>
    <mergeCell ref="K1:M1"/>
    <mergeCell ref="N1:P1"/>
    <mergeCell ref="B1:D1"/>
    <mergeCell ref="B2:C2"/>
    <mergeCell ref="B3:C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8AE2E-27D8-40C8-B129-F8ECE2FE09EF}">
  <dimension ref="A1:M21"/>
  <sheetViews>
    <sheetView workbookViewId="0">
      <selection activeCell="K12" sqref="K12"/>
    </sheetView>
  </sheetViews>
  <sheetFormatPr defaultRowHeight="15" x14ac:dyDescent="0.25"/>
  <cols>
    <col min="1" max="1" width="18.140625" bestFit="1" customWidth="1"/>
    <col min="2" max="3" width="12" bestFit="1" customWidth="1"/>
    <col min="4" max="4" width="28.140625" bestFit="1" customWidth="1"/>
    <col min="5" max="5" width="10" bestFit="1" customWidth="1"/>
    <col min="6" max="6" width="12" bestFit="1" customWidth="1"/>
    <col min="7" max="7" width="27.140625" bestFit="1" customWidth="1"/>
    <col min="8" max="9" width="12" bestFit="1" customWidth="1"/>
  </cols>
  <sheetData>
    <row r="1" spans="1:13" ht="15.75" thickBot="1" x14ac:dyDescent="0.3">
      <c r="A1" s="277" t="s">
        <v>213</v>
      </c>
      <c r="B1" s="278"/>
      <c r="C1" s="279"/>
      <c r="D1" s="277" t="s">
        <v>212</v>
      </c>
      <c r="E1" s="278"/>
      <c r="F1" s="279"/>
      <c r="G1" s="277" t="s">
        <v>211</v>
      </c>
      <c r="H1" s="278"/>
      <c r="I1" s="279"/>
    </row>
    <row r="2" spans="1:13" ht="15.75" thickBot="1" x14ac:dyDescent="0.3">
      <c r="A2" s="139"/>
      <c r="B2" s="138" t="s">
        <v>30</v>
      </c>
      <c r="C2" s="137" t="s">
        <v>31</v>
      </c>
      <c r="D2" s="139"/>
      <c r="E2" s="138" t="s">
        <v>30</v>
      </c>
      <c r="F2" s="137" t="s">
        <v>31</v>
      </c>
      <c r="G2" s="139"/>
      <c r="H2" s="138" t="s">
        <v>30</v>
      </c>
      <c r="I2" s="137" t="s">
        <v>31</v>
      </c>
    </row>
    <row r="3" spans="1:13" x14ac:dyDescent="0.25">
      <c r="A3" s="135" t="s">
        <v>210</v>
      </c>
      <c r="B3" s="135">
        <v>16</v>
      </c>
      <c r="C3" s="136"/>
      <c r="D3" s="135" t="s">
        <v>214</v>
      </c>
      <c r="E3" s="135">
        <v>3.5</v>
      </c>
      <c r="F3" s="136"/>
      <c r="G3" s="143" t="s">
        <v>5</v>
      </c>
      <c r="H3" s="135">
        <v>1</v>
      </c>
      <c r="I3" s="136"/>
      <c r="K3" s="149" t="s">
        <v>222</v>
      </c>
      <c r="L3" s="146" t="s">
        <v>221</v>
      </c>
      <c r="M3" s="146">
        <f>M6/M7</f>
        <v>0.14149789983194438</v>
      </c>
    </row>
    <row r="4" spans="1:13" x14ac:dyDescent="0.25">
      <c r="A4" s="130" t="s">
        <v>209</v>
      </c>
      <c r="B4" s="130">
        <v>0.21</v>
      </c>
      <c r="C4" s="133"/>
      <c r="D4" s="130" t="s">
        <v>215</v>
      </c>
      <c r="E4" s="130">
        <v>6.3</v>
      </c>
      <c r="F4" s="133"/>
      <c r="G4" s="141" t="s">
        <v>208</v>
      </c>
      <c r="H4" s="130">
        <v>0.28100000000000003</v>
      </c>
      <c r="I4" s="133"/>
      <c r="K4" t="s">
        <v>223</v>
      </c>
      <c r="L4" t="s">
        <v>224</v>
      </c>
      <c r="M4">
        <f>(((2*PI()/H5)*H4) ^2)/H4</f>
        <v>1.4149789983194438</v>
      </c>
    </row>
    <row r="5" spans="1:13" ht="15.75" thickBot="1" x14ac:dyDescent="0.3">
      <c r="A5" s="128" t="s">
        <v>207</v>
      </c>
      <c r="B5" s="134"/>
      <c r="C5" s="142">
        <f>B3/B4</f>
        <v>76.19047619047619</v>
      </c>
      <c r="D5" s="128" t="s">
        <v>216</v>
      </c>
      <c r="E5" s="128">
        <v>2.6</v>
      </c>
      <c r="F5" s="127"/>
      <c r="G5" s="144" t="s">
        <v>226</v>
      </c>
      <c r="H5" s="128">
        <v>2.8</v>
      </c>
      <c r="I5" s="127"/>
      <c r="K5" t="s">
        <v>225</v>
      </c>
      <c r="L5" t="s">
        <v>227</v>
      </c>
      <c r="M5">
        <f>(2*PI()/H5)*H4</f>
        <v>0.63056252547052283</v>
      </c>
    </row>
    <row r="6" spans="1:13" x14ac:dyDescent="0.25">
      <c r="D6" s="130" t="s">
        <v>217</v>
      </c>
      <c r="E6" s="145">
        <f>SQRT(2*E9/E7)</f>
        <v>3.4882660448996718</v>
      </c>
      <c r="F6" s="121"/>
      <c r="G6" s="141" t="s">
        <v>206</v>
      </c>
      <c r="H6" s="140"/>
      <c r="I6">
        <f>2*PI()/H5</f>
        <v>2.2439947525641379</v>
      </c>
      <c r="K6" t="s">
        <v>229</v>
      </c>
      <c r="L6" t="s">
        <v>228</v>
      </c>
      <c r="M6">
        <f>H3*M4</f>
        <v>1.4149789983194438</v>
      </c>
    </row>
    <row r="7" spans="1:13" x14ac:dyDescent="0.25">
      <c r="D7" s="130" t="s">
        <v>218</v>
      </c>
      <c r="E7" s="141">
        <f>2*E8/E5 ^2</f>
        <v>10.147928994082841</v>
      </c>
      <c r="F7" s="121"/>
      <c r="G7" s="141" t="s">
        <v>205</v>
      </c>
      <c r="H7" s="140"/>
      <c r="I7">
        <f>H4*I6</f>
        <v>0.63056252547052283</v>
      </c>
      <c r="K7" t="s">
        <v>230</v>
      </c>
      <c r="L7" t="s">
        <v>231</v>
      </c>
      <c r="M7">
        <f>H3*J10</f>
        <v>10</v>
      </c>
    </row>
    <row r="8" spans="1:13" x14ac:dyDescent="0.25">
      <c r="D8" s="130" t="s">
        <v>219</v>
      </c>
      <c r="E8" s="141">
        <f>E3*E10</f>
        <v>34.300000000000004</v>
      </c>
      <c r="F8" s="121"/>
      <c r="G8" s="141" t="s">
        <v>204</v>
      </c>
      <c r="H8" s="140"/>
      <c r="I8">
        <f>H3*10</f>
        <v>10</v>
      </c>
    </row>
    <row r="9" spans="1:13" x14ac:dyDescent="0.25">
      <c r="D9" s="130" t="s">
        <v>220</v>
      </c>
      <c r="E9" s="141">
        <f>E4*E10</f>
        <v>61.74</v>
      </c>
      <c r="F9" s="121"/>
      <c r="G9" s="141" t="s">
        <v>203</v>
      </c>
      <c r="H9" s="140"/>
      <c r="I9">
        <f>H3*I7^2/H4</f>
        <v>1.4149789983194438</v>
      </c>
    </row>
    <row r="10" spans="1:13" ht="15.75" thickBot="1" x14ac:dyDescent="0.3">
      <c r="D10" s="128" t="s">
        <v>34</v>
      </c>
      <c r="E10" s="144">
        <v>9.8000000000000007</v>
      </c>
      <c r="F10" s="127"/>
      <c r="G10" s="141" t="s">
        <v>202</v>
      </c>
      <c r="H10" s="140"/>
      <c r="I10" s="147">
        <f>I9/I8</f>
        <v>0.14149789983194438</v>
      </c>
      <c r="J10">
        <v>10</v>
      </c>
    </row>
    <row r="11" spans="1:13" ht="15.75" thickBot="1" x14ac:dyDescent="0.3">
      <c r="I11" s="148">
        <f>I7^2/(H4*9.8)</f>
        <v>0.14438561207341263</v>
      </c>
      <c r="J11">
        <v>9.8000000000000007</v>
      </c>
    </row>
    <row r="12" spans="1:13" ht="15.75" thickBot="1" x14ac:dyDescent="0.3">
      <c r="A12" s="277" t="s">
        <v>201</v>
      </c>
      <c r="B12" s="278"/>
      <c r="C12" s="279"/>
      <c r="D12" s="277" t="s">
        <v>200</v>
      </c>
      <c r="E12" s="278"/>
      <c r="F12" s="279"/>
      <c r="G12" s="277" t="s">
        <v>199</v>
      </c>
      <c r="H12" s="278"/>
      <c r="I12" s="279"/>
    </row>
    <row r="13" spans="1:13" ht="15.75" thickBot="1" x14ac:dyDescent="0.3">
      <c r="A13" s="139"/>
      <c r="B13" s="138" t="s">
        <v>30</v>
      </c>
      <c r="C13" s="137" t="s">
        <v>31</v>
      </c>
      <c r="D13" s="139"/>
      <c r="E13" s="138" t="s">
        <v>30</v>
      </c>
      <c r="F13" s="137" t="s">
        <v>31</v>
      </c>
      <c r="G13" s="139"/>
      <c r="H13" s="138" t="s">
        <v>30</v>
      </c>
      <c r="I13" s="137" t="s">
        <v>31</v>
      </c>
    </row>
    <row r="14" spans="1:13" x14ac:dyDescent="0.25">
      <c r="A14" s="135" t="s">
        <v>198</v>
      </c>
      <c r="B14" s="135">
        <v>8</v>
      </c>
      <c r="C14" s="136"/>
      <c r="D14" s="126" t="s">
        <v>197</v>
      </c>
      <c r="E14" s="135">
        <f>5.972 * 10^24</f>
        <v>5.9720000000000003E+24</v>
      </c>
      <c r="F14" s="136"/>
      <c r="G14" s="135" t="s">
        <v>196</v>
      </c>
      <c r="H14" s="135">
        <v>20</v>
      </c>
      <c r="I14" s="124">
        <f>E15*H14</f>
        <v>127420000</v>
      </c>
    </row>
    <row r="15" spans="1:13" ht="15.75" thickBot="1" x14ac:dyDescent="0.3">
      <c r="A15" s="130" t="s">
        <v>195</v>
      </c>
      <c r="B15" s="130">
        <f>25/3.6</f>
        <v>6.9444444444444446</v>
      </c>
      <c r="C15" s="133"/>
      <c r="D15" s="123" t="s">
        <v>194</v>
      </c>
      <c r="E15" s="130">
        <f>6.371*10^6</f>
        <v>6371000</v>
      </c>
      <c r="F15" s="133"/>
      <c r="G15" s="128" t="s">
        <v>193</v>
      </c>
      <c r="H15" s="134"/>
      <c r="I15" s="142">
        <f>SQRT(E14*E16/I14)</f>
        <v>1768.6186499789951</v>
      </c>
    </row>
    <row r="16" spans="1:13" ht="15.75" thickBot="1" x14ac:dyDescent="0.3">
      <c r="A16" s="128" t="s">
        <v>192</v>
      </c>
      <c r="B16" s="134"/>
      <c r="C16" s="142">
        <f>DEGREES(ATAN((B15^2/B14)/9.8))</f>
        <v>31.596451412502134</v>
      </c>
      <c r="D16" s="123" t="s">
        <v>191</v>
      </c>
      <c r="E16" s="130">
        <f>6.674 * 10^(-11)</f>
        <v>6.6739999999999994E-11</v>
      </c>
      <c r="F16" s="133"/>
      <c r="G16" s="132"/>
      <c r="H16" s="131"/>
      <c r="I16" s="131"/>
    </row>
    <row r="17" spans="4:9" x14ac:dyDescent="0.25">
      <c r="D17" s="123" t="s">
        <v>190</v>
      </c>
      <c r="E17" s="130">
        <v>9</v>
      </c>
      <c r="F17" s="121">
        <f>E14*E17</f>
        <v>5.3748000000000005E+25</v>
      </c>
      <c r="H17" s="129"/>
      <c r="I17" s="129"/>
    </row>
    <row r="18" spans="4:9" ht="15.75" thickBot="1" x14ac:dyDescent="0.3">
      <c r="D18" s="120" t="s">
        <v>189</v>
      </c>
      <c r="E18" s="128">
        <v>5</v>
      </c>
      <c r="F18" s="127">
        <f>E15*E18</f>
        <v>31855000</v>
      </c>
    </row>
    <row r="19" spans="4:9" x14ac:dyDescent="0.25">
      <c r="D19" s="126" t="s">
        <v>188</v>
      </c>
      <c r="E19" s="125"/>
      <c r="F19" s="124">
        <f>E16*(E14/(E15^2))</f>
        <v>9.8195320328159585</v>
      </c>
    </row>
    <row r="20" spans="4:9" x14ac:dyDescent="0.25">
      <c r="D20" s="123" t="s">
        <v>187</v>
      </c>
      <c r="E20" s="122"/>
      <c r="F20" s="121">
        <f>E16*(F17/(F18^2))</f>
        <v>3.5350315318137451</v>
      </c>
    </row>
    <row r="21" spans="4:9" ht="15.75" thickBot="1" x14ac:dyDescent="0.3">
      <c r="D21" s="120" t="s">
        <v>186</v>
      </c>
      <c r="E21" s="57"/>
      <c r="F21" s="119">
        <f>F20/F19</f>
        <v>0.36</v>
      </c>
    </row>
  </sheetData>
  <mergeCells count="6">
    <mergeCell ref="G12:I12"/>
    <mergeCell ref="A1:C1"/>
    <mergeCell ref="D1:F1"/>
    <mergeCell ref="G1:I1"/>
    <mergeCell ref="A12:C12"/>
    <mergeCell ref="D12:F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AD0DC-8869-4B5D-94A9-87C4773D4CFD}">
  <dimension ref="A1:O17"/>
  <sheetViews>
    <sheetView workbookViewId="0">
      <selection activeCell="M15" sqref="M15"/>
    </sheetView>
  </sheetViews>
  <sheetFormatPr defaultRowHeight="15" x14ac:dyDescent="0.25"/>
  <cols>
    <col min="1" max="1" width="13.140625" bestFit="1" customWidth="1"/>
    <col min="2" max="2" width="12.7109375" bestFit="1" customWidth="1"/>
    <col min="3" max="3" width="3.7109375" bestFit="1" customWidth="1"/>
    <col min="4" max="4" width="10.5703125" bestFit="1" customWidth="1"/>
    <col min="5" max="5" width="4.5703125" bestFit="1" customWidth="1"/>
    <col min="6" max="6" width="4" bestFit="1" customWidth="1"/>
    <col min="7" max="7" width="19.5703125" bestFit="1" customWidth="1"/>
    <col min="8" max="8" width="12.7109375" bestFit="1" customWidth="1"/>
    <col min="9" max="9" width="12" bestFit="1" customWidth="1"/>
    <col min="10" max="10" width="13.85546875" bestFit="1" customWidth="1"/>
    <col min="11" max="12" width="7.7109375" bestFit="1" customWidth="1"/>
    <col min="13" max="13" width="11.85546875" bestFit="1" customWidth="1"/>
    <col min="14" max="14" width="7.5703125" bestFit="1" customWidth="1"/>
    <col min="15" max="15" width="4" bestFit="1" customWidth="1"/>
  </cols>
  <sheetData>
    <row r="1" spans="1:15" ht="15.75" thickBot="1" x14ac:dyDescent="0.3">
      <c r="A1" s="195" t="s">
        <v>232</v>
      </c>
      <c r="B1" s="194">
        <v>10</v>
      </c>
      <c r="C1" s="193"/>
      <c r="D1" s="192"/>
      <c r="E1" s="192"/>
      <c r="F1" s="192"/>
      <c r="G1" s="192"/>
      <c r="H1" s="192"/>
      <c r="I1" s="192"/>
      <c r="J1" s="192"/>
      <c r="K1" s="192"/>
      <c r="L1" s="191"/>
      <c r="M1" s="191"/>
      <c r="N1" s="191"/>
      <c r="O1" s="191"/>
    </row>
    <row r="2" spans="1:15" ht="15.75" thickBot="1" x14ac:dyDescent="0.3">
      <c r="A2" s="280" t="s">
        <v>233</v>
      </c>
      <c r="B2" s="281"/>
      <c r="C2" s="282"/>
      <c r="D2" s="283" t="s">
        <v>234</v>
      </c>
      <c r="E2" s="283"/>
      <c r="F2" s="284"/>
      <c r="G2" s="280" t="s">
        <v>235</v>
      </c>
      <c r="H2" s="281"/>
      <c r="I2" s="282"/>
      <c r="J2" s="280" t="s">
        <v>236</v>
      </c>
      <c r="K2" s="281"/>
      <c r="L2" s="282"/>
      <c r="M2" s="280" t="s">
        <v>237</v>
      </c>
      <c r="N2" s="281"/>
      <c r="O2" s="282"/>
    </row>
    <row r="3" spans="1:15" x14ac:dyDescent="0.25">
      <c r="A3" s="190" t="s">
        <v>238</v>
      </c>
      <c r="B3" s="189"/>
      <c r="C3" s="154"/>
      <c r="D3" s="285" t="s">
        <v>238</v>
      </c>
      <c r="E3" s="286"/>
      <c r="F3" s="153"/>
      <c r="G3" s="287" t="s">
        <v>238</v>
      </c>
      <c r="H3" s="288"/>
      <c r="I3" s="155"/>
      <c r="J3" s="287" t="s">
        <v>238</v>
      </c>
      <c r="K3" s="288"/>
      <c r="L3" s="154"/>
      <c r="M3" s="287" t="s">
        <v>238</v>
      </c>
      <c r="N3" s="288"/>
      <c r="O3" s="154"/>
    </row>
    <row r="4" spans="1:15" x14ac:dyDescent="0.25">
      <c r="A4" s="171" t="s">
        <v>239</v>
      </c>
      <c r="B4" s="187">
        <v>4</v>
      </c>
      <c r="C4" s="154"/>
      <c r="D4" s="173" t="s">
        <v>214</v>
      </c>
      <c r="E4" s="187">
        <v>7</v>
      </c>
      <c r="F4" s="154"/>
      <c r="G4" s="171" t="s">
        <v>5</v>
      </c>
      <c r="H4" s="170">
        <v>804</v>
      </c>
      <c r="I4" s="155"/>
      <c r="J4" s="171" t="s">
        <v>5</v>
      </c>
      <c r="K4" s="170">
        <v>0.45</v>
      </c>
      <c r="L4" s="154"/>
      <c r="M4" s="171" t="s">
        <v>5</v>
      </c>
      <c r="N4" s="170">
        <v>0.37</v>
      </c>
      <c r="O4" s="154"/>
    </row>
    <row r="5" spans="1:15" x14ac:dyDescent="0.25">
      <c r="A5" s="171" t="s">
        <v>240</v>
      </c>
      <c r="B5" s="187">
        <v>41</v>
      </c>
      <c r="C5" s="154"/>
      <c r="D5" s="173" t="s">
        <v>215</v>
      </c>
      <c r="E5" s="187">
        <v>3</v>
      </c>
      <c r="F5" s="154"/>
      <c r="G5" s="171" t="s">
        <v>45</v>
      </c>
      <c r="H5" s="170">
        <f>71/3.6</f>
        <v>19.722222222222221</v>
      </c>
      <c r="I5" s="155"/>
      <c r="J5" s="171" t="s">
        <v>241</v>
      </c>
      <c r="K5" s="170">
        <v>0.73</v>
      </c>
      <c r="L5" s="154"/>
      <c r="M5" s="171" t="s">
        <v>242</v>
      </c>
      <c r="N5" s="170">
        <v>0.05</v>
      </c>
      <c r="O5" s="154"/>
    </row>
    <row r="6" spans="1:15" ht="15.75" thickBot="1" x14ac:dyDescent="0.3">
      <c r="A6" s="171" t="s">
        <v>243</v>
      </c>
      <c r="B6" s="187">
        <v>7</v>
      </c>
      <c r="C6" s="154"/>
      <c r="D6" s="162" t="s">
        <v>244</v>
      </c>
      <c r="E6" s="188">
        <v>4</v>
      </c>
      <c r="F6" s="150"/>
      <c r="G6" s="171" t="s">
        <v>245</v>
      </c>
      <c r="H6" s="170">
        <v>2.6</v>
      </c>
      <c r="I6" s="155"/>
      <c r="J6" s="171" t="s">
        <v>246</v>
      </c>
      <c r="K6" s="170">
        <v>60</v>
      </c>
      <c r="L6" s="154"/>
      <c r="M6" s="171" t="s">
        <v>49</v>
      </c>
      <c r="N6" s="170">
        <v>1</v>
      </c>
      <c r="O6" s="154"/>
    </row>
    <row r="7" spans="1:15" x14ac:dyDescent="0.25">
      <c r="A7" s="164" t="s">
        <v>247</v>
      </c>
      <c r="B7" s="187">
        <v>0.6</v>
      </c>
      <c r="C7" s="154"/>
      <c r="D7" s="281" t="s">
        <v>248</v>
      </c>
      <c r="E7" s="294"/>
      <c r="F7" s="181">
        <f>E8</f>
        <v>280</v>
      </c>
      <c r="G7" s="289" t="s">
        <v>249</v>
      </c>
      <c r="H7" s="290"/>
      <c r="I7" s="186">
        <f>H8/1000</f>
        <v>156.36435185185184</v>
      </c>
      <c r="J7" s="171" t="s">
        <v>250</v>
      </c>
      <c r="K7" s="170">
        <v>1.1200000000000001</v>
      </c>
      <c r="L7" s="154"/>
      <c r="M7" s="289" t="s">
        <v>248</v>
      </c>
      <c r="N7" s="290"/>
      <c r="O7" s="181">
        <f>N8</f>
        <v>3.7</v>
      </c>
    </row>
    <row r="8" spans="1:15" x14ac:dyDescent="0.25">
      <c r="A8" s="289" t="s">
        <v>248</v>
      </c>
      <c r="B8" s="290"/>
      <c r="C8" s="182">
        <f>B9</f>
        <v>-98</v>
      </c>
      <c r="D8" s="173" t="s">
        <v>251</v>
      </c>
      <c r="E8" s="177">
        <f>E4*B1*E6</f>
        <v>280</v>
      </c>
      <c r="F8" s="150"/>
      <c r="G8" s="176" t="s">
        <v>252</v>
      </c>
      <c r="H8" s="177">
        <f>H4*H5 ^2/2</f>
        <v>156364.35185185182</v>
      </c>
      <c r="I8" s="155"/>
      <c r="J8" s="289" t="s">
        <v>248</v>
      </c>
      <c r="K8" s="290"/>
      <c r="L8" s="181">
        <f>K9</f>
        <v>1.6424999999999996</v>
      </c>
      <c r="M8" s="171" t="s">
        <v>253</v>
      </c>
      <c r="N8" s="177">
        <f>N12*N5 ^2/2</f>
        <v>3.7</v>
      </c>
      <c r="O8" s="183"/>
    </row>
    <row r="9" spans="1:15" x14ac:dyDescent="0.25">
      <c r="A9" s="176" t="s">
        <v>252</v>
      </c>
      <c r="B9" s="177">
        <f>-B4*B6 ^2/2</f>
        <v>-98</v>
      </c>
      <c r="C9" s="154"/>
      <c r="D9" s="293" t="s">
        <v>254</v>
      </c>
      <c r="E9" s="290"/>
      <c r="F9" s="185">
        <f>SUM(E10:E13)</f>
        <v>280</v>
      </c>
      <c r="G9" s="289" t="s">
        <v>255</v>
      </c>
      <c r="H9" s="290"/>
      <c r="I9" s="184">
        <f>H10/1000</f>
        <v>-156.36435185185186</v>
      </c>
      <c r="J9" s="171" t="s">
        <v>256</v>
      </c>
      <c r="K9" s="177">
        <f>K4*B1*K13</f>
        <v>1.6424999999999996</v>
      </c>
      <c r="L9" s="183"/>
      <c r="M9" s="289" t="s">
        <v>254</v>
      </c>
      <c r="N9" s="290"/>
      <c r="O9" s="181">
        <f>N10</f>
        <v>3.7</v>
      </c>
    </row>
    <row r="10" spans="1:15" x14ac:dyDescent="0.25">
      <c r="A10" s="289" t="s">
        <v>254</v>
      </c>
      <c r="B10" s="290"/>
      <c r="C10" s="182">
        <f>B11+B12</f>
        <v>-98</v>
      </c>
      <c r="D10" s="180" t="s">
        <v>257</v>
      </c>
      <c r="E10" s="170">
        <f>E4*E15 ^2/2</f>
        <v>55.999999999999986</v>
      </c>
      <c r="F10" s="154"/>
      <c r="G10" s="178" t="s">
        <v>258</v>
      </c>
      <c r="H10" s="177">
        <f>-H14*H4*B1*H13</f>
        <v>-156364.35185185185</v>
      </c>
      <c r="I10" s="155"/>
      <c r="J10" s="289" t="s">
        <v>254</v>
      </c>
      <c r="K10" s="290"/>
      <c r="L10" s="181">
        <f>K11</f>
        <v>-1.6424999999999996</v>
      </c>
      <c r="M10" s="178" t="s">
        <v>256</v>
      </c>
      <c r="N10" s="177">
        <f>N4*B1*N6</f>
        <v>3.7</v>
      </c>
      <c r="O10" s="154"/>
    </row>
    <row r="11" spans="1:15" x14ac:dyDescent="0.25">
      <c r="A11" s="176" t="s">
        <v>259</v>
      </c>
      <c r="B11" s="170">
        <f>-B4*B1*SIN(RADIANS(B5))*B14</f>
        <v>-57.980582083390104</v>
      </c>
      <c r="C11" s="154"/>
      <c r="D11" s="180" t="s">
        <v>260</v>
      </c>
      <c r="E11" s="170">
        <f>E5*E15 ^2/2</f>
        <v>23.999999999999993</v>
      </c>
      <c r="F11" s="154"/>
      <c r="G11" s="291" t="s">
        <v>261</v>
      </c>
      <c r="H11" s="292"/>
      <c r="I11" s="179"/>
      <c r="J11" s="178" t="s">
        <v>258</v>
      </c>
      <c r="K11" s="177">
        <f>-K14*K4*B1*K7</f>
        <v>-1.6424999999999996</v>
      </c>
      <c r="L11" s="154"/>
      <c r="M11" s="291" t="s">
        <v>261</v>
      </c>
      <c r="N11" s="292"/>
      <c r="O11" s="154"/>
    </row>
    <row r="12" spans="1:15" ht="15.75" thickBot="1" x14ac:dyDescent="0.3">
      <c r="A12" s="176" t="s">
        <v>262</v>
      </c>
      <c r="B12" s="170">
        <f>-B7*B4*B1*COS(RADIANS(B5))*B14</f>
        <v>-40.019417916609889</v>
      </c>
      <c r="C12" s="154"/>
      <c r="D12" s="173" t="s">
        <v>263</v>
      </c>
      <c r="E12" s="170">
        <f>E4*B1*E6/2</f>
        <v>140</v>
      </c>
      <c r="F12" s="154"/>
      <c r="G12" s="175" t="s">
        <v>6</v>
      </c>
      <c r="H12" s="174">
        <f>-H5/H6</f>
        <v>-7.5854700854700852</v>
      </c>
      <c r="I12" s="155"/>
      <c r="J12" s="291" t="s">
        <v>261</v>
      </c>
      <c r="K12" s="292"/>
      <c r="L12" s="154"/>
      <c r="M12" s="160" t="s">
        <v>264</v>
      </c>
      <c r="N12" s="165">
        <f>(2*N4*B1*N6/(N5^2))</f>
        <v>2959.9999999999995</v>
      </c>
      <c r="O12" s="151"/>
    </row>
    <row r="13" spans="1:15" x14ac:dyDescent="0.25">
      <c r="A13" s="289" t="s">
        <v>261</v>
      </c>
      <c r="B13" s="290"/>
      <c r="C13" s="154"/>
      <c r="D13" s="173" t="s">
        <v>265</v>
      </c>
      <c r="E13" s="170">
        <f>E5*B1*E6/2</f>
        <v>60</v>
      </c>
      <c r="F13" s="172"/>
      <c r="G13" s="171" t="s">
        <v>250</v>
      </c>
      <c r="H13" s="170">
        <f>H5*H6+H12*H6 ^2/2</f>
        <v>25.638888888888889</v>
      </c>
      <c r="I13" s="155"/>
      <c r="J13" s="171" t="s">
        <v>49</v>
      </c>
      <c r="K13" s="170">
        <f>K5-(COS(RADIANS(K6))*K5)</f>
        <v>0.36499999999999994</v>
      </c>
      <c r="L13" s="154"/>
      <c r="M13" s="157"/>
      <c r="N13" s="157"/>
      <c r="O13" s="157"/>
    </row>
    <row r="14" spans="1:15" ht="15.75" thickBot="1" x14ac:dyDescent="0.3">
      <c r="A14" s="164" t="s">
        <v>266</v>
      </c>
      <c r="B14" s="170">
        <f>(B6^2)/(2*B1*(SIN(RADIANS(B5))+B7*COS(RADIANS(B5))))</f>
        <v>2.2094270302401799</v>
      </c>
      <c r="C14" s="154"/>
      <c r="D14" s="293" t="s">
        <v>261</v>
      </c>
      <c r="E14" s="290"/>
      <c r="F14" s="169"/>
      <c r="G14" s="168" t="s">
        <v>267</v>
      </c>
      <c r="H14" s="167">
        <f>-H12/B1</f>
        <v>0.75854700854700852</v>
      </c>
      <c r="I14" s="166">
        <f>(H4*H5 ^2)/(2*H4*B1*H13)</f>
        <v>0.75854700854700841</v>
      </c>
      <c r="J14" s="160" t="s">
        <v>247</v>
      </c>
      <c r="K14" s="165">
        <f>K13/K7</f>
        <v>0.32589285714285704</v>
      </c>
      <c r="L14" s="151"/>
      <c r="M14" s="157"/>
      <c r="N14" s="157"/>
      <c r="O14" s="157"/>
    </row>
    <row r="15" spans="1:15" ht="15.75" thickBot="1" x14ac:dyDescent="0.3">
      <c r="A15" s="164" t="s">
        <v>49</v>
      </c>
      <c r="B15" s="163">
        <f>B14*SIN(RADIANS(B5))</f>
        <v>1.4495145520847525</v>
      </c>
      <c r="C15" s="154"/>
      <c r="D15" s="162" t="s">
        <v>268</v>
      </c>
      <c r="E15" s="161">
        <f>SQRT(B1*E6*(2*E4/(E4+E5)-1))</f>
        <v>3.9999999999999996</v>
      </c>
      <c r="F15" s="156"/>
      <c r="G15" s="157"/>
      <c r="H15" s="157"/>
      <c r="I15" s="157"/>
      <c r="J15" s="157"/>
      <c r="K15" s="157"/>
      <c r="L15" s="157"/>
      <c r="M15" s="157"/>
      <c r="N15" s="157"/>
      <c r="O15" s="157"/>
    </row>
    <row r="16" spans="1:15" ht="15.75" thickBot="1" x14ac:dyDescent="0.3">
      <c r="A16" s="160" t="s">
        <v>269</v>
      </c>
      <c r="B16" s="159">
        <f>B14*COS(RADIANS(B5))</f>
        <v>1.667475746525412</v>
      </c>
      <c r="C16" s="151"/>
      <c r="D16" s="157"/>
      <c r="E16" s="157"/>
      <c r="F16" s="157"/>
      <c r="G16" s="157"/>
      <c r="H16" s="157"/>
      <c r="I16" s="157"/>
      <c r="J16" s="157"/>
      <c r="K16" s="157"/>
      <c r="L16" s="157"/>
      <c r="M16" s="157"/>
      <c r="N16" s="157"/>
      <c r="O16" s="157"/>
    </row>
    <row r="17" spans="1:15" x14ac:dyDescent="0.25">
      <c r="A17" s="157"/>
      <c r="B17" s="157"/>
      <c r="C17" s="157"/>
      <c r="D17" s="157"/>
      <c r="E17" s="158"/>
      <c r="F17" s="157"/>
      <c r="G17" s="155"/>
      <c r="H17" s="157"/>
      <c r="I17" s="155"/>
      <c r="J17" s="157"/>
      <c r="K17" s="157"/>
      <c r="L17" s="157"/>
      <c r="M17" s="157"/>
      <c r="N17" s="157"/>
      <c r="O17" s="157"/>
    </row>
  </sheetData>
  <mergeCells count="24">
    <mergeCell ref="D14:E14"/>
    <mergeCell ref="D7:E7"/>
    <mergeCell ref="G7:H7"/>
    <mergeCell ref="A8:B8"/>
    <mergeCell ref="J8:K8"/>
    <mergeCell ref="D9:E9"/>
    <mergeCell ref="G9:H9"/>
    <mergeCell ref="A10:B10"/>
    <mergeCell ref="J10:K10"/>
    <mergeCell ref="G11:H11"/>
    <mergeCell ref="J12:K12"/>
    <mergeCell ref="A13:B13"/>
    <mergeCell ref="M2:O2"/>
    <mergeCell ref="M3:N3"/>
    <mergeCell ref="M7:N7"/>
    <mergeCell ref="M9:N9"/>
    <mergeCell ref="M11:N11"/>
    <mergeCell ref="A2:C2"/>
    <mergeCell ref="D2:F2"/>
    <mergeCell ref="G2:I2"/>
    <mergeCell ref="J2:L2"/>
    <mergeCell ref="D3:E3"/>
    <mergeCell ref="G3:H3"/>
    <mergeCell ref="J3:K3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1A18D-5A74-45BA-A3D3-19096B3F4A93}">
  <dimension ref="A1:R55"/>
  <sheetViews>
    <sheetView tabSelected="1" zoomScaleNormal="100" workbookViewId="0">
      <selection activeCell="F49" sqref="F49"/>
    </sheetView>
  </sheetViews>
  <sheetFormatPr defaultRowHeight="15" x14ac:dyDescent="0.25"/>
  <cols>
    <col min="1" max="1" width="26.28515625" bestFit="1" customWidth="1"/>
    <col min="3" max="3" width="7.85546875" style="62" bestFit="1" customWidth="1"/>
    <col min="4" max="4" width="16.5703125" style="62" bestFit="1" customWidth="1"/>
    <col min="5" max="5" width="18.5703125" style="62" bestFit="1" customWidth="1"/>
    <col min="6" max="6" width="16.85546875" style="62" bestFit="1" customWidth="1"/>
    <col min="7" max="7" width="18.5703125" style="62" bestFit="1" customWidth="1"/>
    <col min="8" max="8" width="17.85546875" style="62" bestFit="1" customWidth="1"/>
    <col min="9" max="9" width="17" style="62" bestFit="1" customWidth="1"/>
    <col min="10" max="10" width="17" bestFit="1" customWidth="1"/>
    <col min="11" max="11" width="14.85546875" bestFit="1" customWidth="1"/>
    <col min="12" max="12" width="9.85546875" bestFit="1" customWidth="1"/>
    <col min="13" max="13" width="12.140625" bestFit="1" customWidth="1"/>
    <col min="14" max="14" width="10.5703125" bestFit="1" customWidth="1"/>
    <col min="15" max="15" width="12.140625" bestFit="1" customWidth="1"/>
    <col min="16" max="16" width="15.42578125" bestFit="1" customWidth="1"/>
    <col min="17" max="17" width="17" bestFit="1" customWidth="1"/>
  </cols>
  <sheetData>
    <row r="1" spans="1:18" s="150" customFormat="1" x14ac:dyDescent="0.25">
      <c r="B1" s="157"/>
      <c r="C1" s="295" t="s">
        <v>273</v>
      </c>
      <c r="D1" s="296"/>
      <c r="E1" s="296"/>
      <c r="F1" s="296"/>
      <c r="G1" s="296"/>
      <c r="H1" s="296"/>
      <c r="I1" s="297"/>
      <c r="J1" s="210"/>
      <c r="K1"/>
      <c r="L1"/>
      <c r="M1"/>
      <c r="N1"/>
      <c r="O1"/>
      <c r="P1"/>
      <c r="Q1"/>
      <c r="R1"/>
    </row>
    <row r="2" spans="1:18" x14ac:dyDescent="0.25">
      <c r="A2" s="196" t="s">
        <v>271</v>
      </c>
      <c r="B2">
        <f>4.6/1000</f>
        <v>4.5999999999999999E-3</v>
      </c>
      <c r="C2" s="197" t="s">
        <v>14</v>
      </c>
      <c r="D2" s="202" t="s">
        <v>277</v>
      </c>
      <c r="E2" s="203" t="s">
        <v>279</v>
      </c>
      <c r="F2" s="202" t="s">
        <v>280</v>
      </c>
      <c r="G2" s="200" t="s">
        <v>278</v>
      </c>
      <c r="H2" s="199" t="s">
        <v>274</v>
      </c>
      <c r="I2" s="200" t="s">
        <v>275</v>
      </c>
      <c r="J2" s="205"/>
    </row>
    <row r="3" spans="1:18" x14ac:dyDescent="0.25">
      <c r="A3" s="196" t="s">
        <v>270</v>
      </c>
      <c r="B3">
        <v>38</v>
      </c>
      <c r="C3" s="208">
        <v>1</v>
      </c>
      <c r="D3" s="213">
        <v>14.8</v>
      </c>
      <c r="E3" s="211">
        <f>B3*SIN(RADIANS(F3))</f>
        <v>14.847782882592403</v>
      </c>
      <c r="F3" s="214">
        <v>23</v>
      </c>
      <c r="G3" s="212">
        <f>DEGREES(ASIN(D3/B3))</f>
        <v>22.921754462892675</v>
      </c>
      <c r="H3" s="219">
        <f>TAN(RADIANS(F3))</f>
        <v>0.42447481620960476</v>
      </c>
      <c r="I3" s="217">
        <f>TAN(RADIANS(G3))</f>
        <v>0.4228640468163074</v>
      </c>
      <c r="J3" s="97"/>
    </row>
    <row r="4" spans="1:18" x14ac:dyDescent="0.25">
      <c r="A4" s="196" t="s">
        <v>289</v>
      </c>
      <c r="B4" s="157">
        <v>0.38</v>
      </c>
      <c r="C4" s="208">
        <v>2</v>
      </c>
      <c r="D4" s="214">
        <v>15.2</v>
      </c>
      <c r="E4" s="212">
        <f>B3*SIN(RADIANS(F4))</f>
        <v>15.455992436880408</v>
      </c>
      <c r="F4" s="214">
        <v>24</v>
      </c>
      <c r="G4" s="212">
        <f>DEGREES(ASIN(D4/B3))</f>
        <v>23.578178478201828</v>
      </c>
      <c r="H4" s="219">
        <f t="shared" ref="H4:H7" si="0">TAN(RADIANS(F4))</f>
        <v>0.44522868530853621</v>
      </c>
      <c r="I4" s="217">
        <f t="shared" ref="I4:I7" si="1">TAN(RADIANS(G4))</f>
        <v>0.43643578047198467</v>
      </c>
      <c r="J4" s="97"/>
    </row>
    <row r="5" spans="1:18" x14ac:dyDescent="0.25">
      <c r="B5" s="157"/>
      <c r="C5" s="208">
        <v>3</v>
      </c>
      <c r="D5" s="214">
        <v>14.5</v>
      </c>
      <c r="E5" s="212">
        <f>B3*SIN(RADIANS(F5))</f>
        <v>14.235050549804656</v>
      </c>
      <c r="F5" s="214">
        <v>22</v>
      </c>
      <c r="G5" s="212">
        <f>DEGREES(ASIN(D5/B3))</f>
        <v>22.431520635372987</v>
      </c>
      <c r="H5" s="219">
        <f t="shared" si="0"/>
        <v>0.40402622583515679</v>
      </c>
      <c r="I5" s="217">
        <f t="shared" si="1"/>
        <v>0.41281400194595419</v>
      </c>
      <c r="J5" s="97"/>
    </row>
    <row r="6" spans="1:18" x14ac:dyDescent="0.25">
      <c r="B6" s="157"/>
      <c r="C6" s="208">
        <v>4</v>
      </c>
      <c r="D6" s="214">
        <v>16.2</v>
      </c>
      <c r="E6" s="212">
        <f>B3*SIN(RADIANS(F6))</f>
        <v>16.658103577984942</v>
      </c>
      <c r="F6" s="214">
        <v>26</v>
      </c>
      <c r="G6" s="212">
        <f>DEGREES(ASIN(D6/B3))</f>
        <v>25.233977053477833</v>
      </c>
      <c r="H6" s="219">
        <f t="shared" si="0"/>
        <v>0.48773258856586144</v>
      </c>
      <c r="I6" s="217">
        <f t="shared" si="1"/>
        <v>0.47128880589568251</v>
      </c>
      <c r="J6" s="97"/>
    </row>
    <row r="7" spans="1:18" x14ac:dyDescent="0.25">
      <c r="B7" s="157"/>
      <c r="C7" s="208">
        <v>5</v>
      </c>
      <c r="D7" s="214">
        <v>16</v>
      </c>
      <c r="E7" s="212">
        <f>B3*SIN(RADIANS(F7))</f>
        <v>16.059493946146578</v>
      </c>
      <c r="F7" s="214">
        <v>25</v>
      </c>
      <c r="G7" s="212">
        <f>DEGREES(ASIN(D7/B3))</f>
        <v>24.901062370366958</v>
      </c>
      <c r="H7" s="219">
        <f t="shared" si="0"/>
        <v>0.46630765815499858</v>
      </c>
      <c r="I7" s="217">
        <f t="shared" si="1"/>
        <v>0.46420708254852749</v>
      </c>
      <c r="J7" s="97"/>
    </row>
    <row r="8" spans="1:18" x14ac:dyDescent="0.25">
      <c r="B8" s="157"/>
      <c r="C8" s="209" t="s">
        <v>272</v>
      </c>
      <c r="D8" s="215">
        <f>AVERAGE(D3:D7)</f>
        <v>15.34</v>
      </c>
      <c r="E8" s="216">
        <f>AVERAGE(E3:E7)</f>
        <v>15.451284678681796</v>
      </c>
      <c r="F8" s="215">
        <f>AVERAGE(F3:F7)</f>
        <v>24</v>
      </c>
      <c r="G8" s="216">
        <f t="shared" ref="G8:I8" si="2">AVERAGE(G3:G7)</f>
        <v>23.813298600062456</v>
      </c>
      <c r="H8" s="220">
        <f t="shared" si="2"/>
        <v>0.44555399481483154</v>
      </c>
      <c r="I8" s="218">
        <f t="shared" si="2"/>
        <v>0.4415219435356913</v>
      </c>
      <c r="J8" s="206"/>
    </row>
    <row r="9" spans="1:18" s="150" customFormat="1" x14ac:dyDescent="0.25">
      <c r="B9" s="157"/>
      <c r="C9" s="197" t="s">
        <v>29</v>
      </c>
      <c r="D9" s="299" t="str">
        <f>"Altura: " &amp; ROUND(AVERAGE(D8:E8),3)</f>
        <v>Altura: 15.396</v>
      </c>
      <c r="E9" s="300"/>
      <c r="F9" s="299" t="str">
        <f>"Ângulo: " &amp; ROUND(AVERAGE(F8:G8),3)</f>
        <v>Ângulo: 23.907</v>
      </c>
      <c r="G9" s="300"/>
      <c r="H9" s="303" t="str">
        <f>"µest: " &amp; ROUND(AVERAGE(H8:I8),3)</f>
        <v>µest: 0.444</v>
      </c>
      <c r="I9" s="302"/>
      <c r="J9" s="207"/>
      <c r="K9"/>
      <c r="L9"/>
      <c r="M9"/>
      <c r="N9"/>
      <c r="O9"/>
      <c r="P9"/>
      <c r="Q9"/>
      <c r="R9"/>
    </row>
    <row r="10" spans="1:18" x14ac:dyDescent="0.25">
      <c r="B10" s="157"/>
      <c r="C10" s="204"/>
      <c r="D10" s="298"/>
      <c r="E10" s="298"/>
      <c r="F10" s="298"/>
      <c r="G10" s="298"/>
      <c r="H10" s="298"/>
      <c r="I10" s="298"/>
      <c r="J10" s="155"/>
    </row>
    <row r="11" spans="1:18" x14ac:dyDescent="0.25">
      <c r="B11" s="155"/>
      <c r="C11" s="295" t="s">
        <v>276</v>
      </c>
      <c r="D11" s="296"/>
      <c r="E11" s="296"/>
      <c r="F11" s="296"/>
      <c r="G11" s="296"/>
      <c r="H11" s="296"/>
      <c r="I11" s="297"/>
      <c r="J11" s="157"/>
      <c r="L11" s="152"/>
    </row>
    <row r="12" spans="1:18" x14ac:dyDescent="0.25">
      <c r="B12" s="155"/>
      <c r="C12" s="197" t="s">
        <v>14</v>
      </c>
      <c r="D12" s="202" t="s">
        <v>277</v>
      </c>
      <c r="E12" s="203" t="s">
        <v>279</v>
      </c>
      <c r="F12" s="202" t="s">
        <v>280</v>
      </c>
      <c r="G12" s="200" t="s">
        <v>278</v>
      </c>
      <c r="H12" s="199" t="s">
        <v>274</v>
      </c>
      <c r="I12" s="200" t="s">
        <v>275</v>
      </c>
      <c r="J12" s="157"/>
    </row>
    <row r="13" spans="1:18" x14ac:dyDescent="0.25">
      <c r="B13" s="155"/>
      <c r="C13" s="208">
        <v>1</v>
      </c>
      <c r="D13" s="213">
        <v>21.1</v>
      </c>
      <c r="E13" s="221">
        <f>B3*SIN(RADIANS(F13))</f>
        <v>20.696283330571028</v>
      </c>
      <c r="F13" s="213">
        <v>33</v>
      </c>
      <c r="G13" s="211">
        <f>DEGREES(ASIN(D13/B3))</f>
        <v>33.728842355172453</v>
      </c>
      <c r="H13" s="219">
        <f>TAN(RADIANS(F13))</f>
        <v>0.64940759319751062</v>
      </c>
      <c r="I13" s="217">
        <f>TAN(RADIANS(G13))</f>
        <v>0.66764463356012493</v>
      </c>
      <c r="J13" s="157"/>
    </row>
    <row r="14" spans="1:18" x14ac:dyDescent="0.25">
      <c r="B14" s="155"/>
      <c r="C14" s="208">
        <v>2</v>
      </c>
      <c r="D14" s="214">
        <v>21.3</v>
      </c>
      <c r="E14" s="222">
        <f>B3*SIN(RADIANS(F14))</f>
        <v>21.795904581339748</v>
      </c>
      <c r="F14" s="214">
        <v>35</v>
      </c>
      <c r="G14" s="212">
        <f>DEGREES(ASIN(D14/B3))</f>
        <v>34.092203803807195</v>
      </c>
      <c r="H14" s="219">
        <f t="shared" ref="H14:H17" si="3">TAN(RADIANS(F14))</f>
        <v>0.70020753820970971</v>
      </c>
      <c r="I14" s="217">
        <f t="shared" ref="I14:I17" si="4">TAN(RADIANS(G14))</f>
        <v>0.67685247480673205</v>
      </c>
      <c r="J14" s="157"/>
    </row>
    <row r="15" spans="1:18" x14ac:dyDescent="0.25">
      <c r="B15" s="155"/>
      <c r="C15" s="208">
        <v>3</v>
      </c>
      <c r="D15" s="214">
        <v>20</v>
      </c>
      <c r="E15" s="222">
        <f>B3*SIN(RADIANS(F15))</f>
        <v>20.417385117179307</v>
      </c>
      <c r="F15" s="214">
        <v>32.5</v>
      </c>
      <c r="G15" s="212">
        <f>DEGREES(ASIN(D15/B3))</f>
        <v>31.756863859297127</v>
      </c>
      <c r="H15" s="219">
        <f t="shared" si="3"/>
        <v>0.63707026080749318</v>
      </c>
      <c r="I15" s="217">
        <f t="shared" si="4"/>
        <v>0.61898446059017287</v>
      </c>
      <c r="J15" s="157"/>
    </row>
    <row r="16" spans="1:18" x14ac:dyDescent="0.25">
      <c r="B16" s="155"/>
      <c r="C16" s="208">
        <v>4</v>
      </c>
      <c r="D16" s="214">
        <v>18</v>
      </c>
      <c r="E16" s="222">
        <f>B3*SIN(RADIANS(F16))</f>
        <v>18.422765569360809</v>
      </c>
      <c r="F16" s="214">
        <v>29</v>
      </c>
      <c r="G16" s="212">
        <f>DEGREES(ASIN(D16/B3))</f>
        <v>28.273713631365041</v>
      </c>
      <c r="H16" s="219">
        <f t="shared" si="3"/>
        <v>0.55430905145276899</v>
      </c>
      <c r="I16" s="217">
        <f t="shared" si="4"/>
        <v>0.53785287420047712</v>
      </c>
      <c r="J16" s="157"/>
    </row>
    <row r="17" spans="1:12" x14ac:dyDescent="0.25">
      <c r="B17" s="155"/>
      <c r="C17" s="208">
        <v>5</v>
      </c>
      <c r="D17" s="223">
        <v>20.8</v>
      </c>
      <c r="E17" s="224">
        <f>B3*SIN(RADIANS(F17))</f>
        <v>20.696283330571028</v>
      </c>
      <c r="F17" s="223">
        <v>33</v>
      </c>
      <c r="G17" s="225">
        <f>DEGREES(ASIN(D17/B3))</f>
        <v>33.186662304402951</v>
      </c>
      <c r="H17" s="219">
        <f t="shared" si="3"/>
        <v>0.64940759319751062</v>
      </c>
      <c r="I17" s="217">
        <f t="shared" si="4"/>
        <v>0.65404924469903492</v>
      </c>
      <c r="J17" s="157"/>
    </row>
    <row r="18" spans="1:12" x14ac:dyDescent="0.25">
      <c r="B18" s="157"/>
      <c r="C18" s="209" t="s">
        <v>272</v>
      </c>
      <c r="D18" s="215">
        <f>AVERAGE(D13:D17)</f>
        <v>20.240000000000002</v>
      </c>
      <c r="E18" s="226">
        <f>AVERAGE(E13:E17)</f>
        <v>20.405724385804383</v>
      </c>
      <c r="F18" s="215">
        <f>AVERAGE(F13:F17)</f>
        <v>32.5</v>
      </c>
      <c r="G18" s="216">
        <f t="shared" ref="G18" si="5">AVERAGE(G13:G17)</f>
        <v>32.207657190808952</v>
      </c>
      <c r="H18" s="220">
        <f t="shared" ref="H18" si="6">AVERAGE(H13:H17)</f>
        <v>0.63808040737299865</v>
      </c>
      <c r="I18" s="218">
        <f t="shared" ref="I18" si="7">AVERAGE(I13:I17)</f>
        <v>0.63107673757130844</v>
      </c>
      <c r="J18" s="157"/>
    </row>
    <row r="19" spans="1:12" x14ac:dyDescent="0.25">
      <c r="B19" s="157"/>
      <c r="C19" s="197" t="s">
        <v>29</v>
      </c>
      <c r="D19" s="299" t="str">
        <f>"Altura: " &amp; ROUND(AVERAGE(D18:E18),2)</f>
        <v>Altura: 20.32</v>
      </c>
      <c r="E19" s="300"/>
      <c r="F19" s="299" t="str">
        <f>"Ângulo: " &amp; ROUND(AVERAGE(F18:G18),2)</f>
        <v>Ângulo: 32.35</v>
      </c>
      <c r="G19" s="300"/>
      <c r="H19" s="301" t="str">
        <f>"µest: " &amp; ROUND(AVERAGE(H18:I18),3)</f>
        <v>µest: 0.635</v>
      </c>
      <c r="I19" s="302"/>
      <c r="J19" s="157"/>
    </row>
    <row r="20" spans="1:12" s="150" customFormat="1" x14ac:dyDescent="0.25">
      <c r="A20" s="304"/>
      <c r="B20" s="304"/>
      <c r="C20" s="304"/>
      <c r="D20" s="304"/>
      <c r="E20" s="304"/>
      <c r="F20" s="304"/>
      <c r="G20" s="304"/>
      <c r="H20" s="304"/>
      <c r="I20" s="304"/>
      <c r="J20" s="304"/>
      <c r="K20" s="304"/>
      <c r="L20" s="304"/>
    </row>
    <row r="21" spans="1:12" x14ac:dyDescent="0.25">
      <c r="B21" s="157"/>
      <c r="C21" s="295" t="s">
        <v>273</v>
      </c>
      <c r="D21" s="296"/>
      <c r="E21" s="296"/>
      <c r="F21" s="296"/>
      <c r="G21" s="296"/>
      <c r="H21" s="297"/>
      <c r="I21"/>
      <c r="L21" s="157"/>
    </row>
    <row r="22" spans="1:12" x14ac:dyDescent="0.25">
      <c r="C22" s="197" t="s">
        <v>14</v>
      </c>
      <c r="D22" s="202" t="s">
        <v>277</v>
      </c>
      <c r="E22" s="227" t="s">
        <v>278</v>
      </c>
      <c r="F22" s="227" t="s">
        <v>281</v>
      </c>
      <c r="G22" s="198" t="s">
        <v>283</v>
      </c>
      <c r="H22" s="227" t="s">
        <v>282</v>
      </c>
      <c r="I22"/>
    </row>
    <row r="23" spans="1:12" x14ac:dyDescent="0.25">
      <c r="C23" s="208">
        <v>1</v>
      </c>
      <c r="D23" s="214">
        <v>18.5</v>
      </c>
      <c r="E23" s="229">
        <f>DEGREES(ASIN(D23/B3))</f>
        <v>29.133232783996171</v>
      </c>
      <c r="F23" s="228">
        <v>0.76</v>
      </c>
      <c r="G23" s="212">
        <f>(2*B4)/(F23 ^2)</f>
        <v>1.3157894736842106</v>
      </c>
      <c r="H23" s="212">
        <f>F23*G23</f>
        <v>1</v>
      </c>
      <c r="I23"/>
    </row>
    <row r="24" spans="1:12" x14ac:dyDescent="0.25">
      <c r="C24" s="208">
        <v>2</v>
      </c>
      <c r="D24" s="214">
        <v>21.2</v>
      </c>
      <c r="E24" s="230">
        <f>DEGREES(ASIN(D24/B3))</f>
        <v>33.910329442752342</v>
      </c>
      <c r="F24" s="228">
        <v>0.66</v>
      </c>
      <c r="G24" s="212">
        <f>(2*B4)/(F24 ^2)</f>
        <v>1.7447199265381081</v>
      </c>
      <c r="H24" s="212">
        <f t="shared" ref="H24:H27" si="8">F24*G24</f>
        <v>1.1515151515151514</v>
      </c>
      <c r="I24"/>
    </row>
    <row r="25" spans="1:12" x14ac:dyDescent="0.25">
      <c r="C25" s="208">
        <v>3</v>
      </c>
      <c r="D25" s="214">
        <v>23.6</v>
      </c>
      <c r="E25" s="230">
        <f>DEGREES(ASIN(D25/B3))</f>
        <v>38.393044019207025</v>
      </c>
      <c r="F25" s="228">
        <v>0.55000000000000004</v>
      </c>
      <c r="G25" s="212">
        <f>(2*B4)/(F25 ^2)</f>
        <v>2.5123966942148757</v>
      </c>
      <c r="H25" s="212">
        <f t="shared" si="8"/>
        <v>1.3818181818181818</v>
      </c>
      <c r="I25"/>
    </row>
    <row r="26" spans="1:12" x14ac:dyDescent="0.25">
      <c r="C26" s="208">
        <v>4</v>
      </c>
      <c r="D26" s="214">
        <v>26.2</v>
      </c>
      <c r="E26" s="230">
        <f>DEGREES(ASIN(D26/B3))</f>
        <v>43.588460841444707</v>
      </c>
      <c r="F26" s="228">
        <v>0.47</v>
      </c>
      <c r="G26" s="212">
        <f>(2*B4)/(F26 ^2)</f>
        <v>3.440470801267542</v>
      </c>
      <c r="H26" s="212">
        <f t="shared" si="8"/>
        <v>1.6170212765957446</v>
      </c>
      <c r="I26"/>
    </row>
    <row r="27" spans="1:12" x14ac:dyDescent="0.25">
      <c r="C27" s="208">
        <v>5</v>
      </c>
      <c r="D27" s="214">
        <v>28</v>
      </c>
      <c r="E27" s="230">
        <f>DEGREES(ASIN(D27/B3))</f>
        <v>47.463101637013786</v>
      </c>
      <c r="F27" s="228">
        <v>0.39</v>
      </c>
      <c r="G27" s="212">
        <f>(2*B4)/(F27 ^2)</f>
        <v>4.9967126890203808</v>
      </c>
      <c r="H27" s="212">
        <f t="shared" si="8"/>
        <v>1.9487179487179487</v>
      </c>
      <c r="I27"/>
    </row>
    <row r="28" spans="1:12" x14ac:dyDescent="0.25">
      <c r="C28" s="197" t="s">
        <v>272</v>
      </c>
      <c r="D28" s="201" t="str">
        <f>"Altura: " &amp; ROUND(AVERAGE(D23:D27),2)</f>
        <v>Altura: 23.5</v>
      </c>
      <c r="E28" s="197" t="str">
        <f>"Ângulo: " &amp; ROUND(AVERAGE(E23:E27),2)</f>
        <v>Ângulo: 38.5</v>
      </c>
      <c r="F28" s="197" t="str">
        <f>"Tempo: " &amp; ROUND(AVERAGE(F23:F27),2)</f>
        <v>Tempo: 0.57</v>
      </c>
      <c r="G28" s="198" t="str">
        <f>"Aceleração: " &amp; ROUND(AVERAGE(G23:G27),2)</f>
        <v>Aceleração: 2.8</v>
      </c>
      <c r="H28" s="201" t="str">
        <f>"Velocidade: " &amp; ROUND(AVERAGE(H23:H27),2)</f>
        <v>Velocidade: 1.42</v>
      </c>
      <c r="I28" s="306"/>
      <c r="J28" s="152"/>
    </row>
    <row r="29" spans="1:12" x14ac:dyDescent="0.25">
      <c r="C29" s="204"/>
      <c r="D29" s="298"/>
      <c r="E29" s="298"/>
      <c r="F29" s="298"/>
      <c r="G29" s="298"/>
      <c r="H29" s="298"/>
      <c r="I29" s="305"/>
    </row>
    <row r="30" spans="1:12" x14ac:dyDescent="0.25">
      <c r="C30" s="295" t="s">
        <v>285</v>
      </c>
      <c r="D30" s="296"/>
      <c r="E30" s="296"/>
      <c r="F30" s="296"/>
      <c r="G30" s="296"/>
      <c r="H30" s="297"/>
      <c r="I30"/>
    </row>
    <row r="31" spans="1:12" x14ac:dyDescent="0.25">
      <c r="C31" s="197" t="s">
        <v>14</v>
      </c>
      <c r="D31" s="202" t="s">
        <v>277</v>
      </c>
      <c r="E31" s="227" t="s">
        <v>278</v>
      </c>
      <c r="F31" s="227" t="s">
        <v>281</v>
      </c>
      <c r="G31" s="198" t="s">
        <v>283</v>
      </c>
      <c r="H31" s="227" t="s">
        <v>282</v>
      </c>
      <c r="I31" s="306"/>
    </row>
    <row r="32" spans="1:12" x14ac:dyDescent="0.25">
      <c r="C32" s="208">
        <v>1</v>
      </c>
      <c r="D32" s="214">
        <v>21.8</v>
      </c>
      <c r="E32" s="229">
        <f>DEGREES(ASIN(D32/B3))</f>
        <v>35.007538636943387</v>
      </c>
      <c r="F32" s="228">
        <v>0.68</v>
      </c>
      <c r="G32" s="212">
        <f>(2*B4)/(F32 ^2)</f>
        <v>1.6435986159169547</v>
      </c>
      <c r="H32" s="212">
        <f>F32*G32</f>
        <v>1.1176470588235292</v>
      </c>
      <c r="I32"/>
    </row>
    <row r="33" spans="3:9" x14ac:dyDescent="0.25">
      <c r="C33" s="208">
        <v>2</v>
      </c>
      <c r="D33" s="214">
        <v>23.1</v>
      </c>
      <c r="E33" s="230">
        <f>DEGREES(ASIN(D33/B3))</f>
        <v>37.437433908729211</v>
      </c>
      <c r="F33" s="228">
        <v>0.56000000000000005</v>
      </c>
      <c r="G33" s="212">
        <f>(2*B4)/(F33 ^2)</f>
        <v>2.4234693877551017</v>
      </c>
      <c r="H33" s="212">
        <f t="shared" ref="H33:H35" si="9">F33*G33</f>
        <v>1.357142857142857</v>
      </c>
      <c r="I33"/>
    </row>
    <row r="34" spans="3:9" x14ac:dyDescent="0.25">
      <c r="C34" s="208">
        <v>3</v>
      </c>
      <c r="D34" s="214">
        <v>26.1</v>
      </c>
      <c r="E34" s="230">
        <f>DEGREES(ASIN(D34/B3))</f>
        <v>43.380651049602854</v>
      </c>
      <c r="F34" s="228">
        <v>0.46</v>
      </c>
      <c r="G34" s="212">
        <f>(2*B4)/(F34 ^2)</f>
        <v>3.591682419659735</v>
      </c>
      <c r="H34" s="212">
        <f t="shared" si="9"/>
        <v>1.6521739130434783</v>
      </c>
      <c r="I34"/>
    </row>
    <row r="35" spans="3:9" x14ac:dyDescent="0.25">
      <c r="C35" s="208">
        <v>4</v>
      </c>
      <c r="D35" s="214">
        <v>28.2</v>
      </c>
      <c r="E35" s="230">
        <f>DEGREES(ASIN(D35/B3))</f>
        <v>47.911061817889035</v>
      </c>
      <c r="F35" s="228">
        <v>0.41</v>
      </c>
      <c r="G35" s="212">
        <f>(2*B4)/(F35 ^2)</f>
        <v>4.5211183819155272</v>
      </c>
      <c r="H35" s="212">
        <f t="shared" si="9"/>
        <v>1.8536585365853659</v>
      </c>
      <c r="I35"/>
    </row>
    <row r="36" spans="3:9" x14ac:dyDescent="0.25">
      <c r="C36" s="208">
        <v>5</v>
      </c>
      <c r="D36" s="214">
        <v>29.5</v>
      </c>
      <c r="E36" s="230">
        <f>DEGREES(ASIN(D36/B3))</f>
        <v>50.924479349777883</v>
      </c>
      <c r="F36" s="228">
        <v>0.36</v>
      </c>
      <c r="G36" s="212">
        <f>(2*B4)/(F36 ^2)</f>
        <v>5.8641975308641978</v>
      </c>
      <c r="H36" s="212">
        <f>F36*G36</f>
        <v>2.1111111111111112</v>
      </c>
      <c r="I36"/>
    </row>
    <row r="37" spans="3:9" x14ac:dyDescent="0.25">
      <c r="C37" s="197" t="s">
        <v>272</v>
      </c>
      <c r="D37" s="201" t="str">
        <f>"Altura: " &amp; ROUND(AVERAGE(D32:D36),2)</f>
        <v>Altura: 25.74</v>
      </c>
      <c r="E37" s="197" t="str">
        <f>"Ângulo: " &amp; ROUND(AVERAGE(E32:E36),2)</f>
        <v>Ângulo: 42.93</v>
      </c>
      <c r="F37" s="197" t="str">
        <f>"Tempo: " &amp; ROUND(AVERAGE(F32:F36),2)</f>
        <v>Tempo: 0.49</v>
      </c>
      <c r="G37" s="198" t="str">
        <f>"Aceleração: " &amp; ROUND(AVERAGE(G32:G36),2)</f>
        <v>Aceleração: 3.61</v>
      </c>
      <c r="H37" s="197" t="str">
        <f>"Velocidade: " &amp; ROUND(AVERAGE(H32:H36),2)</f>
        <v>Velocidade: 1.62</v>
      </c>
      <c r="I37"/>
    </row>
    <row r="38" spans="3:9" x14ac:dyDescent="0.25">
      <c r="C38"/>
      <c r="D38"/>
      <c r="E38"/>
      <c r="F38"/>
      <c r="G38"/>
      <c r="H38"/>
      <c r="I38"/>
    </row>
    <row r="39" spans="3:9" x14ac:dyDescent="0.25">
      <c r="C39" s="295" t="s">
        <v>273</v>
      </c>
      <c r="D39" s="296"/>
      <c r="E39" s="296"/>
      <c r="F39" s="296"/>
      <c r="G39" s="297"/>
      <c r="H39"/>
      <c r="I39" s="150"/>
    </row>
    <row r="40" spans="3:9" x14ac:dyDescent="0.25">
      <c r="C40" s="197" t="s">
        <v>14</v>
      </c>
      <c r="D40" s="202" t="s">
        <v>284</v>
      </c>
      <c r="E40" s="227" t="s">
        <v>286</v>
      </c>
      <c r="F40" s="227" t="s">
        <v>287</v>
      </c>
      <c r="G40" s="203" t="s">
        <v>288</v>
      </c>
      <c r="H40"/>
      <c r="I40" s="150"/>
    </row>
    <row r="41" spans="3:9" x14ac:dyDescent="0.25">
      <c r="C41" s="208">
        <v>1</v>
      </c>
      <c r="D41" s="233">
        <f>B2*10*(D23/100)</f>
        <v>8.5100000000000002E-3</v>
      </c>
      <c r="E41" s="231">
        <f>B2*H23 ^2/2</f>
        <v>2.3E-3</v>
      </c>
      <c r="F41" s="232">
        <f>E41-D41</f>
        <v>-6.2100000000000002E-3</v>
      </c>
      <c r="G41" s="234">
        <f>-F41/(B2*10*COS(RADIANS(E23))*B4)</f>
        <v>0.40671691893049627</v>
      </c>
      <c r="H41"/>
      <c r="I41" s="150"/>
    </row>
    <row r="42" spans="3:9" x14ac:dyDescent="0.25">
      <c r="C42" s="208">
        <v>2</v>
      </c>
      <c r="D42" s="233">
        <f>B2*10*(D24/100)</f>
        <v>9.7520000000000003E-3</v>
      </c>
      <c r="E42" s="232">
        <f>B2*H24 ^2/2</f>
        <v>3.0497704315886128E-3</v>
      </c>
      <c r="F42" s="232">
        <f t="shared" ref="F42:F45" si="10">E42-D42</f>
        <v>-6.7022295684113879E-3</v>
      </c>
      <c r="G42" s="234">
        <f>-F42/(B2*10*COS(RADIANS(E24))*B4)</f>
        <v>0.46200425305079984</v>
      </c>
      <c r="H42"/>
      <c r="I42" s="150"/>
    </row>
    <row r="43" spans="3:9" x14ac:dyDescent="0.25">
      <c r="C43" s="208">
        <v>3</v>
      </c>
      <c r="D43" s="233">
        <f>B2*10*(D25/100)</f>
        <v>1.0856000000000001E-2</v>
      </c>
      <c r="E43" s="232">
        <f>B2*H25 ^2/2</f>
        <v>4.3916694214876035E-3</v>
      </c>
      <c r="F43" s="232">
        <f t="shared" si="10"/>
        <v>-6.4643305785123976E-3</v>
      </c>
      <c r="G43" s="234">
        <f>-F43/(B2*10*COS(RADIANS(E25))*B4)</f>
        <v>0.47183931405948931</v>
      </c>
      <c r="H43"/>
      <c r="I43" s="150"/>
    </row>
    <row r="44" spans="3:9" x14ac:dyDescent="0.25">
      <c r="C44" s="208">
        <v>4</v>
      </c>
      <c r="D44" s="233">
        <f>B2*10*(D26/100)</f>
        <v>1.2052E-2</v>
      </c>
      <c r="E44" s="232">
        <f>B2*H26 ^2/2</f>
        <v>6.0139429606156621E-3</v>
      </c>
      <c r="F44" s="232">
        <f t="shared" si="10"/>
        <v>-6.0380570393843381E-3</v>
      </c>
      <c r="G44" s="234">
        <f>-F44/(B2*10*COS(RADIANS(E26))*B4)</f>
        <v>0.47690388678324452</v>
      </c>
      <c r="H44"/>
      <c r="I44" s="150"/>
    </row>
    <row r="45" spans="3:9" x14ac:dyDescent="0.25">
      <c r="C45" s="208">
        <v>5</v>
      </c>
      <c r="D45" s="233">
        <f>B2*10*(D27/100)</f>
        <v>1.2880000000000001E-2</v>
      </c>
      <c r="E45" s="232">
        <f>B2*H27 ^2/2</f>
        <v>8.7342537804076265E-3</v>
      </c>
      <c r="F45" s="232">
        <f t="shared" si="10"/>
        <v>-4.1457462195923743E-3</v>
      </c>
      <c r="G45" s="234">
        <f>-F45/(B2*10*COS(RADIANS(E27))*B4)</f>
        <v>0.35081076681677048</v>
      </c>
      <c r="H45"/>
      <c r="I45" s="150"/>
    </row>
    <row r="46" spans="3:9" x14ac:dyDescent="0.25">
      <c r="C46" s="197" t="s">
        <v>272</v>
      </c>
      <c r="D46" s="197" t="str">
        <f>"En. Mec. In.: " &amp; ROUND(AVERAGE(D41:D45),2)</f>
        <v>En. Mec. In.: 0.01</v>
      </c>
      <c r="E46" s="197" t="str">
        <f>"En. Mec. Fi.: " &amp; ROUND(AVERAGE(E41:E45),2)</f>
        <v>En. Mec. Fi.: 0</v>
      </c>
      <c r="F46" s="197" t="str">
        <f>"ΔEn Mec: " &amp; ROUND(AVERAGE(F41:F45),2)</f>
        <v>ΔEn Mec: -0.01</v>
      </c>
      <c r="G46" s="235" t="str">
        <f>"μcin: " &amp; ROUND(AVERAGE(G41:G45),3)</f>
        <v>μcin: 0.434</v>
      </c>
      <c r="H46"/>
      <c r="I46" s="150"/>
    </row>
    <row r="47" spans="3:9" x14ac:dyDescent="0.25">
      <c r="C47"/>
      <c r="D47"/>
      <c r="E47"/>
      <c r="F47"/>
      <c r="G47"/>
      <c r="H47"/>
      <c r="I47"/>
    </row>
    <row r="48" spans="3:9" x14ac:dyDescent="0.25">
      <c r="C48" s="295" t="s">
        <v>276</v>
      </c>
      <c r="D48" s="296"/>
      <c r="E48" s="296"/>
      <c r="F48" s="296"/>
      <c r="G48" s="297"/>
      <c r="H48"/>
      <c r="I48" s="150"/>
    </row>
    <row r="49" spans="3:9" x14ac:dyDescent="0.25">
      <c r="C49" s="197" t="s">
        <v>14</v>
      </c>
      <c r="D49" s="202" t="s">
        <v>284</v>
      </c>
      <c r="E49" s="227" t="s">
        <v>286</v>
      </c>
      <c r="F49" s="227" t="s">
        <v>287</v>
      </c>
      <c r="G49" s="203" t="s">
        <v>288</v>
      </c>
      <c r="H49"/>
      <c r="I49" s="150"/>
    </row>
    <row r="50" spans="3:9" x14ac:dyDescent="0.25">
      <c r="C50" s="208">
        <v>1</v>
      </c>
      <c r="D50" s="233">
        <f>B2*10*(D32/100)</f>
        <v>1.0028E-2</v>
      </c>
      <c r="E50" s="231">
        <f>B2*H32 ^2/2</f>
        <v>2.8730103806228363E-3</v>
      </c>
      <c r="F50" s="232">
        <f>E50-D50</f>
        <v>-7.1549896193771646E-3</v>
      </c>
      <c r="G50" s="212">
        <f>-F50/(B2*10*COS(RADIANS(E32))*0.38)</f>
        <v>0.49973880856875125</v>
      </c>
      <c r="H50"/>
      <c r="I50" s="150"/>
    </row>
    <row r="51" spans="3:9" x14ac:dyDescent="0.25">
      <c r="C51" s="208">
        <v>2</v>
      </c>
      <c r="D51" s="233">
        <f>B2*10*(D33/100)</f>
        <v>1.0626E-2</v>
      </c>
      <c r="E51" s="232">
        <f>B2*H33 ^2/2</f>
        <v>4.2362244897959176E-3</v>
      </c>
      <c r="F51" s="232">
        <f t="shared" ref="F51:F54" si="11">E51-D51</f>
        <v>-6.3897755102040824E-3</v>
      </c>
      <c r="G51" s="212">
        <f>-F51/(B2*10*COS(RADIANS(E33))*0.38)</f>
        <v>0.46037743562051003</v>
      </c>
      <c r="H51"/>
      <c r="I51" s="150"/>
    </row>
    <row r="52" spans="3:9" x14ac:dyDescent="0.25">
      <c r="C52" s="208">
        <v>3</v>
      </c>
      <c r="D52" s="233">
        <f>B2*10*(D34/100)</f>
        <v>1.2006000000000001E-2</v>
      </c>
      <c r="E52" s="232">
        <f>B2*H34 ^2/2</f>
        <v>6.2782608695652166E-3</v>
      </c>
      <c r="F52" s="232">
        <f t="shared" si="11"/>
        <v>-5.7277391304347844E-3</v>
      </c>
      <c r="G52" s="212">
        <f>-F52/(B2*10*COS(RADIANS(E34))*0.38)</f>
        <v>0.45084047916897352</v>
      </c>
      <c r="H52"/>
      <c r="I52" s="150"/>
    </row>
    <row r="53" spans="3:9" x14ac:dyDescent="0.25">
      <c r="C53" s="208">
        <v>4</v>
      </c>
      <c r="D53" s="233">
        <f>B2*10*(D35/100)</f>
        <v>1.2971999999999999E-2</v>
      </c>
      <c r="E53" s="232">
        <f>B2*H35 ^2/2</f>
        <v>7.9029149315883399E-3</v>
      </c>
      <c r="F53" s="232">
        <f t="shared" si="11"/>
        <v>-5.0690850684116592E-3</v>
      </c>
      <c r="G53" s="212">
        <f>-F53/(B2*10*COS(RADIANS(E35))*0.38)</f>
        <v>0.43264303376699986</v>
      </c>
      <c r="H53"/>
      <c r="I53" s="150"/>
    </row>
    <row r="54" spans="3:9" x14ac:dyDescent="0.25">
      <c r="C54" s="208">
        <v>5</v>
      </c>
      <c r="D54" s="233">
        <f>B2*10*(D36/100)</f>
        <v>1.3569999999999999E-2</v>
      </c>
      <c r="E54" s="232">
        <f>B2*H36 ^2/2</f>
        <v>1.0250617283950618E-2</v>
      </c>
      <c r="F54" s="232">
        <f t="shared" si="11"/>
        <v>-3.3193827160493804E-3</v>
      </c>
      <c r="G54" s="212">
        <f>-F54/(B2*10*COS(RADIANS(E36))*0.38)</f>
        <v>0.3012576939417857</v>
      </c>
      <c r="H54"/>
      <c r="I54" s="150"/>
    </row>
    <row r="55" spans="3:9" x14ac:dyDescent="0.25">
      <c r="C55" s="197" t="s">
        <v>272</v>
      </c>
      <c r="D55" s="197" t="str">
        <f>"En. Mec. In.: " &amp; ROUND(AVERAGE(D50:D54),2)</f>
        <v>En. Mec. In.: 0.01</v>
      </c>
      <c r="E55" s="197" t="str">
        <f>"En. Mec. Fi.: " &amp; ROUND(AVERAGE(E50:E54),2)</f>
        <v>En. Mec. Fi.: 0.01</v>
      </c>
      <c r="F55" s="197" t="str">
        <f>"ΔEn Mec: " &amp; ROUND(AVERAGE(F50:F54),2)</f>
        <v>ΔEn Mec: -0.01</v>
      </c>
      <c r="G55" s="235" t="str">
        <f>"μcin: " &amp; ROUND(AVERAGE(G50:G54),4)</f>
        <v>μcin: 0.429</v>
      </c>
      <c r="H55"/>
      <c r="I55" s="150"/>
    </row>
  </sheetData>
  <mergeCells count="14">
    <mergeCell ref="C1:I1"/>
    <mergeCell ref="C11:I11"/>
    <mergeCell ref="D19:E19"/>
    <mergeCell ref="F19:G19"/>
    <mergeCell ref="H19:I19"/>
    <mergeCell ref="D10:I10"/>
    <mergeCell ref="D9:E9"/>
    <mergeCell ref="F9:G9"/>
    <mergeCell ref="H9:I9"/>
    <mergeCell ref="C39:G39"/>
    <mergeCell ref="C48:G48"/>
    <mergeCell ref="C30:H30"/>
    <mergeCell ref="D29:I29"/>
    <mergeCell ref="C21:H2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Leis de N</vt:lpstr>
      <vt:lpstr>Planilha1</vt:lpstr>
      <vt:lpstr>Queda Livre</vt:lpstr>
      <vt:lpstr>Planilha3</vt:lpstr>
      <vt:lpstr>Planilha4</vt:lpstr>
      <vt:lpstr>teste 1</vt:lpstr>
      <vt:lpstr>teste 2</vt:lpstr>
      <vt:lpstr>Teste 3</vt:lpstr>
      <vt:lpstr>At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</dc:creator>
  <cp:lastModifiedBy>Guilh</cp:lastModifiedBy>
  <dcterms:created xsi:type="dcterms:W3CDTF">2023-03-14T22:43:23Z</dcterms:created>
  <dcterms:modified xsi:type="dcterms:W3CDTF">2023-05-04T22:46:42Z</dcterms:modified>
</cp:coreProperties>
</file>