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University of stuttgart\COURSES\Reserach Project\Final code\Evaluation\"/>
    </mc:Choice>
  </mc:AlternateContent>
  <xr:revisionPtr revIDLastSave="0" documentId="13_ncr:1_{54D99B7E-F1CA-4A95-BBE4-7F9A3403DFB4}" xr6:coauthVersionLast="47" xr6:coauthVersionMax="47" xr10:uidLastSave="{00000000-0000-0000-0000-000000000000}"/>
  <bookViews>
    <workbookView xWindow="-120" yWindow="-120" windowWidth="29040" windowHeight="15840" tabRatio="937" activeTab="1" xr2:uid="{BDDA1398-FE1B-4557-B54E-EC2859D107EF}"/>
  </bookViews>
  <sheets>
    <sheet name="Block Diagram" sheetId="10" r:id="rId1"/>
    <sheet name="Day Ahead Prices" sheetId="1" r:id="rId2"/>
    <sheet name="WeekDay_Dataset" sheetId="2" r:id="rId3"/>
    <sheet name="scenario 1" sheetId="3" r:id="rId4"/>
    <sheet name="scenario 2" sheetId="7" r:id="rId5"/>
    <sheet name="scenario 3" sheetId="8" r:id="rId6"/>
    <sheet name="scenario 4" sheetId="9" r:id="rId7"/>
    <sheet name="Weekend_Dataset" sheetId="4" r:id="rId8"/>
    <sheet name="Weekend_scenario" sheetId="5" r:id="rId9"/>
    <sheet name="Final Evlauation" sheetId="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8" l="1"/>
  <c r="G35" i="8"/>
  <c r="G34" i="8"/>
  <c r="G33" i="8"/>
  <c r="G32" i="8"/>
  <c r="G31" i="8"/>
  <c r="E45" i="8"/>
  <c r="E44" i="8"/>
  <c r="L44" i="8" s="1"/>
  <c r="M44" i="8" s="1"/>
  <c r="E43" i="8"/>
  <c r="E42" i="8"/>
  <c r="E41" i="8"/>
  <c r="E40" i="8"/>
  <c r="E45" i="7"/>
  <c r="E44" i="7"/>
  <c r="E43" i="7"/>
  <c r="E42" i="7"/>
  <c r="E41" i="7"/>
  <c r="E40" i="7"/>
  <c r="E44" i="5"/>
  <c r="L44" i="5"/>
  <c r="M44" i="5" s="1"/>
  <c r="E43" i="5"/>
  <c r="E42" i="5"/>
  <c r="E41" i="5"/>
  <c r="E40" i="5"/>
  <c r="L25" i="5"/>
  <c r="M25" i="5" s="1"/>
  <c r="L40" i="5"/>
  <c r="M40" i="5" s="1"/>
  <c r="E45" i="5"/>
  <c r="L45" i="5" s="1"/>
  <c r="M45" i="5" s="1"/>
  <c r="L42" i="5"/>
  <c r="M42" i="5" s="1"/>
  <c r="L41" i="5"/>
  <c r="M41" i="5" s="1"/>
  <c r="E45" i="9"/>
  <c r="E44" i="9"/>
  <c r="E43" i="9"/>
  <c r="E42" i="9"/>
  <c r="E41" i="9"/>
  <c r="E40" i="9"/>
  <c r="L40" i="9" s="1"/>
  <c r="M40" i="9" s="1"/>
  <c r="E41" i="3"/>
  <c r="E42" i="3"/>
  <c r="E43" i="3"/>
  <c r="E44" i="3"/>
  <c r="E45" i="3"/>
  <c r="E40" i="3"/>
  <c r="L45" i="3"/>
  <c r="M45" i="3" s="1"/>
  <c r="G30" i="3"/>
  <c r="I35" i="3"/>
  <c r="E3" i="6"/>
  <c r="I37" i="3"/>
  <c r="J13" i="2"/>
  <c r="K13" i="2" s="1"/>
  <c r="G45" i="8"/>
  <c r="G28" i="8"/>
  <c r="G39" i="8"/>
  <c r="G42" i="8"/>
  <c r="G41" i="8"/>
  <c r="I34" i="3"/>
  <c r="E4" i="6"/>
  <c r="F4" i="6" s="1"/>
  <c r="E5" i="6"/>
  <c r="F5" i="6" s="1"/>
  <c r="E6" i="6"/>
  <c r="F6" i="6" s="1"/>
  <c r="M47" i="3"/>
  <c r="I34" i="9"/>
  <c r="G32" i="9"/>
  <c r="I39" i="9"/>
  <c r="I38" i="9"/>
  <c r="I37" i="9"/>
  <c r="I36" i="9"/>
  <c r="I35" i="9"/>
  <c r="I33" i="9"/>
  <c r="I32" i="9"/>
  <c r="I31" i="9"/>
  <c r="G47" i="9"/>
  <c r="L47" i="9" s="1"/>
  <c r="M47" i="9" s="1"/>
  <c r="L46" i="9"/>
  <c r="M46" i="9" s="1"/>
  <c r="G46" i="9"/>
  <c r="G45" i="9"/>
  <c r="L45" i="9"/>
  <c r="M45" i="9" s="1"/>
  <c r="L44" i="9"/>
  <c r="M44" i="9" s="1"/>
  <c r="G44" i="9"/>
  <c r="G43" i="9"/>
  <c r="L43" i="9"/>
  <c r="M43" i="9" s="1"/>
  <c r="I42" i="9"/>
  <c r="L42" i="9"/>
  <c r="M42" i="9" s="1"/>
  <c r="L41" i="9"/>
  <c r="M41" i="9" s="1"/>
  <c r="I41" i="9"/>
  <c r="I40" i="9"/>
  <c r="G39" i="9"/>
  <c r="L39" i="9" s="1"/>
  <c r="M39" i="9" s="1"/>
  <c r="L38" i="9"/>
  <c r="M38" i="9" s="1"/>
  <c r="G38" i="9"/>
  <c r="G37" i="9"/>
  <c r="L37" i="9" s="1"/>
  <c r="M37" i="9" s="1"/>
  <c r="H36" i="9"/>
  <c r="G36" i="9"/>
  <c r="L35" i="9"/>
  <c r="M35" i="9" s="1"/>
  <c r="G35" i="9"/>
  <c r="G34" i="9"/>
  <c r="L33" i="9"/>
  <c r="M33" i="9" s="1"/>
  <c r="G33" i="9"/>
  <c r="H32" i="9"/>
  <c r="L32" i="9"/>
  <c r="M32" i="9" s="1"/>
  <c r="H31" i="9"/>
  <c r="G31" i="9"/>
  <c r="L31" i="9" s="1"/>
  <c r="M31" i="9" s="1"/>
  <c r="G30" i="9"/>
  <c r="L30" i="9" s="1"/>
  <c r="M30" i="9" s="1"/>
  <c r="G29" i="9"/>
  <c r="L29" i="9" s="1"/>
  <c r="M29" i="9" s="1"/>
  <c r="L28" i="9"/>
  <c r="M28" i="9" s="1"/>
  <c r="G28" i="9"/>
  <c r="G27" i="9"/>
  <c r="L27" i="9" s="1"/>
  <c r="M27" i="9" s="1"/>
  <c r="G26" i="9"/>
  <c r="L26" i="9" s="1"/>
  <c r="M26" i="9" s="1"/>
  <c r="G25" i="9"/>
  <c r="L25" i="9" s="1"/>
  <c r="M25" i="9" s="1"/>
  <c r="G24" i="9"/>
  <c r="L24" i="9" s="1"/>
  <c r="M24" i="9" s="1"/>
  <c r="G30" i="8"/>
  <c r="G29" i="8"/>
  <c r="L29" i="8" s="1"/>
  <c r="M29" i="8" s="1"/>
  <c r="L28" i="8"/>
  <c r="M28" i="8" s="1"/>
  <c r="G27" i="8"/>
  <c r="L27" i="8" s="1"/>
  <c r="M27" i="8" s="1"/>
  <c r="G26" i="8"/>
  <c r="G25" i="8"/>
  <c r="G24" i="8"/>
  <c r="G30" i="7"/>
  <c r="G29" i="7"/>
  <c r="G28" i="7"/>
  <c r="G27" i="7"/>
  <c r="L27" i="7" s="1"/>
  <c r="M27" i="7" s="1"/>
  <c r="G26" i="7"/>
  <c r="G25" i="7"/>
  <c r="G24" i="7"/>
  <c r="G47" i="3"/>
  <c r="G46" i="3"/>
  <c r="G45" i="3"/>
  <c r="G44" i="3"/>
  <c r="G43" i="3"/>
  <c r="G28" i="3"/>
  <c r="G44" i="8"/>
  <c r="G47" i="8"/>
  <c r="G46" i="8"/>
  <c r="L46" i="8" s="1"/>
  <c r="M46" i="8" s="1"/>
  <c r="G43" i="8"/>
  <c r="G47" i="7"/>
  <c r="G46" i="7"/>
  <c r="G45" i="7"/>
  <c r="G44" i="7"/>
  <c r="G43" i="7"/>
  <c r="G32" i="3"/>
  <c r="G29" i="3"/>
  <c r="G24" i="3"/>
  <c r="G25" i="3"/>
  <c r="L25" i="3" s="1"/>
  <c r="M25" i="3" s="1"/>
  <c r="L30" i="8"/>
  <c r="M30" i="8" s="1"/>
  <c r="L29" i="7"/>
  <c r="M29" i="7" s="1"/>
  <c r="L28" i="7"/>
  <c r="M28" i="7" s="1"/>
  <c r="L25" i="7"/>
  <c r="M25" i="7" s="1"/>
  <c r="G35" i="3"/>
  <c r="G39" i="3"/>
  <c r="G38" i="3"/>
  <c r="G37" i="3"/>
  <c r="G36" i="3"/>
  <c r="G34" i="3"/>
  <c r="G33" i="3"/>
  <c r="G31" i="3"/>
  <c r="G27" i="3"/>
  <c r="G26" i="3"/>
  <c r="F5" i="2"/>
  <c r="J5" i="2" s="1"/>
  <c r="K5" i="2" s="1"/>
  <c r="L29" i="3"/>
  <c r="M29" i="3" s="1"/>
  <c r="L28" i="3"/>
  <c r="M28" i="3" s="1"/>
  <c r="L27" i="3"/>
  <c r="M27" i="3" s="1"/>
  <c r="L26" i="3"/>
  <c r="M26" i="3" s="1"/>
  <c r="L47" i="7"/>
  <c r="M47" i="7" s="1"/>
  <c r="L46" i="7"/>
  <c r="M46" i="7" s="1"/>
  <c r="L26" i="7"/>
  <c r="M26" i="7" s="1"/>
  <c r="L24" i="7"/>
  <c r="M24" i="7" s="1"/>
  <c r="L47" i="8"/>
  <c r="M47" i="8" s="1"/>
  <c r="G40" i="8"/>
  <c r="L39" i="8"/>
  <c r="M39" i="8" s="1"/>
  <c r="G38" i="8"/>
  <c r="G37" i="8"/>
  <c r="L37" i="8" s="1"/>
  <c r="M37" i="8" s="1"/>
  <c r="L31" i="8"/>
  <c r="M31" i="8" s="1"/>
  <c r="I42" i="8"/>
  <c r="I41" i="8"/>
  <c r="I40" i="8"/>
  <c r="L40" i="8"/>
  <c r="M40" i="8" s="1"/>
  <c r="I39" i="8"/>
  <c r="I38" i="8"/>
  <c r="L38" i="8" s="1"/>
  <c r="M38" i="8" s="1"/>
  <c r="I37" i="8"/>
  <c r="I36" i="8"/>
  <c r="H36" i="8"/>
  <c r="L36" i="8" s="1"/>
  <c r="M36" i="8" s="1"/>
  <c r="L35" i="8"/>
  <c r="M35" i="8" s="1"/>
  <c r="I35" i="8"/>
  <c r="I34" i="8"/>
  <c r="L34" i="8"/>
  <c r="M34" i="8" s="1"/>
  <c r="I33" i="8"/>
  <c r="L33" i="8" s="1"/>
  <c r="M33" i="8" s="1"/>
  <c r="L32" i="8"/>
  <c r="M32" i="8" s="1"/>
  <c r="I32" i="8"/>
  <c r="H32" i="8"/>
  <c r="I31" i="8"/>
  <c r="H31" i="8"/>
  <c r="L26" i="8"/>
  <c r="M26" i="8" s="1"/>
  <c r="L25" i="8"/>
  <c r="M25" i="8" s="1"/>
  <c r="L24" i="8"/>
  <c r="M24" i="8" s="1"/>
  <c r="G33" i="7"/>
  <c r="G32" i="7"/>
  <c r="G31" i="7"/>
  <c r="L31" i="7" s="1"/>
  <c r="M31" i="7" s="1"/>
  <c r="I33" i="7"/>
  <c r="I37" i="7"/>
  <c r="I39" i="7"/>
  <c r="I38" i="7"/>
  <c r="I36" i="7"/>
  <c r="I35" i="7"/>
  <c r="I34" i="7"/>
  <c r="G40" i="7"/>
  <c r="G42" i="7"/>
  <c r="G41" i="7"/>
  <c r="G39" i="7"/>
  <c r="G38" i="7"/>
  <c r="G37" i="7"/>
  <c r="G36" i="7"/>
  <c r="G35" i="7"/>
  <c r="G34" i="7"/>
  <c r="L33" i="7"/>
  <c r="M33" i="7" s="1"/>
  <c r="L43" i="7"/>
  <c r="M43" i="7" s="1"/>
  <c r="I42" i="7"/>
  <c r="L42" i="7"/>
  <c r="M42" i="7" s="1"/>
  <c r="I41" i="7"/>
  <c r="L40" i="7"/>
  <c r="M40" i="7" s="1"/>
  <c r="I40" i="7"/>
  <c r="L39" i="7"/>
  <c r="M39" i="7" s="1"/>
  <c r="L38" i="7"/>
  <c r="M38" i="7" s="1"/>
  <c r="L37" i="7"/>
  <c r="M37" i="7" s="1"/>
  <c r="H36" i="7"/>
  <c r="L36" i="7"/>
  <c r="M36" i="7" s="1"/>
  <c r="I32" i="7"/>
  <c r="H32" i="7"/>
  <c r="L32" i="7"/>
  <c r="M32" i="7" s="1"/>
  <c r="I31" i="7"/>
  <c r="H31" i="7"/>
  <c r="L30" i="7"/>
  <c r="M30" i="7" s="1"/>
  <c r="H36" i="3"/>
  <c r="I39" i="3"/>
  <c r="I38" i="3"/>
  <c r="I40" i="3"/>
  <c r="I42" i="3"/>
  <c r="I41" i="3"/>
  <c r="I36" i="3"/>
  <c r="I33" i="3"/>
  <c r="I32" i="3"/>
  <c r="I31" i="3"/>
  <c r="L31" i="3"/>
  <c r="M31" i="3" s="1"/>
  <c r="L43" i="3"/>
  <c r="M43" i="3" s="1"/>
  <c r="H32" i="3"/>
  <c r="H31" i="3"/>
  <c r="F21" i="2"/>
  <c r="J21" i="2"/>
  <c r="K21" i="2" s="1"/>
  <c r="F20" i="2"/>
  <c r="J20" i="2" s="1"/>
  <c r="K20" i="2" s="1"/>
  <c r="F22" i="2"/>
  <c r="J22" i="2" s="1"/>
  <c r="K22" i="2" s="1"/>
  <c r="J23" i="2"/>
  <c r="K23" i="2" s="1"/>
  <c r="J27" i="2"/>
  <c r="K27" i="2" s="1"/>
  <c r="J28" i="2"/>
  <c r="K28" i="2" s="1"/>
  <c r="F18" i="2"/>
  <c r="J18" i="2"/>
  <c r="K18" i="2" s="1"/>
  <c r="F17" i="2"/>
  <c r="F15" i="2"/>
  <c r="F16" i="2"/>
  <c r="J15" i="2"/>
  <c r="K15" i="2" s="1"/>
  <c r="F14" i="2"/>
  <c r="F13" i="2"/>
  <c r="F12" i="2"/>
  <c r="J12" i="2" s="1"/>
  <c r="K12" i="2" s="1"/>
  <c r="F11" i="2"/>
  <c r="J11" i="2" s="1"/>
  <c r="K11" i="2" s="1"/>
  <c r="J8" i="2"/>
  <c r="K8" i="2" s="1"/>
  <c r="F10" i="2"/>
  <c r="F9" i="2"/>
  <c r="F8" i="2"/>
  <c r="F7" i="2"/>
  <c r="J7" i="2" s="1"/>
  <c r="K7" i="2" s="1"/>
  <c r="F6" i="2"/>
  <c r="J6" i="2" s="1"/>
  <c r="K6" i="2" s="1"/>
  <c r="E17" i="6"/>
  <c r="E18" i="6" s="1"/>
  <c r="D26" i="6" s="1"/>
  <c r="L39" i="5"/>
  <c r="M39" i="5" s="1"/>
  <c r="K5" i="4"/>
  <c r="L46" i="5"/>
  <c r="L35" i="5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L47" i="5"/>
  <c r="M47" i="5" s="1"/>
  <c r="L38" i="5"/>
  <c r="M38" i="5" s="1"/>
  <c r="L37" i="5"/>
  <c r="M37" i="5" s="1"/>
  <c r="L36" i="5"/>
  <c r="M36" i="5" s="1"/>
  <c r="M35" i="5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4" i="5"/>
  <c r="M24" i="5" s="1"/>
  <c r="L47" i="3"/>
  <c r="L46" i="3"/>
  <c r="M46" i="3" s="1"/>
  <c r="L30" i="3"/>
  <c r="M30" i="3" s="1"/>
  <c r="L24" i="3"/>
  <c r="M24" i="3" s="1"/>
  <c r="J26" i="2"/>
  <c r="K26" i="2" s="1"/>
  <c r="J25" i="2"/>
  <c r="K25" i="2" s="1"/>
  <c r="J24" i="2"/>
  <c r="K24" i="2" s="1"/>
  <c r="J19" i="2"/>
  <c r="K19" i="2" s="1"/>
  <c r="J17" i="2"/>
  <c r="K17" i="2" s="1"/>
  <c r="J16" i="2"/>
  <c r="K16" i="2" s="1"/>
  <c r="J14" i="2"/>
  <c r="K14" i="2" s="1"/>
  <c r="J10" i="2"/>
  <c r="K10" i="2" s="1"/>
  <c r="J9" i="2"/>
  <c r="K9" i="2" s="1"/>
  <c r="L41" i="8" l="1"/>
  <c r="M41" i="8" s="1"/>
  <c r="E7" i="6"/>
  <c r="F3" i="6"/>
  <c r="F7" i="6" s="1"/>
  <c r="L36" i="9"/>
  <c r="M36" i="9" s="1"/>
  <c r="L34" i="9"/>
  <c r="M34" i="9" s="1"/>
  <c r="M48" i="9" s="1"/>
  <c r="L45" i="8"/>
  <c r="M45" i="8" s="1"/>
  <c r="L45" i="7"/>
  <c r="M45" i="7" s="1"/>
  <c r="L44" i="7"/>
  <c r="M44" i="7" s="1"/>
  <c r="L43" i="8"/>
  <c r="M43" i="8" s="1"/>
  <c r="L42" i="8"/>
  <c r="M42" i="8" s="1"/>
  <c r="L34" i="7"/>
  <c r="M34" i="7" s="1"/>
  <c r="L41" i="7"/>
  <c r="M41" i="7" s="1"/>
  <c r="L35" i="7"/>
  <c r="M35" i="7" s="1"/>
  <c r="L44" i="3"/>
  <c r="M44" i="3" s="1"/>
  <c r="L37" i="3"/>
  <c r="M37" i="3" s="1"/>
  <c r="L43" i="5"/>
  <c r="M43" i="5" s="1"/>
  <c r="M46" i="5"/>
  <c r="K29" i="4"/>
  <c r="L36" i="3"/>
  <c r="M36" i="3" s="1"/>
  <c r="L42" i="3"/>
  <c r="M42" i="3" s="1"/>
  <c r="L39" i="3"/>
  <c r="M39" i="3" s="1"/>
  <c r="L34" i="3"/>
  <c r="M34" i="3" s="1"/>
  <c r="L40" i="3"/>
  <c r="M40" i="3" s="1"/>
  <c r="L41" i="3"/>
  <c r="M41" i="3" s="1"/>
  <c r="L33" i="3"/>
  <c r="M33" i="3" s="1"/>
  <c r="L35" i="3"/>
  <c r="M35" i="3" s="1"/>
  <c r="L32" i="3"/>
  <c r="M32" i="3" s="1"/>
  <c r="L38" i="3"/>
  <c r="M38" i="3" s="1"/>
  <c r="K29" i="2"/>
  <c r="D25" i="6" l="1"/>
  <c r="M48" i="8"/>
  <c r="M48" i="3"/>
  <c r="M48" i="7"/>
  <c r="M48" i="5"/>
</calcChain>
</file>

<file path=xl/sharedStrings.xml><?xml version="1.0" encoding="utf-8"?>
<sst xmlns="http://schemas.openxmlformats.org/spreadsheetml/2006/main" count="519" uniqueCount="122">
  <si>
    <t>BZN|DE-LU</t>
  </si>
  <si>
    <t/>
  </si>
  <si>
    <t>Day-ahead Prices</t>
  </si>
  <si>
    <t>Day-ahead Prices [12.1.D]</t>
  </si>
  <si>
    <t>MTU</t>
  </si>
  <si>
    <t>Day-ahead Price</t>
  </si>
  <si>
    <t>Currency</t>
  </si>
  <si>
    <t>00:00 - 01:00</t>
  </si>
  <si>
    <t>EUR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</si>
  <si>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</si>
  <si>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</si>
  <si>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</si>
  <si>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</si>
  <si>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</si>
  <si>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</si>
  <si>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</si>
  <si>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</si>
  <si>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</si>
  <si>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</si>
  <si>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</si>
  <si>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</si>
  <si>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</si>
  <si>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</si>
  <si>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</si>
  <si>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</si>
  <si>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</si>
  <si>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</si>
  <si>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</si>
  <si>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</si>
  <si>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</si>
  <si>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</si>
  <si>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</si>
  <si>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[EUR/KWh]</t>
  </si>
  <si>
    <t>Daily Hours</t>
  </si>
  <si>
    <t>Tariff per hour (Eur/KW)</t>
  </si>
  <si>
    <t>Tariff</t>
  </si>
  <si>
    <t>Total Energy usage (KW)</t>
  </si>
  <si>
    <t>Low</t>
  </si>
  <si>
    <t>Nominal</t>
  </si>
  <si>
    <t>High</t>
  </si>
  <si>
    <t>Total cost of the day</t>
  </si>
  <si>
    <t>Heavy Load Controllable Independent (KW)</t>
  </si>
  <si>
    <t>Heavy Load Controllable Dependent (KW)</t>
  </si>
  <si>
    <t>Dataset Without Temporal Planning</t>
  </si>
  <si>
    <t>Heavy Load uncontrollable (KW)</t>
  </si>
  <si>
    <t>Light Load Controllable Independent (KW)</t>
  </si>
  <si>
    <t>Light load controllable Dependent (KW)</t>
  </si>
  <si>
    <t>Light Load Uncontrollable(KW)</t>
  </si>
  <si>
    <t>Cost per Hour (Eur)</t>
  </si>
  <si>
    <t>Total cost of the day:</t>
  </si>
  <si>
    <t>Parameters</t>
  </si>
  <si>
    <t>state</t>
  </si>
  <si>
    <t>Weekday</t>
  </si>
  <si>
    <t>Temperature in optimum range</t>
  </si>
  <si>
    <t>Yes</t>
  </si>
  <si>
    <t>yes</t>
  </si>
  <si>
    <t>Occupancy in Hours</t>
  </si>
  <si>
    <t>Natural Light level</t>
  </si>
  <si>
    <t>7 hours</t>
  </si>
  <si>
    <t>Plan Output:</t>
  </si>
  <si>
    <t>With Temporal Planning</t>
  </si>
  <si>
    <t>Actual Tariff (Eur/KW)</t>
  </si>
  <si>
    <t>Energy Storage System (KW)</t>
  </si>
  <si>
    <t>Commericial building dataset with no optimization technique applied</t>
  </si>
  <si>
    <t>Data taken from office of Energy Efficiency &amp; Renewable Energy US</t>
  </si>
  <si>
    <t>Building type</t>
  </si>
  <si>
    <t>Floor area (FT^2)</t>
  </si>
  <si>
    <t>Number of floors</t>
  </si>
  <si>
    <t>Medium office</t>
  </si>
  <si>
    <t>7 hours ( High)</t>
  </si>
  <si>
    <t>4 hours(Low)</t>
  </si>
  <si>
    <t>No</t>
  </si>
  <si>
    <t>OFF</t>
  </si>
  <si>
    <t>NO</t>
  </si>
  <si>
    <t>Dataset Without Temporal Planning (Out of Operating Hours / Weekends/ Public Holidays)</t>
  </si>
  <si>
    <t xml:space="preserve">7 hours 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</si>
  <si>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Change in Occupancy with respect to Plan 1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</si>
  <si>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Change in Natural Light with respect to Plan 1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</si>
  <si>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Change in Temp Range with respect to Plan 1</t>
    </r>
  </si>
  <si>
    <t>Project Implimentation Map:</t>
  </si>
  <si>
    <t xml:space="preserve">Plans </t>
  </si>
  <si>
    <t>Output</t>
  </si>
  <si>
    <t>Plan 1</t>
  </si>
  <si>
    <t>Plan 2</t>
  </si>
  <si>
    <t>Plan 3</t>
  </si>
  <si>
    <t xml:space="preserve">Plan 4 </t>
  </si>
  <si>
    <t>Average</t>
  </si>
  <si>
    <t xml:space="preserve">Weekdays </t>
  </si>
  <si>
    <t>Weekends/ Holidays</t>
  </si>
  <si>
    <t>Cost optimized per day (Eur)</t>
  </si>
  <si>
    <t>Per Day Cost Optimization on Average</t>
  </si>
  <si>
    <t>Weekend</t>
  </si>
  <si>
    <t xml:space="preserve">Evaluation Final Output </t>
  </si>
  <si>
    <t>Actual Tariff applied  (Eur/KW)</t>
  </si>
  <si>
    <t>Weekend_Plan</t>
  </si>
  <si>
    <t>all OFF except Battery and Ordinary Lights</t>
  </si>
  <si>
    <t>Percentage</t>
  </si>
  <si>
    <t>Cost of Dataset without optimization technique (Eur)</t>
  </si>
  <si>
    <t xml:space="preserve"> cost per day with Temporal optimization (Eur) </t>
  </si>
  <si>
    <t>Low Occupancy with respect to Plan 1</t>
  </si>
  <si>
    <t xml:space="preserve"> Change in Temp Range with respect to Plan 1</t>
  </si>
  <si>
    <t>High Occupancy, NaturalLight &amp; Temp in range</t>
  </si>
  <si>
    <t>with Temporal Planning (Out of Operating Hours / Weekends/ Public Holidays)</t>
  </si>
  <si>
    <t>Tariff Range (Eur/KW)</t>
  </si>
  <si>
    <t>Tariff Considered</t>
  </si>
  <si>
    <t>&gt; 130</t>
  </si>
  <si>
    <t>&lt; 110</t>
  </si>
  <si>
    <t>110 - 130</t>
  </si>
  <si>
    <t>Plan Output :</t>
  </si>
  <si>
    <t>Low Tariff</t>
  </si>
  <si>
    <t>Nominal Tariff</t>
  </si>
  <si>
    <t>High Tariff</t>
  </si>
  <si>
    <t>Out of Operating Hours</t>
  </si>
  <si>
    <t>Cost optimized per day percentage</t>
  </si>
  <si>
    <t>06.02.2023 00:00 - 07.01.2023 00:00 - CET/CEST</t>
  </si>
  <si>
    <t>Low  Natural Light with respect to Plan 1</t>
  </si>
  <si>
    <t>Block Diagram of System</t>
  </si>
  <si>
    <t>scenario 1</t>
  </si>
  <si>
    <t>scenario 2</t>
  </si>
  <si>
    <t>scenario 3</t>
  </si>
  <si>
    <t>scenario 4</t>
  </si>
  <si>
    <t>Weekend scenario: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</si>
</sst>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</font>
    <font>
      <sz val="10"/>
      <name val="Arial"/>
    </font>
    <font>
      <b/>
      <sz val="10"/>
      <name val="Arial"/>
      <family val="2"/>
      <charset val="238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A6A6CF"/>
        <bgColor indexed="64"/>
      </patternFill>
    </fill>
    <fill>
      <patternFill patternType="solid">
        <fgColor rgb="FFF4B45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9" fontId="8" fillId="0" borderId="0" applyFont="0" applyFill="0" applyBorder="0" applyAlignment="0" applyProtection="0"/>
  </cellStyleXfs>
  <cellXfs count="86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2" fontId="2" fillId="0" borderId="1" xfId="1" applyNumberFormat="1" applyBorder="1" applyAlignment="1">
      <alignment horizontal="center"/>
    </xf>
    <xf numFmtId="0" fontId="2" fillId="0" borderId="1" xfId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2" fontId="2" fillId="8" borderId="1" xfId="1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2" fillId="8" borderId="1" xfId="1" applyFill="1" applyBorder="1" applyAlignment="1">
      <alignment horizontal="center" vertical="center"/>
    </xf>
    <xf numFmtId="0" fontId="1" fillId="0" borderId="0" xfId="0" applyFont="1"/>
    <xf numFmtId="0" fontId="1" fillId="6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8" borderId="1" xfId="0" applyNumberFormat="1" applyFill="1" applyBorder="1" applyAlignment="1">
      <alignment horizontal="center" vertical="center"/>
    </xf>
    <xf numFmtId="0" fontId="1" fillId="7" borderId="0" xfId="0" applyFont="1" applyFill="1"/>
    <xf numFmtId="164" fontId="1" fillId="7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7" borderId="0" xfId="0" applyFill="1"/>
    <xf numFmtId="2" fontId="1" fillId="7" borderId="0" xfId="0" applyNumberFormat="1" applyFont="1" applyFill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7" borderId="0" xfId="0" applyFill="1" applyAlignment="1">
      <alignment horizontal="center" vertical="top"/>
    </xf>
    <xf numFmtId="0" fontId="7" fillId="0" borderId="0" xfId="0" applyFont="1"/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9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3" fontId="0" fillId="0" borderId="1" xfId="0" applyNumberFormat="1" applyBorder="1" applyAlignment="1">
      <alignment horizontal="center" vertical="top" wrapText="1"/>
    </xf>
    <xf numFmtId="0" fontId="1" fillId="15" borderId="1" xfId="0" applyFont="1" applyFill="1" applyBorder="1" applyAlignment="1">
      <alignment horizontal="center" vertical="center"/>
    </xf>
    <xf numFmtId="0" fontId="2" fillId="15" borderId="1" xfId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2" fillId="16" borderId="1" xfId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17" borderId="1" xfId="1" applyFill="1" applyBorder="1" applyAlignment="1">
      <alignment horizontal="center" vertical="center"/>
    </xf>
    <xf numFmtId="49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/>
    <xf numFmtId="0" fontId="1" fillId="7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1" fillId="0" borderId="0" xfId="0" applyNumberFormat="1" applyFont="1"/>
    <xf numFmtId="0" fontId="3" fillId="3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/>
    </xf>
    <xf numFmtId="0" fontId="2" fillId="3" borderId="1" xfId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0" fillId="7" borderId="0" xfId="0" applyFill="1" applyAlignment="1">
      <alignment horizontal="center" vertical="top"/>
    </xf>
    <xf numFmtId="0" fontId="7" fillId="10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0" fillId="0" borderId="0" xfId="0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1E95976B-1DD6-4537-A916-A4718F91961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Ahead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'Day Ahead Prices'!$B$7:$B$30</c:f>
              <c:numCache>
                <c:formatCode>General</c:formatCode>
                <c:ptCount val="24"/>
                <c:pt idx="0">
                  <c:v>107.21</c:v>
                </c:pt>
                <c:pt idx="1">
                  <c:v>101.1</c:v>
                </c:pt>
                <c:pt idx="2">
                  <c:v>96.73</c:v>
                </c:pt>
                <c:pt idx="3">
                  <c:v>82.34</c:v>
                </c:pt>
                <c:pt idx="4">
                  <c:v>81.93</c:v>
                </c:pt>
                <c:pt idx="5">
                  <c:v>84.03</c:v>
                </c:pt>
                <c:pt idx="6">
                  <c:v>97.25</c:v>
                </c:pt>
                <c:pt idx="7">
                  <c:v>106.51</c:v>
                </c:pt>
                <c:pt idx="8">
                  <c:v>120.7</c:v>
                </c:pt>
                <c:pt idx="9">
                  <c:v>116.86</c:v>
                </c:pt>
                <c:pt idx="10">
                  <c:v>112.85</c:v>
                </c:pt>
                <c:pt idx="11">
                  <c:v>113.37</c:v>
                </c:pt>
                <c:pt idx="12">
                  <c:v>115</c:v>
                </c:pt>
                <c:pt idx="13">
                  <c:v>109.78</c:v>
                </c:pt>
                <c:pt idx="14">
                  <c:v>119.71</c:v>
                </c:pt>
                <c:pt idx="15">
                  <c:v>125.83</c:v>
                </c:pt>
                <c:pt idx="16">
                  <c:v>139.57</c:v>
                </c:pt>
                <c:pt idx="17">
                  <c:v>155.93</c:v>
                </c:pt>
                <c:pt idx="18">
                  <c:v>163.5</c:v>
                </c:pt>
                <c:pt idx="19">
                  <c:v>146.74</c:v>
                </c:pt>
                <c:pt idx="20">
                  <c:v>139.38</c:v>
                </c:pt>
                <c:pt idx="21">
                  <c:v>131.80000000000001</c:v>
                </c:pt>
                <c:pt idx="22">
                  <c:v>129.94</c:v>
                </c:pt>
                <c:pt idx="23">
                  <c:v>121.3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B-4754-8211-0D23A7BA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888063"/>
        <c:axId val="327890975"/>
      </c:lineChart>
      <c:catAx>
        <c:axId val="32788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the day (Hour)</a:t>
                </a:r>
              </a:p>
            </c:rich>
          </c:tx>
          <c:layout>
            <c:manualLayout>
              <c:xMode val="edge"/>
              <c:yMode val="edge"/>
              <c:x val="0.4462834645669291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90975"/>
        <c:crosses val="autoZero"/>
        <c:auto val="1"/>
        <c:lblAlgn val="ctr"/>
        <c:lblOffset val="100"/>
        <c:noMultiLvlLbl val="0"/>
      </c:catAx>
      <c:valAx>
        <c:axId val="3278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Price (Eur/KWH)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8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Hour - Weekend/Holiday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8130620996322"/>
          <c:y val="0.11130058129236911"/>
          <c:w val="0.78468285214348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 optimization technique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Weekend_Dataset!$K$5:$K$28</c:f>
              <c:numCache>
                <c:formatCode>_([$€-2]\ * #,##0.00_);_([$€-2]\ * \(#,##0.00\);_([$€-2]\ * "-"??_);_(@_)</c:formatCode>
                <c:ptCount val="24"/>
                <c:pt idx="0">
                  <c:v>1064.1095175526998</c:v>
                </c:pt>
                <c:pt idx="1">
                  <c:v>1003.4649027569999</c:v>
                </c:pt>
                <c:pt idx="2">
                  <c:v>710.14525175117001</c:v>
                </c:pt>
                <c:pt idx="3">
                  <c:v>604.50077565586002</c:v>
                </c:pt>
                <c:pt idx="4">
                  <c:v>601.49075236197007</c:v>
                </c:pt>
                <c:pt idx="5">
                  <c:v>655.55268195528004</c:v>
                </c:pt>
                <c:pt idx="6">
                  <c:v>827.42254822250004</c:v>
                </c:pt>
                <c:pt idx="7">
                  <c:v>1011.0628033412</c:v>
                </c:pt>
                <c:pt idx="8">
                  <c:v>1246.6692547580001</c:v>
                </c:pt>
                <c:pt idx="9">
                  <c:v>1197.15205322</c:v>
                </c:pt>
                <c:pt idx="10">
                  <c:v>1099.6906702050001</c:v>
                </c:pt>
                <c:pt idx="11">
                  <c:v>946.06315639620004</c:v>
                </c:pt>
                <c:pt idx="12">
                  <c:v>941.90522185000009</c:v>
                </c:pt>
                <c:pt idx="13">
                  <c:v>906.8468368696</c:v>
                </c:pt>
                <c:pt idx="14">
                  <c:v>988.87442923719993</c:v>
                </c:pt>
                <c:pt idx="15">
                  <c:v>1039.4291991555999</c:v>
                </c:pt>
                <c:pt idx="16">
                  <c:v>1152.9296139723999</c:v>
                </c:pt>
                <c:pt idx="17">
                  <c:v>1431.5554296542</c:v>
                </c:pt>
                <c:pt idx="18">
                  <c:v>1734.0780749849998</c:v>
                </c:pt>
                <c:pt idx="19">
                  <c:v>1880.3808783122001</c:v>
                </c:pt>
                <c:pt idx="20">
                  <c:v>2011.7598609245999</c:v>
                </c:pt>
                <c:pt idx="21">
                  <c:v>1857.9044959140001</c:v>
                </c:pt>
                <c:pt idx="22">
                  <c:v>1812.763917901</c:v>
                </c:pt>
                <c:pt idx="23">
                  <c:v>1143.2627583409999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D-405F-9918-1CC40B1C52C6}"/>
            </c:ext>
          </c:extLst>
        </c:ser>
        <c:ser>
          <c:idx val="1"/>
          <c:order val="1"/>
          <c:tx>
            <c:v>Temporal Plan weekend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Weekend_scenario!$M$24:$M$47</c:f>
              <c:numCache>
                <c:formatCode>0.00</c:formatCode>
                <c:ptCount val="24"/>
                <c:pt idx="0">
                  <c:v>8032.7595175526994</c:v>
                </c:pt>
                <c:pt idx="1">
                  <c:v>7069.4649027570003</c:v>
                </c:pt>
                <c:pt idx="2">
                  <c:v>6030.2952517511703</c:v>
                </c:pt>
                <c:pt idx="3">
                  <c:v>4721.5007756558598</c:v>
                </c:pt>
                <c:pt idx="4">
                  <c:v>4861.8507523619701</c:v>
                </c:pt>
                <c:pt idx="5">
                  <c:v>4436.9026819552801</c:v>
                </c:pt>
                <c:pt idx="6">
                  <c:v>5203.6725482225002</c:v>
                </c:pt>
                <c:pt idx="7">
                  <c:v>1011.0628033412</c:v>
                </c:pt>
                <c:pt idx="8">
                  <c:v>1246.6692547580001</c:v>
                </c:pt>
                <c:pt idx="9">
                  <c:v>1197.15205322</c:v>
                </c:pt>
                <c:pt idx="10">
                  <c:v>1099.6906702050001</c:v>
                </c:pt>
                <c:pt idx="11">
                  <c:v>946.06315639620004</c:v>
                </c:pt>
                <c:pt idx="12">
                  <c:v>941.90522185000009</c:v>
                </c:pt>
                <c:pt idx="13">
                  <c:v>906.8468368696</c:v>
                </c:pt>
                <c:pt idx="14">
                  <c:v>988.87442923719993</c:v>
                </c:pt>
                <c:pt idx="15">
                  <c:v>1039.4291991555999</c:v>
                </c:pt>
                <c:pt idx="16">
                  <c:v>-7360.8403860275994</c:v>
                </c:pt>
                <c:pt idx="17">
                  <c:v>-7300.5245703458004</c:v>
                </c:pt>
                <c:pt idx="18">
                  <c:v>-6604.4219250149999</c:v>
                </c:pt>
                <c:pt idx="19">
                  <c:v>-4869.6591216877996</c:v>
                </c:pt>
                <c:pt idx="20">
                  <c:v>-5236.0001390753996</c:v>
                </c:pt>
                <c:pt idx="21">
                  <c:v>-4073.0955040860003</c:v>
                </c:pt>
                <c:pt idx="22">
                  <c:v>0</c:v>
                </c:pt>
                <c:pt idx="23">
                  <c:v>1143.2627583409999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D-405F-9918-1CC40B1C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44623"/>
        <c:axId val="329354607"/>
      </c:lineChart>
      <c:catAx>
        <c:axId val="32934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4607"/>
        <c:crosses val="autoZero"/>
        <c:auto val="1"/>
        <c:lblAlgn val="ctr"/>
        <c:lblOffset val="100"/>
        <c:noMultiLvlLbl val="0"/>
      </c:catAx>
      <c:valAx>
        <c:axId val="3293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in Eur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3403780093018"/>
          <c:y val="0.11483884647569205"/>
          <c:w val="0.36375414635131603"/>
          <c:h val="0.10131612236994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8130620996322"/>
          <c:y val="0.11130058129236911"/>
          <c:w val="0.784682852143482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Cost per Hour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WeekDay_Dataset!$K$5:$K$28</c:f>
              <c:numCache>
                <c:formatCode>_([$€-2]\ * #,##0.00_);_([$€-2]\ * \(#,##0.00\);_([$€-2]\ * "-"??_);_(@_)</c:formatCode>
                <c:ptCount val="24"/>
                <c:pt idx="0">
                  <c:v>2274.565166172491</c:v>
                </c:pt>
                <c:pt idx="1">
                  <c:v>1944.62791786671</c:v>
                </c:pt>
                <c:pt idx="2">
                  <c:v>1600.5704251321031</c:v>
                </c:pt>
                <c:pt idx="3">
                  <c:v>1200.524462231554</c:v>
                </c:pt>
                <c:pt idx="4">
                  <c:v>1304.7482899050631</c:v>
                </c:pt>
                <c:pt idx="5">
                  <c:v>1951.9486137935758</c:v>
                </c:pt>
                <c:pt idx="6">
                  <c:v>7897.8103028804499</c:v>
                </c:pt>
                <c:pt idx="7">
                  <c:v>28086.417932269971</c:v>
                </c:pt>
                <c:pt idx="8">
                  <c:v>80044.745984969704</c:v>
                </c:pt>
                <c:pt idx="9">
                  <c:v>80330.475100976619</c:v>
                </c:pt>
                <c:pt idx="10">
                  <c:v>98924.308652909545</c:v>
                </c:pt>
                <c:pt idx="11">
                  <c:v>99120.622638415734</c:v>
                </c:pt>
                <c:pt idx="12">
                  <c:v>89765.174603889987</c:v>
                </c:pt>
                <c:pt idx="13">
                  <c:v>85452.728755731703</c:v>
                </c:pt>
                <c:pt idx="14">
                  <c:v>94162.179531316375</c:v>
                </c:pt>
                <c:pt idx="15">
                  <c:v>111688.95190424392</c:v>
                </c:pt>
                <c:pt idx="16">
                  <c:v>120373.05511284259</c:v>
                </c:pt>
                <c:pt idx="17">
                  <c:v>115816.09584402805</c:v>
                </c:pt>
                <c:pt idx="18">
                  <c:v>92295.622550605505</c:v>
                </c:pt>
                <c:pt idx="19">
                  <c:v>84489.455416113444</c:v>
                </c:pt>
                <c:pt idx="20">
                  <c:v>52313.775642724446</c:v>
                </c:pt>
                <c:pt idx="21">
                  <c:v>40496.496716368609</c:v>
                </c:pt>
                <c:pt idx="22">
                  <c:v>14652.227609371268</c:v>
                </c:pt>
                <c:pt idx="23">
                  <c:v>6921.6118163152305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9-470F-B6BE-71B345A8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9344623"/>
        <c:axId val="329354607"/>
      </c:barChart>
      <c:catAx>
        <c:axId val="32934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4607"/>
        <c:crosses val="autoZero"/>
        <c:auto val="1"/>
        <c:lblAlgn val="ctr"/>
        <c:lblOffset val="100"/>
        <c:noMultiLvlLbl val="0"/>
      </c:catAx>
      <c:valAx>
        <c:axId val="3293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in Eur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51685344311214"/>
          <c:y val="0.14877900262467195"/>
          <c:w val="0.29466156979340236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8130620996322"/>
          <c:y val="0.11130058129236911"/>
          <c:w val="0.78468285214348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 optimization technique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WeekDay_Dataset!$K$5:$K$28</c:f>
              <c:numCache>
                <c:formatCode>_([$€-2]\ * #,##0.00_);_([$€-2]\ * \(#,##0.00\);_([$€-2]\ * "-"??_);_(@_)</c:formatCode>
                <c:ptCount val="24"/>
                <c:pt idx="0">
                  <c:v>2274.565166172491</c:v>
                </c:pt>
                <c:pt idx="1">
                  <c:v>1944.62791786671</c:v>
                </c:pt>
                <c:pt idx="2">
                  <c:v>1600.5704251321031</c:v>
                </c:pt>
                <c:pt idx="3">
                  <c:v>1200.524462231554</c:v>
                </c:pt>
                <c:pt idx="4">
                  <c:v>1304.7482899050631</c:v>
                </c:pt>
                <c:pt idx="5">
                  <c:v>1951.9486137935758</c:v>
                </c:pt>
                <c:pt idx="6">
                  <c:v>7897.8103028804499</c:v>
                </c:pt>
                <c:pt idx="7">
                  <c:v>28086.417932269971</c:v>
                </c:pt>
                <c:pt idx="8">
                  <c:v>80044.745984969704</c:v>
                </c:pt>
                <c:pt idx="9">
                  <c:v>80330.475100976619</c:v>
                </c:pt>
                <c:pt idx="10">
                  <c:v>98924.308652909545</c:v>
                </c:pt>
                <c:pt idx="11">
                  <c:v>99120.622638415734</c:v>
                </c:pt>
                <c:pt idx="12">
                  <c:v>89765.174603889987</c:v>
                </c:pt>
                <c:pt idx="13">
                  <c:v>85452.728755731703</c:v>
                </c:pt>
                <c:pt idx="14">
                  <c:v>94162.179531316375</c:v>
                </c:pt>
                <c:pt idx="15">
                  <c:v>111688.95190424392</c:v>
                </c:pt>
                <c:pt idx="16">
                  <c:v>120373.05511284259</c:v>
                </c:pt>
                <c:pt idx="17">
                  <c:v>115816.09584402805</c:v>
                </c:pt>
                <c:pt idx="18">
                  <c:v>92295.622550605505</c:v>
                </c:pt>
                <c:pt idx="19">
                  <c:v>84489.455416113444</c:v>
                </c:pt>
                <c:pt idx="20">
                  <c:v>52313.775642724446</c:v>
                </c:pt>
                <c:pt idx="21">
                  <c:v>40496.496716368609</c:v>
                </c:pt>
                <c:pt idx="22">
                  <c:v>14652.227609371268</c:v>
                </c:pt>
                <c:pt idx="23">
                  <c:v>6921.6118163152305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A-4850-87A8-F128F6C8C1C9}"/>
            </c:ext>
          </c:extLst>
        </c:ser>
        <c:ser>
          <c:idx val="1"/>
          <c:order val="1"/>
          <c:tx>
            <c:v>Temporal Plan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'scenario 1'!$M$24:$M$47</c:f>
              <c:numCache>
                <c:formatCode>0.00</c:formatCode>
                <c:ptCount val="24"/>
                <c:pt idx="0">
                  <c:v>7671.4417105316197</c:v>
                </c:pt>
                <c:pt idx="1">
                  <c:v>6728.7389416541992</c:v>
                </c:pt>
                <c:pt idx="2">
                  <c:v>5746.23715052836</c:v>
                </c:pt>
                <c:pt idx="3">
                  <c:v>4479.7004653935164</c:v>
                </c:pt>
                <c:pt idx="4">
                  <c:v>4621.2544514171823</c:v>
                </c:pt>
                <c:pt idx="5">
                  <c:v>4174.681609173168</c:v>
                </c:pt>
                <c:pt idx="6">
                  <c:v>5456.2035289334999</c:v>
                </c:pt>
                <c:pt idx="7">
                  <c:v>21254.043363968005</c:v>
                </c:pt>
                <c:pt idx="8">
                  <c:v>62213.216813327752</c:v>
                </c:pt>
                <c:pt idx="9">
                  <c:v>61844.806135127008</c:v>
                </c:pt>
                <c:pt idx="10">
                  <c:v>82510.611313550078</c:v>
                </c:pt>
                <c:pt idx="11">
                  <c:v>82767.301988965657</c:v>
                </c:pt>
                <c:pt idx="12">
                  <c:v>73186.121016431993</c:v>
                </c:pt>
                <c:pt idx="13">
                  <c:v>68777.05475304382</c:v>
                </c:pt>
                <c:pt idx="14">
                  <c:v>76899.967035888199</c:v>
                </c:pt>
                <c:pt idx="15">
                  <c:v>93544.160450625626</c:v>
                </c:pt>
                <c:pt idx="16">
                  <c:v>47943.829619603799</c:v>
                </c:pt>
                <c:pt idx="17">
                  <c:v>51457.593658971047</c:v>
                </c:pt>
                <c:pt idx="18">
                  <c:v>41044.993775606999</c:v>
                </c:pt>
                <c:pt idx="19">
                  <c:v>-2628.3154730126798</c:v>
                </c:pt>
                <c:pt idx="20">
                  <c:v>-2751.3360834452401</c:v>
                </c:pt>
                <c:pt idx="21">
                  <c:v>-1890.2973024516004</c:v>
                </c:pt>
                <c:pt idx="22">
                  <c:v>2413.0463507405998</c:v>
                </c:pt>
                <c:pt idx="23">
                  <c:v>1268.1976550045999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A-4850-87A8-F128F6C8C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44623"/>
        <c:axId val="329354607"/>
      </c:lineChart>
      <c:catAx>
        <c:axId val="32934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4607"/>
        <c:crosses val="autoZero"/>
        <c:auto val="1"/>
        <c:lblAlgn val="ctr"/>
        <c:lblOffset val="100"/>
        <c:noMultiLvlLbl val="0"/>
      </c:catAx>
      <c:valAx>
        <c:axId val="3293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in Eur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406807611402881"/>
          <c:y val="0.16397883051503809"/>
          <c:w val="0.36375414635131603"/>
          <c:h val="0.10131612236994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8130620996322"/>
          <c:y val="0.11130058129236911"/>
          <c:w val="0.78468285214348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 optimization technique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WeekDay_Dataset!$K$5:$K$28</c:f>
              <c:numCache>
                <c:formatCode>_([$€-2]\ * #,##0.00_);_([$€-2]\ * \(#,##0.00\);_([$€-2]\ * "-"??_);_(@_)</c:formatCode>
                <c:ptCount val="24"/>
                <c:pt idx="0">
                  <c:v>2274.565166172491</c:v>
                </c:pt>
                <c:pt idx="1">
                  <c:v>1944.62791786671</c:v>
                </c:pt>
                <c:pt idx="2">
                  <c:v>1600.5704251321031</c:v>
                </c:pt>
                <c:pt idx="3">
                  <c:v>1200.524462231554</c:v>
                </c:pt>
                <c:pt idx="4">
                  <c:v>1304.7482899050631</c:v>
                </c:pt>
                <c:pt idx="5">
                  <c:v>1951.9486137935758</c:v>
                </c:pt>
                <c:pt idx="6">
                  <c:v>7897.8103028804499</c:v>
                </c:pt>
                <c:pt idx="7">
                  <c:v>28086.417932269971</c:v>
                </c:pt>
                <c:pt idx="8">
                  <c:v>80044.745984969704</c:v>
                </c:pt>
                <c:pt idx="9">
                  <c:v>80330.475100976619</c:v>
                </c:pt>
                <c:pt idx="10">
                  <c:v>98924.308652909545</c:v>
                </c:pt>
                <c:pt idx="11">
                  <c:v>99120.622638415734</c:v>
                </c:pt>
                <c:pt idx="12">
                  <c:v>89765.174603889987</c:v>
                </c:pt>
                <c:pt idx="13">
                  <c:v>85452.728755731703</c:v>
                </c:pt>
                <c:pt idx="14">
                  <c:v>94162.179531316375</c:v>
                </c:pt>
                <c:pt idx="15">
                  <c:v>111688.95190424392</c:v>
                </c:pt>
                <c:pt idx="16">
                  <c:v>120373.05511284259</c:v>
                </c:pt>
                <c:pt idx="17">
                  <c:v>115816.09584402805</c:v>
                </c:pt>
                <c:pt idx="18">
                  <c:v>92295.622550605505</c:v>
                </c:pt>
                <c:pt idx="19">
                  <c:v>84489.455416113444</c:v>
                </c:pt>
                <c:pt idx="20">
                  <c:v>52313.775642724446</c:v>
                </c:pt>
                <c:pt idx="21">
                  <c:v>40496.496716368609</c:v>
                </c:pt>
                <c:pt idx="22">
                  <c:v>14652.227609371268</c:v>
                </c:pt>
                <c:pt idx="23">
                  <c:v>6921.6118163152305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7-4A6D-81C2-72B8DCDB2E3D}"/>
            </c:ext>
          </c:extLst>
        </c:ser>
        <c:ser>
          <c:idx val="1"/>
          <c:order val="1"/>
          <c:tx>
            <c:v>Temporal Plan 2_Low Occupancy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'scenario 2'!$M$24:$M$47</c:f>
              <c:numCache>
                <c:formatCode>0.00</c:formatCode>
                <c:ptCount val="24"/>
                <c:pt idx="0">
                  <c:v>7671.4417105316197</c:v>
                </c:pt>
                <c:pt idx="1">
                  <c:v>6728.7389416541992</c:v>
                </c:pt>
                <c:pt idx="2">
                  <c:v>5746.23715052836</c:v>
                </c:pt>
                <c:pt idx="3">
                  <c:v>4479.7004653935164</c:v>
                </c:pt>
                <c:pt idx="4">
                  <c:v>4621.2544514171823</c:v>
                </c:pt>
                <c:pt idx="5">
                  <c:v>4174.681609173168</c:v>
                </c:pt>
                <c:pt idx="6">
                  <c:v>5456.2035289334999</c:v>
                </c:pt>
                <c:pt idx="7">
                  <c:v>21254.043363968005</c:v>
                </c:pt>
                <c:pt idx="8">
                  <c:v>62213.216813327752</c:v>
                </c:pt>
                <c:pt idx="9">
                  <c:v>56602.857506453794</c:v>
                </c:pt>
                <c:pt idx="10">
                  <c:v>45849.151865659645</c:v>
                </c:pt>
                <c:pt idx="11">
                  <c:v>46072.943076104129</c:v>
                </c:pt>
                <c:pt idx="12">
                  <c:v>35973.061644579997</c:v>
                </c:pt>
                <c:pt idx="13">
                  <c:v>33249.296724047577</c:v>
                </c:pt>
                <c:pt idx="14">
                  <c:v>38158.594166047231</c:v>
                </c:pt>
                <c:pt idx="15">
                  <c:v>52822.191122983102</c:v>
                </c:pt>
                <c:pt idx="16">
                  <c:v>45524.449967028639</c:v>
                </c:pt>
                <c:pt idx="17">
                  <c:v>48906.160772282259</c:v>
                </c:pt>
                <c:pt idx="18">
                  <c:v>36247.023508120503</c:v>
                </c:pt>
                <c:pt idx="19">
                  <c:v>-2628.3154730126798</c:v>
                </c:pt>
                <c:pt idx="20">
                  <c:v>-2751.3360834452401</c:v>
                </c:pt>
                <c:pt idx="21">
                  <c:v>-1890.2973024516004</c:v>
                </c:pt>
                <c:pt idx="22">
                  <c:v>2413.0463507405998</c:v>
                </c:pt>
                <c:pt idx="23">
                  <c:v>1268.1976550045999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7-4A6D-81C2-72B8DCDB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44623"/>
        <c:axId val="329354607"/>
      </c:lineChart>
      <c:catAx>
        <c:axId val="32934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4607"/>
        <c:crosses val="autoZero"/>
        <c:auto val="1"/>
        <c:lblAlgn val="ctr"/>
        <c:lblOffset val="100"/>
        <c:noMultiLvlLbl val="0"/>
      </c:catAx>
      <c:valAx>
        <c:axId val="3293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in Eur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462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998222444416671"/>
          <c:y val="0.1070274978494842"/>
          <c:w val="0.48368361362237128"/>
          <c:h val="0.14821716239539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8130620996322"/>
          <c:y val="0.11130058129236911"/>
          <c:w val="0.78468285214348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 optimization technique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WeekDay_Dataset!$K$5:$K$28</c:f>
              <c:numCache>
                <c:formatCode>_([$€-2]\ * #,##0.00_);_([$€-2]\ * \(#,##0.00\);_([$€-2]\ * "-"??_);_(@_)</c:formatCode>
                <c:ptCount val="24"/>
                <c:pt idx="0">
                  <c:v>2274.565166172491</c:v>
                </c:pt>
                <c:pt idx="1">
                  <c:v>1944.62791786671</c:v>
                </c:pt>
                <c:pt idx="2">
                  <c:v>1600.5704251321031</c:v>
                </c:pt>
                <c:pt idx="3">
                  <c:v>1200.524462231554</c:v>
                </c:pt>
                <c:pt idx="4">
                  <c:v>1304.7482899050631</c:v>
                </c:pt>
                <c:pt idx="5">
                  <c:v>1951.9486137935758</c:v>
                </c:pt>
                <c:pt idx="6">
                  <c:v>7897.8103028804499</c:v>
                </c:pt>
                <c:pt idx="7">
                  <c:v>28086.417932269971</c:v>
                </c:pt>
                <c:pt idx="8">
                  <c:v>80044.745984969704</c:v>
                </c:pt>
                <c:pt idx="9">
                  <c:v>80330.475100976619</c:v>
                </c:pt>
                <c:pt idx="10">
                  <c:v>98924.308652909545</c:v>
                </c:pt>
                <c:pt idx="11">
                  <c:v>99120.622638415734</c:v>
                </c:pt>
                <c:pt idx="12">
                  <c:v>89765.174603889987</c:v>
                </c:pt>
                <c:pt idx="13">
                  <c:v>85452.728755731703</c:v>
                </c:pt>
                <c:pt idx="14">
                  <c:v>94162.179531316375</c:v>
                </c:pt>
                <c:pt idx="15">
                  <c:v>111688.95190424392</c:v>
                </c:pt>
                <c:pt idx="16">
                  <c:v>120373.05511284259</c:v>
                </c:pt>
                <c:pt idx="17">
                  <c:v>115816.09584402805</c:v>
                </c:pt>
                <c:pt idx="18">
                  <c:v>92295.622550605505</c:v>
                </c:pt>
                <c:pt idx="19">
                  <c:v>84489.455416113444</c:v>
                </c:pt>
                <c:pt idx="20">
                  <c:v>52313.775642724446</c:v>
                </c:pt>
                <c:pt idx="21">
                  <c:v>40496.496716368609</c:v>
                </c:pt>
                <c:pt idx="22">
                  <c:v>14652.227609371268</c:v>
                </c:pt>
                <c:pt idx="23">
                  <c:v>6921.6118163152305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4-4FA8-A5E5-8C1FEBD722EE}"/>
            </c:ext>
          </c:extLst>
        </c:ser>
        <c:ser>
          <c:idx val="1"/>
          <c:order val="1"/>
          <c:tx>
            <c:v>Temporal Plan 3_Low Natural Light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'scenario 1'!$M$24:$M$47</c:f>
              <c:numCache>
                <c:formatCode>0.00</c:formatCode>
                <c:ptCount val="24"/>
                <c:pt idx="0">
                  <c:v>7671.4417105316197</c:v>
                </c:pt>
                <c:pt idx="1">
                  <c:v>6728.7389416541992</c:v>
                </c:pt>
                <c:pt idx="2">
                  <c:v>5746.23715052836</c:v>
                </c:pt>
                <c:pt idx="3">
                  <c:v>4479.7004653935164</c:v>
                </c:pt>
                <c:pt idx="4">
                  <c:v>4621.2544514171823</c:v>
                </c:pt>
                <c:pt idx="5">
                  <c:v>4174.681609173168</c:v>
                </c:pt>
                <c:pt idx="6">
                  <c:v>5456.2035289334999</c:v>
                </c:pt>
                <c:pt idx="7">
                  <c:v>21254.043363968005</c:v>
                </c:pt>
                <c:pt idx="8">
                  <c:v>62213.216813327752</c:v>
                </c:pt>
                <c:pt idx="9">
                  <c:v>61844.806135127008</c:v>
                </c:pt>
                <c:pt idx="10">
                  <c:v>82510.611313550078</c:v>
                </c:pt>
                <c:pt idx="11">
                  <c:v>82767.301988965657</c:v>
                </c:pt>
                <c:pt idx="12">
                  <c:v>73186.121016431993</c:v>
                </c:pt>
                <c:pt idx="13">
                  <c:v>68777.05475304382</c:v>
                </c:pt>
                <c:pt idx="14">
                  <c:v>76899.967035888199</c:v>
                </c:pt>
                <c:pt idx="15">
                  <c:v>93544.160450625626</c:v>
                </c:pt>
                <c:pt idx="16">
                  <c:v>47943.829619603799</c:v>
                </c:pt>
                <c:pt idx="17">
                  <c:v>51457.593658971047</c:v>
                </c:pt>
                <c:pt idx="18">
                  <c:v>41044.993775606999</c:v>
                </c:pt>
                <c:pt idx="19">
                  <c:v>-2628.3154730126798</c:v>
                </c:pt>
                <c:pt idx="20">
                  <c:v>-2751.3360834452401</c:v>
                </c:pt>
                <c:pt idx="21">
                  <c:v>-1890.2973024516004</c:v>
                </c:pt>
                <c:pt idx="22">
                  <c:v>2413.0463507405998</c:v>
                </c:pt>
                <c:pt idx="23">
                  <c:v>1268.1976550045999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4-4FA8-A5E5-8C1FEBD7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44623"/>
        <c:axId val="329354607"/>
      </c:lineChart>
      <c:catAx>
        <c:axId val="32934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4607"/>
        <c:crosses val="autoZero"/>
        <c:auto val="1"/>
        <c:lblAlgn val="ctr"/>
        <c:lblOffset val="100"/>
        <c:noMultiLvlLbl val="0"/>
      </c:catAx>
      <c:valAx>
        <c:axId val="3293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in Eur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00199748620548"/>
          <c:y val="0.12026298352050256"/>
          <c:w val="0.49468269761206352"/>
          <c:h val="0.10131612236994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8130620996322"/>
          <c:y val="0.11130058129236911"/>
          <c:w val="0.78468285214348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 optimization technique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WeekDay_Dataset!$K$5:$K$28</c:f>
              <c:numCache>
                <c:formatCode>_([$€-2]\ * #,##0.00_);_([$€-2]\ * \(#,##0.00\);_([$€-2]\ * "-"??_);_(@_)</c:formatCode>
                <c:ptCount val="24"/>
                <c:pt idx="0">
                  <c:v>2274.565166172491</c:v>
                </c:pt>
                <c:pt idx="1">
                  <c:v>1944.62791786671</c:v>
                </c:pt>
                <c:pt idx="2">
                  <c:v>1600.5704251321031</c:v>
                </c:pt>
                <c:pt idx="3">
                  <c:v>1200.524462231554</c:v>
                </c:pt>
                <c:pt idx="4">
                  <c:v>1304.7482899050631</c:v>
                </c:pt>
                <c:pt idx="5">
                  <c:v>1951.9486137935758</c:v>
                </c:pt>
                <c:pt idx="6">
                  <c:v>7897.8103028804499</c:v>
                </c:pt>
                <c:pt idx="7">
                  <c:v>28086.417932269971</c:v>
                </c:pt>
                <c:pt idx="8">
                  <c:v>80044.745984969704</c:v>
                </c:pt>
                <c:pt idx="9">
                  <c:v>80330.475100976619</c:v>
                </c:pt>
                <c:pt idx="10">
                  <c:v>98924.308652909545</c:v>
                </c:pt>
                <c:pt idx="11">
                  <c:v>99120.622638415734</c:v>
                </c:pt>
                <c:pt idx="12">
                  <c:v>89765.174603889987</c:v>
                </c:pt>
                <c:pt idx="13">
                  <c:v>85452.728755731703</c:v>
                </c:pt>
                <c:pt idx="14">
                  <c:v>94162.179531316375</c:v>
                </c:pt>
                <c:pt idx="15">
                  <c:v>111688.95190424392</c:v>
                </c:pt>
                <c:pt idx="16">
                  <c:v>120373.05511284259</c:v>
                </c:pt>
                <c:pt idx="17">
                  <c:v>115816.09584402805</c:v>
                </c:pt>
                <c:pt idx="18">
                  <c:v>92295.622550605505</c:v>
                </c:pt>
                <c:pt idx="19">
                  <c:v>84489.455416113444</c:v>
                </c:pt>
                <c:pt idx="20">
                  <c:v>52313.775642724446</c:v>
                </c:pt>
                <c:pt idx="21">
                  <c:v>40496.496716368609</c:v>
                </c:pt>
                <c:pt idx="22">
                  <c:v>14652.227609371268</c:v>
                </c:pt>
                <c:pt idx="23">
                  <c:v>6921.6118163152305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6-4659-80AA-37BB13F47D46}"/>
            </c:ext>
          </c:extLst>
        </c:ser>
        <c:ser>
          <c:idx val="1"/>
          <c:order val="1"/>
          <c:tx>
            <c:v>Temporal Plan 4_ Not In Temp Range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'scenario 1'!$M$24:$M$47</c:f>
              <c:numCache>
                <c:formatCode>0.00</c:formatCode>
                <c:ptCount val="24"/>
                <c:pt idx="0">
                  <c:v>7671.4417105316197</c:v>
                </c:pt>
                <c:pt idx="1">
                  <c:v>6728.7389416541992</c:v>
                </c:pt>
                <c:pt idx="2">
                  <c:v>5746.23715052836</c:v>
                </c:pt>
                <c:pt idx="3">
                  <c:v>4479.7004653935164</c:v>
                </c:pt>
                <c:pt idx="4">
                  <c:v>4621.2544514171823</c:v>
                </c:pt>
                <c:pt idx="5">
                  <c:v>4174.681609173168</c:v>
                </c:pt>
                <c:pt idx="6">
                  <c:v>5456.2035289334999</c:v>
                </c:pt>
                <c:pt idx="7">
                  <c:v>21254.043363968005</c:v>
                </c:pt>
                <c:pt idx="8">
                  <c:v>62213.216813327752</c:v>
                </c:pt>
                <c:pt idx="9">
                  <c:v>61844.806135127008</c:v>
                </c:pt>
                <c:pt idx="10">
                  <c:v>82510.611313550078</c:v>
                </c:pt>
                <c:pt idx="11">
                  <c:v>82767.301988965657</c:v>
                </c:pt>
                <c:pt idx="12">
                  <c:v>73186.121016431993</c:v>
                </c:pt>
                <c:pt idx="13">
                  <c:v>68777.05475304382</c:v>
                </c:pt>
                <c:pt idx="14">
                  <c:v>76899.967035888199</c:v>
                </c:pt>
                <c:pt idx="15">
                  <c:v>93544.160450625626</c:v>
                </c:pt>
                <c:pt idx="16">
                  <c:v>47943.829619603799</c:v>
                </c:pt>
                <c:pt idx="17">
                  <c:v>51457.593658971047</c:v>
                </c:pt>
                <c:pt idx="18">
                  <c:v>41044.993775606999</c:v>
                </c:pt>
                <c:pt idx="19">
                  <c:v>-2628.3154730126798</c:v>
                </c:pt>
                <c:pt idx="20">
                  <c:v>-2751.3360834452401</c:v>
                </c:pt>
                <c:pt idx="21">
                  <c:v>-1890.2973024516004</c:v>
                </c:pt>
                <c:pt idx="22">
                  <c:v>2413.0463507405998</c:v>
                </c:pt>
                <c:pt idx="23">
                  <c:v>1268.1976550045999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6-4659-80AA-37BB13F4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44623"/>
        <c:axId val="329354607"/>
      </c:lineChart>
      <c:catAx>
        <c:axId val="32934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4607"/>
        <c:crosses val="autoZero"/>
        <c:auto val="1"/>
        <c:lblAlgn val="ctr"/>
        <c:lblOffset val="100"/>
        <c:noMultiLvlLbl val="0"/>
      </c:catAx>
      <c:valAx>
        <c:axId val="3293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in Eur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702705610996487"/>
          <c:y val="8.6308873860593258E-2"/>
          <c:w val="0.51348669651587664"/>
          <c:h val="0.15956854481855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Weekend_Dataset!$K$5:$K$28</c:f>
              <c:numCache>
                <c:formatCode>_([$€-2]\ * #,##0.00_);_([$€-2]\ * \(#,##0.00\);_([$€-2]\ * "-"??_);_(@_)</c:formatCode>
                <c:ptCount val="24"/>
                <c:pt idx="0">
                  <c:v>1064.1095175526998</c:v>
                </c:pt>
                <c:pt idx="1">
                  <c:v>1003.4649027569999</c:v>
                </c:pt>
                <c:pt idx="2">
                  <c:v>710.14525175117001</c:v>
                </c:pt>
                <c:pt idx="3">
                  <c:v>604.50077565586002</c:v>
                </c:pt>
                <c:pt idx="4">
                  <c:v>601.49075236197007</c:v>
                </c:pt>
                <c:pt idx="5">
                  <c:v>655.55268195528004</c:v>
                </c:pt>
                <c:pt idx="6">
                  <c:v>827.42254822250004</c:v>
                </c:pt>
                <c:pt idx="7">
                  <c:v>1011.0628033412</c:v>
                </c:pt>
                <c:pt idx="8">
                  <c:v>1246.6692547580001</c:v>
                </c:pt>
                <c:pt idx="9">
                  <c:v>1197.15205322</c:v>
                </c:pt>
                <c:pt idx="10">
                  <c:v>1099.6906702050001</c:v>
                </c:pt>
                <c:pt idx="11">
                  <c:v>946.06315639620004</c:v>
                </c:pt>
                <c:pt idx="12">
                  <c:v>941.90522185000009</c:v>
                </c:pt>
                <c:pt idx="13">
                  <c:v>906.8468368696</c:v>
                </c:pt>
                <c:pt idx="14">
                  <c:v>988.87442923719993</c:v>
                </c:pt>
                <c:pt idx="15">
                  <c:v>1039.4291991555999</c:v>
                </c:pt>
                <c:pt idx="16">
                  <c:v>1152.9296139723999</c:v>
                </c:pt>
                <c:pt idx="17">
                  <c:v>1431.5554296542</c:v>
                </c:pt>
                <c:pt idx="18">
                  <c:v>1734.0780749849998</c:v>
                </c:pt>
                <c:pt idx="19">
                  <c:v>1880.3808783122001</c:v>
                </c:pt>
                <c:pt idx="20">
                  <c:v>2011.7598609245999</c:v>
                </c:pt>
                <c:pt idx="21">
                  <c:v>1857.9044959140001</c:v>
                </c:pt>
                <c:pt idx="22">
                  <c:v>1812.763917901</c:v>
                </c:pt>
                <c:pt idx="23">
                  <c:v>1143.2627583409999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C-4B42-B31D-7CEDA516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30591"/>
        <c:axId val="98429759"/>
      </c:lineChart>
      <c:catAx>
        <c:axId val="984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9759"/>
        <c:crosses val="autoZero"/>
        <c:auto val="1"/>
        <c:lblAlgn val="ctr"/>
        <c:lblOffset val="100"/>
        <c:noMultiLvlLbl val="0"/>
      </c:catAx>
      <c:valAx>
        <c:axId val="984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8130620996322"/>
          <c:y val="0.11130058129236911"/>
          <c:w val="0.78468285214348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 optimization technique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Weekend_Dataset!$K$5:$K$28</c:f>
              <c:numCache>
                <c:formatCode>_([$€-2]\ * #,##0.00_);_([$€-2]\ * \(#,##0.00\);_([$€-2]\ * "-"??_);_(@_)</c:formatCode>
                <c:ptCount val="24"/>
                <c:pt idx="0">
                  <c:v>1064.1095175526998</c:v>
                </c:pt>
                <c:pt idx="1">
                  <c:v>1003.4649027569999</c:v>
                </c:pt>
                <c:pt idx="2">
                  <c:v>710.14525175117001</c:v>
                </c:pt>
                <c:pt idx="3">
                  <c:v>604.50077565586002</c:v>
                </c:pt>
                <c:pt idx="4">
                  <c:v>601.49075236197007</c:v>
                </c:pt>
                <c:pt idx="5">
                  <c:v>655.55268195528004</c:v>
                </c:pt>
                <c:pt idx="6">
                  <c:v>827.42254822250004</c:v>
                </c:pt>
                <c:pt idx="7">
                  <c:v>1011.0628033412</c:v>
                </c:pt>
                <c:pt idx="8">
                  <c:v>1246.6692547580001</c:v>
                </c:pt>
                <c:pt idx="9">
                  <c:v>1197.15205322</c:v>
                </c:pt>
                <c:pt idx="10">
                  <c:v>1099.6906702050001</c:v>
                </c:pt>
                <c:pt idx="11">
                  <c:v>946.06315639620004</c:v>
                </c:pt>
                <c:pt idx="12">
                  <c:v>941.90522185000009</c:v>
                </c:pt>
                <c:pt idx="13">
                  <c:v>906.8468368696</c:v>
                </c:pt>
                <c:pt idx="14">
                  <c:v>988.87442923719993</c:v>
                </c:pt>
                <c:pt idx="15">
                  <c:v>1039.4291991555999</c:v>
                </c:pt>
                <c:pt idx="16">
                  <c:v>1152.9296139723999</c:v>
                </c:pt>
                <c:pt idx="17">
                  <c:v>1431.5554296542</c:v>
                </c:pt>
                <c:pt idx="18">
                  <c:v>1734.0780749849998</c:v>
                </c:pt>
                <c:pt idx="19">
                  <c:v>1880.3808783122001</c:v>
                </c:pt>
                <c:pt idx="20">
                  <c:v>2011.7598609245999</c:v>
                </c:pt>
                <c:pt idx="21">
                  <c:v>1857.9044959140001</c:v>
                </c:pt>
                <c:pt idx="22">
                  <c:v>1812.763917901</c:v>
                </c:pt>
                <c:pt idx="23">
                  <c:v>1143.2627583409999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A-45CE-8D30-4CE2D4C31405}"/>
            </c:ext>
          </c:extLst>
        </c:ser>
        <c:ser>
          <c:idx val="1"/>
          <c:order val="1"/>
          <c:tx>
            <c:v>Temporal Plan weekend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Weekend_scenario!$M$24:$M$47</c:f>
              <c:numCache>
                <c:formatCode>0.00</c:formatCode>
                <c:ptCount val="24"/>
                <c:pt idx="0">
                  <c:v>8032.7595175526994</c:v>
                </c:pt>
                <c:pt idx="1">
                  <c:v>7069.4649027570003</c:v>
                </c:pt>
                <c:pt idx="2">
                  <c:v>6030.2952517511703</c:v>
                </c:pt>
                <c:pt idx="3">
                  <c:v>4721.5007756558598</c:v>
                </c:pt>
                <c:pt idx="4">
                  <c:v>4861.8507523619701</c:v>
                </c:pt>
                <c:pt idx="5">
                  <c:v>4436.9026819552801</c:v>
                </c:pt>
                <c:pt idx="6">
                  <c:v>5203.6725482225002</c:v>
                </c:pt>
                <c:pt idx="7">
                  <c:v>1011.0628033412</c:v>
                </c:pt>
                <c:pt idx="8">
                  <c:v>1246.6692547580001</c:v>
                </c:pt>
                <c:pt idx="9">
                  <c:v>1197.15205322</c:v>
                </c:pt>
                <c:pt idx="10">
                  <c:v>1099.6906702050001</c:v>
                </c:pt>
                <c:pt idx="11">
                  <c:v>946.06315639620004</c:v>
                </c:pt>
                <c:pt idx="12">
                  <c:v>941.90522185000009</c:v>
                </c:pt>
                <c:pt idx="13">
                  <c:v>906.8468368696</c:v>
                </c:pt>
                <c:pt idx="14">
                  <c:v>988.87442923719993</c:v>
                </c:pt>
                <c:pt idx="15">
                  <c:v>1039.4291991555999</c:v>
                </c:pt>
                <c:pt idx="16">
                  <c:v>-7360.8403860275994</c:v>
                </c:pt>
                <c:pt idx="17">
                  <c:v>-7300.5245703458004</c:v>
                </c:pt>
                <c:pt idx="18">
                  <c:v>-6604.4219250149999</c:v>
                </c:pt>
                <c:pt idx="19">
                  <c:v>-4869.6591216877996</c:v>
                </c:pt>
                <c:pt idx="20">
                  <c:v>-5236.0001390753996</c:v>
                </c:pt>
                <c:pt idx="21">
                  <c:v>-4073.0955040860003</c:v>
                </c:pt>
                <c:pt idx="22">
                  <c:v>0</c:v>
                </c:pt>
                <c:pt idx="23">
                  <c:v>1143.2627583409999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A-45CE-8D30-4CE2D4C3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44623"/>
        <c:axId val="329354607"/>
      </c:lineChart>
      <c:catAx>
        <c:axId val="32934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4607"/>
        <c:crosses val="autoZero"/>
        <c:auto val="1"/>
        <c:lblAlgn val="ctr"/>
        <c:lblOffset val="100"/>
        <c:noMultiLvlLbl val="0"/>
      </c:catAx>
      <c:valAx>
        <c:axId val="3293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in Eur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3403780093018"/>
          <c:y val="0.11483884647569205"/>
          <c:w val="0.36375414635131603"/>
          <c:h val="0.10131612236994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Hour - 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837530390762"/>
          <c:y val="7.3939263097902247E-2"/>
          <c:w val="0.87555228195818857"/>
          <c:h val="0.88434362517294796"/>
        </c:manualLayout>
      </c:layout>
      <c:lineChart>
        <c:grouping val="standard"/>
        <c:varyColors val="0"/>
        <c:ser>
          <c:idx val="0"/>
          <c:order val="0"/>
          <c:tx>
            <c:v>No optimization technique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WeekDay_Dataset!$K$5:$K$28</c:f>
              <c:numCache>
                <c:formatCode>_([$€-2]\ * #,##0.00_);_([$€-2]\ * \(#,##0.00\);_([$€-2]\ * "-"??_);_(@_)</c:formatCode>
                <c:ptCount val="24"/>
                <c:pt idx="0">
                  <c:v>2274.565166172491</c:v>
                </c:pt>
                <c:pt idx="1">
                  <c:v>1944.62791786671</c:v>
                </c:pt>
                <c:pt idx="2">
                  <c:v>1600.5704251321031</c:v>
                </c:pt>
                <c:pt idx="3">
                  <c:v>1200.524462231554</c:v>
                </c:pt>
                <c:pt idx="4">
                  <c:v>1304.7482899050631</c:v>
                </c:pt>
                <c:pt idx="5">
                  <c:v>1951.9486137935758</c:v>
                </c:pt>
                <c:pt idx="6">
                  <c:v>7897.8103028804499</c:v>
                </c:pt>
                <c:pt idx="7">
                  <c:v>28086.417932269971</c:v>
                </c:pt>
                <c:pt idx="8">
                  <c:v>80044.745984969704</c:v>
                </c:pt>
                <c:pt idx="9">
                  <c:v>80330.475100976619</c:v>
                </c:pt>
                <c:pt idx="10">
                  <c:v>98924.308652909545</c:v>
                </c:pt>
                <c:pt idx="11">
                  <c:v>99120.622638415734</c:v>
                </c:pt>
                <c:pt idx="12">
                  <c:v>89765.174603889987</c:v>
                </c:pt>
                <c:pt idx="13">
                  <c:v>85452.728755731703</c:v>
                </c:pt>
                <c:pt idx="14">
                  <c:v>94162.179531316375</c:v>
                </c:pt>
                <c:pt idx="15">
                  <c:v>111688.95190424392</c:v>
                </c:pt>
                <c:pt idx="16">
                  <c:v>120373.05511284259</c:v>
                </c:pt>
                <c:pt idx="17">
                  <c:v>115816.09584402805</c:v>
                </c:pt>
                <c:pt idx="18">
                  <c:v>92295.622550605505</c:v>
                </c:pt>
                <c:pt idx="19">
                  <c:v>84489.455416113444</c:v>
                </c:pt>
                <c:pt idx="20">
                  <c:v>52313.775642724446</c:v>
                </c:pt>
                <c:pt idx="21">
                  <c:v>40496.496716368609</c:v>
                </c:pt>
                <c:pt idx="22">
                  <c:v>14652.227609371268</c:v>
                </c:pt>
                <c:pt idx="23">
                  <c:v>6921.6118163152305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7-49F7-BB4F-5663C0E0D432}"/>
            </c:ext>
          </c:extLst>
        </c:ser>
        <c:ser>
          <c:idx val="2"/>
          <c:order val="1"/>
          <c:tx>
            <c:v>Temporal plan 1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'scenario 1'!$M$24:$M$47</c:f>
              <c:numCache>
                <c:formatCode>0.00</c:formatCode>
                <c:ptCount val="24"/>
                <c:pt idx="0">
                  <c:v>7671.4417105316197</c:v>
                </c:pt>
                <c:pt idx="1">
                  <c:v>6728.7389416541992</c:v>
                </c:pt>
                <c:pt idx="2">
                  <c:v>5746.23715052836</c:v>
                </c:pt>
                <c:pt idx="3">
                  <c:v>4479.7004653935164</c:v>
                </c:pt>
                <c:pt idx="4">
                  <c:v>4621.2544514171823</c:v>
                </c:pt>
                <c:pt idx="5">
                  <c:v>4174.681609173168</c:v>
                </c:pt>
                <c:pt idx="6">
                  <c:v>5456.2035289334999</c:v>
                </c:pt>
                <c:pt idx="7">
                  <c:v>21254.043363968005</c:v>
                </c:pt>
                <c:pt idx="8">
                  <c:v>62213.216813327752</c:v>
                </c:pt>
                <c:pt idx="9">
                  <c:v>61844.806135127008</c:v>
                </c:pt>
                <c:pt idx="10">
                  <c:v>82510.611313550078</c:v>
                </c:pt>
                <c:pt idx="11">
                  <c:v>82767.301988965657</c:v>
                </c:pt>
                <c:pt idx="12">
                  <c:v>73186.121016431993</c:v>
                </c:pt>
                <c:pt idx="13">
                  <c:v>68777.05475304382</c:v>
                </c:pt>
                <c:pt idx="14">
                  <c:v>76899.967035888199</c:v>
                </c:pt>
                <c:pt idx="15">
                  <c:v>93544.160450625626</c:v>
                </c:pt>
                <c:pt idx="16">
                  <c:v>47943.829619603799</c:v>
                </c:pt>
                <c:pt idx="17">
                  <c:v>51457.593658971047</c:v>
                </c:pt>
                <c:pt idx="18">
                  <c:v>41044.993775606999</c:v>
                </c:pt>
                <c:pt idx="19">
                  <c:v>-2628.3154730126798</c:v>
                </c:pt>
                <c:pt idx="20">
                  <c:v>-2751.3360834452401</c:v>
                </c:pt>
                <c:pt idx="21">
                  <c:v>-1890.2973024516004</c:v>
                </c:pt>
                <c:pt idx="22">
                  <c:v>2413.0463507405998</c:v>
                </c:pt>
                <c:pt idx="23">
                  <c:v>1268.1976550045999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77-49F7-BB4F-5663C0E0D432}"/>
            </c:ext>
          </c:extLst>
        </c:ser>
        <c:ser>
          <c:idx val="3"/>
          <c:order val="2"/>
          <c:tx>
            <c:v>Tmporal Plan 2_Low Occupancy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'scenario 2'!$M$24:$M$47</c:f>
              <c:numCache>
                <c:formatCode>0.00</c:formatCode>
                <c:ptCount val="24"/>
                <c:pt idx="0">
                  <c:v>7671.4417105316197</c:v>
                </c:pt>
                <c:pt idx="1">
                  <c:v>6728.7389416541992</c:v>
                </c:pt>
                <c:pt idx="2">
                  <c:v>5746.23715052836</c:v>
                </c:pt>
                <c:pt idx="3">
                  <c:v>4479.7004653935164</c:v>
                </c:pt>
                <c:pt idx="4">
                  <c:v>4621.2544514171823</c:v>
                </c:pt>
                <c:pt idx="5">
                  <c:v>4174.681609173168</c:v>
                </c:pt>
                <c:pt idx="6">
                  <c:v>5456.2035289334999</c:v>
                </c:pt>
                <c:pt idx="7">
                  <c:v>21254.043363968005</c:v>
                </c:pt>
                <c:pt idx="8">
                  <c:v>62213.216813327752</c:v>
                </c:pt>
                <c:pt idx="9">
                  <c:v>56602.857506453794</c:v>
                </c:pt>
                <c:pt idx="10">
                  <c:v>45849.151865659645</c:v>
                </c:pt>
                <c:pt idx="11">
                  <c:v>46072.943076104129</c:v>
                </c:pt>
                <c:pt idx="12">
                  <c:v>35973.061644579997</c:v>
                </c:pt>
                <c:pt idx="13">
                  <c:v>33249.296724047577</c:v>
                </c:pt>
                <c:pt idx="14">
                  <c:v>38158.594166047231</c:v>
                </c:pt>
                <c:pt idx="15">
                  <c:v>52822.191122983102</c:v>
                </c:pt>
                <c:pt idx="16">
                  <c:v>45524.449967028639</c:v>
                </c:pt>
                <c:pt idx="17">
                  <c:v>48906.160772282259</c:v>
                </c:pt>
                <c:pt idx="18">
                  <c:v>36247.023508120503</c:v>
                </c:pt>
                <c:pt idx="19">
                  <c:v>-2628.3154730126798</c:v>
                </c:pt>
                <c:pt idx="20">
                  <c:v>-2751.3360834452401</c:v>
                </c:pt>
                <c:pt idx="21">
                  <c:v>-1890.2973024516004</c:v>
                </c:pt>
                <c:pt idx="22">
                  <c:v>2413.0463507405998</c:v>
                </c:pt>
                <c:pt idx="23">
                  <c:v>1268.1976550045999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77-49F7-BB4F-5663C0E0D432}"/>
            </c:ext>
          </c:extLst>
        </c:ser>
        <c:ser>
          <c:idx val="4"/>
          <c:order val="3"/>
          <c:tx>
            <c:v>Temporal Plan 3_Low Natural Light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'scenario 3'!$M$24:$M$47</c:f>
              <c:numCache>
                <c:formatCode>0.00</c:formatCode>
                <c:ptCount val="24"/>
                <c:pt idx="0">
                  <c:v>7671.4417105316197</c:v>
                </c:pt>
                <c:pt idx="1">
                  <c:v>6728.7389416541992</c:v>
                </c:pt>
                <c:pt idx="2">
                  <c:v>5746.23715052836</c:v>
                </c:pt>
                <c:pt idx="3">
                  <c:v>4479.7004653935164</c:v>
                </c:pt>
                <c:pt idx="4">
                  <c:v>4621.2544514171823</c:v>
                </c:pt>
                <c:pt idx="5">
                  <c:v>4174.681609173168</c:v>
                </c:pt>
                <c:pt idx="6">
                  <c:v>5456.2035289334999</c:v>
                </c:pt>
                <c:pt idx="7">
                  <c:v>22188.316625471547</c:v>
                </c:pt>
                <c:pt idx="8">
                  <c:v>63643.257977968853</c:v>
                </c:pt>
                <c:pt idx="9">
                  <c:v>63224.916559076002</c:v>
                </c:pt>
                <c:pt idx="10">
                  <c:v>83614.862115142329</c:v>
                </c:pt>
                <c:pt idx="11">
                  <c:v>83754.21190934394</c:v>
                </c:pt>
                <c:pt idx="12">
                  <c:v>74179.228366264491</c:v>
                </c:pt>
                <c:pt idx="13">
                  <c:v>69728.546829635132</c:v>
                </c:pt>
                <c:pt idx="14">
                  <c:v>77937.525029044933</c:v>
                </c:pt>
                <c:pt idx="15">
                  <c:v>94634.76209024564</c:v>
                </c:pt>
                <c:pt idx="16">
                  <c:v>47728.773650486008</c:v>
                </c:pt>
                <c:pt idx="17">
                  <c:v>51230.799624598709</c:v>
                </c:pt>
                <c:pt idx="18">
                  <c:v>40618.5075296082</c:v>
                </c:pt>
                <c:pt idx="19">
                  <c:v>-2628.3154730126798</c:v>
                </c:pt>
                <c:pt idx="20">
                  <c:v>-2751.3360834452401</c:v>
                </c:pt>
                <c:pt idx="21">
                  <c:v>-1890.2973024516004</c:v>
                </c:pt>
                <c:pt idx="22">
                  <c:v>2413.0463507405998</c:v>
                </c:pt>
                <c:pt idx="23">
                  <c:v>1268.1976550045999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77-49F7-BB4F-5663C0E0D432}"/>
            </c:ext>
          </c:extLst>
        </c:ser>
        <c:ser>
          <c:idx val="1"/>
          <c:order val="4"/>
          <c:tx>
            <c:v>Temporal Plan 4_ Not In Temp Range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'scenario 4'!$M$24:$M$47</c:f>
              <c:numCache>
                <c:formatCode>0.00</c:formatCode>
                <c:ptCount val="24"/>
                <c:pt idx="0">
                  <c:v>7671.4417105316197</c:v>
                </c:pt>
                <c:pt idx="1">
                  <c:v>6728.7389416541992</c:v>
                </c:pt>
                <c:pt idx="2">
                  <c:v>5746.23715052836</c:v>
                </c:pt>
                <c:pt idx="3">
                  <c:v>4479.7004653935164</c:v>
                </c:pt>
                <c:pt idx="4">
                  <c:v>4621.2544514171823</c:v>
                </c:pt>
                <c:pt idx="5">
                  <c:v>4174.681609173168</c:v>
                </c:pt>
                <c:pt idx="6">
                  <c:v>5456.2035289334999</c:v>
                </c:pt>
                <c:pt idx="7">
                  <c:v>24439.164867996918</c:v>
                </c:pt>
                <c:pt idx="8">
                  <c:v>73041.613176169718</c:v>
                </c:pt>
                <c:pt idx="9">
                  <c:v>72328.703392473413</c:v>
                </c:pt>
                <c:pt idx="10">
                  <c:v>95165.794925260037</c:v>
                </c:pt>
                <c:pt idx="11">
                  <c:v>92938.099798869502</c:v>
                </c:pt>
                <c:pt idx="12">
                  <c:v>83503.151519553998</c:v>
                </c:pt>
                <c:pt idx="13">
                  <c:v>78625.781784632811</c:v>
                </c:pt>
                <c:pt idx="14">
                  <c:v>87639.547223094574</c:v>
                </c:pt>
                <c:pt idx="15">
                  <c:v>104832.78608721557</c:v>
                </c:pt>
                <c:pt idx="16">
                  <c:v>47943.829619603799</c:v>
                </c:pt>
                <c:pt idx="17">
                  <c:v>51457.593658971047</c:v>
                </c:pt>
                <c:pt idx="18">
                  <c:v>41044.993775606999</c:v>
                </c:pt>
                <c:pt idx="19">
                  <c:v>-2628.3154730126798</c:v>
                </c:pt>
                <c:pt idx="20">
                  <c:v>-2751.3360834452401</c:v>
                </c:pt>
                <c:pt idx="21">
                  <c:v>-1890.2973024516004</c:v>
                </c:pt>
                <c:pt idx="22">
                  <c:v>2413.0463507405998</c:v>
                </c:pt>
                <c:pt idx="23">
                  <c:v>1268.1976550045999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7-49F7-BB4F-5663C0E0D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44623"/>
        <c:axId val="329354607"/>
      </c:lineChart>
      <c:catAx>
        <c:axId val="32934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4607"/>
        <c:crosses val="autoZero"/>
        <c:auto val="1"/>
        <c:lblAlgn val="ctr"/>
        <c:lblOffset val="100"/>
        <c:noMultiLvlLbl val="0"/>
      </c:catAx>
      <c:valAx>
        <c:axId val="3293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in Eur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1378116249814069E-4"/>
              <c:y val="0.44417792644654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8236168203014456E-2"/>
          <c:y val="0.12311834884275828"/>
          <c:w val="0.37985960294927962"/>
          <c:h val="0.16311978902398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2343150</xdr:colOff>
      <xdr:row>2</xdr:row>
      <xdr:rowOff>66674</xdr:rowOff>
    </xdr:from>
    <xdr:to>
      <xdr:col>0</xdr:col>
      <xdr:colOff>15439108</xdr:colOff>
      <xdr:row>35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E9F0C3-0A41-E891-89C1-C47D90CDE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52449"/>
          <a:ext cx="13095958" cy="63912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0</xdr:row>
      <xdr:rowOff>0</xdr:rowOff>
    </xdr:from>
    <xdr:to>
      <xdr:col>17</xdr:col>
      <xdr:colOff>590549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D409B-AFEB-427A-8441-28FF827B2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14</xdr:row>
      <xdr:rowOff>190500</xdr:rowOff>
    </xdr:from>
    <xdr:to>
      <xdr:col>17</xdr:col>
      <xdr:colOff>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3D655-756A-49A6-A915-B07B5A444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19050</xdr:rowOff>
    </xdr:from>
    <xdr:to>
      <xdr:col>3</xdr:col>
      <xdr:colOff>19050</xdr:colOff>
      <xdr:row>43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3E319-ACB1-06FD-86B7-E1136461D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365699</xdr:colOff>
      <xdr:row>1</xdr:row>
      <xdr:rowOff>15879</xdr:rowOff>
    </xdr:from>
    <xdr:to>
      <xdr:col>15</xdr:col>
      <xdr:colOff>574549</xdr:colOff>
      <xdr:row>21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AFA085-4D14-243F-8C9D-CED02B109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4274" y="215904"/>
          <a:ext cx="7524050" cy="3975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9</xdr:row>
      <xdr:rowOff>0</xdr:rowOff>
    </xdr:from>
    <xdr:to>
      <xdr:col>15</xdr:col>
      <xdr:colOff>685800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FA328-0FFB-5F50-BB34-F8D7A076D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0</xdr:row>
      <xdr:rowOff>47624</xdr:rowOff>
    </xdr:from>
    <xdr:to>
      <xdr:col>12</xdr:col>
      <xdr:colOff>923924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3325E-9BE2-4323-9E84-5F0B747E1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9525</xdr:colOff>
      <xdr:row>0</xdr:row>
      <xdr:rowOff>47626</xdr:rowOff>
    </xdr:from>
    <xdr:to>
      <xdr:col>8</xdr:col>
      <xdr:colOff>301730</xdr:colOff>
      <xdr:row>20</xdr:row>
      <xdr:rowOff>114301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57F94F-165E-3563-4744-A56126532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4375" y="47626"/>
          <a:ext cx="4997555" cy="3886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114299</xdr:rowOff>
    </xdr:from>
    <xdr:to>
      <xdr:col>12</xdr:col>
      <xdr:colOff>895349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42C8B-6A73-4579-ADF5-65D49063C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38100</xdr:colOff>
      <xdr:row>0</xdr:row>
      <xdr:rowOff>47626</xdr:rowOff>
    </xdr:from>
    <xdr:to>
      <xdr:col>8</xdr:col>
      <xdr:colOff>328271</xdr:colOff>
      <xdr:row>20</xdr:row>
      <xdr:rowOff>114301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1519F85-6D78-0DE5-4897-3BE0B50C2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47626"/>
          <a:ext cx="4995521" cy="3886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0</xdr:row>
      <xdr:rowOff>85725</xdr:rowOff>
    </xdr:from>
    <xdr:to>
      <xdr:col>12</xdr:col>
      <xdr:colOff>904874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56F5C-D931-4571-B0F3-E71BC361C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28576</xdr:colOff>
      <xdr:row>0</xdr:row>
      <xdr:rowOff>28575</xdr:rowOff>
    </xdr:from>
    <xdr:to>
      <xdr:col>8</xdr:col>
      <xdr:colOff>419100</xdr:colOff>
      <xdr:row>20</xdr:row>
      <xdr:rowOff>123377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A7D942-A3C4-1ED9-D55E-1DEA62444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6" y="28575"/>
          <a:ext cx="5095874" cy="391432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0</xdr:row>
      <xdr:rowOff>47624</xdr:rowOff>
    </xdr:from>
    <xdr:to>
      <xdr:col>12</xdr:col>
      <xdr:colOff>904874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A64B5-EA48-4F99-9EAC-63FF74CF7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9525</xdr:colOff>
      <xdr:row>0</xdr:row>
      <xdr:rowOff>47626</xdr:rowOff>
    </xdr:from>
    <xdr:to>
      <xdr:col>8</xdr:col>
      <xdr:colOff>342900</xdr:colOff>
      <xdr:row>20</xdr:row>
      <xdr:rowOff>154287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96F313-ED61-DFF8-4A98-5ADB5F9FE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47626"/>
          <a:ext cx="5038725" cy="39261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9525</xdr:rowOff>
    </xdr:from>
    <xdr:to>
      <xdr:col>15</xdr:col>
      <xdr:colOff>923925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B07BB-61C7-E63E-8E3D-2A2106B0F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952499</xdr:colOff>
      <xdr:row>0</xdr:row>
      <xdr:rowOff>38099</xdr:rowOff>
    </xdr:from>
    <xdr:to>
      <xdr:col>13</xdr:col>
      <xdr:colOff>304799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8580C-BFDC-477E-B5C8-FCA55F921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781050</xdr:colOff>
      <xdr:row>0</xdr:row>
      <xdr:rowOff>0</xdr:rowOff>
    </xdr:from>
    <xdr:to>
      <xdr:col>8</xdr:col>
      <xdr:colOff>914400</xdr:colOff>
      <xdr:row>20</xdr:row>
      <xdr:rowOff>188875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19F2CE-8893-0B7E-4658-C5B6772A3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0"/>
          <a:ext cx="5657850" cy="400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0A71-2A77-414E-ADB2-72E7FBD2A3B2}">
  <dimension ref="A2:A39"/>
  <sheetViews>
    <sheetView workbookViewId="0">
      <selection activeCell="A3" sqref="A3:A38"/>
    </sheetView>
  </sheetViews>
  <sheetFormatPr defaultRowHeight="15" x14ac:dyDescent="0.25"/>
  <cols>
    <col min="1" max="1" width="255.5703125" customWidth="1"/>
  </cols>
  <sheetData>
    <row r="2" spans="1:1" ht="23.25" customHeight="1" x14ac:dyDescent="0.35">
      <c r="A2" s="84" t="s">
        <v>116</v>
      </c>
    </row>
    <row r="3" spans="1:1" x14ac:dyDescent="0.25">
      <c r="A3" s="85"/>
    </row>
    <row r="4" spans="1:1" x14ac:dyDescent="0.25">
      <c r="A4" s="85"/>
    </row>
    <row r="5" spans="1:1" x14ac:dyDescent="0.25">
      <c r="A5" s="85"/>
    </row>
    <row r="6" spans="1:1" x14ac:dyDescent="0.25">
      <c r="A6" s="85"/>
    </row>
    <row r="7" spans="1:1" x14ac:dyDescent="0.25">
      <c r="A7" s="85"/>
    </row>
    <row r="8" spans="1:1" x14ac:dyDescent="0.25">
      <c r="A8" s="85"/>
    </row>
    <row r="9" spans="1:1" x14ac:dyDescent="0.25">
      <c r="A9" s="85"/>
    </row>
    <row r="10" spans="1:1" x14ac:dyDescent="0.25">
      <c r="A10" s="85"/>
    </row>
    <row r="11" spans="1:1" x14ac:dyDescent="0.25">
      <c r="A11" s="85"/>
    </row>
    <row r="12" spans="1:1" x14ac:dyDescent="0.25">
      <c r="A12" s="85"/>
    </row>
    <row r="13" spans="1:1" x14ac:dyDescent="0.25">
      <c r="A13" s="85"/>
    </row>
    <row r="14" spans="1:1" x14ac:dyDescent="0.25">
      <c r="A14" s="85"/>
    </row>
    <row r="15" spans="1:1" x14ac:dyDescent="0.25">
      <c r="A15" s="85"/>
    </row>
    <row r="16" spans="1:1" x14ac:dyDescent="0.25">
      <c r="A16" s="85"/>
    </row>
    <row r="17" spans="1:1" x14ac:dyDescent="0.25">
      <c r="A17" s="85"/>
    </row>
    <row r="18" spans="1:1" x14ac:dyDescent="0.25">
      <c r="A18" s="85"/>
    </row>
    <row r="19" spans="1:1" x14ac:dyDescent="0.25">
      <c r="A19" s="85"/>
    </row>
    <row r="20" spans="1:1" x14ac:dyDescent="0.25">
      <c r="A20" s="85"/>
    </row>
    <row r="21" spans="1:1" x14ac:dyDescent="0.25">
      <c r="A21" s="85"/>
    </row>
    <row r="22" spans="1:1" x14ac:dyDescent="0.25">
      <c r="A22" s="85"/>
    </row>
    <row r="23" spans="1:1" x14ac:dyDescent="0.25">
      <c r="A23" s="85"/>
    </row>
    <row r="24" spans="1:1" x14ac:dyDescent="0.25">
      <c r="A24" s="85"/>
    </row>
    <row r="25" spans="1:1" x14ac:dyDescent="0.25">
      <c r="A25" s="85"/>
    </row>
    <row r="26" spans="1:1" x14ac:dyDescent="0.25">
      <c r="A26" s="85"/>
    </row>
    <row r="27" spans="1:1" x14ac:dyDescent="0.25">
      <c r="A27" s="85"/>
    </row>
    <row r="28" spans="1:1" x14ac:dyDescent="0.25">
      <c r="A28" s="85"/>
    </row>
    <row r="29" spans="1:1" x14ac:dyDescent="0.25">
      <c r="A29" s="85"/>
    </row>
    <row r="30" spans="1:1" x14ac:dyDescent="0.25">
      <c r="A30" s="85"/>
    </row>
    <row r="31" spans="1:1" x14ac:dyDescent="0.25">
      <c r="A31" s="85"/>
    </row>
    <row r="32" spans="1:1" x14ac:dyDescent="0.25">
      <c r="A32" s="85"/>
    </row>
    <row r="33" spans="1:1" x14ac:dyDescent="0.25">
      <c r="A33" s="85"/>
    </row>
    <row r="34" spans="1:1" x14ac:dyDescent="0.25">
      <c r="A34" s="85"/>
    </row>
    <row r="35" spans="1:1" x14ac:dyDescent="0.25">
      <c r="A35" s="85"/>
    </row>
    <row r="36" spans="1:1" x14ac:dyDescent="0.25">
      <c r="A36" s="85"/>
    </row>
    <row r="37" spans="1:1" x14ac:dyDescent="0.25">
      <c r="A37" s="85"/>
    </row>
    <row r="38" spans="1:1" x14ac:dyDescent="0.25">
      <c r="A38" s="85"/>
    </row>
    <row r="39" spans="1:1" x14ac:dyDescent="0.25">
      <c r="A39" s="83"/>
    </row>
  </sheetData>
  <mergeCells count="1">
    <mergeCell ref="A3:A3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3CDF-D440-4050-BE87-64F722B2517C}">
  <dimension ref="A1:F26"/>
  <sheetViews>
    <sheetView workbookViewId="0">
      <selection activeCell="B24" sqref="B24"/>
    </sheetView>
  </sheetViews>
  <sheetFormatPr defaultRowHeight="15" x14ac:dyDescent="0.25"/>
  <cols>
    <col min="1" max="1" width="16.5703125" customWidth="1"/>
    <col min="2" max="2" width="24.28515625" customWidth="1"/>
    <col min="3" max="4" width="19.5703125" customWidth="1"/>
    <col min="5" max="5" width="16.7109375" customWidth="1"/>
    <col min="6" max="6" width="17.42578125" customWidth="1"/>
    <col min="19" max="19" width="43.5703125" customWidth="1"/>
  </cols>
  <sheetData>
    <row r="1" spans="1:6" ht="15.75" x14ac:dyDescent="0.25">
      <c r="A1" s="76" t="s">
        <v>87</v>
      </c>
      <c r="B1" s="77"/>
      <c r="C1" s="77"/>
      <c r="D1" s="77"/>
      <c r="E1" s="77"/>
      <c r="F1" s="78"/>
    </row>
    <row r="2" spans="1:6" ht="60" x14ac:dyDescent="0.25">
      <c r="A2" s="17" t="s">
        <v>80</v>
      </c>
      <c r="B2" s="17" t="s">
        <v>50</v>
      </c>
      <c r="C2" s="23" t="s">
        <v>98</v>
      </c>
      <c r="D2" s="23" t="s">
        <v>97</v>
      </c>
      <c r="E2" s="23" t="s">
        <v>89</v>
      </c>
      <c r="F2" s="23" t="s">
        <v>113</v>
      </c>
    </row>
    <row r="3" spans="1:6" ht="45" x14ac:dyDescent="0.25">
      <c r="A3" s="17" t="s">
        <v>82</v>
      </c>
      <c r="B3" s="42" t="s">
        <v>101</v>
      </c>
      <c r="C3" s="14">
        <v>798755</v>
      </c>
      <c r="D3" s="64">
        <v>1313108.7409910746</v>
      </c>
      <c r="E3" s="64">
        <f>D3-C3</f>
        <v>514353.74099107459</v>
      </c>
      <c r="F3" s="66">
        <f>(E3/D3)</f>
        <v>0.39170688986721985</v>
      </c>
    </row>
    <row r="4" spans="1:6" ht="30" x14ac:dyDescent="0.25">
      <c r="A4" s="17" t="s">
        <v>83</v>
      </c>
      <c r="B4" s="42" t="s">
        <v>99</v>
      </c>
      <c r="C4" s="64">
        <v>558162.5435350698</v>
      </c>
      <c r="D4" s="64">
        <v>1313108.7409910746</v>
      </c>
      <c r="E4" s="64">
        <f t="shared" ref="E4:E6" si="0">D4-C4</f>
        <v>754946.1974560048</v>
      </c>
      <c r="F4" s="66">
        <f>(E4/D4)</f>
        <v>0.57493044855234599</v>
      </c>
    </row>
    <row r="5" spans="1:6" ht="30" x14ac:dyDescent="0.25">
      <c r="A5" s="17" t="s">
        <v>84</v>
      </c>
      <c r="B5" s="42" t="s">
        <v>115</v>
      </c>
      <c r="C5" s="64">
        <v>807773.26131135307</v>
      </c>
      <c r="D5" s="64">
        <v>1313108.7409910746</v>
      </c>
      <c r="E5" s="64">
        <f t="shared" si="0"/>
        <v>505335.47967972152</v>
      </c>
      <c r="F5" s="66">
        <f>(E5/D5)</f>
        <v>0.38483901896678974</v>
      </c>
    </row>
    <row r="6" spans="1:6" ht="45" customHeight="1" x14ac:dyDescent="0.25">
      <c r="A6" s="17" t="s">
        <v>85</v>
      </c>
      <c r="B6" s="42" t="s">
        <v>100</v>
      </c>
      <c r="C6" s="64">
        <v>888250.61283391563</v>
      </c>
      <c r="D6" s="64">
        <v>1313108.7409910746</v>
      </c>
      <c r="E6" s="64">
        <f t="shared" si="0"/>
        <v>424858.12815715896</v>
      </c>
      <c r="F6" s="66">
        <f>(E6/D6)</f>
        <v>0.32355136699226861</v>
      </c>
    </row>
    <row r="7" spans="1:6" x14ac:dyDescent="0.25">
      <c r="A7" s="35" t="s">
        <v>86</v>
      </c>
      <c r="E7" s="65">
        <f>AVERAGE(E3:E6)</f>
        <v>549873.38657098997</v>
      </c>
      <c r="F7" s="41">
        <f>AVERAGE(F3:F6)</f>
        <v>0.41875693109465606</v>
      </c>
    </row>
    <row r="8" spans="1:6" ht="18" customHeight="1" x14ac:dyDescent="0.25"/>
    <row r="11" spans="1:6" x14ac:dyDescent="0.25">
      <c r="F11" s="67"/>
    </row>
    <row r="15" spans="1:6" ht="15.75" x14ac:dyDescent="0.25">
      <c r="A15" s="76" t="s">
        <v>88</v>
      </c>
      <c r="B15" s="77"/>
      <c r="C15" s="77"/>
      <c r="D15" s="77"/>
      <c r="E15" s="78"/>
    </row>
    <row r="16" spans="1:6" ht="60" x14ac:dyDescent="0.25">
      <c r="A16" s="17" t="s">
        <v>80</v>
      </c>
      <c r="B16" s="17" t="s">
        <v>50</v>
      </c>
      <c r="C16" s="23" t="s">
        <v>98</v>
      </c>
      <c r="D16" s="23" t="s">
        <v>97</v>
      </c>
      <c r="E16" s="23" t="s">
        <v>89</v>
      </c>
    </row>
    <row r="17" spans="1:5" ht="30" x14ac:dyDescent="0.25">
      <c r="A17" s="23" t="s">
        <v>94</v>
      </c>
      <c r="B17" s="38" t="s">
        <v>95</v>
      </c>
      <c r="C17" s="64">
        <v>15432.861167392681</v>
      </c>
      <c r="D17" s="64">
        <v>27869.02</v>
      </c>
      <c r="E17" s="64">
        <f>D17-C17</f>
        <v>12436.15883260732</v>
      </c>
    </row>
    <row r="18" spans="1:5" x14ac:dyDescent="0.25">
      <c r="A18" s="35" t="s">
        <v>96</v>
      </c>
      <c r="C18" s="39"/>
      <c r="D18" s="40"/>
      <c r="E18" s="41">
        <f>SUM(E17)/SUM($D$17)</f>
        <v>0.4462359577985634</v>
      </c>
    </row>
    <row r="23" spans="1:5" ht="15.75" x14ac:dyDescent="0.25">
      <c r="C23" s="79" t="s">
        <v>92</v>
      </c>
      <c r="D23" s="80"/>
    </row>
    <row r="24" spans="1:5" ht="15.75" x14ac:dyDescent="0.25">
      <c r="C24" s="81" t="s">
        <v>90</v>
      </c>
      <c r="D24" s="82"/>
    </row>
    <row r="25" spans="1:5" x14ac:dyDescent="0.25">
      <c r="C25" s="36" t="s">
        <v>52</v>
      </c>
      <c r="D25" s="37">
        <f>F7</f>
        <v>0.41875693109465606</v>
      </c>
    </row>
    <row r="26" spans="1:5" x14ac:dyDescent="0.25">
      <c r="C26" s="36" t="s">
        <v>91</v>
      </c>
      <c r="D26" s="37">
        <f>E18</f>
        <v>0.4462359577985634</v>
      </c>
    </row>
  </sheetData>
  <mergeCells count="4">
    <mergeCell ref="A1:F1"/>
    <mergeCell ref="A15:E15"/>
    <mergeCell ref="C23:D23"/>
    <mergeCell ref="C24:D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8EAF-34E0-4A94-9848-E02C7326C45E}">
  <dimension ref="A1:S38"/>
  <sheetViews>
    <sheetView tabSelected="1" workbookViewId="0">
      <selection activeCell="K31" sqref="K31"/>
    </sheetView>
  </sheetViews>
  <sheetFormatPr defaultRowHeight="15" x14ac:dyDescent="0.25"/>
  <cols>
    <col min="1" max="1" width="28" customWidth="1"/>
    <col min="2" max="2" width="20.140625" customWidth="1"/>
    <col min="3" max="3" width="9.42578125" customWidth="1"/>
    <col min="17" max="17" width="19.42578125" customWidth="1"/>
    <col min="18" max="18" width="34.42578125" customWidth="1"/>
    <col min="19" max="19" width="14.5703125" customWidth="1"/>
  </cols>
  <sheetData>
    <row r="1" spans="1:19" ht="15.75" x14ac:dyDescent="0.25">
      <c r="A1" s="68" t="s">
        <v>2</v>
      </c>
      <c r="B1" s="68" t="s">
        <v>1</v>
      </c>
      <c r="C1" s="68" t="s">
        <v>1</v>
      </c>
      <c r="E1" s="30" t="s">
        <v>79</v>
      </c>
      <c r="F1" s="11"/>
      <c r="G1" s="11"/>
      <c r="Q1" s="11" t="s">
        <v>81</v>
      </c>
    </row>
    <row r="2" spans="1:19" x14ac:dyDescent="0.25">
      <c r="A2" s="69" t="s">
        <v>3</v>
      </c>
      <c r="B2" s="68" t="s">
        <v>1</v>
      </c>
      <c r="C2" s="68" t="s">
        <v>1</v>
      </c>
      <c r="Q2" s="11" t="s">
        <v>117</v>
      </c>
    </row>
    <row r="3" spans="1:19" ht="15.75" x14ac:dyDescent="0.25">
      <c r="A3" s="70" t="s">
        <v>114</v>
      </c>
      <c r="B3" s="70" t="s">
        <v>1</v>
      </c>
      <c r="C3" s="70" t="s">
        <v>1</v>
      </c>
      <c r="R3" s="26" t="s">
        <v>50</v>
      </c>
      <c r="S3" s="26" t="s">
        <v>51</v>
      </c>
    </row>
    <row r="4" spans="1:19" x14ac:dyDescent="0.25">
      <c r="A4" s="31" t="s">
        <v>4</v>
      </c>
      <c r="B4" s="1" t="s">
        <v>0</v>
      </c>
      <c r="C4" s="1" t="s">
        <v>1</v>
      </c>
      <c r="R4" s="27" t="s">
        <v>52</v>
      </c>
      <c r="S4" s="27" t="s">
        <v>54</v>
      </c>
    </row>
    <row r="5" spans="1:19" x14ac:dyDescent="0.25">
      <c r="A5" s="32" t="s">
        <v>1</v>
      </c>
      <c r="B5" s="1" t="s">
        <v>5</v>
      </c>
      <c r="C5" s="33" t="s">
        <v>6</v>
      </c>
      <c r="R5" s="27" t="s">
        <v>56</v>
      </c>
      <c r="S5" s="27" t="s">
        <v>69</v>
      </c>
    </row>
    <row r="6" spans="1:19" x14ac:dyDescent="0.25">
      <c r="A6" s="34" t="s">
        <v>1</v>
      </c>
      <c r="B6" s="2" t="s">
        <v>32</v>
      </c>
      <c r="C6" s="33" t="s">
        <v>1</v>
      </c>
      <c r="R6" s="27" t="s">
        <v>57</v>
      </c>
      <c r="S6" s="27" t="s">
        <v>39</v>
      </c>
    </row>
    <row r="7" spans="1:19" x14ac:dyDescent="0.25">
      <c r="A7" s="3" t="s">
        <v>7</v>
      </c>
      <c r="B7" s="5">
        <v>107.21</v>
      </c>
      <c r="C7" s="4" t="s">
        <v>8</v>
      </c>
      <c r="R7" s="27" t="s">
        <v>53</v>
      </c>
      <c r="S7" s="27" t="s">
        <v>55</v>
      </c>
    </row>
    <row r="8" spans="1:19" x14ac:dyDescent="0.25">
      <c r="A8" s="3" t="s">
        <v>9</v>
      </c>
      <c r="B8" s="5">
        <v>101.1</v>
      </c>
      <c r="C8" s="4" t="s">
        <v>8</v>
      </c>
    </row>
    <row r="9" spans="1:19" x14ac:dyDescent="0.25">
      <c r="A9" s="3" t="s">
        <v>10</v>
      </c>
      <c r="B9" s="5">
        <v>96.73</v>
      </c>
      <c r="C9" s="4" t="s">
        <v>8</v>
      </c>
    </row>
    <row r="10" spans="1:19" x14ac:dyDescent="0.25">
      <c r="A10" s="3" t="s">
        <v>11</v>
      </c>
      <c r="B10" s="5">
        <v>82.34</v>
      </c>
      <c r="C10" s="4" t="s">
        <v>8</v>
      </c>
      <c r="Q10" s="11" t="s">
        <v>118</v>
      </c>
      <c r="R10" s="29" t="s">
        <v>76</v>
      </c>
      <c r="S10" s="29"/>
    </row>
    <row r="11" spans="1:19" ht="15.75" x14ac:dyDescent="0.25">
      <c r="A11" s="3" t="s">
        <v>12</v>
      </c>
      <c r="B11" s="5">
        <v>81.93</v>
      </c>
      <c r="C11" s="4" t="s">
        <v>8</v>
      </c>
      <c r="R11" s="26" t="s">
        <v>50</v>
      </c>
      <c r="S11" s="26" t="s">
        <v>51</v>
      </c>
    </row>
    <row r="12" spans="1:19" x14ac:dyDescent="0.25">
      <c r="A12" s="3" t="s">
        <v>13</v>
      </c>
      <c r="B12" s="5">
        <v>84.03</v>
      </c>
      <c r="C12" s="4" t="s">
        <v>8</v>
      </c>
      <c r="R12" s="27" t="s">
        <v>52</v>
      </c>
      <c r="S12" s="27" t="s">
        <v>54</v>
      </c>
    </row>
    <row r="13" spans="1:19" x14ac:dyDescent="0.25">
      <c r="A13" s="3" t="s">
        <v>14</v>
      </c>
      <c r="B13" s="5">
        <v>97.25</v>
      </c>
      <c r="C13" s="4" t="s">
        <v>8</v>
      </c>
      <c r="R13" s="27" t="s">
        <v>56</v>
      </c>
      <c r="S13" s="27" t="s">
        <v>70</v>
      </c>
    </row>
    <row r="14" spans="1:19" x14ac:dyDescent="0.25">
      <c r="A14" s="3" t="s">
        <v>15</v>
      </c>
      <c r="B14" s="5">
        <v>106.51</v>
      </c>
      <c r="C14" s="4" t="s">
        <v>8</v>
      </c>
      <c r="R14" s="27" t="s">
        <v>57</v>
      </c>
      <c r="S14" s="27" t="s">
        <v>39</v>
      </c>
    </row>
    <row r="15" spans="1:19" x14ac:dyDescent="0.25">
      <c r="A15" s="3" t="s">
        <v>16</v>
      </c>
      <c r="B15" s="5">
        <v>120.7</v>
      </c>
      <c r="C15" s="4" t="s">
        <v>8</v>
      </c>
      <c r="R15" s="27" t="s">
        <v>53</v>
      </c>
      <c r="S15" s="27" t="s">
        <v>55</v>
      </c>
    </row>
    <row r="16" spans="1:19" x14ac:dyDescent="0.25">
      <c r="A16" s="3" t="s">
        <v>17</v>
      </c>
      <c r="B16" s="5">
        <v>116.86</v>
      </c>
      <c r="C16" s="4" t="s">
        <v>8</v>
      </c>
    </row>
    <row r="17" spans="1:19" x14ac:dyDescent="0.25">
      <c r="A17" s="3" t="s">
        <v>18</v>
      </c>
      <c r="B17" s="5">
        <v>112.85</v>
      </c>
      <c r="C17" s="4" t="s">
        <v>8</v>
      </c>
    </row>
    <row r="18" spans="1:19" x14ac:dyDescent="0.25">
      <c r="A18" s="3" t="s">
        <v>19</v>
      </c>
      <c r="B18" s="5">
        <v>113.37</v>
      </c>
      <c r="C18" s="4" t="s">
        <v>8</v>
      </c>
      <c r="Q18" s="11" t="s">
        <v>119</v>
      </c>
      <c r="R18" s="29" t="s">
        <v>77</v>
      </c>
      <c r="S18" s="29"/>
    </row>
    <row r="19" spans="1:19" ht="15.75" x14ac:dyDescent="0.25">
      <c r="A19" s="3" t="s">
        <v>20</v>
      </c>
      <c r="B19" s="5">
        <v>115</v>
      </c>
      <c r="C19" s="4" t="s">
        <v>8</v>
      </c>
      <c r="R19" s="26" t="s">
        <v>50</v>
      </c>
      <c r="S19" s="26" t="s">
        <v>51</v>
      </c>
    </row>
    <row r="20" spans="1:19" x14ac:dyDescent="0.25">
      <c r="A20" s="3" t="s">
        <v>21</v>
      </c>
      <c r="B20" s="5">
        <v>109.78</v>
      </c>
      <c r="C20" s="4" t="s">
        <v>8</v>
      </c>
      <c r="R20" s="27" t="s">
        <v>52</v>
      </c>
      <c r="S20" s="27" t="s">
        <v>54</v>
      </c>
    </row>
    <row r="21" spans="1:19" x14ac:dyDescent="0.25">
      <c r="A21" s="3" t="s">
        <v>22</v>
      </c>
      <c r="B21" s="5">
        <v>119.71</v>
      </c>
      <c r="C21" s="4" t="s">
        <v>8</v>
      </c>
      <c r="R21" s="27" t="s">
        <v>56</v>
      </c>
      <c r="S21" s="27" t="s">
        <v>75</v>
      </c>
    </row>
    <row r="22" spans="1:19" x14ac:dyDescent="0.25">
      <c r="A22" s="3" t="s">
        <v>23</v>
      </c>
      <c r="B22" s="5">
        <v>125.83</v>
      </c>
      <c r="C22" s="4" t="s">
        <v>8</v>
      </c>
      <c r="R22" s="27" t="s">
        <v>57</v>
      </c>
      <c r="S22" s="27" t="s">
        <v>37</v>
      </c>
    </row>
    <row r="23" spans="1:19" x14ac:dyDescent="0.25">
      <c r="A23" s="3" t="s">
        <v>24</v>
      </c>
      <c r="B23" s="5">
        <v>139.57</v>
      </c>
      <c r="C23" s="4" t="s">
        <v>8</v>
      </c>
      <c r="R23" s="27" t="s">
        <v>53</v>
      </c>
      <c r="S23" s="27" t="s">
        <v>55</v>
      </c>
    </row>
    <row r="24" spans="1:19" x14ac:dyDescent="0.25">
      <c r="A24" s="3" t="s">
        <v>25</v>
      </c>
      <c r="B24" s="5">
        <v>155.93</v>
      </c>
      <c r="C24" s="4" t="s">
        <v>8</v>
      </c>
    </row>
    <row r="25" spans="1:19" x14ac:dyDescent="0.25">
      <c r="A25" s="3" t="s">
        <v>26</v>
      </c>
      <c r="B25" s="5">
        <v>163.5</v>
      </c>
      <c r="C25" s="4" t="s">
        <v>8</v>
      </c>
    </row>
    <row r="26" spans="1:19" x14ac:dyDescent="0.25">
      <c r="A26" s="3" t="s">
        <v>27</v>
      </c>
      <c r="B26" s="5">
        <v>146.74</v>
      </c>
      <c r="C26" s="4" t="s">
        <v>8</v>
      </c>
      <c r="Q26" s="11" t="s">
        <v>120</v>
      </c>
      <c r="R26" s="29" t="s">
        <v>78</v>
      </c>
      <c r="S26" s="29"/>
    </row>
    <row r="27" spans="1:19" ht="15.75" x14ac:dyDescent="0.25">
      <c r="A27" s="3" t="s">
        <v>28</v>
      </c>
      <c r="B27" s="5">
        <v>139.38</v>
      </c>
      <c r="C27" s="4" t="s">
        <v>8</v>
      </c>
      <c r="R27" s="26" t="s">
        <v>50</v>
      </c>
      <c r="S27" s="26" t="s">
        <v>51</v>
      </c>
    </row>
    <row r="28" spans="1:19" x14ac:dyDescent="0.25">
      <c r="A28" s="3" t="s">
        <v>29</v>
      </c>
      <c r="B28" s="5">
        <v>131.80000000000001</v>
      </c>
      <c r="C28" s="4" t="s">
        <v>8</v>
      </c>
      <c r="R28" s="27" t="s">
        <v>52</v>
      </c>
      <c r="S28" s="27" t="s">
        <v>54</v>
      </c>
    </row>
    <row r="29" spans="1:19" x14ac:dyDescent="0.25">
      <c r="A29" s="3" t="s">
        <v>30</v>
      </c>
      <c r="B29" s="5">
        <v>129.94</v>
      </c>
      <c r="C29" s="4" t="s">
        <v>8</v>
      </c>
      <c r="R29" s="27" t="s">
        <v>56</v>
      </c>
      <c r="S29" s="27" t="s">
        <v>58</v>
      </c>
    </row>
    <row r="30" spans="1:19" x14ac:dyDescent="0.25">
      <c r="A30" s="3" t="s">
        <v>31</v>
      </c>
      <c r="B30" s="5">
        <v>121.3</v>
      </c>
      <c r="C30" s="4" t="s">
        <v>8</v>
      </c>
      <c r="R30" s="27" t="s">
        <v>57</v>
      </c>
      <c r="S30" s="27" t="s">
        <v>39</v>
      </c>
    </row>
    <row r="31" spans="1:19" x14ac:dyDescent="0.25">
      <c r="R31" s="27" t="s">
        <v>53</v>
      </c>
      <c r="S31" s="27" t="s">
        <v>71</v>
      </c>
    </row>
    <row r="34" spans="17:19" ht="15.75" x14ac:dyDescent="0.25">
      <c r="Q34" s="11" t="s">
        <v>121</v>
      </c>
      <c r="R34" s="26" t="s">
        <v>50</v>
      </c>
      <c r="S34" s="26" t="s">
        <v>51</v>
      </c>
    </row>
    <row r="35" spans="17:19" x14ac:dyDescent="0.25">
      <c r="R35" s="27" t="s">
        <v>52</v>
      </c>
      <c r="S35" s="27" t="s">
        <v>73</v>
      </c>
    </row>
    <row r="36" spans="17:19" x14ac:dyDescent="0.25">
      <c r="R36" s="27" t="s">
        <v>56</v>
      </c>
      <c r="S36" s="27" t="s">
        <v>72</v>
      </c>
    </row>
    <row r="37" spans="17:19" x14ac:dyDescent="0.25">
      <c r="R37" s="27" t="s">
        <v>57</v>
      </c>
      <c r="S37" s="27" t="s">
        <v>72</v>
      </c>
    </row>
    <row r="38" spans="17:19" x14ac:dyDescent="0.25">
      <c r="R38" s="27" t="s">
        <v>53</v>
      </c>
      <c r="S38" s="27" t="s">
        <v>72</v>
      </c>
    </row>
  </sheetData>
  <mergeCells count="3">
    <mergeCell ref="A1:C1"/>
    <mergeCell ref="A2:C2"/>
    <mergeCell ref="A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3F93-6F38-4F08-B53A-733B9766E121}">
  <dimension ref="A2:P34"/>
  <sheetViews>
    <sheetView zoomScaleNormal="100" workbookViewId="0">
      <selection activeCell="K29" sqref="K29"/>
    </sheetView>
  </sheetViews>
  <sheetFormatPr defaultRowHeight="15" x14ac:dyDescent="0.25"/>
  <cols>
    <col min="1" max="1" width="13.42578125" customWidth="1"/>
    <col min="2" max="2" width="16" customWidth="1"/>
    <col min="3" max="3" width="8.85546875" customWidth="1"/>
    <col min="4" max="4" width="18.85546875" customWidth="1"/>
    <col min="5" max="5" width="17.85546875" customWidth="1"/>
    <col min="6" max="6" width="18.7109375" customWidth="1"/>
    <col min="7" max="7" width="20.28515625" customWidth="1"/>
    <col min="8" max="8" width="21.85546875" customWidth="1"/>
    <col min="9" max="9" width="21" customWidth="1"/>
    <col min="10" max="10" width="18.140625" customWidth="1"/>
    <col min="11" max="11" width="14.7109375" customWidth="1"/>
    <col min="13" max="13" width="13.5703125" customWidth="1"/>
    <col min="14" max="14" width="20.140625" customWidth="1"/>
    <col min="15" max="15" width="18.42578125" customWidth="1"/>
    <col min="16" max="16" width="17.5703125" customWidth="1"/>
  </cols>
  <sheetData>
    <row r="2" spans="1:16" x14ac:dyDescent="0.25">
      <c r="M2" s="11" t="s">
        <v>63</v>
      </c>
      <c r="N2" s="11"/>
      <c r="O2" s="11"/>
      <c r="P2" s="11"/>
    </row>
    <row r="3" spans="1:16" ht="18.75" x14ac:dyDescent="0.3">
      <c r="A3" s="71" t="s">
        <v>43</v>
      </c>
      <c r="B3" s="72"/>
      <c r="C3" s="72"/>
      <c r="D3" s="72"/>
      <c r="E3" s="72"/>
      <c r="F3" s="72"/>
      <c r="G3" s="72"/>
      <c r="H3" s="72"/>
      <c r="I3" s="72"/>
      <c r="J3" s="72"/>
      <c r="K3" s="72"/>
      <c r="M3" s="11" t="s">
        <v>64</v>
      </c>
      <c r="N3" s="11"/>
      <c r="O3" s="11"/>
      <c r="P3" s="11"/>
    </row>
    <row r="4" spans="1:16" s="13" customFormat="1" ht="45.75" customHeight="1" x14ac:dyDescent="0.25">
      <c r="A4" s="12" t="s">
        <v>33</v>
      </c>
      <c r="B4" s="12" t="s">
        <v>34</v>
      </c>
      <c r="C4" s="12" t="s">
        <v>35</v>
      </c>
      <c r="D4" s="12" t="s">
        <v>47</v>
      </c>
      <c r="E4" s="12" t="s">
        <v>46</v>
      </c>
      <c r="F4" s="12" t="s">
        <v>45</v>
      </c>
      <c r="G4" s="12" t="s">
        <v>42</v>
      </c>
      <c r="H4" s="12" t="s">
        <v>41</v>
      </c>
      <c r="I4" s="12" t="s">
        <v>44</v>
      </c>
      <c r="J4" s="12" t="s">
        <v>36</v>
      </c>
      <c r="K4" s="12" t="s">
        <v>48</v>
      </c>
    </row>
    <row r="5" spans="1:16" x14ac:dyDescent="0.25">
      <c r="A5" s="6">
        <v>1</v>
      </c>
      <c r="B5" s="7">
        <v>107.21</v>
      </c>
      <c r="C5" s="8" t="s">
        <v>37</v>
      </c>
      <c r="D5" s="9">
        <v>5.8556657000000003</v>
      </c>
      <c r="E5" s="9">
        <v>7.9254688700000004</v>
      </c>
      <c r="F5" s="9">
        <f>E5-5.5</f>
        <v>2.4254688700000004</v>
      </c>
      <c r="G5" s="9">
        <v>4.9203635340999998</v>
      </c>
      <c r="H5" s="9">
        <v>8.9012563000000003E-2</v>
      </c>
      <c r="I5" s="9">
        <v>0</v>
      </c>
      <c r="J5" s="9">
        <f>SUM(D5:I5)</f>
        <v>21.215979537100001</v>
      </c>
      <c r="K5" s="14">
        <f t="shared" ref="K5:K28" si="0">B5*J5</f>
        <v>2274.565166172491</v>
      </c>
      <c r="P5" s="11"/>
    </row>
    <row r="6" spans="1:16" x14ac:dyDescent="0.25">
      <c r="A6" s="6">
        <v>2</v>
      </c>
      <c r="B6" s="10">
        <v>101.1</v>
      </c>
      <c r="C6" s="8" t="s">
        <v>37</v>
      </c>
      <c r="D6" s="9">
        <v>5.0873239400000001</v>
      </c>
      <c r="E6" s="9">
        <v>6.9254688700000004</v>
      </c>
      <c r="F6" s="9">
        <f t="shared" ref="F6:F11" si="1">E6-5.5</f>
        <v>1.4254688700000004</v>
      </c>
      <c r="G6" s="9">
        <v>4.9203635340999998</v>
      </c>
      <c r="H6" s="9">
        <v>0.87607229200000003</v>
      </c>
      <c r="I6" s="9">
        <v>0</v>
      </c>
      <c r="J6" s="9">
        <f t="shared" ref="J6:J28" si="2">SUM(D6:I6)</f>
        <v>19.234697506100002</v>
      </c>
      <c r="K6" s="14">
        <f t="shared" si="0"/>
        <v>1944.62791786671</v>
      </c>
      <c r="M6" s="17" t="s">
        <v>65</v>
      </c>
      <c r="N6" s="17" t="s">
        <v>66</v>
      </c>
      <c r="O6" s="17" t="s">
        <v>67</v>
      </c>
    </row>
    <row r="7" spans="1:16" x14ac:dyDescent="0.25">
      <c r="A7" s="6">
        <v>3</v>
      </c>
      <c r="B7" s="10">
        <v>96.73</v>
      </c>
      <c r="C7" s="8" t="s">
        <v>37</v>
      </c>
      <c r="D7" s="9">
        <v>5.9842510300000002</v>
      </c>
      <c r="E7" s="9">
        <v>5.3415202290000003</v>
      </c>
      <c r="F7" s="9">
        <f t="shared" si="1"/>
        <v>-0.15847977099999966</v>
      </c>
      <c r="G7" s="9">
        <v>4.9203635340999998</v>
      </c>
      <c r="H7" s="9">
        <v>0.459129069</v>
      </c>
      <c r="I7" s="9">
        <v>0</v>
      </c>
      <c r="J7" s="9">
        <f>SUM(D7:I7)</f>
        <v>16.546784091100001</v>
      </c>
      <c r="K7" s="14">
        <f t="shared" si="0"/>
        <v>1600.5704251321031</v>
      </c>
      <c r="M7" s="22" t="s">
        <v>68</v>
      </c>
      <c r="N7" s="28">
        <v>53628</v>
      </c>
      <c r="O7" s="22">
        <v>3</v>
      </c>
    </row>
    <row r="8" spans="1:16" x14ac:dyDescent="0.25">
      <c r="A8" s="6">
        <v>4</v>
      </c>
      <c r="B8" s="10">
        <v>82.34</v>
      </c>
      <c r="C8" s="8" t="s">
        <v>37</v>
      </c>
      <c r="D8" s="9">
        <v>6.3173462300000001</v>
      </c>
      <c r="E8" s="9">
        <v>5.3415202290000003</v>
      </c>
      <c r="F8" s="9">
        <f t="shared" si="1"/>
        <v>-0.15847977099999966</v>
      </c>
      <c r="G8" s="9">
        <v>2.9203635340999998</v>
      </c>
      <c r="H8" s="9">
        <v>0.15933797599999999</v>
      </c>
      <c r="I8" s="9">
        <v>0</v>
      </c>
      <c r="J8" s="9">
        <f>SUM(D8:I8)</f>
        <v>14.5800881981</v>
      </c>
      <c r="K8" s="14">
        <f>B8*J8</f>
        <v>1200.524462231554</v>
      </c>
    </row>
    <row r="9" spans="1:16" x14ac:dyDescent="0.25">
      <c r="A9" s="6">
        <v>5</v>
      </c>
      <c r="B9" s="10">
        <v>81.93</v>
      </c>
      <c r="C9" s="8" t="s">
        <v>37</v>
      </c>
      <c r="D9" s="9">
        <v>6.9370626199999998</v>
      </c>
      <c r="E9" s="9">
        <v>5.3415202290000003</v>
      </c>
      <c r="F9" s="9">
        <f t="shared" si="1"/>
        <v>-0.15847977099999966</v>
      </c>
      <c r="G9" s="9">
        <v>2.9203635340999998</v>
      </c>
      <c r="H9" s="9">
        <v>0.884692547</v>
      </c>
      <c r="I9" s="9">
        <v>0</v>
      </c>
      <c r="J9" s="9">
        <f t="shared" si="2"/>
        <v>15.9251591591</v>
      </c>
      <c r="K9" s="14">
        <f t="shared" si="0"/>
        <v>1304.7482899050631</v>
      </c>
    </row>
    <row r="10" spans="1:16" x14ac:dyDescent="0.25">
      <c r="A10" s="6">
        <v>6</v>
      </c>
      <c r="B10" s="10">
        <v>84.03</v>
      </c>
      <c r="C10" s="8" t="s">
        <v>37</v>
      </c>
      <c r="D10" s="9">
        <v>7.6607400600000002</v>
      </c>
      <c r="E10" s="9">
        <v>7.801412376</v>
      </c>
      <c r="F10" s="9">
        <f t="shared" si="1"/>
        <v>2.301412376</v>
      </c>
      <c r="G10" s="9">
        <v>4.8407270681999996</v>
      </c>
      <c r="H10" s="9">
        <v>0.62489547899999998</v>
      </c>
      <c r="I10" s="9">
        <v>0</v>
      </c>
      <c r="J10" s="9">
        <f t="shared" si="2"/>
        <v>23.229187359199997</v>
      </c>
      <c r="K10" s="14">
        <f t="shared" si="0"/>
        <v>1951.9486137935758</v>
      </c>
    </row>
    <row r="11" spans="1:16" x14ac:dyDescent="0.25">
      <c r="A11" s="6">
        <v>7</v>
      </c>
      <c r="B11" s="10">
        <v>97.25</v>
      </c>
      <c r="C11" s="8" t="s">
        <v>37</v>
      </c>
      <c r="D11" s="9">
        <v>18.912467719999999</v>
      </c>
      <c r="E11" s="9">
        <v>16.508201010000001</v>
      </c>
      <c r="F11" s="9">
        <f t="shared" si="1"/>
        <v>11.008201010000001</v>
      </c>
      <c r="G11" s="9">
        <v>4.8407270681999996</v>
      </c>
      <c r="H11" s="9">
        <v>1.0375234870000001</v>
      </c>
      <c r="I11" s="9">
        <v>28.904296701</v>
      </c>
      <c r="J11" s="9">
        <f t="shared" si="2"/>
        <v>81.211416996200001</v>
      </c>
      <c r="K11" s="14">
        <f t="shared" si="0"/>
        <v>7897.8103028804499</v>
      </c>
    </row>
    <row r="12" spans="1:16" x14ac:dyDescent="0.25">
      <c r="A12" s="6">
        <v>8</v>
      </c>
      <c r="B12" s="10">
        <v>110.51</v>
      </c>
      <c r="C12" s="8" t="s">
        <v>38</v>
      </c>
      <c r="D12" s="9">
        <v>30.192005640000001</v>
      </c>
      <c r="E12" s="9">
        <v>19.492656119999999</v>
      </c>
      <c r="F12" s="9">
        <f>19.49-5.5</f>
        <v>13.989999999999998</v>
      </c>
      <c r="G12" s="9">
        <v>149.52218120500001</v>
      </c>
      <c r="H12" s="9">
        <v>1.5986062830000001</v>
      </c>
      <c r="I12" s="9">
        <v>39.357278399000002</v>
      </c>
      <c r="J12" s="9">
        <f t="shared" si="2"/>
        <v>254.15272764700001</v>
      </c>
      <c r="K12" s="14">
        <f t="shared" si="0"/>
        <v>28086.417932269971</v>
      </c>
    </row>
    <row r="13" spans="1:16" x14ac:dyDescent="0.25">
      <c r="A13" s="6">
        <v>9</v>
      </c>
      <c r="B13" s="10">
        <v>120.7</v>
      </c>
      <c r="C13" s="8" t="s">
        <v>38</v>
      </c>
      <c r="D13" s="9">
        <v>51.412559829999999</v>
      </c>
      <c r="E13" s="9">
        <v>26.328659940000001</v>
      </c>
      <c r="F13" s="9">
        <f>26.33-5.5</f>
        <v>20.83</v>
      </c>
      <c r="G13" s="9">
        <v>448.56654361400001</v>
      </c>
      <c r="H13" s="9">
        <v>1.0956177439999999</v>
      </c>
      <c r="I13" s="9">
        <v>114.937670943</v>
      </c>
      <c r="J13" s="9">
        <f>SUM(D13:I13)</f>
        <v>663.17105207100008</v>
      </c>
      <c r="K13" s="14">
        <f t="shared" si="0"/>
        <v>80044.745984969704</v>
      </c>
    </row>
    <row r="14" spans="1:16" x14ac:dyDescent="0.25">
      <c r="A14" s="6">
        <v>10</v>
      </c>
      <c r="B14" s="10">
        <v>116.86</v>
      </c>
      <c r="C14" s="8" t="s">
        <v>38</v>
      </c>
      <c r="D14" s="9">
        <v>57.893453340000001</v>
      </c>
      <c r="E14" s="9">
        <v>26.244326999999998</v>
      </c>
      <c r="F14" s="9">
        <f>E14-5.5</f>
        <v>20.744326999999998</v>
      </c>
      <c r="G14" s="9">
        <v>448.56654361400001</v>
      </c>
      <c r="H14" s="9">
        <v>2.08609511</v>
      </c>
      <c r="I14" s="9">
        <v>131.87305045299999</v>
      </c>
      <c r="J14" s="9">
        <f t="shared" si="2"/>
        <v>687.40779651699995</v>
      </c>
      <c r="K14" s="14">
        <f t="shared" si="0"/>
        <v>80330.475100976619</v>
      </c>
    </row>
    <row r="15" spans="1:16" x14ac:dyDescent="0.25">
      <c r="A15" s="6">
        <v>11</v>
      </c>
      <c r="B15" s="10">
        <v>112.85</v>
      </c>
      <c r="C15" s="8" t="s">
        <v>38</v>
      </c>
      <c r="D15" s="9">
        <v>49.372913220000001</v>
      </c>
      <c r="E15" s="9">
        <v>21.744711299999999</v>
      </c>
      <c r="F15" s="9">
        <f>E15-5.5</f>
        <v>16.244711299999999</v>
      </c>
      <c r="G15" s="9">
        <v>448.56654361400001</v>
      </c>
      <c r="H15" s="9">
        <v>1.331467706</v>
      </c>
      <c r="I15" s="9">
        <v>339.33964092299999</v>
      </c>
      <c r="J15" s="9">
        <f t="shared" si="2"/>
        <v>876.59998806299996</v>
      </c>
      <c r="K15" s="14">
        <f t="shared" si="0"/>
        <v>98924.308652909545</v>
      </c>
    </row>
    <row r="16" spans="1:16" x14ac:dyDescent="0.25">
      <c r="A16" s="6">
        <v>12</v>
      </c>
      <c r="B16" s="10">
        <v>113.37</v>
      </c>
      <c r="C16" s="8" t="s">
        <v>38</v>
      </c>
      <c r="D16" s="9">
        <v>47.402972839999997</v>
      </c>
      <c r="E16" s="9">
        <v>19.344916260000002</v>
      </c>
      <c r="F16" s="9">
        <f>E16-5.5</f>
        <v>13.844916260000002</v>
      </c>
      <c r="G16" s="9">
        <v>448.56654361400001</v>
      </c>
      <c r="H16" s="9">
        <v>1.8303611070000001</v>
      </c>
      <c r="I16" s="9">
        <v>343.32115380200003</v>
      </c>
      <c r="J16" s="9">
        <f t="shared" si="2"/>
        <v>874.31086388300014</v>
      </c>
      <c r="K16" s="14">
        <f t="shared" si="0"/>
        <v>99120.622638415734</v>
      </c>
    </row>
    <row r="17" spans="1:14" x14ac:dyDescent="0.25">
      <c r="A17" s="6">
        <v>13</v>
      </c>
      <c r="B17" s="10">
        <v>115</v>
      </c>
      <c r="C17" s="8" t="s">
        <v>38</v>
      </c>
      <c r="D17" s="9">
        <v>46.516922010000002</v>
      </c>
      <c r="E17" s="9">
        <v>19.190480189999999</v>
      </c>
      <c r="F17" s="9">
        <f>E17-5.5</f>
        <v>13.690480189999999</v>
      </c>
      <c r="G17" s="9">
        <v>448.56654361400001</v>
      </c>
      <c r="H17" s="9">
        <v>3.2672558889999999</v>
      </c>
      <c r="I17" s="9">
        <v>249.33505379299999</v>
      </c>
      <c r="J17" s="9">
        <f t="shared" si="2"/>
        <v>780.5667356859999</v>
      </c>
      <c r="K17" s="14">
        <f t="shared" si="0"/>
        <v>89765.174603889987</v>
      </c>
    </row>
    <row r="18" spans="1:14" x14ac:dyDescent="0.25">
      <c r="A18" s="6">
        <v>14</v>
      </c>
      <c r="B18" s="10">
        <v>109.78</v>
      </c>
      <c r="C18" s="8" t="s">
        <v>37</v>
      </c>
      <c r="D18" s="9">
        <v>37.27811612</v>
      </c>
      <c r="E18" s="9">
        <v>19.260583319999999</v>
      </c>
      <c r="F18" s="9">
        <f>E18-5.5</f>
        <v>13.760583319999999</v>
      </c>
      <c r="G18" s="9">
        <v>448.56654361400001</v>
      </c>
      <c r="H18" s="9">
        <v>3.520645166</v>
      </c>
      <c r="I18" s="9">
        <v>256.01331672499998</v>
      </c>
      <c r="J18" s="9">
        <f t="shared" si="2"/>
        <v>778.39978826499998</v>
      </c>
      <c r="K18" s="14">
        <f t="shared" si="0"/>
        <v>85452.728755731703</v>
      </c>
    </row>
    <row r="19" spans="1:14" x14ac:dyDescent="0.25">
      <c r="A19" s="6">
        <v>15</v>
      </c>
      <c r="B19" s="10">
        <v>119.71</v>
      </c>
      <c r="C19" s="8" t="s">
        <v>38</v>
      </c>
      <c r="D19" s="9">
        <v>42.989571159999997</v>
      </c>
      <c r="E19" s="9">
        <v>19.260583319999999</v>
      </c>
      <c r="F19" s="9">
        <v>14.2</v>
      </c>
      <c r="G19" s="9">
        <v>448.56654361400001</v>
      </c>
      <c r="H19" s="9">
        <v>3.4463609420000001</v>
      </c>
      <c r="I19" s="9">
        <v>258.12268594199998</v>
      </c>
      <c r="J19" s="9">
        <f t="shared" si="2"/>
        <v>786.58574497799998</v>
      </c>
      <c r="K19" s="14">
        <f t="shared" si="0"/>
        <v>94162.179531316375</v>
      </c>
    </row>
    <row r="20" spans="1:14" x14ac:dyDescent="0.25">
      <c r="A20" s="6">
        <v>16</v>
      </c>
      <c r="B20" s="10">
        <v>125.83</v>
      </c>
      <c r="C20" s="8" t="s">
        <v>38</v>
      </c>
      <c r="D20" s="9">
        <v>45.320733070000003</v>
      </c>
      <c r="E20" s="9">
        <v>19.260583319999999</v>
      </c>
      <c r="F20" s="9">
        <f>E20-5.9</f>
        <v>13.360583319999998</v>
      </c>
      <c r="G20" s="9">
        <v>448.56654361400001</v>
      </c>
      <c r="H20" s="9">
        <v>4.8839809949999999</v>
      </c>
      <c r="I20" s="9">
        <v>356.22540850500002</v>
      </c>
      <c r="J20" s="9">
        <f t="shared" si="2"/>
        <v>887.61783282400006</v>
      </c>
      <c r="K20" s="14">
        <f t="shared" si="0"/>
        <v>111688.95190424392</v>
      </c>
    </row>
    <row r="21" spans="1:14" x14ac:dyDescent="0.25">
      <c r="A21" s="6">
        <v>17</v>
      </c>
      <c r="B21" s="10">
        <v>139.57</v>
      </c>
      <c r="C21" s="8" t="s">
        <v>39</v>
      </c>
      <c r="D21" s="9">
        <v>24.806918920000001</v>
      </c>
      <c r="E21" s="9">
        <v>19.260583319999999</v>
      </c>
      <c r="F21" s="9">
        <f>E21-4.9</f>
        <v>14.360583319999998</v>
      </c>
      <c r="G21" s="9">
        <v>448.56654361400001</v>
      </c>
      <c r="H21" s="9">
        <v>4.0183878130000004</v>
      </c>
      <c r="I21" s="9">
        <v>351.44349310000001</v>
      </c>
      <c r="J21" s="9">
        <f t="shared" si="2"/>
        <v>862.45651008699997</v>
      </c>
      <c r="K21" s="14">
        <f t="shared" si="0"/>
        <v>120373.05511284259</v>
      </c>
    </row>
    <row r="22" spans="1:14" x14ac:dyDescent="0.25">
      <c r="A22" s="6">
        <v>18</v>
      </c>
      <c r="B22" s="10">
        <v>155.93</v>
      </c>
      <c r="C22" s="8" t="s">
        <v>39</v>
      </c>
      <c r="D22" s="9">
        <v>15.76273336</v>
      </c>
      <c r="E22" s="9">
        <v>18.180756939999998</v>
      </c>
      <c r="F22" s="9">
        <f t="shared" ref="F22" si="3">E22-5.5</f>
        <v>12.680756939999998</v>
      </c>
      <c r="G22" s="9">
        <v>348.88508947700001</v>
      </c>
      <c r="H22" s="9">
        <v>3.1738584830000001</v>
      </c>
      <c r="I22" s="9">
        <v>344.060958228</v>
      </c>
      <c r="J22" s="9">
        <f t="shared" si="2"/>
        <v>742.744153428</v>
      </c>
      <c r="K22" s="14">
        <f t="shared" si="0"/>
        <v>115816.09584402805</v>
      </c>
    </row>
    <row r="23" spans="1:14" x14ac:dyDescent="0.25">
      <c r="A23" s="6">
        <v>19</v>
      </c>
      <c r="B23" s="10">
        <v>163.5</v>
      </c>
      <c r="C23" s="8" t="s">
        <v>39</v>
      </c>
      <c r="D23" s="9">
        <v>20.17028607</v>
      </c>
      <c r="E23" s="9">
        <v>32.605982109999999</v>
      </c>
      <c r="F23" s="9">
        <v>19.2</v>
      </c>
      <c r="G23" s="9">
        <v>249.20363534099999</v>
      </c>
      <c r="H23" s="9">
        <v>1.0558678699999999</v>
      </c>
      <c r="I23" s="9">
        <v>242.26344910200001</v>
      </c>
      <c r="J23" s="9">
        <f t="shared" si="2"/>
        <v>564.49922049300005</v>
      </c>
      <c r="K23" s="14">
        <f t="shared" si="0"/>
        <v>92295.622550605505</v>
      </c>
    </row>
    <row r="24" spans="1:14" x14ac:dyDescent="0.25">
      <c r="A24" s="6">
        <v>20</v>
      </c>
      <c r="B24" s="10">
        <v>146.74</v>
      </c>
      <c r="C24" s="8" t="s">
        <v>39</v>
      </c>
      <c r="D24" s="9">
        <v>27.664993989999999</v>
      </c>
      <c r="E24" s="9">
        <v>36.814371530000003</v>
      </c>
      <c r="F24" s="9">
        <v>19.95</v>
      </c>
      <c r="G24" s="9">
        <v>249.20363534099999</v>
      </c>
      <c r="H24" s="9">
        <v>1.5790255980000001</v>
      </c>
      <c r="I24" s="9">
        <v>240.56455399699999</v>
      </c>
      <c r="J24" s="9">
        <f t="shared" si="2"/>
        <v>575.77658045600003</v>
      </c>
      <c r="K24" s="14">
        <f t="shared" si="0"/>
        <v>84489.455416113444</v>
      </c>
    </row>
    <row r="25" spans="1:14" x14ac:dyDescent="0.25">
      <c r="A25" s="6">
        <v>21</v>
      </c>
      <c r="B25" s="10">
        <v>139.38</v>
      </c>
      <c r="C25" s="8" t="s">
        <v>39</v>
      </c>
      <c r="D25" s="9">
        <v>26.980272849999999</v>
      </c>
      <c r="E25" s="9">
        <v>36.433633669999999</v>
      </c>
      <c r="F25" s="9">
        <v>21.24</v>
      </c>
      <c r="G25" s="9">
        <v>149.52218120500001</v>
      </c>
      <c r="H25" s="9">
        <v>1.6016955319999999</v>
      </c>
      <c r="I25" s="9">
        <v>139.554227381</v>
      </c>
      <c r="J25" s="9">
        <f t="shared" si="2"/>
        <v>375.33201063800004</v>
      </c>
      <c r="K25" s="14">
        <f t="shared" si="0"/>
        <v>52313.775642724446</v>
      </c>
    </row>
    <row r="26" spans="1:14" x14ac:dyDescent="0.25">
      <c r="A26" s="6">
        <v>22</v>
      </c>
      <c r="B26" s="10">
        <v>131.80000000000001</v>
      </c>
      <c r="C26" s="8" t="s">
        <v>39</v>
      </c>
      <c r="D26" s="9">
        <v>22.232889549999999</v>
      </c>
      <c r="E26" s="9">
        <v>36.096392229999999</v>
      </c>
      <c r="F26" s="9">
        <v>16.559999999999999</v>
      </c>
      <c r="G26" s="9">
        <v>110.522181205</v>
      </c>
      <c r="H26" s="9">
        <v>0.60303754399999998</v>
      </c>
      <c r="I26" s="9">
        <v>121.242682448</v>
      </c>
      <c r="J26" s="9">
        <f t="shared" si="2"/>
        <v>307.25718297700001</v>
      </c>
      <c r="K26" s="14">
        <f t="shared" si="0"/>
        <v>40496.496716368609</v>
      </c>
    </row>
    <row r="27" spans="1:14" x14ac:dyDescent="0.25">
      <c r="A27" s="6">
        <v>23</v>
      </c>
      <c r="B27" s="10">
        <v>129.94</v>
      </c>
      <c r="C27" s="8" t="s">
        <v>38</v>
      </c>
      <c r="D27" s="9">
        <v>18.954403150000001</v>
      </c>
      <c r="E27" s="9">
        <v>30.950776650000002</v>
      </c>
      <c r="F27" s="9">
        <v>12.65</v>
      </c>
      <c r="G27" s="9">
        <v>49.840727068200003</v>
      </c>
      <c r="H27" s="9">
        <v>0.36558004399999999</v>
      </c>
      <c r="I27" s="9">
        <v>0</v>
      </c>
      <c r="J27" s="9">
        <f t="shared" si="2"/>
        <v>112.7614869122</v>
      </c>
      <c r="K27" s="14">
        <f t="shared" si="0"/>
        <v>14652.227609371268</v>
      </c>
    </row>
    <row r="28" spans="1:14" x14ac:dyDescent="0.25">
      <c r="A28" s="6">
        <v>24</v>
      </c>
      <c r="B28" s="10">
        <v>121.3</v>
      </c>
      <c r="C28" s="8" t="s">
        <v>38</v>
      </c>
      <c r="D28" s="9">
        <v>8.9963521600000007</v>
      </c>
      <c r="E28" s="9">
        <v>17.425084569999999</v>
      </c>
      <c r="F28" s="9">
        <v>5.2359999999999998</v>
      </c>
      <c r="G28" s="9">
        <v>24.920363534100002</v>
      </c>
      <c r="H28" s="9">
        <v>0.484127323</v>
      </c>
      <c r="I28" s="9">
        <v>0</v>
      </c>
      <c r="J28" s="9">
        <f t="shared" si="2"/>
        <v>57.061927587100008</v>
      </c>
      <c r="K28" s="14">
        <f t="shared" si="0"/>
        <v>6921.6118163152305</v>
      </c>
    </row>
    <row r="29" spans="1:14" x14ac:dyDescent="0.25">
      <c r="A29" s="15" t="s">
        <v>49</v>
      </c>
      <c r="B29" s="15"/>
      <c r="C29" s="15"/>
      <c r="D29" s="15"/>
      <c r="E29" s="15"/>
      <c r="F29" s="15"/>
      <c r="G29" s="15"/>
      <c r="H29" s="15"/>
      <c r="I29" s="15"/>
      <c r="J29" s="15"/>
      <c r="K29" s="16">
        <f>SUM(K5:K28)</f>
        <v>1313108.7409910746</v>
      </c>
    </row>
    <row r="31" spans="1:14" ht="30" x14ac:dyDescent="0.25">
      <c r="M31" s="12" t="s">
        <v>103</v>
      </c>
      <c r="N31" s="12" t="s">
        <v>104</v>
      </c>
    </row>
    <row r="32" spans="1:14" x14ac:dyDescent="0.25">
      <c r="M32" s="42" t="s">
        <v>106</v>
      </c>
      <c r="N32" s="43" t="s">
        <v>37</v>
      </c>
    </row>
    <row r="33" spans="13:14" x14ac:dyDescent="0.25">
      <c r="M33" s="42" t="s">
        <v>107</v>
      </c>
      <c r="N33" s="42" t="s">
        <v>38</v>
      </c>
    </row>
    <row r="34" spans="13:14" x14ac:dyDescent="0.25">
      <c r="M34" s="42" t="s">
        <v>105</v>
      </c>
      <c r="N34" s="42" t="s">
        <v>39</v>
      </c>
    </row>
  </sheetData>
  <mergeCells count="1">
    <mergeCell ref="A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4EF8-7B43-41E1-9EA2-43FE8213E198}">
  <dimension ref="A1:M48"/>
  <sheetViews>
    <sheetView workbookViewId="0">
      <selection activeCell="H27" sqref="H27"/>
    </sheetView>
  </sheetViews>
  <sheetFormatPr defaultRowHeight="15" x14ac:dyDescent="0.25"/>
  <cols>
    <col min="1" max="1" width="30.140625" customWidth="1"/>
    <col min="2" max="2" width="21.5703125" customWidth="1"/>
    <col min="3" max="3" width="11" customWidth="1"/>
    <col min="4" max="4" width="12.28515625" customWidth="1"/>
    <col min="5" max="5" width="15.42578125" customWidth="1"/>
    <col min="6" max="7" width="18.7109375" customWidth="1"/>
    <col min="8" max="8" width="17.7109375" customWidth="1"/>
    <col min="9" max="9" width="22" customWidth="1"/>
    <col min="10" max="10" width="17.7109375" customWidth="1"/>
    <col min="11" max="11" width="19" customWidth="1"/>
    <col min="12" max="12" width="16.7109375" customWidth="1"/>
    <col min="13" max="13" width="13.85546875" customWidth="1"/>
    <col min="14" max="14" width="19" customWidth="1"/>
  </cols>
  <sheetData>
    <row r="1" spans="1:4" ht="15.75" x14ac:dyDescent="0.25">
      <c r="A1" s="26" t="s">
        <v>50</v>
      </c>
      <c r="B1" s="26" t="s">
        <v>51</v>
      </c>
      <c r="D1" s="62" t="s">
        <v>108</v>
      </c>
    </row>
    <row r="2" spans="1:4" x14ac:dyDescent="0.25">
      <c r="A2" s="27" t="s">
        <v>52</v>
      </c>
      <c r="B2" s="27" t="s">
        <v>54</v>
      </c>
    </row>
    <row r="3" spans="1:4" x14ac:dyDescent="0.25">
      <c r="A3" s="27" t="s">
        <v>56</v>
      </c>
      <c r="B3" s="27" t="s">
        <v>69</v>
      </c>
    </row>
    <row r="4" spans="1:4" x14ac:dyDescent="0.25">
      <c r="A4" s="27" t="s">
        <v>57</v>
      </c>
      <c r="B4" s="27" t="s">
        <v>39</v>
      </c>
    </row>
    <row r="5" spans="1:4" x14ac:dyDescent="0.25">
      <c r="A5" s="27" t="s">
        <v>53</v>
      </c>
      <c r="B5" s="27" t="s">
        <v>55</v>
      </c>
    </row>
    <row r="16" spans="1:4" x14ac:dyDescent="0.25">
      <c r="A16" s="58" t="s">
        <v>109</v>
      </c>
    </row>
    <row r="17" spans="1:13" x14ac:dyDescent="0.25">
      <c r="A17" s="59" t="s">
        <v>110</v>
      </c>
    </row>
    <row r="18" spans="1:13" x14ac:dyDescent="0.25">
      <c r="A18" s="60" t="s">
        <v>111</v>
      </c>
    </row>
    <row r="19" spans="1:13" x14ac:dyDescent="0.25">
      <c r="A19" s="61" t="s">
        <v>112</v>
      </c>
    </row>
    <row r="22" spans="1:13" ht="18.75" x14ac:dyDescent="0.3">
      <c r="A22" s="73" t="s">
        <v>60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13" ht="60" x14ac:dyDescent="0.25">
      <c r="A23" s="56" t="s">
        <v>33</v>
      </c>
      <c r="B23" s="56" t="s">
        <v>34</v>
      </c>
      <c r="C23" s="56" t="s">
        <v>35</v>
      </c>
      <c r="D23" s="56" t="s">
        <v>61</v>
      </c>
      <c r="E23" s="56" t="s">
        <v>62</v>
      </c>
      <c r="F23" s="57" t="s">
        <v>47</v>
      </c>
      <c r="G23" s="57" t="s">
        <v>46</v>
      </c>
      <c r="H23" s="57" t="s">
        <v>45</v>
      </c>
      <c r="I23" s="57" t="s">
        <v>42</v>
      </c>
      <c r="J23" s="57" t="s">
        <v>41</v>
      </c>
      <c r="K23" s="57" t="s">
        <v>44</v>
      </c>
      <c r="L23" s="57" t="s">
        <v>36</v>
      </c>
      <c r="M23" s="57" t="s">
        <v>48</v>
      </c>
    </row>
    <row r="24" spans="1:13" x14ac:dyDescent="0.25">
      <c r="A24" s="44">
        <v>1</v>
      </c>
      <c r="B24" s="45">
        <v>107.21</v>
      </c>
      <c r="C24" s="46" t="s">
        <v>37</v>
      </c>
      <c r="D24" s="45">
        <v>107.21</v>
      </c>
      <c r="E24" s="47">
        <v>65</v>
      </c>
      <c r="F24" s="20">
        <v>0</v>
      </c>
      <c r="G24" s="20">
        <f>60%*10.92546887</f>
        <v>6.5552813219999999</v>
      </c>
      <c r="H24" s="20">
        <v>0</v>
      </c>
      <c r="I24" s="20">
        <v>0</v>
      </c>
      <c r="J24" s="20">
        <v>0</v>
      </c>
      <c r="K24" s="20">
        <v>0</v>
      </c>
      <c r="L24" s="47">
        <f>SUM(E24:K24)</f>
        <v>71.555281321999999</v>
      </c>
      <c r="M24" s="47">
        <f>D24*L24</f>
        <v>7671.4417105316197</v>
      </c>
    </row>
    <row r="25" spans="1:13" x14ac:dyDescent="0.25">
      <c r="A25" s="44">
        <v>2</v>
      </c>
      <c r="B25" s="45">
        <v>101.1</v>
      </c>
      <c r="C25" s="46" t="s">
        <v>37</v>
      </c>
      <c r="D25" s="45">
        <v>101.1</v>
      </c>
      <c r="E25" s="47">
        <v>60</v>
      </c>
      <c r="F25" s="20">
        <v>0</v>
      </c>
      <c r="G25" s="20">
        <f>60%*10.92546887</f>
        <v>6.5552813219999999</v>
      </c>
      <c r="H25" s="20">
        <v>0</v>
      </c>
      <c r="I25" s="20">
        <v>0</v>
      </c>
      <c r="J25" s="20">
        <v>0</v>
      </c>
      <c r="K25" s="20">
        <v>0</v>
      </c>
      <c r="L25" s="47">
        <f>SUM(E25:K25)</f>
        <v>66.555281321999999</v>
      </c>
      <c r="M25" s="47">
        <f>D25*L25</f>
        <v>6728.7389416541992</v>
      </c>
    </row>
    <row r="26" spans="1:13" x14ac:dyDescent="0.25">
      <c r="A26" s="44">
        <v>3</v>
      </c>
      <c r="B26" s="45">
        <v>96.73</v>
      </c>
      <c r="C26" s="46" t="s">
        <v>37</v>
      </c>
      <c r="D26" s="45">
        <v>96.73</v>
      </c>
      <c r="E26" s="47">
        <v>55</v>
      </c>
      <c r="F26" s="20">
        <v>0</v>
      </c>
      <c r="G26" s="20">
        <f>60%*7.34152022</f>
        <v>4.4049121319999998</v>
      </c>
      <c r="H26" s="20">
        <v>0</v>
      </c>
      <c r="I26" s="20">
        <v>0</v>
      </c>
      <c r="J26" s="20">
        <v>0</v>
      </c>
      <c r="K26" s="20">
        <v>0</v>
      </c>
      <c r="L26" s="47">
        <f t="shared" ref="L26:L47" si="0">SUM(E26:K26)</f>
        <v>59.404912132</v>
      </c>
      <c r="M26" s="47">
        <f t="shared" ref="M26:M46" si="1">D26*L26</f>
        <v>5746.23715052836</v>
      </c>
    </row>
    <row r="27" spans="1:13" x14ac:dyDescent="0.25">
      <c r="A27" s="44">
        <v>4</v>
      </c>
      <c r="B27" s="45">
        <v>82.34</v>
      </c>
      <c r="C27" s="46" t="s">
        <v>37</v>
      </c>
      <c r="D27" s="45">
        <v>82.34</v>
      </c>
      <c r="E27" s="47">
        <v>50</v>
      </c>
      <c r="F27" s="20">
        <v>0</v>
      </c>
      <c r="G27" s="20">
        <f>60%*7.341520229</f>
        <v>4.4049121374000002</v>
      </c>
      <c r="H27" s="20">
        <v>0</v>
      </c>
      <c r="I27" s="20">
        <v>0</v>
      </c>
      <c r="J27" s="20">
        <v>0</v>
      </c>
      <c r="K27" s="20">
        <v>0</v>
      </c>
      <c r="L27" s="47">
        <f t="shared" si="0"/>
        <v>54.404912137400004</v>
      </c>
      <c r="M27" s="47">
        <f t="shared" si="1"/>
        <v>4479.7004653935164</v>
      </c>
    </row>
    <row r="28" spans="1:13" x14ac:dyDescent="0.25">
      <c r="A28" s="44">
        <v>5</v>
      </c>
      <c r="B28" s="45">
        <v>81.93</v>
      </c>
      <c r="C28" s="46" t="s">
        <v>37</v>
      </c>
      <c r="D28" s="45">
        <v>81.93</v>
      </c>
      <c r="E28" s="47">
        <v>52</v>
      </c>
      <c r="F28" s="20">
        <v>0</v>
      </c>
      <c r="G28" s="20">
        <f>60%*7.341520229</f>
        <v>4.4049121374000002</v>
      </c>
      <c r="H28" s="20">
        <v>0</v>
      </c>
      <c r="I28" s="20">
        <v>0</v>
      </c>
      <c r="J28" s="20">
        <v>0</v>
      </c>
      <c r="K28" s="20">
        <v>0</v>
      </c>
      <c r="L28" s="47">
        <f t="shared" si="0"/>
        <v>56.404912137400004</v>
      </c>
      <c r="M28" s="47">
        <f t="shared" si="1"/>
        <v>4621.2544514171823</v>
      </c>
    </row>
    <row r="29" spans="1:13" x14ac:dyDescent="0.25">
      <c r="A29" s="44">
        <v>6</v>
      </c>
      <c r="B29" s="45">
        <v>84.03</v>
      </c>
      <c r="C29" s="46" t="s">
        <v>37</v>
      </c>
      <c r="D29" s="45">
        <v>84.03</v>
      </c>
      <c r="E29" s="47">
        <v>45</v>
      </c>
      <c r="F29" s="20">
        <v>0</v>
      </c>
      <c r="G29" s="20">
        <f>60%*7.801412376</f>
        <v>4.6808474255999997</v>
      </c>
      <c r="H29" s="20">
        <v>0</v>
      </c>
      <c r="I29" s="20">
        <v>0</v>
      </c>
      <c r="J29" s="20">
        <v>0</v>
      </c>
      <c r="K29" s="20">
        <v>0</v>
      </c>
      <c r="L29" s="47">
        <f t="shared" si="0"/>
        <v>49.6808474256</v>
      </c>
      <c r="M29" s="47">
        <f t="shared" si="1"/>
        <v>4174.681609173168</v>
      </c>
    </row>
    <row r="30" spans="1:13" x14ac:dyDescent="0.25">
      <c r="A30" s="44">
        <v>7</v>
      </c>
      <c r="B30" s="45">
        <v>97.25</v>
      </c>
      <c r="C30" s="46" t="s">
        <v>37</v>
      </c>
      <c r="D30" s="45">
        <v>97.25</v>
      </c>
      <c r="E30" s="47">
        <v>45</v>
      </c>
      <c r="F30" s="20">
        <v>0</v>
      </c>
      <c r="G30" s="20">
        <f>60%*18.50820101</f>
        <v>11.104920606</v>
      </c>
      <c r="H30" s="20">
        <v>0</v>
      </c>
      <c r="I30" s="20">
        <v>0</v>
      </c>
      <c r="J30" s="20">
        <v>0</v>
      </c>
      <c r="K30" s="20">
        <v>0</v>
      </c>
      <c r="L30" s="47">
        <f t="shared" si="0"/>
        <v>56.104920606</v>
      </c>
      <c r="M30" s="47">
        <f t="shared" si="1"/>
        <v>5456.2035289334999</v>
      </c>
    </row>
    <row r="31" spans="1:13" x14ac:dyDescent="0.25">
      <c r="A31" s="52">
        <v>8</v>
      </c>
      <c r="B31" s="53">
        <v>106.51</v>
      </c>
      <c r="C31" s="54" t="s">
        <v>38</v>
      </c>
      <c r="D31" s="53">
        <v>106.51</v>
      </c>
      <c r="E31" s="55">
        <v>0</v>
      </c>
      <c r="F31" s="55">
        <v>30.192005640000001</v>
      </c>
      <c r="G31" s="55">
        <f>50%*19.49265612</f>
        <v>9.7463280599999997</v>
      </c>
      <c r="H31" s="55">
        <f>19.49-5.5</f>
        <v>13.989999999999998</v>
      </c>
      <c r="I31" s="55">
        <f>70%*149.522181205</f>
        <v>104.6655268435</v>
      </c>
      <c r="J31" s="55">
        <v>1.5986062830000001</v>
      </c>
      <c r="K31" s="55">
        <v>39.357278399000002</v>
      </c>
      <c r="L31" s="55">
        <f t="shared" si="0"/>
        <v>199.5497452255</v>
      </c>
      <c r="M31" s="55">
        <f t="shared" si="1"/>
        <v>21254.043363968005</v>
      </c>
    </row>
    <row r="32" spans="1:13" x14ac:dyDescent="0.25">
      <c r="A32" s="52">
        <v>9</v>
      </c>
      <c r="B32" s="53">
        <v>120.7</v>
      </c>
      <c r="C32" s="54" t="s">
        <v>38</v>
      </c>
      <c r="D32" s="53">
        <v>120.7</v>
      </c>
      <c r="E32" s="55">
        <v>0</v>
      </c>
      <c r="F32" s="55">
        <v>51.412559829999999</v>
      </c>
      <c r="G32" s="55">
        <f>50%*26.32865994</f>
        <v>13.164329970000001</v>
      </c>
      <c r="H32" s="55">
        <f>26.33-5.5</f>
        <v>20.83</v>
      </c>
      <c r="I32" s="55">
        <f t="shared" ref="I32:I39" si="2">70%*448.566543614</f>
        <v>313.99658052979999</v>
      </c>
      <c r="J32" s="55">
        <v>1.0956177439999999</v>
      </c>
      <c r="K32" s="55">
        <v>114.937670943</v>
      </c>
      <c r="L32" s="55">
        <f t="shared" si="0"/>
        <v>515.4367590167999</v>
      </c>
      <c r="M32" s="55">
        <f t="shared" si="1"/>
        <v>62213.216813327752</v>
      </c>
    </row>
    <row r="33" spans="1:13" x14ac:dyDescent="0.25">
      <c r="A33" s="52">
        <v>10</v>
      </c>
      <c r="B33" s="53">
        <v>116.86</v>
      </c>
      <c r="C33" s="54" t="s">
        <v>38</v>
      </c>
      <c r="D33" s="53">
        <v>116.86</v>
      </c>
      <c r="E33" s="55">
        <v>0</v>
      </c>
      <c r="F33" s="55">
        <v>57.893453340000001</v>
      </c>
      <c r="G33" s="55">
        <f>50%*26.244327</f>
        <v>13.122163499999999</v>
      </c>
      <c r="H33" s="55">
        <v>10.25</v>
      </c>
      <c r="I33" s="55">
        <f t="shared" si="2"/>
        <v>313.99658052979999</v>
      </c>
      <c r="J33" s="55">
        <v>2.08609511</v>
      </c>
      <c r="K33" s="55">
        <v>131.87305045299999</v>
      </c>
      <c r="L33" s="55">
        <f t="shared" si="0"/>
        <v>529.22134293279998</v>
      </c>
      <c r="M33" s="55">
        <f t="shared" si="1"/>
        <v>61844.806135127008</v>
      </c>
    </row>
    <row r="34" spans="1:13" x14ac:dyDescent="0.25">
      <c r="A34" s="52">
        <v>11</v>
      </c>
      <c r="B34" s="53">
        <v>112.85</v>
      </c>
      <c r="C34" s="54" t="s">
        <v>38</v>
      </c>
      <c r="D34" s="53">
        <v>112.85</v>
      </c>
      <c r="E34" s="55">
        <v>0</v>
      </c>
      <c r="F34" s="55">
        <v>49.372913220000001</v>
      </c>
      <c r="G34" s="55">
        <f>50%*21.7447113</f>
        <v>10.872355649999999</v>
      </c>
      <c r="H34" s="55">
        <v>16.239999999999998</v>
      </c>
      <c r="I34" s="55">
        <f t="shared" si="2"/>
        <v>313.99658052979999</v>
      </c>
      <c r="J34" s="55">
        <v>1.331467706</v>
      </c>
      <c r="K34" s="55">
        <v>339.33964092299999</v>
      </c>
      <c r="L34" s="55">
        <f t="shared" si="0"/>
        <v>731.15295802879996</v>
      </c>
      <c r="M34" s="55">
        <f t="shared" si="1"/>
        <v>82510.611313550078</v>
      </c>
    </row>
    <row r="35" spans="1:13" x14ac:dyDescent="0.25">
      <c r="A35" s="52">
        <v>12</v>
      </c>
      <c r="B35" s="53">
        <v>113.37</v>
      </c>
      <c r="C35" s="54" t="s">
        <v>38</v>
      </c>
      <c r="D35" s="53">
        <v>113.37</v>
      </c>
      <c r="E35" s="55">
        <v>0</v>
      </c>
      <c r="F35" s="55">
        <v>47.402972839999997</v>
      </c>
      <c r="G35" s="55">
        <f>50%*19.34491626</f>
        <v>9.6724581300000008</v>
      </c>
      <c r="H35" s="55">
        <v>13.84</v>
      </c>
      <c r="I35" s="55">
        <f>70%*448.566543614</f>
        <v>313.99658052979999</v>
      </c>
      <c r="J35" s="55">
        <v>1.8303611070000001</v>
      </c>
      <c r="K35" s="55">
        <v>343.32115380200003</v>
      </c>
      <c r="L35" s="55">
        <f t="shared" si="0"/>
        <v>730.06352640880004</v>
      </c>
      <c r="M35" s="55">
        <f t="shared" si="1"/>
        <v>82767.301988965657</v>
      </c>
    </row>
    <row r="36" spans="1:13" x14ac:dyDescent="0.25">
      <c r="A36" s="52">
        <v>13</v>
      </c>
      <c r="B36" s="53">
        <v>115</v>
      </c>
      <c r="C36" s="54" t="s">
        <v>38</v>
      </c>
      <c r="D36" s="53">
        <v>115</v>
      </c>
      <c r="E36" s="55">
        <v>0</v>
      </c>
      <c r="F36" s="55">
        <v>46.516922010000002</v>
      </c>
      <c r="G36" s="55">
        <f>50%*19.19048019</f>
        <v>9.5952400949999994</v>
      </c>
      <c r="H36" s="55">
        <f>19.19-5.5</f>
        <v>13.690000000000001</v>
      </c>
      <c r="I36" s="55">
        <f t="shared" si="2"/>
        <v>313.99658052979999</v>
      </c>
      <c r="J36" s="55">
        <v>3.2672558889999999</v>
      </c>
      <c r="K36" s="55">
        <v>249.33505379299999</v>
      </c>
      <c r="L36" s="55">
        <f t="shared" si="0"/>
        <v>636.40105231679991</v>
      </c>
      <c r="M36" s="55">
        <f t="shared" si="1"/>
        <v>73186.121016431993</v>
      </c>
    </row>
    <row r="37" spans="1:13" x14ac:dyDescent="0.25">
      <c r="A37" s="44">
        <v>14</v>
      </c>
      <c r="B37" s="45">
        <v>109.78</v>
      </c>
      <c r="C37" s="46" t="s">
        <v>37</v>
      </c>
      <c r="D37" s="45">
        <v>109.78</v>
      </c>
      <c r="E37" s="47">
        <v>0</v>
      </c>
      <c r="F37" s="47">
        <v>37.27811612</v>
      </c>
      <c r="G37" s="47">
        <f>50%*19.26058332</f>
        <v>9.6302916599999993</v>
      </c>
      <c r="H37" s="47">
        <v>6.06</v>
      </c>
      <c r="I37" s="47">
        <f>70%*448.566543614</f>
        <v>313.99658052979999</v>
      </c>
      <c r="J37" s="47">
        <v>3.520645166</v>
      </c>
      <c r="K37" s="47">
        <v>256.01331672499998</v>
      </c>
      <c r="L37" s="47">
        <f t="shared" si="0"/>
        <v>626.49895020079998</v>
      </c>
      <c r="M37" s="47">
        <f t="shared" si="1"/>
        <v>68777.05475304382</v>
      </c>
    </row>
    <row r="38" spans="1:13" x14ac:dyDescent="0.25">
      <c r="A38" s="52">
        <v>15</v>
      </c>
      <c r="B38" s="53">
        <v>119.71</v>
      </c>
      <c r="C38" s="54" t="s">
        <v>38</v>
      </c>
      <c r="D38" s="53">
        <v>119.71</v>
      </c>
      <c r="E38" s="55">
        <v>0</v>
      </c>
      <c r="F38" s="55">
        <v>42.989571159999997</v>
      </c>
      <c r="G38" s="55">
        <f>50%*19.26058332</f>
        <v>9.6302916599999993</v>
      </c>
      <c r="H38" s="55">
        <v>14.2</v>
      </c>
      <c r="I38" s="55">
        <f t="shared" si="2"/>
        <v>313.99658052979999</v>
      </c>
      <c r="J38" s="55">
        <v>3.4463609420000001</v>
      </c>
      <c r="K38" s="55">
        <v>258.12268594199998</v>
      </c>
      <c r="L38" s="55">
        <f t="shared" si="0"/>
        <v>642.38549023380006</v>
      </c>
      <c r="M38" s="55">
        <f t="shared" si="1"/>
        <v>76899.967035888199</v>
      </c>
    </row>
    <row r="39" spans="1:13" x14ac:dyDescent="0.25">
      <c r="A39" s="52">
        <v>16</v>
      </c>
      <c r="B39" s="53">
        <v>125.83</v>
      </c>
      <c r="C39" s="54" t="s">
        <v>38</v>
      </c>
      <c r="D39" s="53">
        <v>125.83</v>
      </c>
      <c r="E39" s="55">
        <v>0</v>
      </c>
      <c r="F39" s="55">
        <v>45.320733070000003</v>
      </c>
      <c r="G39" s="55">
        <f>50%*19.26058332</f>
        <v>9.6302916599999993</v>
      </c>
      <c r="H39" s="55">
        <v>13.36</v>
      </c>
      <c r="I39" s="55">
        <f t="shared" si="2"/>
        <v>313.99658052979999</v>
      </c>
      <c r="J39" s="55">
        <v>4.8839809949999999</v>
      </c>
      <c r="K39" s="55">
        <v>356.22540850500002</v>
      </c>
      <c r="L39" s="55">
        <f t="shared" si="0"/>
        <v>743.41699475979999</v>
      </c>
      <c r="M39" s="55">
        <f t="shared" si="1"/>
        <v>93544.160450625626</v>
      </c>
    </row>
    <row r="40" spans="1:13" x14ac:dyDescent="0.25">
      <c r="A40" s="48">
        <v>17</v>
      </c>
      <c r="B40" s="49">
        <v>139.57</v>
      </c>
      <c r="C40" s="50" t="s">
        <v>39</v>
      </c>
      <c r="D40" s="49">
        <v>0</v>
      </c>
      <c r="E40" s="51">
        <f>0-(80%*E24)</f>
        <v>-52</v>
      </c>
      <c r="F40" s="51">
        <v>24.806918920000001</v>
      </c>
      <c r="G40" s="51">
        <v>19.260583319999999</v>
      </c>
      <c r="H40" s="51">
        <v>0</v>
      </c>
      <c r="I40" s="51">
        <f>0%*448.566543614</f>
        <v>0</v>
      </c>
      <c r="J40" s="51">
        <v>0</v>
      </c>
      <c r="K40" s="51">
        <v>351.44349310000001</v>
      </c>
      <c r="L40" s="51">
        <f t="shared" si="0"/>
        <v>343.51099534000002</v>
      </c>
      <c r="M40" s="51">
        <f>B40*L40</f>
        <v>47943.829619603799</v>
      </c>
    </row>
    <row r="41" spans="1:13" x14ac:dyDescent="0.25">
      <c r="A41" s="48">
        <v>18</v>
      </c>
      <c r="B41" s="49">
        <v>155.93</v>
      </c>
      <c r="C41" s="50" t="s">
        <v>39</v>
      </c>
      <c r="D41" s="49">
        <v>0</v>
      </c>
      <c r="E41" s="51">
        <f t="shared" ref="E41:E45" si="3">0-(80%*E25)</f>
        <v>-48</v>
      </c>
      <c r="F41" s="51">
        <v>15.76273336</v>
      </c>
      <c r="G41" s="51">
        <v>18.180756939999998</v>
      </c>
      <c r="H41" s="51">
        <v>0</v>
      </c>
      <c r="I41" s="51">
        <f>0%*448.566543614</f>
        <v>0</v>
      </c>
      <c r="J41" s="51">
        <v>0</v>
      </c>
      <c r="K41" s="51">
        <v>344.060958228</v>
      </c>
      <c r="L41" s="51">
        <f t="shared" si="0"/>
        <v>330.00444852800001</v>
      </c>
      <c r="M41" s="51">
        <f t="shared" ref="M41:M45" si="4">B41*L41</f>
        <v>51457.593658971047</v>
      </c>
    </row>
    <row r="42" spans="1:13" x14ac:dyDescent="0.25">
      <c r="A42" s="48">
        <v>19</v>
      </c>
      <c r="B42" s="49">
        <v>163.5</v>
      </c>
      <c r="C42" s="50" t="s">
        <v>39</v>
      </c>
      <c r="D42" s="49">
        <v>0</v>
      </c>
      <c r="E42" s="51">
        <f t="shared" si="3"/>
        <v>-44</v>
      </c>
      <c r="F42" s="51">
        <v>20.17028607</v>
      </c>
      <c r="G42" s="51">
        <v>32.605982109999999</v>
      </c>
      <c r="H42" s="51">
        <v>0</v>
      </c>
      <c r="I42" s="51">
        <f>0%*448.566543614</f>
        <v>0</v>
      </c>
      <c r="J42" s="51">
        <v>0</v>
      </c>
      <c r="K42" s="51">
        <v>242.26344910200001</v>
      </c>
      <c r="L42" s="51">
        <f t="shared" si="0"/>
        <v>251.039717282</v>
      </c>
      <c r="M42" s="51">
        <f t="shared" si="4"/>
        <v>41044.993775606999</v>
      </c>
    </row>
    <row r="43" spans="1:13" x14ac:dyDescent="0.25">
      <c r="A43" s="48">
        <v>20</v>
      </c>
      <c r="B43" s="49">
        <v>146.74</v>
      </c>
      <c r="C43" s="50" t="s">
        <v>39</v>
      </c>
      <c r="D43" s="49">
        <v>0</v>
      </c>
      <c r="E43" s="51">
        <f t="shared" si="3"/>
        <v>-40</v>
      </c>
      <c r="F43" s="20">
        <v>0</v>
      </c>
      <c r="G43" s="20">
        <f>60%*36.81437153</f>
        <v>22.088622918000002</v>
      </c>
      <c r="H43" s="20">
        <v>0</v>
      </c>
      <c r="I43" s="20">
        <v>0</v>
      </c>
      <c r="J43" s="20">
        <v>0</v>
      </c>
      <c r="K43" s="20">
        <v>0</v>
      </c>
      <c r="L43" s="51">
        <f>SUM(E43:K43)</f>
        <v>-17.911377081999998</v>
      </c>
      <c r="M43" s="51">
        <f t="shared" si="4"/>
        <v>-2628.3154730126798</v>
      </c>
    </row>
    <row r="44" spans="1:13" x14ac:dyDescent="0.25">
      <c r="A44" s="48">
        <v>21</v>
      </c>
      <c r="B44" s="49">
        <v>139.38</v>
      </c>
      <c r="C44" s="50" t="s">
        <v>39</v>
      </c>
      <c r="D44" s="49">
        <v>0</v>
      </c>
      <c r="E44" s="51">
        <f t="shared" si="3"/>
        <v>-41.6</v>
      </c>
      <c r="F44" s="20">
        <v>0</v>
      </c>
      <c r="G44" s="20">
        <f>60%*36.43363367</f>
        <v>21.860180201999999</v>
      </c>
      <c r="H44" s="20">
        <v>0</v>
      </c>
      <c r="I44" s="20">
        <v>0</v>
      </c>
      <c r="J44" s="20">
        <v>0</v>
      </c>
      <c r="K44" s="20">
        <v>0</v>
      </c>
      <c r="L44" s="51">
        <f t="shared" si="0"/>
        <v>-19.739819798000003</v>
      </c>
      <c r="M44" s="51">
        <f t="shared" si="4"/>
        <v>-2751.3360834452401</v>
      </c>
    </row>
    <row r="45" spans="1:13" x14ac:dyDescent="0.25">
      <c r="A45" s="48">
        <v>22</v>
      </c>
      <c r="B45" s="49">
        <v>131.80000000000001</v>
      </c>
      <c r="C45" s="50" t="s">
        <v>39</v>
      </c>
      <c r="D45" s="49">
        <v>0</v>
      </c>
      <c r="E45" s="51">
        <f t="shared" si="3"/>
        <v>-36</v>
      </c>
      <c r="F45" s="20">
        <v>0</v>
      </c>
      <c r="G45" s="20">
        <f>60%*36.09639223</f>
        <v>21.657835337999998</v>
      </c>
      <c r="H45" s="20">
        <v>0</v>
      </c>
      <c r="I45" s="20">
        <v>0</v>
      </c>
      <c r="J45" s="20">
        <v>0</v>
      </c>
      <c r="K45" s="20">
        <v>0</v>
      </c>
      <c r="L45" s="51">
        <f t="shared" si="0"/>
        <v>-14.342164662000002</v>
      </c>
      <c r="M45" s="51">
        <f t="shared" si="4"/>
        <v>-1890.2973024516004</v>
      </c>
    </row>
    <row r="46" spans="1:13" x14ac:dyDescent="0.25">
      <c r="A46" s="52">
        <v>23</v>
      </c>
      <c r="B46" s="53">
        <v>129.94</v>
      </c>
      <c r="C46" s="54" t="s">
        <v>38</v>
      </c>
      <c r="D46" s="53">
        <v>129.94</v>
      </c>
      <c r="E46" s="55">
        <v>0</v>
      </c>
      <c r="F46" s="20">
        <v>0</v>
      </c>
      <c r="G46" s="20">
        <f>60%*30.95077665</f>
        <v>18.570465989999999</v>
      </c>
      <c r="H46" s="20">
        <v>0</v>
      </c>
      <c r="I46" s="20">
        <v>0</v>
      </c>
      <c r="J46" s="20">
        <v>0</v>
      </c>
      <c r="K46" s="20">
        <v>0</v>
      </c>
      <c r="L46" s="55">
        <f t="shared" si="0"/>
        <v>18.570465989999999</v>
      </c>
      <c r="M46" s="55">
        <f t="shared" si="1"/>
        <v>2413.0463507405998</v>
      </c>
    </row>
    <row r="47" spans="1:13" x14ac:dyDescent="0.25">
      <c r="A47" s="52">
        <v>24</v>
      </c>
      <c r="B47" s="53">
        <v>121.3</v>
      </c>
      <c r="C47" s="54" t="s">
        <v>38</v>
      </c>
      <c r="D47" s="53">
        <v>121.3</v>
      </c>
      <c r="E47" s="55">
        <v>0</v>
      </c>
      <c r="F47" s="20">
        <v>0</v>
      </c>
      <c r="G47" s="20">
        <f>60%*17.42508457</f>
        <v>10.455050741999999</v>
      </c>
      <c r="H47" s="20">
        <v>0</v>
      </c>
      <c r="I47" s="20">
        <v>0</v>
      </c>
      <c r="J47" s="20">
        <v>0</v>
      </c>
      <c r="K47" s="20">
        <v>0</v>
      </c>
      <c r="L47" s="55">
        <f t="shared" si="0"/>
        <v>10.455050741999999</v>
      </c>
      <c r="M47" s="55">
        <f>D47*L47</f>
        <v>1268.1976550045999</v>
      </c>
    </row>
    <row r="48" spans="1:13" x14ac:dyDescent="0.25">
      <c r="A48" s="15" t="s">
        <v>40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5">
        <f>SUM(M24:M47)</f>
        <v>798733.25292957714</v>
      </c>
    </row>
  </sheetData>
  <mergeCells count="1">
    <mergeCell ref="A22:M2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518-1984-4176-B8C1-C13A60100894}">
  <dimension ref="A1:M48"/>
  <sheetViews>
    <sheetView topLeftCell="A12" workbookViewId="0">
      <selection activeCell="A6" sqref="A6:B6"/>
    </sheetView>
  </sheetViews>
  <sheetFormatPr defaultRowHeight="15" x14ac:dyDescent="0.25"/>
  <cols>
    <col min="1" max="1" width="30.140625" customWidth="1"/>
    <col min="2" max="2" width="14.28515625" customWidth="1"/>
    <col min="3" max="3" width="11" customWidth="1"/>
    <col min="4" max="4" width="12.28515625" customWidth="1"/>
    <col min="5" max="5" width="15.42578125" customWidth="1"/>
    <col min="6" max="7" width="18.7109375" customWidth="1"/>
    <col min="8" max="8" width="17.7109375" customWidth="1"/>
    <col min="9" max="9" width="22" customWidth="1"/>
    <col min="10" max="10" width="17.7109375" customWidth="1"/>
    <col min="11" max="11" width="19" customWidth="1"/>
    <col min="12" max="12" width="16.7109375" customWidth="1"/>
    <col min="13" max="13" width="13.85546875" customWidth="1"/>
    <col min="14" max="14" width="19" customWidth="1"/>
  </cols>
  <sheetData>
    <row r="1" spans="1:4" ht="15.75" x14ac:dyDescent="0.25">
      <c r="A1" s="26" t="s">
        <v>50</v>
      </c>
      <c r="B1" s="26" t="s">
        <v>51</v>
      </c>
      <c r="D1" s="62" t="s">
        <v>108</v>
      </c>
    </row>
    <row r="2" spans="1:4" x14ac:dyDescent="0.25">
      <c r="A2" s="27" t="s">
        <v>52</v>
      </c>
      <c r="B2" s="27" t="s">
        <v>54</v>
      </c>
    </row>
    <row r="3" spans="1:4" x14ac:dyDescent="0.25">
      <c r="A3" s="27" t="s">
        <v>56</v>
      </c>
      <c r="B3" s="27" t="s">
        <v>70</v>
      </c>
    </row>
    <row r="4" spans="1:4" x14ac:dyDescent="0.25">
      <c r="A4" s="27" t="s">
        <v>57</v>
      </c>
      <c r="B4" s="27" t="s">
        <v>39</v>
      </c>
    </row>
    <row r="5" spans="1:4" x14ac:dyDescent="0.25">
      <c r="A5" s="27" t="s">
        <v>53</v>
      </c>
      <c r="B5" s="27" t="s">
        <v>55</v>
      </c>
    </row>
    <row r="6" spans="1:4" x14ac:dyDescent="0.25">
      <c r="A6" s="75" t="s">
        <v>76</v>
      </c>
      <c r="B6" s="75"/>
    </row>
    <row r="16" spans="1:4" x14ac:dyDescent="0.25">
      <c r="A16" s="58" t="s">
        <v>109</v>
      </c>
    </row>
    <row r="17" spans="1:13" x14ac:dyDescent="0.25">
      <c r="A17" s="59" t="s">
        <v>110</v>
      </c>
    </row>
    <row r="18" spans="1:13" x14ac:dyDescent="0.25">
      <c r="A18" s="60" t="s">
        <v>111</v>
      </c>
    </row>
    <row r="19" spans="1:13" x14ac:dyDescent="0.25">
      <c r="A19" s="61" t="s">
        <v>112</v>
      </c>
    </row>
    <row r="22" spans="1:13" ht="18.75" x14ac:dyDescent="0.3">
      <c r="A22" s="73" t="s">
        <v>60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13" ht="60" x14ac:dyDescent="0.25">
      <c r="A23" s="56" t="s">
        <v>33</v>
      </c>
      <c r="B23" s="56" t="s">
        <v>34</v>
      </c>
      <c r="C23" s="56" t="s">
        <v>35</v>
      </c>
      <c r="D23" s="56" t="s">
        <v>61</v>
      </c>
      <c r="E23" s="56" t="s">
        <v>62</v>
      </c>
      <c r="F23" s="57" t="s">
        <v>47</v>
      </c>
      <c r="G23" s="63" t="s">
        <v>46</v>
      </c>
      <c r="H23" s="57" t="s">
        <v>45</v>
      </c>
      <c r="I23" s="63" t="s">
        <v>42</v>
      </c>
      <c r="J23" s="57" t="s">
        <v>41</v>
      </c>
      <c r="K23" s="57" t="s">
        <v>44</v>
      </c>
      <c r="L23" s="57" t="s">
        <v>36</v>
      </c>
      <c r="M23" s="57" t="s">
        <v>48</v>
      </c>
    </row>
    <row r="24" spans="1:13" x14ac:dyDescent="0.25">
      <c r="A24" s="44">
        <v>1</v>
      </c>
      <c r="B24" s="45">
        <v>107.21</v>
      </c>
      <c r="C24" s="46" t="s">
        <v>37</v>
      </c>
      <c r="D24" s="45">
        <v>107.21</v>
      </c>
      <c r="E24" s="47">
        <v>65</v>
      </c>
      <c r="F24" s="20">
        <v>0</v>
      </c>
      <c r="G24" s="20">
        <f>60%*10.92546887</f>
        <v>6.5552813219999999</v>
      </c>
      <c r="H24" s="20">
        <v>0</v>
      </c>
      <c r="I24" s="20">
        <v>0</v>
      </c>
      <c r="J24" s="20">
        <v>0</v>
      </c>
      <c r="K24" s="20">
        <v>0</v>
      </c>
      <c r="L24" s="47">
        <f>SUM(E24:K24)</f>
        <v>71.555281321999999</v>
      </c>
      <c r="M24" s="47">
        <f>D24*L24</f>
        <v>7671.4417105316197</v>
      </c>
    </row>
    <row r="25" spans="1:13" x14ac:dyDescent="0.25">
      <c r="A25" s="44">
        <v>2</v>
      </c>
      <c r="B25" s="45">
        <v>101.1</v>
      </c>
      <c r="C25" s="46" t="s">
        <v>37</v>
      </c>
      <c r="D25" s="45">
        <v>101.1</v>
      </c>
      <c r="E25" s="47">
        <v>60</v>
      </c>
      <c r="F25" s="20">
        <v>0</v>
      </c>
      <c r="G25" s="20">
        <f>60%*10.92546887</f>
        <v>6.5552813219999999</v>
      </c>
      <c r="H25" s="20">
        <v>0</v>
      </c>
      <c r="I25" s="20">
        <v>0</v>
      </c>
      <c r="J25" s="20">
        <v>0</v>
      </c>
      <c r="K25" s="20">
        <v>0</v>
      </c>
      <c r="L25" s="47">
        <f>SUM(E25:K25)</f>
        <v>66.555281321999999</v>
      </c>
      <c r="M25" s="47">
        <f>D25*L25</f>
        <v>6728.7389416541992</v>
      </c>
    </row>
    <row r="26" spans="1:13" x14ac:dyDescent="0.25">
      <c r="A26" s="44">
        <v>3</v>
      </c>
      <c r="B26" s="45">
        <v>96.73</v>
      </c>
      <c r="C26" s="46" t="s">
        <v>37</v>
      </c>
      <c r="D26" s="45">
        <v>96.73</v>
      </c>
      <c r="E26" s="47">
        <v>55</v>
      </c>
      <c r="F26" s="20">
        <v>0</v>
      </c>
      <c r="G26" s="20">
        <f>60%*7.34152022</f>
        <v>4.4049121319999998</v>
      </c>
      <c r="H26" s="20">
        <v>0</v>
      </c>
      <c r="I26" s="20">
        <v>0</v>
      </c>
      <c r="J26" s="20">
        <v>0</v>
      </c>
      <c r="K26" s="20">
        <v>0</v>
      </c>
      <c r="L26" s="47">
        <f t="shared" ref="L26:L47" si="0">SUM(E26:K26)</f>
        <v>59.404912132</v>
      </c>
      <c r="M26" s="47">
        <f t="shared" ref="M26:M47" si="1">D26*L26</f>
        <v>5746.23715052836</v>
      </c>
    </row>
    <row r="27" spans="1:13" x14ac:dyDescent="0.25">
      <c r="A27" s="44">
        <v>4</v>
      </c>
      <c r="B27" s="45">
        <v>82.34</v>
      </c>
      <c r="C27" s="46" t="s">
        <v>37</v>
      </c>
      <c r="D27" s="45">
        <v>82.34</v>
      </c>
      <c r="E27" s="47">
        <v>50</v>
      </c>
      <c r="F27" s="20">
        <v>0</v>
      </c>
      <c r="G27" s="20">
        <f>60%*7.341520229</f>
        <v>4.4049121374000002</v>
      </c>
      <c r="H27" s="20">
        <v>0</v>
      </c>
      <c r="I27" s="20">
        <v>0</v>
      </c>
      <c r="J27" s="20">
        <v>0</v>
      </c>
      <c r="K27" s="20">
        <v>0</v>
      </c>
      <c r="L27" s="47">
        <f t="shared" si="0"/>
        <v>54.404912137400004</v>
      </c>
      <c r="M27" s="47">
        <f t="shared" si="1"/>
        <v>4479.7004653935164</v>
      </c>
    </row>
    <row r="28" spans="1:13" x14ac:dyDescent="0.25">
      <c r="A28" s="44">
        <v>5</v>
      </c>
      <c r="B28" s="45">
        <v>81.93</v>
      </c>
      <c r="C28" s="46" t="s">
        <v>37</v>
      </c>
      <c r="D28" s="45">
        <v>81.93</v>
      </c>
      <c r="E28" s="47">
        <v>52</v>
      </c>
      <c r="F28" s="20">
        <v>0</v>
      </c>
      <c r="G28" s="20">
        <f>60%*7.341520229</f>
        <v>4.4049121374000002</v>
      </c>
      <c r="H28" s="20">
        <v>0</v>
      </c>
      <c r="I28" s="20">
        <v>0</v>
      </c>
      <c r="J28" s="20">
        <v>0</v>
      </c>
      <c r="K28" s="20">
        <v>0</v>
      </c>
      <c r="L28" s="47">
        <f t="shared" si="0"/>
        <v>56.404912137400004</v>
      </c>
      <c r="M28" s="47">
        <f t="shared" si="1"/>
        <v>4621.2544514171823</v>
      </c>
    </row>
    <row r="29" spans="1:13" x14ac:dyDescent="0.25">
      <c r="A29" s="44">
        <v>6</v>
      </c>
      <c r="B29" s="45">
        <v>84.03</v>
      </c>
      <c r="C29" s="46" t="s">
        <v>37</v>
      </c>
      <c r="D29" s="45">
        <v>84.03</v>
      </c>
      <c r="E29" s="47">
        <v>45</v>
      </c>
      <c r="F29" s="20">
        <v>0</v>
      </c>
      <c r="G29" s="20">
        <f>60%*7.801412376</f>
        <v>4.6808474255999997</v>
      </c>
      <c r="H29" s="20">
        <v>0</v>
      </c>
      <c r="I29" s="20">
        <v>0</v>
      </c>
      <c r="J29" s="20">
        <v>0</v>
      </c>
      <c r="K29" s="20">
        <v>0</v>
      </c>
      <c r="L29" s="47">
        <f t="shared" si="0"/>
        <v>49.6808474256</v>
      </c>
      <c r="M29" s="47">
        <f t="shared" si="1"/>
        <v>4174.681609173168</v>
      </c>
    </row>
    <row r="30" spans="1:13" x14ac:dyDescent="0.25">
      <c r="A30" s="44">
        <v>7</v>
      </c>
      <c r="B30" s="45">
        <v>97.25</v>
      </c>
      <c r="C30" s="46" t="s">
        <v>37</v>
      </c>
      <c r="D30" s="45">
        <v>97.25</v>
      </c>
      <c r="E30" s="47">
        <v>45</v>
      </c>
      <c r="F30" s="20">
        <v>0</v>
      </c>
      <c r="G30" s="20">
        <f>60%*18.50820101</f>
        <v>11.104920606</v>
      </c>
      <c r="H30" s="20">
        <v>0</v>
      </c>
      <c r="I30" s="20">
        <v>0</v>
      </c>
      <c r="J30" s="20">
        <v>0</v>
      </c>
      <c r="K30" s="20">
        <v>0</v>
      </c>
      <c r="L30" s="47">
        <f t="shared" si="0"/>
        <v>56.104920606</v>
      </c>
      <c r="M30" s="47">
        <f t="shared" si="1"/>
        <v>5456.2035289334999</v>
      </c>
    </row>
    <row r="31" spans="1:13" x14ac:dyDescent="0.25">
      <c r="A31" s="52">
        <v>8</v>
      </c>
      <c r="B31" s="53">
        <v>106.51</v>
      </c>
      <c r="C31" s="54" t="s">
        <v>38</v>
      </c>
      <c r="D31" s="53">
        <v>106.51</v>
      </c>
      <c r="E31" s="55">
        <v>0</v>
      </c>
      <c r="F31" s="55">
        <v>30.192005640000001</v>
      </c>
      <c r="G31" s="55">
        <f>50%*19.49265612</f>
        <v>9.7463280599999997</v>
      </c>
      <c r="H31" s="55">
        <f>19.49-5.5</f>
        <v>13.989999999999998</v>
      </c>
      <c r="I31" s="55">
        <f>70%*149.522181205</f>
        <v>104.6655268435</v>
      </c>
      <c r="J31" s="55">
        <v>1.5986062830000001</v>
      </c>
      <c r="K31" s="55">
        <v>39.357278399000002</v>
      </c>
      <c r="L31" s="55">
        <f t="shared" si="0"/>
        <v>199.5497452255</v>
      </c>
      <c r="M31" s="55">
        <f t="shared" si="1"/>
        <v>21254.043363968005</v>
      </c>
    </row>
    <row r="32" spans="1:13" x14ac:dyDescent="0.25">
      <c r="A32" s="52">
        <v>9</v>
      </c>
      <c r="B32" s="53">
        <v>120.7</v>
      </c>
      <c r="C32" s="54" t="s">
        <v>38</v>
      </c>
      <c r="D32" s="53">
        <v>120.7</v>
      </c>
      <c r="E32" s="55">
        <v>0</v>
      </c>
      <c r="F32" s="55">
        <v>51.412559829999999</v>
      </c>
      <c r="G32" s="55">
        <f>50%*26.32865994</f>
        <v>13.164329970000001</v>
      </c>
      <c r="H32" s="55">
        <f>26.33-5.5</f>
        <v>20.83</v>
      </c>
      <c r="I32" s="55">
        <f>70%*448.566543614</f>
        <v>313.99658052979999</v>
      </c>
      <c r="J32" s="55">
        <v>1.0956177439999999</v>
      </c>
      <c r="K32" s="55">
        <v>114.937670943</v>
      </c>
      <c r="L32" s="55">
        <f t="shared" si="0"/>
        <v>515.4367590167999</v>
      </c>
      <c r="M32" s="55">
        <f t="shared" si="1"/>
        <v>62213.216813327752</v>
      </c>
    </row>
    <row r="33" spans="1:13" x14ac:dyDescent="0.25">
      <c r="A33" s="52">
        <v>10</v>
      </c>
      <c r="B33" s="53">
        <v>116.86</v>
      </c>
      <c r="C33" s="54" t="s">
        <v>38</v>
      </c>
      <c r="D33" s="53">
        <v>116.86</v>
      </c>
      <c r="E33" s="55">
        <v>0</v>
      </c>
      <c r="F33" s="55">
        <v>57.893453340000001</v>
      </c>
      <c r="G33" s="55">
        <f>50%*26.244327</f>
        <v>13.122163499999999</v>
      </c>
      <c r="H33" s="55">
        <v>10.25</v>
      </c>
      <c r="I33" s="55">
        <f>60%*448.566543614</f>
        <v>269.1399261684</v>
      </c>
      <c r="J33" s="55">
        <v>2.08609511</v>
      </c>
      <c r="K33" s="55">
        <v>131.87305045299999</v>
      </c>
      <c r="L33" s="55">
        <f t="shared" si="0"/>
        <v>484.36468857139994</v>
      </c>
      <c r="M33" s="55">
        <f t="shared" si="1"/>
        <v>56602.857506453794</v>
      </c>
    </row>
    <row r="34" spans="1:13" x14ac:dyDescent="0.25">
      <c r="A34" s="52">
        <v>11</v>
      </c>
      <c r="B34" s="53">
        <v>112.85</v>
      </c>
      <c r="C34" s="54" t="s">
        <v>38</v>
      </c>
      <c r="D34" s="53">
        <v>112.85</v>
      </c>
      <c r="E34" s="55">
        <v>0</v>
      </c>
      <c r="F34" s="55">
        <v>49.372913220000001</v>
      </c>
      <c r="G34" s="55">
        <f>0%*21.7447113</f>
        <v>0</v>
      </c>
      <c r="H34" s="55">
        <v>16.239999999999998</v>
      </c>
      <c r="I34" s="55">
        <f t="shared" ref="I34:I42" si="2">0%*448.566543614</f>
        <v>0</v>
      </c>
      <c r="J34" s="55">
        <v>1.331467706</v>
      </c>
      <c r="K34" s="55">
        <v>339.33964092299999</v>
      </c>
      <c r="L34" s="55">
        <f t="shared" si="0"/>
        <v>406.284021849</v>
      </c>
      <c r="M34" s="55">
        <f t="shared" si="1"/>
        <v>45849.151865659645</v>
      </c>
    </row>
    <row r="35" spans="1:13" x14ac:dyDescent="0.25">
      <c r="A35" s="52">
        <v>12</v>
      </c>
      <c r="B35" s="53">
        <v>113.37</v>
      </c>
      <c r="C35" s="54" t="s">
        <v>38</v>
      </c>
      <c r="D35" s="53">
        <v>113.37</v>
      </c>
      <c r="E35" s="55">
        <v>0</v>
      </c>
      <c r="F35" s="55">
        <v>47.402972839999997</v>
      </c>
      <c r="G35" s="55">
        <f>0%*19.34491626</f>
        <v>0</v>
      </c>
      <c r="H35" s="55">
        <v>13.84</v>
      </c>
      <c r="I35" s="55">
        <f t="shared" si="2"/>
        <v>0</v>
      </c>
      <c r="J35" s="55">
        <v>1.8303611070000001</v>
      </c>
      <c r="K35" s="55">
        <v>343.32115380200003</v>
      </c>
      <c r="L35" s="55">
        <f t="shared" si="0"/>
        <v>406.39448774900001</v>
      </c>
      <c r="M35" s="55">
        <f t="shared" si="1"/>
        <v>46072.943076104129</v>
      </c>
    </row>
    <row r="36" spans="1:13" x14ac:dyDescent="0.25">
      <c r="A36" s="52">
        <v>13</v>
      </c>
      <c r="B36" s="53">
        <v>115</v>
      </c>
      <c r="C36" s="54" t="s">
        <v>38</v>
      </c>
      <c r="D36" s="53">
        <v>115</v>
      </c>
      <c r="E36" s="55">
        <v>0</v>
      </c>
      <c r="F36" s="55">
        <v>46.516922010000002</v>
      </c>
      <c r="G36" s="55">
        <f>0%*19.19048019</f>
        <v>0</v>
      </c>
      <c r="H36" s="55">
        <f>19.19-5.5</f>
        <v>13.690000000000001</v>
      </c>
      <c r="I36" s="55">
        <f t="shared" si="2"/>
        <v>0</v>
      </c>
      <c r="J36" s="55">
        <v>3.2672558889999999</v>
      </c>
      <c r="K36" s="55">
        <v>249.33505379299999</v>
      </c>
      <c r="L36" s="55">
        <f t="shared" si="0"/>
        <v>312.80923169199997</v>
      </c>
      <c r="M36" s="55">
        <f t="shared" si="1"/>
        <v>35973.061644579997</v>
      </c>
    </row>
    <row r="37" spans="1:13" x14ac:dyDescent="0.25">
      <c r="A37" s="44">
        <v>14</v>
      </c>
      <c r="B37" s="45">
        <v>109.78</v>
      </c>
      <c r="C37" s="46" t="s">
        <v>37</v>
      </c>
      <c r="D37" s="45">
        <v>109.78</v>
      </c>
      <c r="E37" s="47">
        <v>0</v>
      </c>
      <c r="F37" s="47">
        <v>37.27811612</v>
      </c>
      <c r="G37" s="47">
        <f>0%*19.19048019</f>
        <v>0</v>
      </c>
      <c r="H37" s="47">
        <v>6.06</v>
      </c>
      <c r="I37" s="47">
        <f t="shared" si="2"/>
        <v>0</v>
      </c>
      <c r="J37" s="47">
        <v>3.520645166</v>
      </c>
      <c r="K37" s="47">
        <v>256.01331672499998</v>
      </c>
      <c r="L37" s="47">
        <f t="shared" si="0"/>
        <v>302.87207801099999</v>
      </c>
      <c r="M37" s="47">
        <f t="shared" si="1"/>
        <v>33249.296724047577</v>
      </c>
    </row>
    <row r="38" spans="1:13" x14ac:dyDescent="0.25">
      <c r="A38" s="52">
        <v>15</v>
      </c>
      <c r="B38" s="53">
        <v>119.71</v>
      </c>
      <c r="C38" s="54" t="s">
        <v>38</v>
      </c>
      <c r="D38" s="53">
        <v>119.71</v>
      </c>
      <c r="E38" s="55">
        <v>0</v>
      </c>
      <c r="F38" s="55">
        <v>42.989571159999997</v>
      </c>
      <c r="G38" s="55">
        <f>0%*19.19048019</f>
        <v>0</v>
      </c>
      <c r="H38" s="55">
        <v>14.2</v>
      </c>
      <c r="I38" s="55">
        <f t="shared" si="2"/>
        <v>0</v>
      </c>
      <c r="J38" s="55">
        <v>3.4463609420000001</v>
      </c>
      <c r="K38" s="55">
        <v>258.12268594199998</v>
      </c>
      <c r="L38" s="55">
        <f t="shared" si="0"/>
        <v>318.75861804399995</v>
      </c>
      <c r="M38" s="55">
        <f t="shared" si="1"/>
        <v>38158.594166047231</v>
      </c>
    </row>
    <row r="39" spans="1:13" x14ac:dyDescent="0.25">
      <c r="A39" s="52">
        <v>16</v>
      </c>
      <c r="B39" s="53">
        <v>125.83</v>
      </c>
      <c r="C39" s="54" t="s">
        <v>38</v>
      </c>
      <c r="D39" s="53">
        <v>125.83</v>
      </c>
      <c r="E39" s="55">
        <v>0</v>
      </c>
      <c r="F39" s="55">
        <v>45.320733070000003</v>
      </c>
      <c r="G39" s="55">
        <f>0%*19.19048019</f>
        <v>0</v>
      </c>
      <c r="H39" s="55">
        <v>13.36</v>
      </c>
      <c r="I39" s="55">
        <f t="shared" si="2"/>
        <v>0</v>
      </c>
      <c r="J39" s="55">
        <v>4.8839809949999999</v>
      </c>
      <c r="K39" s="55">
        <v>356.22540850500002</v>
      </c>
      <c r="L39" s="55">
        <f t="shared" si="0"/>
        <v>419.79012256999999</v>
      </c>
      <c r="M39" s="55">
        <f t="shared" si="1"/>
        <v>52822.191122983102</v>
      </c>
    </row>
    <row r="40" spans="1:13" x14ac:dyDescent="0.25">
      <c r="A40" s="48">
        <v>17</v>
      </c>
      <c r="B40" s="49">
        <v>139.57</v>
      </c>
      <c r="C40" s="50" t="s">
        <v>39</v>
      </c>
      <c r="D40" s="49">
        <v>0</v>
      </c>
      <c r="E40" s="51">
        <f>0-(80%*E24)</f>
        <v>-52</v>
      </c>
      <c r="F40" s="51">
        <v>24.806918920000001</v>
      </c>
      <c r="G40" s="51">
        <f>10%*19.26058332</f>
        <v>1.926058332</v>
      </c>
      <c r="H40" s="51">
        <v>0</v>
      </c>
      <c r="I40" s="51">
        <f t="shared" si="2"/>
        <v>0</v>
      </c>
      <c r="J40" s="51">
        <v>0</v>
      </c>
      <c r="K40" s="51">
        <v>351.44349310000001</v>
      </c>
      <c r="L40" s="51">
        <f t="shared" si="0"/>
        <v>326.17647035200002</v>
      </c>
      <c r="M40" s="51">
        <f>B40*L40</f>
        <v>45524.449967028639</v>
      </c>
    </row>
    <row r="41" spans="1:13" x14ac:dyDescent="0.25">
      <c r="A41" s="48">
        <v>18</v>
      </c>
      <c r="B41" s="49">
        <v>155.93</v>
      </c>
      <c r="C41" s="50" t="s">
        <v>39</v>
      </c>
      <c r="D41" s="49">
        <v>0</v>
      </c>
      <c r="E41" s="51">
        <f t="shared" ref="E41:E45" si="3">0-(80%*E25)</f>
        <v>-48</v>
      </c>
      <c r="F41" s="51">
        <v>15.76273336</v>
      </c>
      <c r="G41" s="51">
        <f>10%*18.18075694</f>
        <v>1.818075694</v>
      </c>
      <c r="H41" s="51">
        <v>0</v>
      </c>
      <c r="I41" s="51">
        <f t="shared" si="2"/>
        <v>0</v>
      </c>
      <c r="J41" s="51">
        <v>0</v>
      </c>
      <c r="K41" s="51">
        <v>344.060958228</v>
      </c>
      <c r="L41" s="51">
        <f t="shared" si="0"/>
        <v>313.64176728199999</v>
      </c>
      <c r="M41" s="51">
        <f t="shared" ref="M41:M45" si="4">B41*L41</f>
        <v>48906.160772282259</v>
      </c>
    </row>
    <row r="42" spans="1:13" x14ac:dyDescent="0.25">
      <c r="A42" s="48">
        <v>19</v>
      </c>
      <c r="B42" s="49">
        <v>163.5</v>
      </c>
      <c r="C42" s="50" t="s">
        <v>39</v>
      </c>
      <c r="D42" s="49">
        <v>0</v>
      </c>
      <c r="E42" s="51">
        <f t="shared" si="3"/>
        <v>-44</v>
      </c>
      <c r="F42" s="51">
        <v>20.17028607</v>
      </c>
      <c r="G42" s="51">
        <f>10%*32.60598211</f>
        <v>3.260598211</v>
      </c>
      <c r="H42" s="51">
        <v>0</v>
      </c>
      <c r="I42" s="51">
        <f t="shared" si="2"/>
        <v>0</v>
      </c>
      <c r="J42" s="51">
        <v>0</v>
      </c>
      <c r="K42" s="51">
        <v>242.26344910200001</v>
      </c>
      <c r="L42" s="51">
        <f t="shared" si="0"/>
        <v>221.69433338300001</v>
      </c>
      <c r="M42" s="51">
        <f t="shared" si="4"/>
        <v>36247.023508120503</v>
      </c>
    </row>
    <row r="43" spans="1:13" x14ac:dyDescent="0.25">
      <c r="A43" s="48">
        <v>20</v>
      </c>
      <c r="B43" s="49">
        <v>146.74</v>
      </c>
      <c r="C43" s="50" t="s">
        <v>39</v>
      </c>
      <c r="D43" s="49">
        <v>0</v>
      </c>
      <c r="E43" s="51">
        <f t="shared" si="3"/>
        <v>-40</v>
      </c>
      <c r="F43" s="20">
        <v>0</v>
      </c>
      <c r="G43" s="20">
        <f>60%*36.81437153</f>
        <v>22.088622918000002</v>
      </c>
      <c r="H43" s="20">
        <v>0</v>
      </c>
      <c r="I43" s="20">
        <v>0</v>
      </c>
      <c r="J43" s="20">
        <v>0</v>
      </c>
      <c r="K43" s="20">
        <v>0</v>
      </c>
      <c r="L43" s="51">
        <f>SUM(E43:K43)</f>
        <v>-17.911377081999998</v>
      </c>
      <c r="M43" s="51">
        <f t="shared" si="4"/>
        <v>-2628.3154730126798</v>
      </c>
    </row>
    <row r="44" spans="1:13" x14ac:dyDescent="0.25">
      <c r="A44" s="48">
        <v>21</v>
      </c>
      <c r="B44" s="49">
        <v>139.38</v>
      </c>
      <c r="C44" s="50" t="s">
        <v>39</v>
      </c>
      <c r="D44" s="49">
        <v>0</v>
      </c>
      <c r="E44" s="51">
        <f t="shared" si="3"/>
        <v>-41.6</v>
      </c>
      <c r="F44" s="20">
        <v>0</v>
      </c>
      <c r="G44" s="20">
        <f>60%*36.43363367</f>
        <v>21.860180201999999</v>
      </c>
      <c r="H44" s="20">
        <v>0</v>
      </c>
      <c r="I44" s="20">
        <v>0</v>
      </c>
      <c r="J44" s="20">
        <v>0</v>
      </c>
      <c r="K44" s="20">
        <v>0</v>
      </c>
      <c r="L44" s="51">
        <f t="shared" si="0"/>
        <v>-19.739819798000003</v>
      </c>
      <c r="M44" s="51">
        <f t="shared" si="4"/>
        <v>-2751.3360834452401</v>
      </c>
    </row>
    <row r="45" spans="1:13" x14ac:dyDescent="0.25">
      <c r="A45" s="48">
        <v>22</v>
      </c>
      <c r="B45" s="49">
        <v>131.80000000000001</v>
      </c>
      <c r="C45" s="50" t="s">
        <v>39</v>
      </c>
      <c r="D45" s="49">
        <v>0</v>
      </c>
      <c r="E45" s="51">
        <f t="shared" si="3"/>
        <v>-36</v>
      </c>
      <c r="F45" s="20">
        <v>0</v>
      </c>
      <c r="G45" s="20">
        <f>60%*36.09639223</f>
        <v>21.657835337999998</v>
      </c>
      <c r="H45" s="20">
        <v>0</v>
      </c>
      <c r="I45" s="20">
        <v>0</v>
      </c>
      <c r="J45" s="20">
        <v>0</v>
      </c>
      <c r="K45" s="20">
        <v>0</v>
      </c>
      <c r="L45" s="51">
        <f t="shared" si="0"/>
        <v>-14.342164662000002</v>
      </c>
      <c r="M45" s="51">
        <f t="shared" si="4"/>
        <v>-1890.2973024516004</v>
      </c>
    </row>
    <row r="46" spans="1:13" x14ac:dyDescent="0.25">
      <c r="A46" s="52">
        <v>23</v>
      </c>
      <c r="B46" s="53">
        <v>129.94</v>
      </c>
      <c r="C46" s="54" t="s">
        <v>38</v>
      </c>
      <c r="D46" s="53">
        <v>129.94</v>
      </c>
      <c r="E46" s="55">
        <v>0</v>
      </c>
      <c r="F46" s="20">
        <v>0</v>
      </c>
      <c r="G46" s="20">
        <f>60%*30.95077665</f>
        <v>18.570465989999999</v>
      </c>
      <c r="H46" s="20">
        <v>0</v>
      </c>
      <c r="I46" s="20">
        <v>0</v>
      </c>
      <c r="J46" s="20">
        <v>0</v>
      </c>
      <c r="K46" s="20">
        <v>0</v>
      </c>
      <c r="L46" s="55">
        <f t="shared" si="0"/>
        <v>18.570465989999999</v>
      </c>
      <c r="M46" s="55">
        <f t="shared" si="1"/>
        <v>2413.0463507405998</v>
      </c>
    </row>
    <row r="47" spans="1:13" x14ac:dyDescent="0.25">
      <c r="A47" s="52">
        <v>24</v>
      </c>
      <c r="B47" s="53">
        <v>121.3</v>
      </c>
      <c r="C47" s="54" t="s">
        <v>38</v>
      </c>
      <c r="D47" s="53">
        <v>121.3</v>
      </c>
      <c r="E47" s="55">
        <v>0</v>
      </c>
      <c r="F47" s="20">
        <v>0</v>
      </c>
      <c r="G47" s="20">
        <f>60%*17.42508457</f>
        <v>10.455050741999999</v>
      </c>
      <c r="H47" s="20">
        <v>0</v>
      </c>
      <c r="I47" s="20">
        <v>0</v>
      </c>
      <c r="J47" s="20">
        <v>0</v>
      </c>
      <c r="K47" s="20">
        <v>0</v>
      </c>
      <c r="L47" s="55">
        <f t="shared" si="0"/>
        <v>10.455050741999999</v>
      </c>
      <c r="M47" s="55">
        <f t="shared" si="1"/>
        <v>1268.1976550045999</v>
      </c>
    </row>
    <row r="48" spans="1:13" x14ac:dyDescent="0.25">
      <c r="A48" s="15" t="s">
        <v>40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5">
        <f>SUM(M24:M47)</f>
        <v>558162.5435350698</v>
      </c>
    </row>
  </sheetData>
  <mergeCells count="2">
    <mergeCell ref="A22:M22"/>
    <mergeCell ref="A6:B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87A1-8010-46B5-B4C9-2677092D2D61}">
  <dimension ref="A1:M48"/>
  <sheetViews>
    <sheetView workbookViewId="0">
      <selection activeCell="G23" sqref="G23"/>
    </sheetView>
  </sheetViews>
  <sheetFormatPr defaultRowHeight="15" x14ac:dyDescent="0.25"/>
  <cols>
    <col min="1" max="1" width="34.85546875" customWidth="1"/>
    <col min="2" max="2" width="15" customWidth="1"/>
    <col min="3" max="3" width="11" customWidth="1"/>
    <col min="4" max="4" width="12.28515625" customWidth="1"/>
    <col min="5" max="5" width="15.42578125" customWidth="1"/>
    <col min="6" max="7" width="18.7109375" customWidth="1"/>
    <col min="8" max="8" width="17.7109375" customWidth="1"/>
    <col min="9" max="9" width="22" customWidth="1"/>
    <col min="10" max="10" width="17.7109375" customWidth="1"/>
    <col min="11" max="11" width="19" customWidth="1"/>
    <col min="12" max="12" width="16.7109375" customWidth="1"/>
    <col min="13" max="13" width="13.85546875" customWidth="1"/>
    <col min="14" max="14" width="19" customWidth="1"/>
  </cols>
  <sheetData>
    <row r="1" spans="1:4" x14ac:dyDescent="0.25">
      <c r="A1" s="29" t="s">
        <v>77</v>
      </c>
      <c r="B1" s="29"/>
      <c r="D1" s="62" t="s">
        <v>108</v>
      </c>
    </row>
    <row r="2" spans="1:4" ht="15.75" x14ac:dyDescent="0.25">
      <c r="A2" s="26" t="s">
        <v>50</v>
      </c>
      <c r="B2" s="26" t="s">
        <v>51</v>
      </c>
    </row>
    <row r="3" spans="1:4" x14ac:dyDescent="0.25">
      <c r="A3" s="27" t="s">
        <v>52</v>
      </c>
      <c r="B3" s="27" t="s">
        <v>54</v>
      </c>
    </row>
    <row r="4" spans="1:4" x14ac:dyDescent="0.25">
      <c r="A4" s="27" t="s">
        <v>56</v>
      </c>
      <c r="B4" s="27" t="s">
        <v>75</v>
      </c>
    </row>
    <row r="5" spans="1:4" x14ac:dyDescent="0.25">
      <c r="A5" s="27" t="s">
        <v>57</v>
      </c>
      <c r="B5" s="27" t="s">
        <v>37</v>
      </c>
    </row>
    <row r="6" spans="1:4" x14ac:dyDescent="0.25">
      <c r="A6" s="27" t="s">
        <v>53</v>
      </c>
      <c r="B6" s="27" t="s">
        <v>55</v>
      </c>
    </row>
    <row r="16" spans="1:4" x14ac:dyDescent="0.25">
      <c r="A16" s="58" t="s">
        <v>109</v>
      </c>
    </row>
    <row r="17" spans="1:13" x14ac:dyDescent="0.25">
      <c r="A17" s="59" t="s">
        <v>110</v>
      </c>
    </row>
    <row r="18" spans="1:13" x14ac:dyDescent="0.25">
      <c r="A18" s="60" t="s">
        <v>111</v>
      </c>
    </row>
    <row r="19" spans="1:13" x14ac:dyDescent="0.25">
      <c r="A19" s="61" t="s">
        <v>112</v>
      </c>
    </row>
    <row r="22" spans="1:13" ht="18.75" x14ac:dyDescent="0.3">
      <c r="A22" s="73" t="s">
        <v>60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13" ht="60" x14ac:dyDescent="0.25">
      <c r="A23" s="56" t="s">
        <v>33</v>
      </c>
      <c r="B23" s="56" t="s">
        <v>34</v>
      </c>
      <c r="C23" s="56" t="s">
        <v>35</v>
      </c>
      <c r="D23" s="56" t="s">
        <v>61</v>
      </c>
      <c r="E23" s="56" t="s">
        <v>62</v>
      </c>
      <c r="F23" s="57" t="s">
        <v>47</v>
      </c>
      <c r="G23" s="63" t="s">
        <v>46</v>
      </c>
      <c r="H23" s="57" t="s">
        <v>45</v>
      </c>
      <c r="I23" s="57" t="s">
        <v>42</v>
      </c>
      <c r="J23" s="57" t="s">
        <v>41</v>
      </c>
      <c r="K23" s="57" t="s">
        <v>44</v>
      </c>
      <c r="L23" s="57" t="s">
        <v>36</v>
      </c>
      <c r="M23" s="57" t="s">
        <v>48</v>
      </c>
    </row>
    <row r="24" spans="1:13" x14ac:dyDescent="0.25">
      <c r="A24" s="44">
        <v>1</v>
      </c>
      <c r="B24" s="45">
        <v>107.21</v>
      </c>
      <c r="C24" s="46" t="s">
        <v>37</v>
      </c>
      <c r="D24" s="45">
        <v>107.21</v>
      </c>
      <c r="E24" s="47">
        <v>65</v>
      </c>
      <c r="F24" s="20">
        <v>0</v>
      </c>
      <c r="G24" s="20">
        <f>60%*10.92546887</f>
        <v>6.5552813219999999</v>
      </c>
      <c r="H24" s="20">
        <v>0</v>
      </c>
      <c r="I24" s="20">
        <v>0</v>
      </c>
      <c r="J24" s="20">
        <v>0</v>
      </c>
      <c r="K24" s="20">
        <v>0</v>
      </c>
      <c r="L24" s="47">
        <f>SUM(E24:K24)</f>
        <v>71.555281321999999</v>
      </c>
      <c r="M24" s="47">
        <f>D24*L24</f>
        <v>7671.4417105316197</v>
      </c>
    </row>
    <row r="25" spans="1:13" x14ac:dyDescent="0.25">
      <c r="A25" s="44">
        <v>2</v>
      </c>
      <c r="B25" s="45">
        <v>101.1</v>
      </c>
      <c r="C25" s="46" t="s">
        <v>37</v>
      </c>
      <c r="D25" s="45">
        <v>101.1</v>
      </c>
      <c r="E25" s="47">
        <v>60</v>
      </c>
      <c r="F25" s="20">
        <v>0</v>
      </c>
      <c r="G25" s="20">
        <f>60%*10.92546887</f>
        <v>6.5552813219999999</v>
      </c>
      <c r="H25" s="20">
        <v>0</v>
      </c>
      <c r="I25" s="20">
        <v>0</v>
      </c>
      <c r="J25" s="20">
        <v>0</v>
      </c>
      <c r="K25" s="20">
        <v>0</v>
      </c>
      <c r="L25" s="47">
        <f>SUM(E25:K25)</f>
        <v>66.555281321999999</v>
      </c>
      <c r="M25" s="47">
        <f>D25*L25</f>
        <v>6728.7389416541992</v>
      </c>
    </row>
    <row r="26" spans="1:13" x14ac:dyDescent="0.25">
      <c r="A26" s="44">
        <v>3</v>
      </c>
      <c r="B26" s="45">
        <v>96.73</v>
      </c>
      <c r="C26" s="46" t="s">
        <v>37</v>
      </c>
      <c r="D26" s="45">
        <v>96.73</v>
      </c>
      <c r="E26" s="47">
        <v>55</v>
      </c>
      <c r="F26" s="20">
        <v>0</v>
      </c>
      <c r="G26" s="20">
        <f>60%*7.34152022</f>
        <v>4.4049121319999998</v>
      </c>
      <c r="H26" s="20">
        <v>0</v>
      </c>
      <c r="I26" s="20">
        <v>0</v>
      </c>
      <c r="J26" s="20">
        <v>0</v>
      </c>
      <c r="K26" s="20">
        <v>0</v>
      </c>
      <c r="L26" s="47">
        <f t="shared" ref="L26:L47" si="0">SUM(E26:K26)</f>
        <v>59.404912132</v>
      </c>
      <c r="M26" s="47">
        <f t="shared" ref="M26:M47" si="1">D26*L26</f>
        <v>5746.23715052836</v>
      </c>
    </row>
    <row r="27" spans="1:13" x14ac:dyDescent="0.25">
      <c r="A27" s="44">
        <v>4</v>
      </c>
      <c r="B27" s="45">
        <v>82.34</v>
      </c>
      <c r="C27" s="46" t="s">
        <v>37</v>
      </c>
      <c r="D27" s="45">
        <v>82.34</v>
      </c>
      <c r="E27" s="47">
        <v>50</v>
      </c>
      <c r="F27" s="20">
        <v>0</v>
      </c>
      <c r="G27" s="20">
        <f>60%*7.341520229</f>
        <v>4.4049121374000002</v>
      </c>
      <c r="H27" s="20">
        <v>0</v>
      </c>
      <c r="I27" s="20">
        <v>0</v>
      </c>
      <c r="J27" s="20">
        <v>0</v>
      </c>
      <c r="K27" s="20">
        <v>0</v>
      </c>
      <c r="L27" s="47">
        <f t="shared" si="0"/>
        <v>54.404912137400004</v>
      </c>
      <c r="M27" s="47">
        <f t="shared" si="1"/>
        <v>4479.7004653935164</v>
      </c>
    </row>
    <row r="28" spans="1:13" x14ac:dyDescent="0.25">
      <c r="A28" s="44">
        <v>5</v>
      </c>
      <c r="B28" s="45">
        <v>81.93</v>
      </c>
      <c r="C28" s="46" t="s">
        <v>37</v>
      </c>
      <c r="D28" s="45">
        <v>81.93</v>
      </c>
      <c r="E28" s="47">
        <v>52</v>
      </c>
      <c r="F28" s="20">
        <v>0</v>
      </c>
      <c r="G28" s="20">
        <f>60%*7.341520229</f>
        <v>4.4049121374000002</v>
      </c>
      <c r="H28" s="20">
        <v>0</v>
      </c>
      <c r="I28" s="20">
        <v>0</v>
      </c>
      <c r="J28" s="20">
        <v>0</v>
      </c>
      <c r="K28" s="20">
        <v>0</v>
      </c>
      <c r="L28" s="47">
        <f t="shared" si="0"/>
        <v>56.404912137400004</v>
      </c>
      <c r="M28" s="47">
        <f t="shared" si="1"/>
        <v>4621.2544514171823</v>
      </c>
    </row>
    <row r="29" spans="1:13" x14ac:dyDescent="0.25">
      <c r="A29" s="44">
        <v>6</v>
      </c>
      <c r="B29" s="45">
        <v>84.03</v>
      </c>
      <c r="C29" s="46" t="s">
        <v>37</v>
      </c>
      <c r="D29" s="45">
        <v>84.03</v>
      </c>
      <c r="E29" s="47">
        <v>45</v>
      </c>
      <c r="F29" s="20">
        <v>0</v>
      </c>
      <c r="G29" s="20">
        <f>60%*7.801412376</f>
        <v>4.6808474255999997</v>
      </c>
      <c r="H29" s="20">
        <v>0</v>
      </c>
      <c r="I29" s="20">
        <v>0</v>
      </c>
      <c r="J29" s="20">
        <v>0</v>
      </c>
      <c r="K29" s="20">
        <v>0</v>
      </c>
      <c r="L29" s="47">
        <f t="shared" si="0"/>
        <v>49.6808474256</v>
      </c>
      <c r="M29" s="47">
        <f t="shared" si="1"/>
        <v>4174.681609173168</v>
      </c>
    </row>
    <row r="30" spans="1:13" x14ac:dyDescent="0.25">
      <c r="A30" s="44">
        <v>7</v>
      </c>
      <c r="B30" s="45">
        <v>97.25</v>
      </c>
      <c r="C30" s="46" t="s">
        <v>37</v>
      </c>
      <c r="D30" s="45">
        <v>97.25</v>
      </c>
      <c r="E30" s="47">
        <v>45</v>
      </c>
      <c r="F30" s="20">
        <v>0</v>
      </c>
      <c r="G30" s="20">
        <f>60%*18.50820101</f>
        <v>11.104920606</v>
      </c>
      <c r="H30" s="20">
        <v>0</v>
      </c>
      <c r="I30" s="20">
        <v>0</v>
      </c>
      <c r="J30" s="20">
        <v>0</v>
      </c>
      <c r="K30" s="20">
        <v>0</v>
      </c>
      <c r="L30" s="47">
        <f t="shared" si="0"/>
        <v>56.104920606</v>
      </c>
      <c r="M30" s="47">
        <f t="shared" si="1"/>
        <v>5456.2035289334999</v>
      </c>
    </row>
    <row r="31" spans="1:13" x14ac:dyDescent="0.25">
      <c r="A31" s="52">
        <v>8</v>
      </c>
      <c r="B31" s="53">
        <v>106.51</v>
      </c>
      <c r="C31" s="54" t="s">
        <v>38</v>
      </c>
      <c r="D31" s="53">
        <v>106.51</v>
      </c>
      <c r="E31" s="55">
        <v>0</v>
      </c>
      <c r="F31" s="55">
        <v>30.192005640000001</v>
      </c>
      <c r="G31" s="55">
        <f>95%*19.49265612</f>
        <v>18.518023313999997</v>
      </c>
      <c r="H31" s="55">
        <f>19.49-5.5</f>
        <v>13.989999999999998</v>
      </c>
      <c r="I31" s="55">
        <f>70%*149.522181205</f>
        <v>104.6655268435</v>
      </c>
      <c r="J31" s="55">
        <v>1.5986062830000001</v>
      </c>
      <c r="K31" s="55">
        <v>39.357278399000002</v>
      </c>
      <c r="L31" s="55">
        <f t="shared" si="0"/>
        <v>208.32144047950001</v>
      </c>
      <c r="M31" s="55">
        <f t="shared" si="1"/>
        <v>22188.316625471547</v>
      </c>
    </row>
    <row r="32" spans="1:13" x14ac:dyDescent="0.25">
      <c r="A32" s="52">
        <v>9</v>
      </c>
      <c r="B32" s="53">
        <v>120.7</v>
      </c>
      <c r="C32" s="54" t="s">
        <v>38</v>
      </c>
      <c r="D32" s="53">
        <v>120.7</v>
      </c>
      <c r="E32" s="55">
        <v>0</v>
      </c>
      <c r="F32" s="55">
        <v>51.412559829999999</v>
      </c>
      <c r="G32" s="55">
        <f>95%*26.32865994</f>
        <v>25.012226943000002</v>
      </c>
      <c r="H32" s="55">
        <f>26.33-5.5</f>
        <v>20.83</v>
      </c>
      <c r="I32" s="55">
        <f t="shared" ref="I32:I39" si="2">70%*448.566543614</f>
        <v>313.99658052979999</v>
      </c>
      <c r="J32" s="55">
        <v>1.0956177439999999</v>
      </c>
      <c r="K32" s="55">
        <v>114.937670943</v>
      </c>
      <c r="L32" s="55">
        <f t="shared" si="0"/>
        <v>527.28465598979994</v>
      </c>
      <c r="M32" s="55">
        <f t="shared" si="1"/>
        <v>63643.257977968853</v>
      </c>
    </row>
    <row r="33" spans="1:13" x14ac:dyDescent="0.25">
      <c r="A33" s="52">
        <v>10</v>
      </c>
      <c r="B33" s="53">
        <v>116.86</v>
      </c>
      <c r="C33" s="54" t="s">
        <v>38</v>
      </c>
      <c r="D33" s="53">
        <v>116.86</v>
      </c>
      <c r="E33" s="55">
        <v>0</v>
      </c>
      <c r="F33" s="55">
        <v>57.893453340000001</v>
      </c>
      <c r="G33" s="55">
        <f>95%*26.244327</f>
        <v>24.932110649999998</v>
      </c>
      <c r="H33" s="55">
        <v>10.25</v>
      </c>
      <c r="I33" s="55">
        <f t="shared" si="2"/>
        <v>313.99658052979999</v>
      </c>
      <c r="J33" s="55">
        <v>2.08609511</v>
      </c>
      <c r="K33" s="55">
        <v>131.87305045299999</v>
      </c>
      <c r="L33" s="55">
        <f t="shared" si="0"/>
        <v>541.03129008279996</v>
      </c>
      <c r="M33" s="55">
        <f t="shared" si="1"/>
        <v>63224.916559076002</v>
      </c>
    </row>
    <row r="34" spans="1:13" x14ac:dyDescent="0.25">
      <c r="A34" s="52">
        <v>11</v>
      </c>
      <c r="B34" s="53">
        <v>112.85</v>
      </c>
      <c r="C34" s="54" t="s">
        <v>38</v>
      </c>
      <c r="D34" s="53">
        <v>112.85</v>
      </c>
      <c r="E34" s="55">
        <v>0</v>
      </c>
      <c r="F34" s="55">
        <v>49.372913220000001</v>
      </c>
      <c r="G34" s="55">
        <f>95%*21.7447113</f>
        <v>20.657475734999998</v>
      </c>
      <c r="H34" s="55">
        <v>16.239999999999998</v>
      </c>
      <c r="I34" s="55">
        <f t="shared" si="2"/>
        <v>313.99658052979999</v>
      </c>
      <c r="J34" s="55">
        <v>1.331467706</v>
      </c>
      <c r="K34" s="55">
        <v>339.33964092299999</v>
      </c>
      <c r="L34" s="55">
        <f t="shared" si="0"/>
        <v>740.93807811379997</v>
      </c>
      <c r="M34" s="55">
        <f t="shared" si="1"/>
        <v>83614.862115142329</v>
      </c>
    </row>
    <row r="35" spans="1:13" x14ac:dyDescent="0.25">
      <c r="A35" s="52">
        <v>12</v>
      </c>
      <c r="B35" s="53">
        <v>113.37</v>
      </c>
      <c r="C35" s="54" t="s">
        <v>38</v>
      </c>
      <c r="D35" s="53">
        <v>113.37</v>
      </c>
      <c r="E35" s="55">
        <v>0</v>
      </c>
      <c r="F35" s="55">
        <v>47.402972839999997</v>
      </c>
      <c r="G35" s="55">
        <f>95%*19.34491626</f>
        <v>18.377670447</v>
      </c>
      <c r="H35" s="55">
        <v>13.84</v>
      </c>
      <c r="I35" s="55">
        <f t="shared" si="2"/>
        <v>313.99658052979999</v>
      </c>
      <c r="J35" s="55">
        <v>1.8303611070000001</v>
      </c>
      <c r="K35" s="55">
        <v>343.32115380200003</v>
      </c>
      <c r="L35" s="55">
        <f t="shared" si="0"/>
        <v>738.76873872579995</v>
      </c>
      <c r="M35" s="55">
        <f t="shared" si="1"/>
        <v>83754.21190934394</v>
      </c>
    </row>
    <row r="36" spans="1:13" x14ac:dyDescent="0.25">
      <c r="A36" s="52">
        <v>13</v>
      </c>
      <c r="B36" s="53">
        <v>115</v>
      </c>
      <c r="C36" s="54" t="s">
        <v>38</v>
      </c>
      <c r="D36" s="53">
        <v>115</v>
      </c>
      <c r="E36" s="55">
        <v>0</v>
      </c>
      <c r="F36" s="55">
        <v>46.516922010000002</v>
      </c>
      <c r="G36" s="55">
        <f>95%*19.19048019</f>
        <v>18.230956180499998</v>
      </c>
      <c r="H36" s="55">
        <f>19.19-5.5</f>
        <v>13.690000000000001</v>
      </c>
      <c r="I36" s="55">
        <f t="shared" si="2"/>
        <v>313.99658052979999</v>
      </c>
      <c r="J36" s="55">
        <v>3.2672558889999999</v>
      </c>
      <c r="K36" s="55">
        <v>249.33505379299999</v>
      </c>
      <c r="L36" s="55">
        <f t="shared" si="0"/>
        <v>645.03676840229991</v>
      </c>
      <c r="M36" s="55">
        <f t="shared" si="1"/>
        <v>74179.228366264491</v>
      </c>
    </row>
    <row r="37" spans="1:13" x14ac:dyDescent="0.25">
      <c r="A37" s="44">
        <v>14</v>
      </c>
      <c r="B37" s="45">
        <v>109.78</v>
      </c>
      <c r="C37" s="46" t="s">
        <v>37</v>
      </c>
      <c r="D37" s="45">
        <v>109.78</v>
      </c>
      <c r="E37" s="47">
        <v>0</v>
      </c>
      <c r="F37" s="47">
        <v>37.27811612</v>
      </c>
      <c r="G37" s="47">
        <f>95%*19.26058332</f>
        <v>18.297554153999997</v>
      </c>
      <c r="H37" s="47">
        <v>6.06</v>
      </c>
      <c r="I37" s="47">
        <f t="shared" si="2"/>
        <v>313.99658052979999</v>
      </c>
      <c r="J37" s="47">
        <v>3.520645166</v>
      </c>
      <c r="K37" s="47">
        <v>256.01331672499998</v>
      </c>
      <c r="L37" s="47">
        <f t="shared" si="0"/>
        <v>635.16621269479992</v>
      </c>
      <c r="M37" s="47">
        <f t="shared" si="1"/>
        <v>69728.546829635132</v>
      </c>
    </row>
    <row r="38" spans="1:13" x14ac:dyDescent="0.25">
      <c r="A38" s="52">
        <v>15</v>
      </c>
      <c r="B38" s="53">
        <v>119.71</v>
      </c>
      <c r="C38" s="54" t="s">
        <v>38</v>
      </c>
      <c r="D38" s="53">
        <v>119.71</v>
      </c>
      <c r="E38" s="55">
        <v>0</v>
      </c>
      <c r="F38" s="55">
        <v>42.989571159999997</v>
      </c>
      <c r="G38" s="55">
        <f>95%*19.26058332</f>
        <v>18.297554153999997</v>
      </c>
      <c r="H38" s="55">
        <v>14.2</v>
      </c>
      <c r="I38" s="55">
        <f t="shared" si="2"/>
        <v>313.99658052979999</v>
      </c>
      <c r="J38" s="55">
        <v>3.4463609420000001</v>
      </c>
      <c r="K38" s="55">
        <v>258.12268594199998</v>
      </c>
      <c r="L38" s="55">
        <f t="shared" si="0"/>
        <v>651.0527527278</v>
      </c>
      <c r="M38" s="55">
        <f t="shared" si="1"/>
        <v>77937.525029044933</v>
      </c>
    </row>
    <row r="39" spans="1:13" x14ac:dyDescent="0.25">
      <c r="A39" s="52">
        <v>16</v>
      </c>
      <c r="B39" s="53">
        <v>125.83</v>
      </c>
      <c r="C39" s="54" t="s">
        <v>38</v>
      </c>
      <c r="D39" s="53">
        <v>125.83</v>
      </c>
      <c r="E39" s="55">
        <v>0</v>
      </c>
      <c r="F39" s="55">
        <v>45.320733070000003</v>
      </c>
      <c r="G39" s="55">
        <f>95%*19.26058332</f>
        <v>18.297554153999997</v>
      </c>
      <c r="H39" s="55">
        <v>13.36</v>
      </c>
      <c r="I39" s="55">
        <f t="shared" si="2"/>
        <v>313.99658052979999</v>
      </c>
      <c r="J39" s="55">
        <v>4.8839809949999999</v>
      </c>
      <c r="K39" s="55">
        <v>356.22540850500002</v>
      </c>
      <c r="L39" s="55">
        <f t="shared" si="0"/>
        <v>752.08425725379993</v>
      </c>
      <c r="M39" s="55">
        <f t="shared" si="1"/>
        <v>94634.76209024564</v>
      </c>
    </row>
    <row r="40" spans="1:13" x14ac:dyDescent="0.25">
      <c r="A40" s="48">
        <v>17</v>
      </c>
      <c r="B40" s="49">
        <v>139.57</v>
      </c>
      <c r="C40" s="50" t="s">
        <v>39</v>
      </c>
      <c r="D40" s="49">
        <v>0</v>
      </c>
      <c r="E40" s="51">
        <f>0-(80%*E24)</f>
        <v>-52</v>
      </c>
      <c r="F40" s="51">
        <v>24.806918920000001</v>
      </c>
      <c r="G40" s="51">
        <f>92%*19.26058332</f>
        <v>17.719736654399998</v>
      </c>
      <c r="H40" s="51">
        <v>0</v>
      </c>
      <c r="I40" s="51">
        <f>0%*448.566543614</f>
        <v>0</v>
      </c>
      <c r="J40" s="51">
        <v>0</v>
      </c>
      <c r="K40" s="51">
        <v>351.44349310000001</v>
      </c>
      <c r="L40" s="51">
        <f t="shared" si="0"/>
        <v>341.97014867440004</v>
      </c>
      <c r="M40" s="51">
        <f>B40*L40</f>
        <v>47728.773650486008</v>
      </c>
    </row>
    <row r="41" spans="1:13" x14ac:dyDescent="0.25">
      <c r="A41" s="48">
        <v>18</v>
      </c>
      <c r="B41" s="49">
        <v>155.93</v>
      </c>
      <c r="C41" s="50" t="s">
        <v>39</v>
      </c>
      <c r="D41" s="49">
        <v>0</v>
      </c>
      <c r="E41" s="51">
        <f t="shared" ref="E41:E45" si="3">0-(80%*E25)</f>
        <v>-48</v>
      </c>
      <c r="F41" s="51">
        <v>15.76273336</v>
      </c>
      <c r="G41" s="51">
        <f>92%*18.18075694</f>
        <v>16.726296384799998</v>
      </c>
      <c r="H41" s="51">
        <v>0</v>
      </c>
      <c r="I41" s="51">
        <f>0%*448.566543614</f>
        <v>0</v>
      </c>
      <c r="J41" s="51">
        <v>0</v>
      </c>
      <c r="K41" s="51">
        <v>344.060958228</v>
      </c>
      <c r="L41" s="51">
        <f t="shared" si="0"/>
        <v>328.54998797280001</v>
      </c>
      <c r="M41" s="51">
        <f t="shared" ref="M41:M45" si="4">B41*L41</f>
        <v>51230.799624598709</v>
      </c>
    </row>
    <row r="42" spans="1:13" x14ac:dyDescent="0.25">
      <c r="A42" s="48">
        <v>19</v>
      </c>
      <c r="B42" s="49">
        <v>163.5</v>
      </c>
      <c r="C42" s="50" t="s">
        <v>39</v>
      </c>
      <c r="D42" s="49">
        <v>0</v>
      </c>
      <c r="E42" s="51">
        <f t="shared" si="3"/>
        <v>-44</v>
      </c>
      <c r="F42" s="51">
        <v>20.17028607</v>
      </c>
      <c r="G42" s="51">
        <f>92%*32.60598211</f>
        <v>29.9975035412</v>
      </c>
      <c r="H42" s="51">
        <v>0</v>
      </c>
      <c r="I42" s="51">
        <f>0%*448.566543614</f>
        <v>0</v>
      </c>
      <c r="J42" s="51">
        <v>0</v>
      </c>
      <c r="K42" s="51">
        <v>242.26344910200001</v>
      </c>
      <c r="L42" s="51">
        <f t="shared" si="0"/>
        <v>248.4312387132</v>
      </c>
      <c r="M42" s="51">
        <f t="shared" si="4"/>
        <v>40618.5075296082</v>
      </c>
    </row>
    <row r="43" spans="1:13" x14ac:dyDescent="0.25">
      <c r="A43" s="48">
        <v>20</v>
      </c>
      <c r="B43" s="49">
        <v>146.74</v>
      </c>
      <c r="C43" s="50" t="s">
        <v>39</v>
      </c>
      <c r="D43" s="49">
        <v>0</v>
      </c>
      <c r="E43" s="51">
        <f t="shared" si="3"/>
        <v>-40</v>
      </c>
      <c r="F43" s="20">
        <v>0</v>
      </c>
      <c r="G43" s="20">
        <f>60%*36.81437153</f>
        <v>22.088622918000002</v>
      </c>
      <c r="H43" s="20">
        <v>0</v>
      </c>
      <c r="I43" s="20">
        <v>0</v>
      </c>
      <c r="J43" s="20">
        <v>0</v>
      </c>
      <c r="K43" s="20">
        <v>0</v>
      </c>
      <c r="L43" s="51">
        <f>SUM(E43:K43)</f>
        <v>-17.911377081999998</v>
      </c>
      <c r="M43" s="51">
        <f t="shared" si="4"/>
        <v>-2628.3154730126798</v>
      </c>
    </row>
    <row r="44" spans="1:13" x14ac:dyDescent="0.25">
      <c r="A44" s="48">
        <v>21</v>
      </c>
      <c r="B44" s="49">
        <v>139.38</v>
      </c>
      <c r="C44" s="50" t="s">
        <v>39</v>
      </c>
      <c r="D44" s="49">
        <v>0</v>
      </c>
      <c r="E44" s="51">
        <f t="shared" si="3"/>
        <v>-41.6</v>
      </c>
      <c r="F44" s="20">
        <v>0</v>
      </c>
      <c r="G44" s="20">
        <f>60%*36.43363367</f>
        <v>21.860180201999999</v>
      </c>
      <c r="H44" s="20">
        <v>0</v>
      </c>
      <c r="I44" s="20">
        <v>0</v>
      </c>
      <c r="J44" s="20">
        <v>0</v>
      </c>
      <c r="K44" s="20">
        <v>0</v>
      </c>
      <c r="L44" s="51">
        <f t="shared" si="0"/>
        <v>-19.739819798000003</v>
      </c>
      <c r="M44" s="51">
        <f t="shared" si="4"/>
        <v>-2751.3360834452401</v>
      </c>
    </row>
    <row r="45" spans="1:13" x14ac:dyDescent="0.25">
      <c r="A45" s="48">
        <v>22</v>
      </c>
      <c r="B45" s="49">
        <v>131.80000000000001</v>
      </c>
      <c r="C45" s="50" t="s">
        <v>39</v>
      </c>
      <c r="D45" s="49">
        <v>0</v>
      </c>
      <c r="E45" s="51">
        <f t="shared" si="3"/>
        <v>-36</v>
      </c>
      <c r="F45" s="20">
        <v>0</v>
      </c>
      <c r="G45" s="20">
        <f>60%*36.09639223</f>
        <v>21.657835337999998</v>
      </c>
      <c r="H45" s="20">
        <v>0</v>
      </c>
      <c r="I45" s="20">
        <v>0</v>
      </c>
      <c r="J45" s="20">
        <v>0</v>
      </c>
      <c r="K45" s="20">
        <v>0</v>
      </c>
      <c r="L45" s="51">
        <f t="shared" si="0"/>
        <v>-14.342164662000002</v>
      </c>
      <c r="M45" s="51">
        <f t="shared" si="4"/>
        <v>-1890.2973024516004</v>
      </c>
    </row>
    <row r="46" spans="1:13" x14ac:dyDescent="0.25">
      <c r="A46" s="52">
        <v>23</v>
      </c>
      <c r="B46" s="53">
        <v>129.94</v>
      </c>
      <c r="C46" s="54" t="s">
        <v>38</v>
      </c>
      <c r="D46" s="53">
        <v>129.94</v>
      </c>
      <c r="E46" s="55">
        <v>0</v>
      </c>
      <c r="F46" s="20">
        <v>0</v>
      </c>
      <c r="G46" s="20">
        <f>60%*30.95077665</f>
        <v>18.570465989999999</v>
      </c>
      <c r="H46" s="20">
        <v>0</v>
      </c>
      <c r="I46" s="20">
        <v>0</v>
      </c>
      <c r="J46" s="20">
        <v>0</v>
      </c>
      <c r="K46" s="20">
        <v>0</v>
      </c>
      <c r="L46" s="55">
        <f t="shared" si="0"/>
        <v>18.570465989999999</v>
      </c>
      <c r="M46" s="55">
        <f t="shared" si="1"/>
        <v>2413.0463507405998</v>
      </c>
    </row>
    <row r="47" spans="1:13" x14ac:dyDescent="0.25">
      <c r="A47" s="52">
        <v>24</v>
      </c>
      <c r="B47" s="53">
        <v>121.3</v>
      </c>
      <c r="C47" s="54" t="s">
        <v>38</v>
      </c>
      <c r="D47" s="53">
        <v>121.3</v>
      </c>
      <c r="E47" s="55">
        <v>0</v>
      </c>
      <c r="F47" s="20">
        <v>0</v>
      </c>
      <c r="G47" s="20">
        <f>60%*17.42508457</f>
        <v>10.455050741999999</v>
      </c>
      <c r="H47" s="20">
        <v>0</v>
      </c>
      <c r="I47" s="20">
        <v>0</v>
      </c>
      <c r="J47" s="20">
        <v>0</v>
      </c>
      <c r="K47" s="20">
        <v>0</v>
      </c>
      <c r="L47" s="55">
        <f t="shared" si="0"/>
        <v>10.455050741999999</v>
      </c>
      <c r="M47" s="55">
        <f t="shared" si="1"/>
        <v>1268.1976550045999</v>
      </c>
    </row>
    <row r="48" spans="1:13" x14ac:dyDescent="0.25">
      <c r="A48" s="15" t="s">
        <v>40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5">
        <f>SUM(M24:M47)</f>
        <v>807773.26131135307</v>
      </c>
    </row>
  </sheetData>
  <mergeCells count="1">
    <mergeCell ref="A22:M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CFCE-85F2-4A04-82B6-2E4058C3FF18}">
  <dimension ref="A1:M48"/>
  <sheetViews>
    <sheetView topLeftCell="A12" workbookViewId="0">
      <selection activeCell="M48" sqref="M48"/>
    </sheetView>
  </sheetViews>
  <sheetFormatPr defaultRowHeight="15" x14ac:dyDescent="0.25"/>
  <cols>
    <col min="1" max="1" width="34.42578125" customWidth="1"/>
    <col min="2" max="2" width="18.7109375" customWidth="1"/>
    <col min="3" max="3" width="11" customWidth="1"/>
    <col min="4" max="4" width="12.28515625" customWidth="1"/>
    <col min="5" max="5" width="15.42578125" customWidth="1"/>
    <col min="6" max="7" width="18.7109375" customWidth="1"/>
    <col min="8" max="8" width="17.7109375" customWidth="1"/>
    <col min="9" max="9" width="22" customWidth="1"/>
    <col min="10" max="10" width="17.7109375" customWidth="1"/>
    <col min="11" max="11" width="19" customWidth="1"/>
    <col min="12" max="12" width="16.7109375" customWidth="1"/>
    <col min="13" max="13" width="13.85546875" customWidth="1"/>
    <col min="14" max="14" width="19" customWidth="1"/>
  </cols>
  <sheetData>
    <row r="1" spans="1:4" x14ac:dyDescent="0.25">
      <c r="A1" s="29" t="s">
        <v>78</v>
      </c>
      <c r="B1" s="29"/>
      <c r="D1" s="62" t="s">
        <v>108</v>
      </c>
    </row>
    <row r="2" spans="1:4" ht="15.75" x14ac:dyDescent="0.25">
      <c r="A2" s="26" t="s">
        <v>50</v>
      </c>
      <c r="B2" s="26" t="s">
        <v>51</v>
      </c>
    </row>
    <row r="3" spans="1:4" x14ac:dyDescent="0.25">
      <c r="A3" s="27" t="s">
        <v>52</v>
      </c>
      <c r="B3" s="27" t="s">
        <v>54</v>
      </c>
    </row>
    <row r="4" spans="1:4" x14ac:dyDescent="0.25">
      <c r="A4" s="27" t="s">
        <v>56</v>
      </c>
      <c r="B4" s="27" t="s">
        <v>58</v>
      </c>
    </row>
    <row r="5" spans="1:4" x14ac:dyDescent="0.25">
      <c r="A5" s="27" t="s">
        <v>57</v>
      </c>
      <c r="B5" s="27" t="s">
        <v>39</v>
      </c>
    </row>
    <row r="6" spans="1:4" x14ac:dyDescent="0.25">
      <c r="A6" s="27" t="s">
        <v>53</v>
      </c>
      <c r="B6" s="27" t="s">
        <v>71</v>
      </c>
    </row>
    <row r="16" spans="1:4" x14ac:dyDescent="0.25">
      <c r="A16" s="58" t="s">
        <v>109</v>
      </c>
    </row>
    <row r="17" spans="1:13" x14ac:dyDescent="0.25">
      <c r="A17" s="59" t="s">
        <v>110</v>
      </c>
    </row>
    <row r="18" spans="1:13" x14ac:dyDescent="0.25">
      <c r="A18" s="60" t="s">
        <v>111</v>
      </c>
    </row>
    <row r="19" spans="1:13" x14ac:dyDescent="0.25">
      <c r="A19" s="61" t="s">
        <v>112</v>
      </c>
    </row>
    <row r="22" spans="1:13" ht="18.75" x14ac:dyDescent="0.3">
      <c r="A22" s="73" t="s">
        <v>60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13" ht="60" x14ac:dyDescent="0.25">
      <c r="A23" s="56" t="s">
        <v>33</v>
      </c>
      <c r="B23" s="56" t="s">
        <v>34</v>
      </c>
      <c r="C23" s="56" t="s">
        <v>35</v>
      </c>
      <c r="D23" s="56" t="s">
        <v>61</v>
      </c>
      <c r="E23" s="56" t="s">
        <v>62</v>
      </c>
      <c r="F23" s="57" t="s">
        <v>47</v>
      </c>
      <c r="G23" s="57" t="s">
        <v>46</v>
      </c>
      <c r="H23" s="57" t="s">
        <v>45</v>
      </c>
      <c r="I23" s="63" t="s">
        <v>42</v>
      </c>
      <c r="J23" s="57" t="s">
        <v>41</v>
      </c>
      <c r="K23" s="57" t="s">
        <v>44</v>
      </c>
      <c r="L23" s="57" t="s">
        <v>36</v>
      </c>
      <c r="M23" s="57" t="s">
        <v>48</v>
      </c>
    </row>
    <row r="24" spans="1:13" x14ac:dyDescent="0.25">
      <c r="A24" s="44">
        <v>1</v>
      </c>
      <c r="B24" s="45">
        <v>107.21</v>
      </c>
      <c r="C24" s="46" t="s">
        <v>37</v>
      </c>
      <c r="D24" s="45">
        <v>107.21</v>
      </c>
      <c r="E24" s="47">
        <v>65</v>
      </c>
      <c r="F24" s="20">
        <v>0</v>
      </c>
      <c r="G24" s="20">
        <f>60%*10.92546887</f>
        <v>6.5552813219999999</v>
      </c>
      <c r="H24" s="20">
        <v>0</v>
      </c>
      <c r="I24" s="20">
        <v>0</v>
      </c>
      <c r="J24" s="20">
        <v>0</v>
      </c>
      <c r="K24" s="20">
        <v>0</v>
      </c>
      <c r="L24" s="47">
        <f>SUM(E24:K24)</f>
        <v>71.555281321999999</v>
      </c>
      <c r="M24" s="47">
        <f>D24*L24</f>
        <v>7671.4417105316197</v>
      </c>
    </row>
    <row r="25" spans="1:13" x14ac:dyDescent="0.25">
      <c r="A25" s="44">
        <v>2</v>
      </c>
      <c r="B25" s="45">
        <v>101.1</v>
      </c>
      <c r="C25" s="46" t="s">
        <v>37</v>
      </c>
      <c r="D25" s="45">
        <v>101.1</v>
      </c>
      <c r="E25" s="47">
        <v>60</v>
      </c>
      <c r="F25" s="20">
        <v>0</v>
      </c>
      <c r="G25" s="20">
        <f>60%*10.92546887</f>
        <v>6.5552813219999999</v>
      </c>
      <c r="H25" s="20">
        <v>0</v>
      </c>
      <c r="I25" s="20">
        <v>0</v>
      </c>
      <c r="J25" s="20">
        <v>0</v>
      </c>
      <c r="K25" s="20">
        <v>0</v>
      </c>
      <c r="L25" s="47">
        <f>SUM(E25:K25)</f>
        <v>66.555281321999999</v>
      </c>
      <c r="M25" s="47">
        <f>D25*L25</f>
        <v>6728.7389416541992</v>
      </c>
    </row>
    <row r="26" spans="1:13" x14ac:dyDescent="0.25">
      <c r="A26" s="44">
        <v>3</v>
      </c>
      <c r="B26" s="45">
        <v>96.73</v>
      </c>
      <c r="C26" s="46" t="s">
        <v>37</v>
      </c>
      <c r="D26" s="45">
        <v>96.73</v>
      </c>
      <c r="E26" s="47">
        <v>55</v>
      </c>
      <c r="F26" s="20">
        <v>0</v>
      </c>
      <c r="G26" s="20">
        <f>60%*7.34152022</f>
        <v>4.4049121319999998</v>
      </c>
      <c r="H26" s="20">
        <v>0</v>
      </c>
      <c r="I26" s="20">
        <v>0</v>
      </c>
      <c r="J26" s="20">
        <v>0</v>
      </c>
      <c r="K26" s="20">
        <v>0</v>
      </c>
      <c r="L26" s="47">
        <f t="shared" ref="L26:L47" si="0">SUM(E26:K26)</f>
        <v>59.404912132</v>
      </c>
      <c r="M26" s="47">
        <f t="shared" ref="M26:M47" si="1">D26*L26</f>
        <v>5746.23715052836</v>
      </c>
    </row>
    <row r="27" spans="1:13" x14ac:dyDescent="0.25">
      <c r="A27" s="44">
        <v>4</v>
      </c>
      <c r="B27" s="45">
        <v>82.34</v>
      </c>
      <c r="C27" s="46" t="s">
        <v>37</v>
      </c>
      <c r="D27" s="45">
        <v>82.34</v>
      </c>
      <c r="E27" s="47">
        <v>50</v>
      </c>
      <c r="F27" s="20">
        <v>0</v>
      </c>
      <c r="G27" s="20">
        <f>60%*7.341520229</f>
        <v>4.4049121374000002</v>
      </c>
      <c r="H27" s="20">
        <v>0</v>
      </c>
      <c r="I27" s="20">
        <v>0</v>
      </c>
      <c r="J27" s="20">
        <v>0</v>
      </c>
      <c r="K27" s="20">
        <v>0</v>
      </c>
      <c r="L27" s="47">
        <f t="shared" si="0"/>
        <v>54.404912137400004</v>
      </c>
      <c r="M27" s="47">
        <f t="shared" si="1"/>
        <v>4479.7004653935164</v>
      </c>
    </row>
    <row r="28" spans="1:13" x14ac:dyDescent="0.25">
      <c r="A28" s="44">
        <v>5</v>
      </c>
      <c r="B28" s="45">
        <v>81.93</v>
      </c>
      <c r="C28" s="46" t="s">
        <v>37</v>
      </c>
      <c r="D28" s="45">
        <v>81.93</v>
      </c>
      <c r="E28" s="47">
        <v>52</v>
      </c>
      <c r="F28" s="20">
        <v>0</v>
      </c>
      <c r="G28" s="20">
        <f>60%*7.341520229</f>
        <v>4.4049121374000002</v>
      </c>
      <c r="H28" s="20">
        <v>0</v>
      </c>
      <c r="I28" s="20">
        <v>0</v>
      </c>
      <c r="J28" s="20">
        <v>0</v>
      </c>
      <c r="K28" s="20">
        <v>0</v>
      </c>
      <c r="L28" s="47">
        <f t="shared" si="0"/>
        <v>56.404912137400004</v>
      </c>
      <c r="M28" s="47">
        <f t="shared" si="1"/>
        <v>4621.2544514171823</v>
      </c>
    </row>
    <row r="29" spans="1:13" x14ac:dyDescent="0.25">
      <c r="A29" s="44">
        <v>6</v>
      </c>
      <c r="B29" s="45">
        <v>84.03</v>
      </c>
      <c r="C29" s="46" t="s">
        <v>37</v>
      </c>
      <c r="D29" s="45">
        <v>84.03</v>
      </c>
      <c r="E29" s="47">
        <v>45</v>
      </c>
      <c r="F29" s="20">
        <v>0</v>
      </c>
      <c r="G29" s="20">
        <f>60%*7.801412376</f>
        <v>4.6808474255999997</v>
      </c>
      <c r="H29" s="20">
        <v>0</v>
      </c>
      <c r="I29" s="20">
        <v>0</v>
      </c>
      <c r="J29" s="20">
        <v>0</v>
      </c>
      <c r="K29" s="20">
        <v>0</v>
      </c>
      <c r="L29" s="47">
        <f t="shared" si="0"/>
        <v>49.6808474256</v>
      </c>
      <c r="M29" s="47">
        <f t="shared" si="1"/>
        <v>4174.681609173168</v>
      </c>
    </row>
    <row r="30" spans="1:13" x14ac:dyDescent="0.25">
      <c r="A30" s="44">
        <v>7</v>
      </c>
      <c r="B30" s="45">
        <v>97.25</v>
      </c>
      <c r="C30" s="46" t="s">
        <v>37</v>
      </c>
      <c r="D30" s="45">
        <v>97.25</v>
      </c>
      <c r="E30" s="47">
        <v>45</v>
      </c>
      <c r="F30" s="20">
        <v>0</v>
      </c>
      <c r="G30" s="20">
        <f>60%*18.50820101</f>
        <v>11.104920606</v>
      </c>
      <c r="H30" s="20">
        <v>0</v>
      </c>
      <c r="I30" s="20">
        <v>0</v>
      </c>
      <c r="J30" s="20">
        <v>0</v>
      </c>
      <c r="K30" s="20">
        <v>0</v>
      </c>
      <c r="L30" s="47">
        <f t="shared" si="0"/>
        <v>56.104920606</v>
      </c>
      <c r="M30" s="47">
        <f t="shared" si="1"/>
        <v>5456.2035289334999</v>
      </c>
    </row>
    <row r="31" spans="1:13" x14ac:dyDescent="0.25">
      <c r="A31" s="52">
        <v>8</v>
      </c>
      <c r="B31" s="53">
        <v>106.51</v>
      </c>
      <c r="C31" s="54" t="s">
        <v>38</v>
      </c>
      <c r="D31" s="53">
        <v>106.51</v>
      </c>
      <c r="E31" s="55">
        <v>0</v>
      </c>
      <c r="F31" s="55">
        <v>30.192005640000001</v>
      </c>
      <c r="G31" s="55">
        <f>50%*19.49265612</f>
        <v>9.7463280599999997</v>
      </c>
      <c r="H31" s="55">
        <f>19.49-5.5</f>
        <v>13.989999999999998</v>
      </c>
      <c r="I31" s="55">
        <f>90%*149.522181205</f>
        <v>134.56996308450002</v>
      </c>
      <c r="J31" s="55">
        <v>1.5986062830000001</v>
      </c>
      <c r="K31" s="55">
        <v>39.357278399000002</v>
      </c>
      <c r="L31" s="55">
        <f t="shared" si="0"/>
        <v>229.45418146650002</v>
      </c>
      <c r="M31" s="55">
        <f t="shared" si="1"/>
        <v>24439.164867996918</v>
      </c>
    </row>
    <row r="32" spans="1:13" x14ac:dyDescent="0.25">
      <c r="A32" s="52">
        <v>9</v>
      </c>
      <c r="B32" s="53">
        <v>120.7</v>
      </c>
      <c r="C32" s="54" t="s">
        <v>38</v>
      </c>
      <c r="D32" s="53">
        <v>120.7</v>
      </c>
      <c r="E32" s="55">
        <v>0</v>
      </c>
      <c r="F32" s="55">
        <v>51.412559829999999</v>
      </c>
      <c r="G32" s="55">
        <f>50%*26.32865994</f>
        <v>13.164329970000001</v>
      </c>
      <c r="H32" s="55">
        <f>26.33-5.5</f>
        <v>20.83</v>
      </c>
      <c r="I32" s="55">
        <f>90%*448.566543614</f>
        <v>403.70988925260002</v>
      </c>
      <c r="J32" s="55">
        <v>1.0956177439999999</v>
      </c>
      <c r="K32" s="55">
        <v>114.937670943</v>
      </c>
      <c r="L32" s="55">
        <f t="shared" si="0"/>
        <v>605.15006773959999</v>
      </c>
      <c r="M32" s="55">
        <f t="shared" si="1"/>
        <v>73041.613176169718</v>
      </c>
    </row>
    <row r="33" spans="1:13" x14ac:dyDescent="0.25">
      <c r="A33" s="52">
        <v>10</v>
      </c>
      <c r="B33" s="53">
        <v>116.86</v>
      </c>
      <c r="C33" s="54" t="s">
        <v>38</v>
      </c>
      <c r="D33" s="53">
        <v>116.86</v>
      </c>
      <c r="E33" s="55">
        <v>0</v>
      </c>
      <c r="F33" s="55">
        <v>57.893453340000001</v>
      </c>
      <c r="G33" s="55">
        <f>50%*26.244327</f>
        <v>13.122163499999999</v>
      </c>
      <c r="H33" s="55">
        <v>10.25</v>
      </c>
      <c r="I33" s="55">
        <f>90%*448.566543614</f>
        <v>403.70988925260002</v>
      </c>
      <c r="J33" s="55">
        <v>2.08609511</v>
      </c>
      <c r="K33" s="55">
        <v>131.87305045299999</v>
      </c>
      <c r="L33" s="55">
        <f t="shared" si="0"/>
        <v>618.93465165559996</v>
      </c>
      <c r="M33" s="55">
        <f t="shared" si="1"/>
        <v>72328.703392473413</v>
      </c>
    </row>
    <row r="34" spans="1:13" x14ac:dyDescent="0.25">
      <c r="A34" s="52">
        <v>11</v>
      </c>
      <c r="B34" s="53">
        <v>112.85</v>
      </c>
      <c r="C34" s="54" t="s">
        <v>38</v>
      </c>
      <c r="D34" s="53">
        <v>112.85</v>
      </c>
      <c r="E34" s="55">
        <v>0</v>
      </c>
      <c r="F34" s="55">
        <v>49.372913220000001</v>
      </c>
      <c r="G34" s="55">
        <f>50%*21.7447113</f>
        <v>10.872355649999999</v>
      </c>
      <c r="H34" s="55">
        <v>16.239999999999998</v>
      </c>
      <c r="I34" s="55">
        <f>95%*448.566543614</f>
        <v>426.13821643329999</v>
      </c>
      <c r="J34" s="55">
        <v>1.331467706</v>
      </c>
      <c r="K34" s="55">
        <v>339.33964092299999</v>
      </c>
      <c r="L34" s="55">
        <f t="shared" si="0"/>
        <v>843.2945939322999</v>
      </c>
      <c r="M34" s="55">
        <f t="shared" si="1"/>
        <v>95165.794925260037</v>
      </c>
    </row>
    <row r="35" spans="1:13" x14ac:dyDescent="0.25">
      <c r="A35" s="52">
        <v>12</v>
      </c>
      <c r="B35" s="53">
        <v>113.37</v>
      </c>
      <c r="C35" s="54" t="s">
        <v>38</v>
      </c>
      <c r="D35" s="53">
        <v>113.37</v>
      </c>
      <c r="E35" s="55">
        <v>0</v>
      </c>
      <c r="F35" s="55">
        <v>47.402972839999997</v>
      </c>
      <c r="G35" s="55">
        <f>50%*19.34491626</f>
        <v>9.6724581300000008</v>
      </c>
      <c r="H35" s="55">
        <v>13.84</v>
      </c>
      <c r="I35" s="55">
        <f>90%*448.566543614</f>
        <v>403.70988925260002</v>
      </c>
      <c r="J35" s="55">
        <v>1.8303611070000001</v>
      </c>
      <c r="K35" s="55">
        <v>343.32115380200003</v>
      </c>
      <c r="L35" s="55">
        <f t="shared" si="0"/>
        <v>819.77683513160002</v>
      </c>
      <c r="M35" s="55">
        <f t="shared" si="1"/>
        <v>92938.099798869502</v>
      </c>
    </row>
    <row r="36" spans="1:13" x14ac:dyDescent="0.25">
      <c r="A36" s="52">
        <v>13</v>
      </c>
      <c r="B36" s="53">
        <v>115</v>
      </c>
      <c r="C36" s="54" t="s">
        <v>38</v>
      </c>
      <c r="D36" s="53">
        <v>115</v>
      </c>
      <c r="E36" s="55">
        <v>0</v>
      </c>
      <c r="F36" s="55">
        <v>46.516922010000002</v>
      </c>
      <c r="G36" s="55">
        <f>50%*19.19048019</f>
        <v>9.5952400949999994</v>
      </c>
      <c r="H36" s="55">
        <f>19.19-5.5</f>
        <v>13.690000000000001</v>
      </c>
      <c r="I36" s="55">
        <f>90%*448.566543614</f>
        <v>403.70988925260002</v>
      </c>
      <c r="J36" s="55">
        <v>3.2672558889999999</v>
      </c>
      <c r="K36" s="55">
        <v>249.33505379299999</v>
      </c>
      <c r="L36" s="55">
        <f t="shared" si="0"/>
        <v>726.1143610396</v>
      </c>
      <c r="M36" s="55">
        <f t="shared" si="1"/>
        <v>83503.151519553998</v>
      </c>
    </row>
    <row r="37" spans="1:13" x14ac:dyDescent="0.25">
      <c r="A37" s="44">
        <v>14</v>
      </c>
      <c r="B37" s="45">
        <v>109.78</v>
      </c>
      <c r="C37" s="46" t="s">
        <v>37</v>
      </c>
      <c r="D37" s="45">
        <v>109.78</v>
      </c>
      <c r="E37" s="47">
        <v>0</v>
      </c>
      <c r="F37" s="47">
        <v>37.27811612</v>
      </c>
      <c r="G37" s="47">
        <f>50%*19.26058332</f>
        <v>9.6302916599999993</v>
      </c>
      <c r="H37" s="47">
        <v>6.06</v>
      </c>
      <c r="I37" s="47">
        <f>90%*448.566543614</f>
        <v>403.70988925260002</v>
      </c>
      <c r="J37" s="47">
        <v>3.520645166</v>
      </c>
      <c r="K37" s="47">
        <v>256.01331672499998</v>
      </c>
      <c r="L37" s="47">
        <f t="shared" si="0"/>
        <v>716.21225892360007</v>
      </c>
      <c r="M37" s="47">
        <f t="shared" si="1"/>
        <v>78625.781784632811</v>
      </c>
    </row>
    <row r="38" spans="1:13" x14ac:dyDescent="0.25">
      <c r="A38" s="52">
        <v>15</v>
      </c>
      <c r="B38" s="53">
        <v>119.71</v>
      </c>
      <c r="C38" s="54" t="s">
        <v>38</v>
      </c>
      <c r="D38" s="53">
        <v>119.71</v>
      </c>
      <c r="E38" s="55">
        <v>0</v>
      </c>
      <c r="F38" s="55">
        <v>42.989571159999997</v>
      </c>
      <c r="G38" s="55">
        <f>50%*19.26058332</f>
        <v>9.6302916599999993</v>
      </c>
      <c r="H38" s="55">
        <v>14.2</v>
      </c>
      <c r="I38" s="55">
        <f>90%*448.566543614</f>
        <v>403.70988925260002</v>
      </c>
      <c r="J38" s="55">
        <v>3.4463609420000001</v>
      </c>
      <c r="K38" s="55">
        <v>258.12268594199998</v>
      </c>
      <c r="L38" s="55">
        <f t="shared" si="0"/>
        <v>732.09879895659992</v>
      </c>
      <c r="M38" s="55">
        <f t="shared" si="1"/>
        <v>87639.547223094574</v>
      </c>
    </row>
    <row r="39" spans="1:13" x14ac:dyDescent="0.25">
      <c r="A39" s="52">
        <v>16</v>
      </c>
      <c r="B39" s="53">
        <v>125.83</v>
      </c>
      <c r="C39" s="54" t="s">
        <v>38</v>
      </c>
      <c r="D39" s="53">
        <v>125.83</v>
      </c>
      <c r="E39" s="55">
        <v>0</v>
      </c>
      <c r="F39" s="55">
        <v>45.320733070000003</v>
      </c>
      <c r="G39" s="55">
        <f>50%*19.26058332</f>
        <v>9.6302916599999993</v>
      </c>
      <c r="H39" s="55">
        <v>13.36</v>
      </c>
      <c r="I39" s="55">
        <f>90%*448.566543614</f>
        <v>403.70988925260002</v>
      </c>
      <c r="J39" s="55">
        <v>4.8839809949999999</v>
      </c>
      <c r="K39" s="55">
        <v>356.22540850500002</v>
      </c>
      <c r="L39" s="55">
        <f t="shared" si="0"/>
        <v>833.13030348260008</v>
      </c>
      <c r="M39" s="55">
        <f t="shared" si="1"/>
        <v>104832.78608721557</v>
      </c>
    </row>
    <row r="40" spans="1:13" x14ac:dyDescent="0.25">
      <c r="A40" s="48">
        <v>17</v>
      </c>
      <c r="B40" s="49">
        <v>139.57</v>
      </c>
      <c r="C40" s="50" t="s">
        <v>39</v>
      </c>
      <c r="D40" s="49">
        <v>0</v>
      </c>
      <c r="E40" s="51">
        <f>0-(80%*E24)</f>
        <v>-52</v>
      </c>
      <c r="F40" s="51">
        <v>24.806918920000001</v>
      </c>
      <c r="G40" s="51">
        <v>19.260583319999999</v>
      </c>
      <c r="H40" s="51">
        <v>0</v>
      </c>
      <c r="I40" s="51">
        <f>0%*448.566543614</f>
        <v>0</v>
      </c>
      <c r="J40" s="51">
        <v>0</v>
      </c>
      <c r="K40" s="51">
        <v>351.44349310000001</v>
      </c>
      <c r="L40" s="51">
        <f t="shared" si="0"/>
        <v>343.51099534000002</v>
      </c>
      <c r="M40" s="51">
        <f>B40*L40</f>
        <v>47943.829619603799</v>
      </c>
    </row>
    <row r="41" spans="1:13" x14ac:dyDescent="0.25">
      <c r="A41" s="48">
        <v>18</v>
      </c>
      <c r="B41" s="49">
        <v>155.93</v>
      </c>
      <c r="C41" s="50" t="s">
        <v>39</v>
      </c>
      <c r="D41" s="49">
        <v>0</v>
      </c>
      <c r="E41" s="51">
        <f t="shared" ref="E41:E45" si="2">0-(80%*E25)</f>
        <v>-48</v>
      </c>
      <c r="F41" s="51">
        <v>15.76273336</v>
      </c>
      <c r="G41" s="51">
        <v>18.180756939999998</v>
      </c>
      <c r="H41" s="51">
        <v>0</v>
      </c>
      <c r="I41" s="51">
        <f>0%*448.566543614</f>
        <v>0</v>
      </c>
      <c r="J41" s="51">
        <v>0</v>
      </c>
      <c r="K41" s="51">
        <v>344.060958228</v>
      </c>
      <c r="L41" s="51">
        <f t="shared" si="0"/>
        <v>330.00444852800001</v>
      </c>
      <c r="M41" s="51">
        <f t="shared" ref="M41:M45" si="3">B41*L41</f>
        <v>51457.593658971047</v>
      </c>
    </row>
    <row r="42" spans="1:13" x14ac:dyDescent="0.25">
      <c r="A42" s="48">
        <v>19</v>
      </c>
      <c r="B42" s="49">
        <v>163.5</v>
      </c>
      <c r="C42" s="50" t="s">
        <v>39</v>
      </c>
      <c r="D42" s="49">
        <v>0</v>
      </c>
      <c r="E42" s="51">
        <f t="shared" si="2"/>
        <v>-44</v>
      </c>
      <c r="F42" s="51">
        <v>20.17028607</v>
      </c>
      <c r="G42" s="51">
        <v>32.605982109999999</v>
      </c>
      <c r="H42" s="51">
        <v>0</v>
      </c>
      <c r="I42" s="51">
        <f>0%*448.566543614</f>
        <v>0</v>
      </c>
      <c r="J42" s="51">
        <v>0</v>
      </c>
      <c r="K42" s="51">
        <v>242.26344910200001</v>
      </c>
      <c r="L42" s="51">
        <f t="shared" si="0"/>
        <v>251.039717282</v>
      </c>
      <c r="M42" s="51">
        <f t="shared" si="3"/>
        <v>41044.993775606999</v>
      </c>
    </row>
    <row r="43" spans="1:13" x14ac:dyDescent="0.25">
      <c r="A43" s="48">
        <v>20</v>
      </c>
      <c r="B43" s="49">
        <v>146.74</v>
      </c>
      <c r="C43" s="50" t="s">
        <v>39</v>
      </c>
      <c r="D43" s="49">
        <v>0</v>
      </c>
      <c r="E43" s="51">
        <f t="shared" si="2"/>
        <v>-40</v>
      </c>
      <c r="F43" s="20">
        <v>0</v>
      </c>
      <c r="G43" s="20">
        <f>60%*36.81437153</f>
        <v>22.088622918000002</v>
      </c>
      <c r="H43" s="20">
        <v>0</v>
      </c>
      <c r="I43" s="20">
        <v>0</v>
      </c>
      <c r="J43" s="20">
        <v>0</v>
      </c>
      <c r="K43" s="20">
        <v>0</v>
      </c>
      <c r="L43" s="51">
        <f>SUM(E43:K43)</f>
        <v>-17.911377081999998</v>
      </c>
      <c r="M43" s="51">
        <f t="shared" si="3"/>
        <v>-2628.3154730126798</v>
      </c>
    </row>
    <row r="44" spans="1:13" x14ac:dyDescent="0.25">
      <c r="A44" s="48">
        <v>21</v>
      </c>
      <c r="B44" s="49">
        <v>139.38</v>
      </c>
      <c r="C44" s="50" t="s">
        <v>39</v>
      </c>
      <c r="D44" s="49">
        <v>0</v>
      </c>
      <c r="E44" s="51">
        <f t="shared" si="2"/>
        <v>-41.6</v>
      </c>
      <c r="F44" s="20">
        <v>0</v>
      </c>
      <c r="G44" s="20">
        <f>60%*36.43363367</f>
        <v>21.860180201999999</v>
      </c>
      <c r="H44" s="20">
        <v>0</v>
      </c>
      <c r="I44" s="20">
        <v>0</v>
      </c>
      <c r="J44" s="20">
        <v>0</v>
      </c>
      <c r="K44" s="20">
        <v>0</v>
      </c>
      <c r="L44" s="51">
        <f t="shared" si="0"/>
        <v>-19.739819798000003</v>
      </c>
      <c r="M44" s="51">
        <f t="shared" si="3"/>
        <v>-2751.3360834452401</v>
      </c>
    </row>
    <row r="45" spans="1:13" x14ac:dyDescent="0.25">
      <c r="A45" s="48">
        <v>22</v>
      </c>
      <c r="B45" s="49">
        <v>131.80000000000001</v>
      </c>
      <c r="C45" s="50" t="s">
        <v>39</v>
      </c>
      <c r="D45" s="49">
        <v>0</v>
      </c>
      <c r="E45" s="51">
        <f t="shared" si="2"/>
        <v>-36</v>
      </c>
      <c r="F45" s="20">
        <v>0</v>
      </c>
      <c r="G45" s="20">
        <f>60%*36.09639223</f>
        <v>21.657835337999998</v>
      </c>
      <c r="H45" s="20">
        <v>0</v>
      </c>
      <c r="I45" s="20">
        <v>0</v>
      </c>
      <c r="J45" s="20">
        <v>0</v>
      </c>
      <c r="K45" s="20">
        <v>0</v>
      </c>
      <c r="L45" s="51">
        <f t="shared" si="0"/>
        <v>-14.342164662000002</v>
      </c>
      <c r="M45" s="51">
        <f t="shared" si="3"/>
        <v>-1890.2973024516004</v>
      </c>
    </row>
    <row r="46" spans="1:13" x14ac:dyDescent="0.25">
      <c r="A46" s="52">
        <v>23</v>
      </c>
      <c r="B46" s="53">
        <v>129.94</v>
      </c>
      <c r="C46" s="54" t="s">
        <v>38</v>
      </c>
      <c r="D46" s="53">
        <v>129.94</v>
      </c>
      <c r="E46" s="55">
        <v>0</v>
      </c>
      <c r="F46" s="20">
        <v>0</v>
      </c>
      <c r="G46" s="20">
        <f>60%*30.95077665</f>
        <v>18.570465989999999</v>
      </c>
      <c r="H46" s="20">
        <v>0</v>
      </c>
      <c r="I46" s="20">
        <v>0</v>
      </c>
      <c r="J46" s="20">
        <v>0</v>
      </c>
      <c r="K46" s="20">
        <v>0</v>
      </c>
      <c r="L46" s="55">
        <f t="shared" si="0"/>
        <v>18.570465989999999</v>
      </c>
      <c r="M46" s="55">
        <f t="shared" si="1"/>
        <v>2413.0463507405998</v>
      </c>
    </row>
    <row r="47" spans="1:13" x14ac:dyDescent="0.25">
      <c r="A47" s="52">
        <v>24</v>
      </c>
      <c r="B47" s="53">
        <v>121.3</v>
      </c>
      <c r="C47" s="54" t="s">
        <v>38</v>
      </c>
      <c r="D47" s="53">
        <v>121.3</v>
      </c>
      <c r="E47" s="55">
        <v>0</v>
      </c>
      <c r="F47" s="20">
        <v>0</v>
      </c>
      <c r="G47" s="20">
        <f>60%*17.42508457</f>
        <v>10.455050741999999</v>
      </c>
      <c r="H47" s="20">
        <v>0</v>
      </c>
      <c r="I47" s="20">
        <v>0</v>
      </c>
      <c r="J47" s="20">
        <v>0</v>
      </c>
      <c r="K47" s="20">
        <v>0</v>
      </c>
      <c r="L47" s="55">
        <f t="shared" si="0"/>
        <v>10.455050741999999</v>
      </c>
      <c r="M47" s="55">
        <f t="shared" si="1"/>
        <v>1268.1976550045999</v>
      </c>
    </row>
    <row r="48" spans="1:13" x14ac:dyDescent="0.25">
      <c r="A48" s="15" t="s">
        <v>40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5">
        <f>SUM(M24:M47)</f>
        <v>888250.61283391563</v>
      </c>
    </row>
  </sheetData>
  <mergeCells count="1">
    <mergeCell ref="A22:M2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EB-43A1-469D-8079-D94CBE314735}">
  <dimension ref="A2:P29"/>
  <sheetViews>
    <sheetView workbookViewId="0">
      <selection activeCell="J17" sqref="J17"/>
    </sheetView>
  </sheetViews>
  <sheetFormatPr defaultRowHeight="15" x14ac:dyDescent="0.25"/>
  <cols>
    <col min="1" max="1" width="13.42578125" customWidth="1"/>
    <col min="2" max="2" width="16" customWidth="1"/>
    <col min="3" max="3" width="8.85546875" customWidth="1"/>
    <col min="4" max="4" width="18.85546875" customWidth="1"/>
    <col min="5" max="5" width="17.85546875" customWidth="1"/>
    <col min="6" max="6" width="18.7109375" customWidth="1"/>
    <col min="7" max="7" width="20.28515625" customWidth="1"/>
    <col min="8" max="8" width="21.85546875" customWidth="1"/>
    <col min="9" max="9" width="21" customWidth="1"/>
    <col min="10" max="10" width="18.140625" customWidth="1"/>
    <col min="11" max="11" width="14.7109375" customWidth="1"/>
    <col min="13" max="13" width="13.5703125" customWidth="1"/>
    <col min="14" max="14" width="20.140625" customWidth="1"/>
    <col min="15" max="15" width="18.42578125" customWidth="1"/>
    <col min="16" max="16" width="17.5703125" customWidth="1"/>
  </cols>
  <sheetData>
    <row r="2" spans="1:16" x14ac:dyDescent="0.25">
      <c r="M2" s="11" t="s">
        <v>63</v>
      </c>
      <c r="N2" s="11"/>
      <c r="O2" s="11"/>
      <c r="P2" s="11"/>
    </row>
    <row r="3" spans="1:16" ht="18.75" x14ac:dyDescent="0.3">
      <c r="A3" s="71" t="s">
        <v>74</v>
      </c>
      <c r="B3" s="72"/>
      <c r="C3" s="72"/>
      <c r="D3" s="72"/>
      <c r="E3" s="72"/>
      <c r="F3" s="72"/>
      <c r="G3" s="72"/>
      <c r="H3" s="72"/>
      <c r="I3" s="72"/>
      <c r="J3" s="72"/>
      <c r="K3" s="72"/>
      <c r="M3" s="11" t="s">
        <v>64</v>
      </c>
      <c r="N3" s="11"/>
      <c r="O3" s="11"/>
      <c r="P3" s="11"/>
    </row>
    <row r="4" spans="1:16" s="13" customFormat="1" ht="45.75" customHeight="1" x14ac:dyDescent="0.25">
      <c r="A4" s="12" t="s">
        <v>33</v>
      </c>
      <c r="B4" s="12" t="s">
        <v>34</v>
      </c>
      <c r="C4" s="12" t="s">
        <v>35</v>
      </c>
      <c r="D4" s="12" t="s">
        <v>47</v>
      </c>
      <c r="E4" s="12" t="s">
        <v>46</v>
      </c>
      <c r="F4" s="12" t="s">
        <v>45</v>
      </c>
      <c r="G4" s="12" t="s">
        <v>42</v>
      </c>
      <c r="H4" s="12" t="s">
        <v>41</v>
      </c>
      <c r="I4" s="12" t="s">
        <v>44</v>
      </c>
      <c r="J4" s="12" t="s">
        <v>36</v>
      </c>
      <c r="K4" s="12" t="s">
        <v>48</v>
      </c>
    </row>
    <row r="5" spans="1:16" x14ac:dyDescent="0.25">
      <c r="A5" s="6">
        <v>1</v>
      </c>
      <c r="B5" s="7">
        <v>107.21</v>
      </c>
      <c r="C5" s="8" t="s">
        <v>37</v>
      </c>
      <c r="D5" s="19">
        <v>0</v>
      </c>
      <c r="E5" s="9">
        <v>9.9254688699999996</v>
      </c>
      <c r="F5" s="19">
        <v>0</v>
      </c>
      <c r="G5" s="19">
        <v>0</v>
      </c>
      <c r="H5" s="19">
        <v>0</v>
      </c>
      <c r="I5" s="19">
        <v>0</v>
      </c>
      <c r="J5" s="9">
        <f t="shared" ref="J5:J28" si="0">SUM(D5:I5)</f>
        <v>9.9254688699999996</v>
      </c>
      <c r="K5" s="14">
        <f t="shared" ref="K5:K28" si="1">B5*J5</f>
        <v>1064.1095175526998</v>
      </c>
      <c r="P5" s="11"/>
    </row>
    <row r="6" spans="1:16" x14ac:dyDescent="0.25">
      <c r="A6" s="6">
        <v>2</v>
      </c>
      <c r="B6" s="10">
        <v>101.1</v>
      </c>
      <c r="C6" s="8" t="s">
        <v>37</v>
      </c>
      <c r="D6" s="19">
        <v>0</v>
      </c>
      <c r="E6" s="9">
        <v>9.9254688699999996</v>
      </c>
      <c r="F6" s="19">
        <v>0</v>
      </c>
      <c r="G6" s="19">
        <v>0</v>
      </c>
      <c r="H6" s="19">
        <v>0</v>
      </c>
      <c r="I6" s="19">
        <v>0</v>
      </c>
      <c r="J6" s="9">
        <f t="shared" si="0"/>
        <v>9.9254688699999996</v>
      </c>
      <c r="K6" s="14">
        <f t="shared" si="1"/>
        <v>1003.4649027569999</v>
      </c>
      <c r="M6" s="17" t="s">
        <v>65</v>
      </c>
      <c r="N6" s="17" t="s">
        <v>66</v>
      </c>
      <c r="O6" s="17" t="s">
        <v>67</v>
      </c>
    </row>
    <row r="7" spans="1:16" x14ac:dyDescent="0.25">
      <c r="A7" s="6">
        <v>3</v>
      </c>
      <c r="B7" s="10">
        <v>96.73</v>
      </c>
      <c r="C7" s="8" t="s">
        <v>37</v>
      </c>
      <c r="D7" s="19">
        <v>0</v>
      </c>
      <c r="E7" s="9">
        <v>7.3415202290000003</v>
      </c>
      <c r="F7" s="19">
        <v>0</v>
      </c>
      <c r="G7" s="19">
        <v>0</v>
      </c>
      <c r="H7" s="19">
        <v>0</v>
      </c>
      <c r="I7" s="19">
        <v>0</v>
      </c>
      <c r="J7" s="9">
        <f t="shared" si="0"/>
        <v>7.3415202290000003</v>
      </c>
      <c r="K7" s="14">
        <f t="shared" si="1"/>
        <v>710.14525175117001</v>
      </c>
      <c r="M7" s="22" t="s">
        <v>68</v>
      </c>
      <c r="N7" s="28">
        <v>53628</v>
      </c>
      <c r="O7" s="22">
        <v>3</v>
      </c>
    </row>
    <row r="8" spans="1:16" x14ac:dyDescent="0.25">
      <c r="A8" s="6">
        <v>4</v>
      </c>
      <c r="B8" s="10">
        <v>82.34</v>
      </c>
      <c r="C8" s="8" t="s">
        <v>37</v>
      </c>
      <c r="D8" s="19">
        <v>0</v>
      </c>
      <c r="E8" s="9">
        <v>7.3415202290000003</v>
      </c>
      <c r="F8" s="19">
        <v>0</v>
      </c>
      <c r="G8" s="19">
        <v>0</v>
      </c>
      <c r="H8" s="19">
        <v>0</v>
      </c>
      <c r="I8" s="19">
        <v>0</v>
      </c>
      <c r="J8" s="9">
        <f t="shared" si="0"/>
        <v>7.3415202290000003</v>
      </c>
      <c r="K8" s="14">
        <f t="shared" si="1"/>
        <v>604.50077565586002</v>
      </c>
    </row>
    <row r="9" spans="1:16" x14ac:dyDescent="0.25">
      <c r="A9" s="6">
        <v>5</v>
      </c>
      <c r="B9" s="10">
        <v>81.93</v>
      </c>
      <c r="C9" s="8" t="s">
        <v>37</v>
      </c>
      <c r="D9" s="19">
        <v>0</v>
      </c>
      <c r="E9" s="9">
        <v>7.3415202290000003</v>
      </c>
      <c r="F9" s="19">
        <v>0</v>
      </c>
      <c r="G9" s="19">
        <v>0</v>
      </c>
      <c r="H9" s="19">
        <v>0</v>
      </c>
      <c r="I9" s="19">
        <v>0</v>
      </c>
      <c r="J9" s="9">
        <f t="shared" si="0"/>
        <v>7.3415202290000003</v>
      </c>
      <c r="K9" s="14">
        <f t="shared" si="1"/>
        <v>601.49075236197007</v>
      </c>
    </row>
    <row r="10" spans="1:16" x14ac:dyDescent="0.25">
      <c r="A10" s="6">
        <v>6</v>
      </c>
      <c r="B10" s="10">
        <v>84.03</v>
      </c>
      <c r="C10" s="8" t="s">
        <v>37</v>
      </c>
      <c r="D10" s="19">
        <v>0</v>
      </c>
      <c r="E10" s="9">
        <v>7.801412376</v>
      </c>
      <c r="F10" s="19">
        <v>0</v>
      </c>
      <c r="G10" s="19">
        <v>0</v>
      </c>
      <c r="H10" s="19">
        <v>0</v>
      </c>
      <c r="I10" s="19">
        <v>0</v>
      </c>
      <c r="J10" s="9">
        <f t="shared" si="0"/>
        <v>7.801412376</v>
      </c>
      <c r="K10" s="14">
        <f t="shared" si="1"/>
        <v>655.55268195528004</v>
      </c>
    </row>
    <row r="11" spans="1:16" x14ac:dyDescent="0.25">
      <c r="A11" s="6">
        <v>7</v>
      </c>
      <c r="B11" s="10">
        <v>97.25</v>
      </c>
      <c r="C11" s="8" t="s">
        <v>37</v>
      </c>
      <c r="D11" s="19">
        <v>0</v>
      </c>
      <c r="E11" s="9">
        <v>8.5082010100000005</v>
      </c>
      <c r="F11" s="19">
        <v>0</v>
      </c>
      <c r="G11" s="19">
        <v>0</v>
      </c>
      <c r="H11" s="19">
        <v>0</v>
      </c>
      <c r="I11" s="19">
        <v>0</v>
      </c>
      <c r="J11" s="9">
        <f t="shared" si="0"/>
        <v>8.5082010100000005</v>
      </c>
      <c r="K11" s="14">
        <f t="shared" si="1"/>
        <v>827.42254822250004</v>
      </c>
    </row>
    <row r="12" spans="1:16" x14ac:dyDescent="0.25">
      <c r="A12" s="6">
        <v>8</v>
      </c>
      <c r="B12" s="10">
        <v>106.51</v>
      </c>
      <c r="C12" s="8" t="s">
        <v>38</v>
      </c>
      <c r="D12" s="19">
        <v>0</v>
      </c>
      <c r="E12" s="9">
        <v>9.4926561199999995</v>
      </c>
      <c r="F12" s="19">
        <v>0</v>
      </c>
      <c r="G12" s="19">
        <v>0</v>
      </c>
      <c r="H12" s="19">
        <v>0</v>
      </c>
      <c r="I12" s="19">
        <v>0</v>
      </c>
      <c r="J12" s="9">
        <f t="shared" si="0"/>
        <v>9.4926561199999995</v>
      </c>
      <c r="K12" s="14">
        <f t="shared" si="1"/>
        <v>1011.0628033412</v>
      </c>
    </row>
    <row r="13" spans="1:16" x14ac:dyDescent="0.25">
      <c r="A13" s="6">
        <v>9</v>
      </c>
      <c r="B13" s="10">
        <v>120.7</v>
      </c>
      <c r="C13" s="8" t="s">
        <v>38</v>
      </c>
      <c r="D13" s="19">
        <v>0</v>
      </c>
      <c r="E13" s="9">
        <v>10.32865994</v>
      </c>
      <c r="F13" s="19">
        <v>0</v>
      </c>
      <c r="G13" s="19">
        <v>0</v>
      </c>
      <c r="H13" s="19">
        <v>0</v>
      </c>
      <c r="I13" s="19">
        <v>0</v>
      </c>
      <c r="J13" s="9">
        <f t="shared" si="0"/>
        <v>10.32865994</v>
      </c>
      <c r="K13" s="14">
        <f t="shared" si="1"/>
        <v>1246.6692547580001</v>
      </c>
    </row>
    <row r="14" spans="1:16" x14ac:dyDescent="0.25">
      <c r="A14" s="6">
        <v>10</v>
      </c>
      <c r="B14" s="10">
        <v>116.86</v>
      </c>
      <c r="C14" s="8" t="s">
        <v>38</v>
      </c>
      <c r="D14" s="19">
        <v>0</v>
      </c>
      <c r="E14" s="9">
        <v>10.244327</v>
      </c>
      <c r="F14" s="19">
        <v>0</v>
      </c>
      <c r="G14" s="19">
        <v>0</v>
      </c>
      <c r="H14" s="19">
        <v>0</v>
      </c>
      <c r="I14" s="19">
        <v>0</v>
      </c>
      <c r="J14" s="9">
        <f t="shared" si="0"/>
        <v>10.244327</v>
      </c>
      <c r="K14" s="14">
        <f t="shared" si="1"/>
        <v>1197.15205322</v>
      </c>
    </row>
    <row r="15" spans="1:16" x14ac:dyDescent="0.25">
      <c r="A15" s="6">
        <v>11</v>
      </c>
      <c r="B15" s="10">
        <v>112.85</v>
      </c>
      <c r="C15" s="8" t="s">
        <v>38</v>
      </c>
      <c r="D15" s="19">
        <v>0</v>
      </c>
      <c r="E15" s="9">
        <v>9.7447113000000005</v>
      </c>
      <c r="F15" s="19">
        <v>0</v>
      </c>
      <c r="G15" s="19">
        <v>0</v>
      </c>
      <c r="H15" s="19">
        <v>0</v>
      </c>
      <c r="I15" s="19">
        <v>0</v>
      </c>
      <c r="J15" s="9">
        <f t="shared" si="0"/>
        <v>9.7447113000000005</v>
      </c>
      <c r="K15" s="14">
        <f t="shared" si="1"/>
        <v>1099.6906702050001</v>
      </c>
    </row>
    <row r="16" spans="1:16" x14ac:dyDescent="0.25">
      <c r="A16" s="6">
        <v>12</v>
      </c>
      <c r="B16" s="10">
        <v>113.37</v>
      </c>
      <c r="C16" s="8" t="s">
        <v>38</v>
      </c>
      <c r="D16" s="19">
        <v>0</v>
      </c>
      <c r="E16" s="9">
        <v>8.3449162599999998</v>
      </c>
      <c r="F16" s="19">
        <v>0</v>
      </c>
      <c r="G16" s="19">
        <v>0</v>
      </c>
      <c r="H16" s="19">
        <v>0</v>
      </c>
      <c r="I16" s="19">
        <v>0</v>
      </c>
      <c r="J16" s="9">
        <f t="shared" si="0"/>
        <v>8.3449162599999998</v>
      </c>
      <c r="K16" s="14">
        <f t="shared" si="1"/>
        <v>946.06315639620004</v>
      </c>
    </row>
    <row r="17" spans="1:11" x14ac:dyDescent="0.25">
      <c r="A17" s="6">
        <v>13</v>
      </c>
      <c r="B17" s="10">
        <v>115</v>
      </c>
      <c r="C17" s="8" t="s">
        <v>38</v>
      </c>
      <c r="D17" s="19">
        <v>0</v>
      </c>
      <c r="E17" s="9">
        <v>8.1904801900000006</v>
      </c>
      <c r="F17" s="19">
        <v>0</v>
      </c>
      <c r="G17" s="19">
        <v>0</v>
      </c>
      <c r="H17" s="19">
        <v>0</v>
      </c>
      <c r="I17" s="19">
        <v>0</v>
      </c>
      <c r="J17" s="9">
        <f t="shared" si="0"/>
        <v>8.1904801900000006</v>
      </c>
      <c r="K17" s="14">
        <f t="shared" si="1"/>
        <v>941.90522185000009</v>
      </c>
    </row>
    <row r="18" spans="1:11" x14ac:dyDescent="0.25">
      <c r="A18" s="6">
        <v>14</v>
      </c>
      <c r="B18" s="10">
        <v>109.78</v>
      </c>
      <c r="C18" s="8" t="s">
        <v>37</v>
      </c>
      <c r="D18" s="19">
        <v>0</v>
      </c>
      <c r="E18" s="9">
        <v>8.2605833200000003</v>
      </c>
      <c r="F18" s="19">
        <v>0</v>
      </c>
      <c r="G18" s="19">
        <v>0</v>
      </c>
      <c r="H18" s="19">
        <v>0</v>
      </c>
      <c r="I18" s="19">
        <v>0</v>
      </c>
      <c r="J18" s="9">
        <f t="shared" si="0"/>
        <v>8.2605833200000003</v>
      </c>
      <c r="K18" s="14">
        <f t="shared" si="1"/>
        <v>906.8468368696</v>
      </c>
    </row>
    <row r="19" spans="1:11" x14ac:dyDescent="0.25">
      <c r="A19" s="6">
        <v>15</v>
      </c>
      <c r="B19" s="10">
        <v>119.71</v>
      </c>
      <c r="C19" s="8" t="s">
        <v>38</v>
      </c>
      <c r="D19" s="19">
        <v>0</v>
      </c>
      <c r="E19" s="9">
        <v>8.2605833200000003</v>
      </c>
      <c r="F19" s="19">
        <v>0</v>
      </c>
      <c r="G19" s="19">
        <v>0</v>
      </c>
      <c r="H19" s="19">
        <v>0</v>
      </c>
      <c r="I19" s="19">
        <v>0</v>
      </c>
      <c r="J19" s="9">
        <f t="shared" si="0"/>
        <v>8.2605833200000003</v>
      </c>
      <c r="K19" s="14">
        <f t="shared" si="1"/>
        <v>988.87442923719993</v>
      </c>
    </row>
    <row r="20" spans="1:11" x14ac:dyDescent="0.25">
      <c r="A20" s="6">
        <v>16</v>
      </c>
      <c r="B20" s="10">
        <v>125.83</v>
      </c>
      <c r="C20" s="8" t="s">
        <v>38</v>
      </c>
      <c r="D20" s="19">
        <v>0</v>
      </c>
      <c r="E20" s="9">
        <v>8.2605833200000003</v>
      </c>
      <c r="F20" s="19">
        <v>0</v>
      </c>
      <c r="G20" s="19">
        <v>0</v>
      </c>
      <c r="H20" s="19">
        <v>0</v>
      </c>
      <c r="I20" s="19">
        <v>0</v>
      </c>
      <c r="J20" s="9">
        <f t="shared" si="0"/>
        <v>8.2605833200000003</v>
      </c>
      <c r="K20" s="14">
        <f t="shared" si="1"/>
        <v>1039.4291991555999</v>
      </c>
    </row>
    <row r="21" spans="1:11" x14ac:dyDescent="0.25">
      <c r="A21" s="6">
        <v>17</v>
      </c>
      <c r="B21" s="10">
        <v>139.57</v>
      </c>
      <c r="C21" s="8" t="s">
        <v>39</v>
      </c>
      <c r="D21" s="19">
        <v>0</v>
      </c>
      <c r="E21" s="9">
        <v>8.2605833200000003</v>
      </c>
      <c r="F21" s="19">
        <v>0</v>
      </c>
      <c r="G21" s="19">
        <v>0</v>
      </c>
      <c r="H21" s="19">
        <v>0</v>
      </c>
      <c r="I21" s="19">
        <v>0</v>
      </c>
      <c r="J21" s="9">
        <f t="shared" si="0"/>
        <v>8.2605833200000003</v>
      </c>
      <c r="K21" s="14">
        <f t="shared" si="1"/>
        <v>1152.9296139723999</v>
      </c>
    </row>
    <row r="22" spans="1:11" x14ac:dyDescent="0.25">
      <c r="A22" s="6">
        <v>18</v>
      </c>
      <c r="B22" s="10">
        <v>155.93</v>
      </c>
      <c r="C22" s="8" t="s">
        <v>39</v>
      </c>
      <c r="D22" s="19">
        <v>0</v>
      </c>
      <c r="E22" s="9">
        <v>9.1807569400000002</v>
      </c>
      <c r="F22" s="19">
        <v>0</v>
      </c>
      <c r="G22" s="19">
        <v>0</v>
      </c>
      <c r="H22" s="19">
        <v>0</v>
      </c>
      <c r="I22" s="19">
        <v>0</v>
      </c>
      <c r="J22" s="9">
        <f t="shared" si="0"/>
        <v>9.1807569400000002</v>
      </c>
      <c r="K22" s="14">
        <f t="shared" si="1"/>
        <v>1431.5554296542</v>
      </c>
    </row>
    <row r="23" spans="1:11" x14ac:dyDescent="0.25">
      <c r="A23" s="6">
        <v>19</v>
      </c>
      <c r="B23" s="10">
        <v>163.5</v>
      </c>
      <c r="C23" s="8" t="s">
        <v>39</v>
      </c>
      <c r="D23" s="19">
        <v>0</v>
      </c>
      <c r="E23" s="9">
        <v>10.605982109999999</v>
      </c>
      <c r="F23" s="19">
        <v>0</v>
      </c>
      <c r="G23" s="19">
        <v>0</v>
      </c>
      <c r="H23" s="19">
        <v>0</v>
      </c>
      <c r="I23" s="19">
        <v>0</v>
      </c>
      <c r="J23" s="9">
        <f t="shared" si="0"/>
        <v>10.605982109999999</v>
      </c>
      <c r="K23" s="14">
        <f t="shared" si="1"/>
        <v>1734.0780749849998</v>
      </c>
    </row>
    <row r="24" spans="1:11" x14ac:dyDescent="0.25">
      <c r="A24" s="6">
        <v>20</v>
      </c>
      <c r="B24" s="10">
        <v>146.74</v>
      </c>
      <c r="C24" s="8" t="s">
        <v>39</v>
      </c>
      <c r="D24" s="19">
        <v>0</v>
      </c>
      <c r="E24" s="9">
        <v>12.814371530000001</v>
      </c>
      <c r="F24" s="19">
        <v>0</v>
      </c>
      <c r="G24" s="19">
        <v>0</v>
      </c>
      <c r="H24" s="19">
        <v>0</v>
      </c>
      <c r="I24" s="19">
        <v>0</v>
      </c>
      <c r="J24" s="9">
        <f t="shared" si="0"/>
        <v>12.814371530000001</v>
      </c>
      <c r="K24" s="14">
        <f t="shared" si="1"/>
        <v>1880.3808783122001</v>
      </c>
    </row>
    <row r="25" spans="1:11" x14ac:dyDescent="0.25">
      <c r="A25" s="6">
        <v>21</v>
      </c>
      <c r="B25" s="10">
        <v>139.38</v>
      </c>
      <c r="C25" s="8" t="s">
        <v>39</v>
      </c>
      <c r="D25" s="19">
        <v>0</v>
      </c>
      <c r="E25" s="9">
        <v>14.433633670000001</v>
      </c>
      <c r="F25" s="19">
        <v>0</v>
      </c>
      <c r="G25" s="19">
        <v>0</v>
      </c>
      <c r="H25" s="19">
        <v>0</v>
      </c>
      <c r="I25" s="19">
        <v>0</v>
      </c>
      <c r="J25" s="9">
        <f t="shared" si="0"/>
        <v>14.433633670000001</v>
      </c>
      <c r="K25" s="14">
        <f t="shared" si="1"/>
        <v>2011.7598609245999</v>
      </c>
    </row>
    <row r="26" spans="1:11" x14ac:dyDescent="0.25">
      <c r="A26" s="6">
        <v>22</v>
      </c>
      <c r="B26" s="10">
        <v>131.80000000000001</v>
      </c>
      <c r="C26" s="8" t="s">
        <v>39</v>
      </c>
      <c r="D26" s="19">
        <v>0</v>
      </c>
      <c r="E26" s="9">
        <v>14.096392229999999</v>
      </c>
      <c r="F26" s="19">
        <v>0</v>
      </c>
      <c r="G26" s="19">
        <v>0</v>
      </c>
      <c r="H26" s="19">
        <v>0</v>
      </c>
      <c r="I26" s="19">
        <v>0</v>
      </c>
      <c r="J26" s="9">
        <f t="shared" si="0"/>
        <v>14.096392229999999</v>
      </c>
      <c r="K26" s="14">
        <f t="shared" si="1"/>
        <v>1857.9044959140001</v>
      </c>
    </row>
    <row r="27" spans="1:11" x14ac:dyDescent="0.25">
      <c r="A27" s="6">
        <v>23</v>
      </c>
      <c r="B27" s="10">
        <v>129.94</v>
      </c>
      <c r="C27" s="8" t="s">
        <v>38</v>
      </c>
      <c r="D27" s="19">
        <v>0</v>
      </c>
      <c r="E27" s="9">
        <v>13.95077665</v>
      </c>
      <c r="F27" s="19">
        <v>0</v>
      </c>
      <c r="G27" s="19">
        <v>0</v>
      </c>
      <c r="H27" s="19">
        <v>0</v>
      </c>
      <c r="I27" s="19">
        <v>0</v>
      </c>
      <c r="J27" s="9">
        <f t="shared" si="0"/>
        <v>13.95077665</v>
      </c>
      <c r="K27" s="14">
        <f t="shared" si="1"/>
        <v>1812.763917901</v>
      </c>
    </row>
    <row r="28" spans="1:11" x14ac:dyDescent="0.25">
      <c r="A28" s="6">
        <v>24</v>
      </c>
      <c r="B28" s="10">
        <v>121.3</v>
      </c>
      <c r="C28" s="8" t="s">
        <v>38</v>
      </c>
      <c r="D28" s="19">
        <v>0</v>
      </c>
      <c r="E28" s="9">
        <v>9.4250845699999992</v>
      </c>
      <c r="F28" s="19">
        <v>0</v>
      </c>
      <c r="G28" s="19">
        <v>0</v>
      </c>
      <c r="H28" s="19">
        <v>0</v>
      </c>
      <c r="I28" s="19">
        <v>0</v>
      </c>
      <c r="J28" s="9">
        <f t="shared" si="0"/>
        <v>9.4250845699999992</v>
      </c>
      <c r="K28" s="14">
        <f t="shared" si="1"/>
        <v>1143.2627583409999</v>
      </c>
    </row>
    <row r="29" spans="1:11" x14ac:dyDescent="0.25">
      <c r="A29" s="15" t="s">
        <v>49</v>
      </c>
      <c r="B29" s="15"/>
      <c r="C29" s="15"/>
      <c r="D29" s="15"/>
      <c r="E29" s="15"/>
      <c r="F29" s="15"/>
      <c r="G29" s="15"/>
      <c r="H29" s="15"/>
      <c r="I29" s="15"/>
      <c r="J29" s="15"/>
      <c r="K29" s="16">
        <f>SUM(K5:K28)</f>
        <v>27869.015085293679</v>
      </c>
    </row>
  </sheetData>
  <mergeCells count="1">
    <mergeCell ref="A3:K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D80D-F1DC-4074-A0C0-76EF0E1FFAEF}">
  <dimension ref="A1:M48"/>
  <sheetViews>
    <sheetView topLeftCell="A14" workbookViewId="0">
      <selection activeCell="I50" sqref="I50"/>
    </sheetView>
  </sheetViews>
  <sheetFormatPr defaultRowHeight="15" x14ac:dyDescent="0.25"/>
  <cols>
    <col min="1" max="1" width="30.140625" customWidth="1"/>
    <col min="2" max="2" width="14.28515625" customWidth="1"/>
    <col min="3" max="3" width="11" customWidth="1"/>
    <col min="4" max="4" width="12.28515625" customWidth="1"/>
    <col min="5" max="5" width="15.42578125" customWidth="1"/>
    <col min="6" max="7" width="18.7109375" customWidth="1"/>
    <col min="8" max="8" width="17.7109375" customWidth="1"/>
    <col min="9" max="9" width="22" customWidth="1"/>
    <col min="10" max="10" width="17.7109375" customWidth="1"/>
    <col min="11" max="11" width="19" customWidth="1"/>
    <col min="12" max="12" width="16.7109375" customWidth="1"/>
    <col min="13" max="13" width="13.85546875" customWidth="1"/>
    <col min="14" max="14" width="19" customWidth="1"/>
  </cols>
  <sheetData>
    <row r="1" spans="1:4" ht="15.75" x14ac:dyDescent="0.25">
      <c r="A1" s="26" t="s">
        <v>50</v>
      </c>
      <c r="B1" s="26" t="s">
        <v>51</v>
      </c>
      <c r="D1" s="11" t="s">
        <v>59</v>
      </c>
    </row>
    <row r="2" spans="1:4" x14ac:dyDescent="0.25">
      <c r="A2" s="27" t="s">
        <v>52</v>
      </c>
      <c r="B2" s="27" t="s">
        <v>73</v>
      </c>
    </row>
    <row r="3" spans="1:4" x14ac:dyDescent="0.25">
      <c r="A3" s="27" t="s">
        <v>56</v>
      </c>
      <c r="B3" s="27" t="s">
        <v>72</v>
      </c>
    </row>
    <row r="4" spans="1:4" x14ac:dyDescent="0.25">
      <c r="A4" s="27" t="s">
        <v>57</v>
      </c>
      <c r="B4" s="27" t="s">
        <v>72</v>
      </c>
    </row>
    <row r="5" spans="1:4" x14ac:dyDescent="0.25">
      <c r="A5" s="27" t="s">
        <v>53</v>
      </c>
      <c r="B5" s="27" t="s">
        <v>72</v>
      </c>
    </row>
    <row r="22" spans="1:13" ht="18.75" x14ac:dyDescent="0.3">
      <c r="A22" s="71" t="s">
        <v>102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</row>
    <row r="23" spans="1:13" ht="60" x14ac:dyDescent="0.25">
      <c r="A23" s="23" t="s">
        <v>33</v>
      </c>
      <c r="B23" s="23" t="s">
        <v>34</v>
      </c>
      <c r="C23" s="23" t="s">
        <v>35</v>
      </c>
      <c r="D23" s="23" t="s">
        <v>93</v>
      </c>
      <c r="E23" s="23" t="s">
        <v>62</v>
      </c>
      <c r="F23" s="12" t="s">
        <v>47</v>
      </c>
      <c r="G23" s="12" t="s">
        <v>46</v>
      </c>
      <c r="H23" s="12" t="s">
        <v>45</v>
      </c>
      <c r="I23" s="12" t="s">
        <v>42</v>
      </c>
      <c r="J23" s="12" t="s">
        <v>41</v>
      </c>
      <c r="K23" s="12" t="s">
        <v>44</v>
      </c>
      <c r="L23" s="12" t="s">
        <v>36</v>
      </c>
      <c r="M23" s="12" t="s">
        <v>48</v>
      </c>
    </row>
    <row r="24" spans="1:13" x14ac:dyDescent="0.25">
      <c r="A24" s="18">
        <v>1</v>
      </c>
      <c r="B24" s="10">
        <v>107.21</v>
      </c>
      <c r="C24" s="8" t="s">
        <v>37</v>
      </c>
      <c r="D24" s="10">
        <v>107.21</v>
      </c>
      <c r="E24" s="47">
        <v>65</v>
      </c>
      <c r="F24" s="20">
        <v>0</v>
      </c>
      <c r="G24" s="20">
        <v>9.9254688699999996</v>
      </c>
      <c r="H24" s="20">
        <v>0</v>
      </c>
      <c r="I24" s="20">
        <v>0</v>
      </c>
      <c r="J24" s="20">
        <v>0</v>
      </c>
      <c r="K24" s="20">
        <v>0</v>
      </c>
      <c r="L24" s="21">
        <f>SUM(E24:K24)</f>
        <v>74.925468870000003</v>
      </c>
      <c r="M24" s="21">
        <f>D24*L24</f>
        <v>8032.7595175526994</v>
      </c>
    </row>
    <row r="25" spans="1:13" x14ac:dyDescent="0.25">
      <c r="A25" s="18">
        <v>2</v>
      </c>
      <c r="B25" s="10">
        <v>101.1</v>
      </c>
      <c r="C25" s="8" t="s">
        <v>37</v>
      </c>
      <c r="D25" s="10">
        <v>101.1</v>
      </c>
      <c r="E25" s="47">
        <v>60</v>
      </c>
      <c r="F25" s="20">
        <v>0</v>
      </c>
      <c r="G25" s="20">
        <v>9.9254688699999996</v>
      </c>
      <c r="H25" s="20">
        <v>0</v>
      </c>
      <c r="I25" s="20">
        <v>0</v>
      </c>
      <c r="J25" s="20">
        <v>0</v>
      </c>
      <c r="K25" s="20">
        <v>0</v>
      </c>
      <c r="L25" s="21">
        <f>SUM(E25:K25)</f>
        <v>69.925468870000003</v>
      </c>
      <c r="M25" s="21">
        <f>D25*L25</f>
        <v>7069.4649027570003</v>
      </c>
    </row>
    <row r="26" spans="1:13" x14ac:dyDescent="0.25">
      <c r="A26" s="18">
        <v>3</v>
      </c>
      <c r="B26" s="10">
        <v>96.73</v>
      </c>
      <c r="C26" s="8" t="s">
        <v>37</v>
      </c>
      <c r="D26" s="10">
        <v>96.73</v>
      </c>
      <c r="E26" s="47">
        <v>55</v>
      </c>
      <c r="F26" s="20">
        <v>0</v>
      </c>
      <c r="G26" s="20">
        <v>7.3415202290000003</v>
      </c>
      <c r="H26" s="20">
        <v>0</v>
      </c>
      <c r="I26" s="20">
        <v>0</v>
      </c>
      <c r="J26" s="20">
        <v>0</v>
      </c>
      <c r="K26" s="20">
        <v>0</v>
      </c>
      <c r="L26" s="21">
        <f t="shared" ref="L26:L47" si="0">SUM(E26:K26)</f>
        <v>62.341520228999997</v>
      </c>
      <c r="M26" s="21">
        <f t="shared" ref="M26:M47" si="1">D26*L26</f>
        <v>6030.2952517511703</v>
      </c>
    </row>
    <row r="27" spans="1:13" x14ac:dyDescent="0.25">
      <c r="A27" s="18">
        <v>4</v>
      </c>
      <c r="B27" s="10">
        <v>82.34</v>
      </c>
      <c r="C27" s="8" t="s">
        <v>37</v>
      </c>
      <c r="D27" s="10">
        <v>82.34</v>
      </c>
      <c r="E27" s="47">
        <v>50</v>
      </c>
      <c r="F27" s="20">
        <v>0</v>
      </c>
      <c r="G27" s="20">
        <v>7.3415202290000003</v>
      </c>
      <c r="H27" s="20">
        <v>0</v>
      </c>
      <c r="I27" s="20">
        <v>0</v>
      </c>
      <c r="J27" s="20">
        <v>0</v>
      </c>
      <c r="K27" s="20">
        <v>0</v>
      </c>
      <c r="L27" s="21">
        <f t="shared" si="0"/>
        <v>57.341520228999997</v>
      </c>
      <c r="M27" s="21">
        <f t="shared" si="1"/>
        <v>4721.5007756558598</v>
      </c>
    </row>
    <row r="28" spans="1:13" x14ac:dyDescent="0.25">
      <c r="A28" s="18">
        <v>5</v>
      </c>
      <c r="B28" s="10">
        <v>81.93</v>
      </c>
      <c r="C28" s="8" t="s">
        <v>37</v>
      </c>
      <c r="D28" s="10">
        <v>81.93</v>
      </c>
      <c r="E28" s="47">
        <v>52</v>
      </c>
      <c r="F28" s="20">
        <v>0</v>
      </c>
      <c r="G28" s="20">
        <v>7.3415202290000003</v>
      </c>
      <c r="H28" s="20">
        <v>0</v>
      </c>
      <c r="I28" s="20">
        <v>0</v>
      </c>
      <c r="J28" s="20">
        <v>0</v>
      </c>
      <c r="K28" s="20">
        <v>0</v>
      </c>
      <c r="L28" s="21">
        <f t="shared" si="0"/>
        <v>59.341520228999997</v>
      </c>
      <c r="M28" s="21">
        <f t="shared" si="1"/>
        <v>4861.8507523619701</v>
      </c>
    </row>
    <row r="29" spans="1:13" x14ac:dyDescent="0.25">
      <c r="A29" s="18">
        <v>6</v>
      </c>
      <c r="B29" s="10">
        <v>84.03</v>
      </c>
      <c r="C29" s="8" t="s">
        <v>37</v>
      </c>
      <c r="D29" s="10">
        <v>84.03</v>
      </c>
      <c r="E29" s="47">
        <v>45</v>
      </c>
      <c r="F29" s="20">
        <v>0</v>
      </c>
      <c r="G29" s="20">
        <v>7.801412376</v>
      </c>
      <c r="H29" s="20">
        <v>0</v>
      </c>
      <c r="I29" s="20">
        <v>0</v>
      </c>
      <c r="J29" s="20">
        <v>0</v>
      </c>
      <c r="K29" s="20">
        <v>0</v>
      </c>
      <c r="L29" s="21">
        <f t="shared" si="0"/>
        <v>52.801412376000002</v>
      </c>
      <c r="M29" s="21">
        <f t="shared" si="1"/>
        <v>4436.9026819552801</v>
      </c>
    </row>
    <row r="30" spans="1:13" x14ac:dyDescent="0.25">
      <c r="A30" s="18">
        <v>7</v>
      </c>
      <c r="B30" s="10">
        <v>97.25</v>
      </c>
      <c r="C30" s="8" t="s">
        <v>37</v>
      </c>
      <c r="D30" s="10">
        <v>97.25</v>
      </c>
      <c r="E30" s="47">
        <v>45</v>
      </c>
      <c r="F30" s="20">
        <v>0</v>
      </c>
      <c r="G30" s="20">
        <v>8.5082010100000005</v>
      </c>
      <c r="H30" s="20">
        <v>0</v>
      </c>
      <c r="I30" s="20">
        <v>0</v>
      </c>
      <c r="J30" s="20">
        <v>0</v>
      </c>
      <c r="K30" s="20">
        <v>0</v>
      </c>
      <c r="L30" s="21">
        <f t="shared" si="0"/>
        <v>53.508201010000001</v>
      </c>
      <c r="M30" s="21">
        <f t="shared" si="1"/>
        <v>5203.6725482225002</v>
      </c>
    </row>
    <row r="31" spans="1:13" x14ac:dyDescent="0.25">
      <c r="A31" s="18">
        <v>8</v>
      </c>
      <c r="B31" s="10">
        <v>106.51</v>
      </c>
      <c r="C31" s="8" t="s">
        <v>38</v>
      </c>
      <c r="D31" s="10">
        <v>106.51</v>
      </c>
      <c r="E31" s="55">
        <v>0</v>
      </c>
      <c r="F31" s="20">
        <v>0</v>
      </c>
      <c r="G31" s="20">
        <v>9.4926561199999995</v>
      </c>
      <c r="H31" s="20">
        <v>0</v>
      </c>
      <c r="I31" s="20">
        <v>0</v>
      </c>
      <c r="J31" s="20">
        <v>0</v>
      </c>
      <c r="K31" s="20">
        <v>0</v>
      </c>
      <c r="L31" s="21">
        <f t="shared" si="0"/>
        <v>9.4926561199999995</v>
      </c>
      <c r="M31" s="21">
        <f t="shared" si="1"/>
        <v>1011.0628033412</v>
      </c>
    </row>
    <row r="32" spans="1:13" x14ac:dyDescent="0.25">
      <c r="A32" s="18">
        <v>9</v>
      </c>
      <c r="B32" s="10">
        <v>120.7</v>
      </c>
      <c r="C32" s="8" t="s">
        <v>38</v>
      </c>
      <c r="D32" s="10">
        <v>120.7</v>
      </c>
      <c r="E32" s="55">
        <v>0</v>
      </c>
      <c r="F32" s="20">
        <v>0</v>
      </c>
      <c r="G32" s="20">
        <v>10.32865994</v>
      </c>
      <c r="H32" s="20">
        <v>0</v>
      </c>
      <c r="I32" s="20">
        <v>0</v>
      </c>
      <c r="J32" s="20">
        <v>0</v>
      </c>
      <c r="K32" s="20">
        <v>0</v>
      </c>
      <c r="L32" s="21">
        <f t="shared" si="0"/>
        <v>10.32865994</v>
      </c>
      <c r="M32" s="21">
        <f t="shared" si="1"/>
        <v>1246.6692547580001</v>
      </c>
    </row>
    <row r="33" spans="1:13" x14ac:dyDescent="0.25">
      <c r="A33" s="18">
        <v>10</v>
      </c>
      <c r="B33" s="10">
        <v>116.86</v>
      </c>
      <c r="C33" s="8" t="s">
        <v>38</v>
      </c>
      <c r="D33" s="10">
        <v>116.86</v>
      </c>
      <c r="E33" s="55">
        <v>0</v>
      </c>
      <c r="F33" s="20">
        <v>0</v>
      </c>
      <c r="G33" s="20">
        <v>10.244327</v>
      </c>
      <c r="H33" s="20">
        <v>0</v>
      </c>
      <c r="I33" s="20">
        <v>0</v>
      </c>
      <c r="J33" s="20">
        <v>0</v>
      </c>
      <c r="K33" s="20">
        <v>0</v>
      </c>
      <c r="L33" s="21">
        <f t="shared" si="0"/>
        <v>10.244327</v>
      </c>
      <c r="M33" s="21">
        <f t="shared" si="1"/>
        <v>1197.15205322</v>
      </c>
    </row>
    <row r="34" spans="1:13" x14ac:dyDescent="0.25">
      <c r="A34" s="18">
        <v>11</v>
      </c>
      <c r="B34" s="10">
        <v>112.85</v>
      </c>
      <c r="C34" s="8" t="s">
        <v>38</v>
      </c>
      <c r="D34" s="10">
        <v>112.85</v>
      </c>
      <c r="E34" s="55">
        <v>0</v>
      </c>
      <c r="F34" s="20">
        <v>0</v>
      </c>
      <c r="G34" s="20">
        <v>9.7447113000000005</v>
      </c>
      <c r="H34" s="20">
        <v>0</v>
      </c>
      <c r="I34" s="20">
        <v>0</v>
      </c>
      <c r="J34" s="20">
        <v>0</v>
      </c>
      <c r="K34" s="20">
        <v>0</v>
      </c>
      <c r="L34" s="21">
        <f t="shared" si="0"/>
        <v>9.7447113000000005</v>
      </c>
      <c r="M34" s="21">
        <f t="shared" si="1"/>
        <v>1099.6906702050001</v>
      </c>
    </row>
    <row r="35" spans="1:13" x14ac:dyDescent="0.25">
      <c r="A35" s="18">
        <v>12</v>
      </c>
      <c r="B35" s="10">
        <v>113.37</v>
      </c>
      <c r="C35" s="8" t="s">
        <v>38</v>
      </c>
      <c r="D35" s="10">
        <v>113.37</v>
      </c>
      <c r="E35" s="55">
        <v>0</v>
      </c>
      <c r="F35" s="20">
        <v>0</v>
      </c>
      <c r="G35" s="20">
        <v>8.3449162599999998</v>
      </c>
      <c r="H35" s="20">
        <v>0</v>
      </c>
      <c r="I35" s="20">
        <v>0</v>
      </c>
      <c r="J35" s="20">
        <v>0</v>
      </c>
      <c r="K35" s="20">
        <v>0</v>
      </c>
      <c r="L35" s="21">
        <f>SUM(E35:K35)</f>
        <v>8.3449162599999998</v>
      </c>
      <c r="M35" s="21">
        <f t="shared" si="1"/>
        <v>946.06315639620004</v>
      </c>
    </row>
    <row r="36" spans="1:13" x14ac:dyDescent="0.25">
      <c r="A36" s="18">
        <v>13</v>
      </c>
      <c r="B36" s="10">
        <v>115</v>
      </c>
      <c r="C36" s="8" t="s">
        <v>38</v>
      </c>
      <c r="D36" s="10">
        <v>115</v>
      </c>
      <c r="E36" s="55">
        <v>0</v>
      </c>
      <c r="F36" s="20">
        <v>0</v>
      </c>
      <c r="G36" s="20">
        <v>8.1904801900000006</v>
      </c>
      <c r="H36" s="20">
        <v>0</v>
      </c>
      <c r="I36" s="20">
        <v>0</v>
      </c>
      <c r="J36" s="20">
        <v>0</v>
      </c>
      <c r="K36" s="20">
        <v>0</v>
      </c>
      <c r="L36" s="21">
        <f t="shared" si="0"/>
        <v>8.1904801900000006</v>
      </c>
      <c r="M36" s="21">
        <f t="shared" si="1"/>
        <v>941.90522185000009</v>
      </c>
    </row>
    <row r="37" spans="1:13" x14ac:dyDescent="0.25">
      <c r="A37" s="18">
        <v>14</v>
      </c>
      <c r="B37" s="10">
        <v>109.78</v>
      </c>
      <c r="C37" s="8" t="s">
        <v>37</v>
      </c>
      <c r="D37" s="10">
        <v>109.78</v>
      </c>
      <c r="E37" s="47">
        <v>0</v>
      </c>
      <c r="F37" s="20">
        <v>0</v>
      </c>
      <c r="G37" s="20">
        <v>8.2605833200000003</v>
      </c>
      <c r="H37" s="20">
        <v>0</v>
      </c>
      <c r="I37" s="20">
        <v>0</v>
      </c>
      <c r="J37" s="20">
        <v>0</v>
      </c>
      <c r="K37" s="20">
        <v>0</v>
      </c>
      <c r="L37" s="21">
        <f t="shared" si="0"/>
        <v>8.2605833200000003</v>
      </c>
      <c r="M37" s="21">
        <f t="shared" si="1"/>
        <v>906.8468368696</v>
      </c>
    </row>
    <row r="38" spans="1:13" x14ac:dyDescent="0.25">
      <c r="A38" s="18">
        <v>15</v>
      </c>
      <c r="B38" s="10">
        <v>119.71</v>
      </c>
      <c r="C38" s="8" t="s">
        <v>38</v>
      </c>
      <c r="D38" s="10">
        <v>119.71</v>
      </c>
      <c r="E38" s="55">
        <v>0</v>
      </c>
      <c r="F38" s="20">
        <v>0</v>
      </c>
      <c r="G38" s="20">
        <v>8.2605833200000003</v>
      </c>
      <c r="H38" s="20">
        <v>0</v>
      </c>
      <c r="I38" s="20">
        <v>0</v>
      </c>
      <c r="J38" s="20">
        <v>0</v>
      </c>
      <c r="K38" s="20">
        <v>0</v>
      </c>
      <c r="L38" s="21">
        <f t="shared" si="0"/>
        <v>8.2605833200000003</v>
      </c>
      <c r="M38" s="21">
        <f t="shared" si="1"/>
        <v>988.87442923719993</v>
      </c>
    </row>
    <row r="39" spans="1:13" x14ac:dyDescent="0.25">
      <c r="A39" s="18">
        <v>16</v>
      </c>
      <c r="B39" s="10">
        <v>125.83</v>
      </c>
      <c r="C39" s="8" t="s">
        <v>38</v>
      </c>
      <c r="D39" s="19">
        <v>0</v>
      </c>
      <c r="E39" s="55">
        <v>0</v>
      </c>
      <c r="F39" s="20">
        <v>0</v>
      </c>
      <c r="G39" s="20">
        <v>8.2605833200000003</v>
      </c>
      <c r="H39" s="20">
        <v>0</v>
      </c>
      <c r="I39" s="20">
        <v>0</v>
      </c>
      <c r="J39" s="20">
        <v>0</v>
      </c>
      <c r="K39" s="20">
        <v>0</v>
      </c>
      <c r="L39" s="21">
        <f>SUM(E39:K39)</f>
        <v>8.2605833200000003</v>
      </c>
      <c r="M39" s="21">
        <f t="shared" ref="M39:M45" si="2">B39*L39</f>
        <v>1039.4291991555999</v>
      </c>
    </row>
    <row r="40" spans="1:13" x14ac:dyDescent="0.25">
      <c r="A40" s="18">
        <v>17</v>
      </c>
      <c r="B40" s="10">
        <v>139.57</v>
      </c>
      <c r="C40" s="8" t="s">
        <v>39</v>
      </c>
      <c r="D40" s="19">
        <v>0</v>
      </c>
      <c r="E40" s="51">
        <f>4-E24</f>
        <v>-61</v>
      </c>
      <c r="F40" s="20">
        <v>0</v>
      </c>
      <c r="G40" s="20">
        <v>8.2605833200000003</v>
      </c>
      <c r="H40" s="20">
        <v>0</v>
      </c>
      <c r="I40" s="20">
        <v>0</v>
      </c>
      <c r="J40" s="20">
        <v>0</v>
      </c>
      <c r="K40" s="20">
        <v>0</v>
      </c>
      <c r="L40" s="21">
        <f>SUM(E40:K40)</f>
        <v>-52.739416679999998</v>
      </c>
      <c r="M40" s="21">
        <f t="shared" si="2"/>
        <v>-7360.8403860275994</v>
      </c>
    </row>
    <row r="41" spans="1:13" x14ac:dyDescent="0.25">
      <c r="A41" s="18">
        <v>18</v>
      </c>
      <c r="B41" s="10">
        <v>155.93</v>
      </c>
      <c r="C41" s="8" t="s">
        <v>39</v>
      </c>
      <c r="D41" s="19">
        <v>0</v>
      </c>
      <c r="E41" s="51">
        <f>4-E25</f>
        <v>-56</v>
      </c>
      <c r="F41" s="20">
        <v>0</v>
      </c>
      <c r="G41" s="20">
        <v>9.1807569400000002</v>
      </c>
      <c r="H41" s="20">
        <v>0</v>
      </c>
      <c r="I41" s="20">
        <v>0</v>
      </c>
      <c r="J41" s="20">
        <v>0</v>
      </c>
      <c r="K41" s="20">
        <v>0</v>
      </c>
      <c r="L41" s="21">
        <f t="shared" si="0"/>
        <v>-46.819243059999998</v>
      </c>
      <c r="M41" s="21">
        <f t="shared" si="2"/>
        <v>-7300.5245703458004</v>
      </c>
    </row>
    <row r="42" spans="1:13" x14ac:dyDescent="0.25">
      <c r="A42" s="18">
        <v>19</v>
      </c>
      <c r="B42" s="10">
        <v>163.5</v>
      </c>
      <c r="C42" s="8" t="s">
        <v>39</v>
      </c>
      <c r="D42" s="19">
        <v>0</v>
      </c>
      <c r="E42" s="51">
        <f>4-E26</f>
        <v>-51</v>
      </c>
      <c r="F42" s="20">
        <v>0</v>
      </c>
      <c r="G42" s="20">
        <v>10.605982109999999</v>
      </c>
      <c r="H42" s="20">
        <v>0</v>
      </c>
      <c r="I42" s="20">
        <v>0</v>
      </c>
      <c r="J42" s="20">
        <v>0</v>
      </c>
      <c r="K42" s="20">
        <v>0</v>
      </c>
      <c r="L42" s="21">
        <f t="shared" si="0"/>
        <v>-40.394017890000001</v>
      </c>
      <c r="M42" s="21">
        <f t="shared" si="2"/>
        <v>-6604.4219250149999</v>
      </c>
    </row>
    <row r="43" spans="1:13" x14ac:dyDescent="0.25">
      <c r="A43" s="18">
        <v>20</v>
      </c>
      <c r="B43" s="10">
        <v>146.74</v>
      </c>
      <c r="C43" s="8" t="s">
        <v>39</v>
      </c>
      <c r="D43" s="19">
        <v>0</v>
      </c>
      <c r="E43" s="51">
        <f>4-E27</f>
        <v>-46</v>
      </c>
      <c r="F43" s="20">
        <v>0</v>
      </c>
      <c r="G43" s="20">
        <v>12.814371530000001</v>
      </c>
      <c r="H43" s="20">
        <v>0</v>
      </c>
      <c r="I43" s="20">
        <v>0</v>
      </c>
      <c r="J43" s="20">
        <v>0</v>
      </c>
      <c r="K43" s="20">
        <v>0</v>
      </c>
      <c r="L43" s="21">
        <f>SUM(E43:K43)</f>
        <v>-33.185628469999997</v>
      </c>
      <c r="M43" s="21">
        <f t="shared" si="2"/>
        <v>-4869.6591216877996</v>
      </c>
    </row>
    <row r="44" spans="1:13" x14ac:dyDescent="0.25">
      <c r="A44" s="18">
        <v>21</v>
      </c>
      <c r="B44" s="10">
        <v>139.38</v>
      </c>
      <c r="C44" s="8" t="s">
        <v>39</v>
      </c>
      <c r="D44" s="19">
        <v>0</v>
      </c>
      <c r="E44" s="51">
        <f>0-E28</f>
        <v>-52</v>
      </c>
      <c r="F44" s="20">
        <v>0</v>
      </c>
      <c r="G44" s="20">
        <v>14.433633670000001</v>
      </c>
      <c r="H44" s="20">
        <v>0</v>
      </c>
      <c r="I44" s="20">
        <v>0</v>
      </c>
      <c r="J44" s="20">
        <v>0</v>
      </c>
      <c r="K44" s="20">
        <v>0</v>
      </c>
      <c r="L44" s="21">
        <f t="shared" si="0"/>
        <v>-37.566366330000001</v>
      </c>
      <c r="M44" s="21">
        <f t="shared" si="2"/>
        <v>-5236.0001390753996</v>
      </c>
    </row>
    <row r="45" spans="1:13" x14ac:dyDescent="0.25">
      <c r="A45" s="18">
        <v>22</v>
      </c>
      <c r="B45" s="10">
        <v>131.80000000000001</v>
      </c>
      <c r="C45" s="8" t="s">
        <v>39</v>
      </c>
      <c r="D45" s="22">
        <v>0</v>
      </c>
      <c r="E45" s="51">
        <f>0-E29</f>
        <v>-45</v>
      </c>
      <c r="F45" s="20">
        <v>0</v>
      </c>
      <c r="G45" s="20">
        <v>14.096392229999999</v>
      </c>
      <c r="H45" s="20">
        <v>0</v>
      </c>
      <c r="I45" s="20">
        <v>0</v>
      </c>
      <c r="J45" s="20">
        <v>0</v>
      </c>
      <c r="K45" s="20">
        <v>0</v>
      </c>
      <c r="L45" s="21">
        <f t="shared" si="0"/>
        <v>-30.903607770000001</v>
      </c>
      <c r="M45" s="21">
        <f t="shared" si="2"/>
        <v>-4073.0955040860003</v>
      </c>
    </row>
    <row r="46" spans="1:13" x14ac:dyDescent="0.25">
      <c r="A46" s="18">
        <v>23</v>
      </c>
      <c r="B46" s="10">
        <v>129.94</v>
      </c>
      <c r="C46" s="8" t="s">
        <v>38</v>
      </c>
      <c r="D46" s="22">
        <v>0</v>
      </c>
      <c r="E46" s="55">
        <v>0</v>
      </c>
      <c r="F46" s="20">
        <v>0</v>
      </c>
      <c r="G46" s="20">
        <v>13.95077665</v>
      </c>
      <c r="H46" s="20">
        <v>0</v>
      </c>
      <c r="I46" s="20">
        <v>0</v>
      </c>
      <c r="J46" s="20">
        <v>0</v>
      </c>
      <c r="K46" s="20">
        <v>0</v>
      </c>
      <c r="L46" s="21">
        <f>SUM(E46:K46)</f>
        <v>13.95077665</v>
      </c>
      <c r="M46" s="21">
        <f t="shared" si="1"/>
        <v>0</v>
      </c>
    </row>
    <row r="47" spans="1:13" x14ac:dyDescent="0.25">
      <c r="A47" s="18">
        <v>24</v>
      </c>
      <c r="B47" s="10">
        <v>121.3</v>
      </c>
      <c r="C47" s="8" t="s">
        <v>38</v>
      </c>
      <c r="D47" s="22">
        <v>121.3</v>
      </c>
      <c r="E47" s="55">
        <v>0</v>
      </c>
      <c r="F47" s="20">
        <v>0</v>
      </c>
      <c r="G47" s="20">
        <v>9.4250845699999992</v>
      </c>
      <c r="H47" s="20">
        <v>0</v>
      </c>
      <c r="I47" s="20">
        <v>0</v>
      </c>
      <c r="J47" s="20">
        <v>0</v>
      </c>
      <c r="K47" s="20">
        <v>0</v>
      </c>
      <c r="L47" s="21">
        <f t="shared" si="0"/>
        <v>9.4250845699999992</v>
      </c>
      <c r="M47" s="21">
        <f t="shared" si="1"/>
        <v>1143.2627583409999</v>
      </c>
    </row>
    <row r="48" spans="1:13" x14ac:dyDescent="0.25">
      <c r="A48" s="15" t="s">
        <v>40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5">
        <f>SUM(M24:M47)</f>
        <v>15432.861167392681</v>
      </c>
    </row>
  </sheetData>
  <mergeCells count="1">
    <mergeCell ref="A22:M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Block Diagram</vt:lpstr>
      <vt:lpstr>Day Ahead Prices</vt:lpstr>
      <vt:lpstr>WeekDay_Dataset</vt:lpstr>
      <vt:lpstr>scenario 1</vt:lpstr>
      <vt:lpstr>scenario 2</vt:lpstr>
      <vt:lpstr>scenario 3</vt:lpstr>
      <vt:lpstr>scenario 4</vt:lpstr>
      <vt:lpstr>Weekend_Dataset</vt:lpstr>
      <vt:lpstr>Weekend_scenario</vt:lpstr>
      <vt:lpstr>Final Evlauation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2023-01-19T09:53:15Z</dcterms:created>
  <dcterms:modified xsi:type="dcterms:W3CDTF">2023-03-03T15:12:58Z</dcterms:modified>
</cp:coreProperties>
</file>