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ancocapitalltd.sharepoint.com/sites/DANCOOPERATIONS/Shared Documents/DANCO PRODUCTION/OKR Q3  Supporting documents/Power of one/"/>
    </mc:Choice>
  </mc:AlternateContent>
  <xr:revisionPtr revIDLastSave="1543" documentId="8_{024FBB20-08A9-44E7-B8F8-F491183F506D}" xr6:coauthVersionLast="47" xr6:coauthVersionMax="47" xr10:uidLastSave="{A2693926-363A-4BEA-BCAF-802D4B93A101}"/>
  <bookViews>
    <workbookView xWindow="-120" yWindow="-120" windowWidth="20730" windowHeight="11040" firstSheet="6" activeTab="6" xr2:uid="{473E9D55-B832-414D-9AC3-A1EA3E177109}"/>
  </bookViews>
  <sheets>
    <sheet name="Summary" sheetId="1" r:id="rId1"/>
    <sheet name="Sheet1" sheetId="3" state="hidden" r:id="rId2"/>
    <sheet name="Job Details" sheetId="2" r:id="rId3"/>
    <sheet name="september 30" sheetId="8" state="hidden" r:id="rId4"/>
    <sheet name="OUTPUT CHART" sheetId="7" r:id="rId5"/>
    <sheet name="RUNNING HOURS" sheetId="6" state="hidden" r:id="rId6"/>
    <sheet name="POWERBI SUMMARY" sheetId="5" r:id="rId7"/>
  </sheets>
  <externalReferences>
    <externalReference r:id="rId8"/>
  </externalReferences>
  <definedNames>
    <definedName name="_xlnm._FilterDatabase" localSheetId="2" hidden="1">'Job Details'!$A$2:$AB$94</definedName>
    <definedName name="_xlnm._FilterDatabase" localSheetId="6" hidden="1">'POWERBI SUMMARY'!$A$1:$J$109</definedName>
    <definedName name="_xlnm._FilterDatabase" localSheetId="0" hidden="1">Summary!$A$2:$Z$30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6" i="7"/>
  <c r="N37" i="2"/>
  <c r="O37" i="2" s="1"/>
  <c r="P37" i="2" s="1"/>
  <c r="H75" i="2"/>
  <c r="F75" i="2" s="1"/>
  <c r="H74" i="2"/>
  <c r="J3" i="1"/>
  <c r="L4" i="2"/>
  <c r="L5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7" i="2"/>
  <c r="L28" i="2"/>
  <c r="L29" i="2"/>
  <c r="L30" i="2"/>
  <c r="L34" i="2"/>
  <c r="L35" i="2"/>
  <c r="L38" i="2"/>
  <c r="L39" i="2"/>
  <c r="L40" i="2"/>
  <c r="L41" i="2"/>
  <c r="L42" i="2"/>
  <c r="L44" i="2"/>
  <c r="L45" i="2"/>
  <c r="L46" i="2"/>
  <c r="L47" i="2"/>
  <c r="L48" i="2"/>
  <c r="L49" i="2"/>
  <c r="L50" i="2"/>
  <c r="L52" i="2"/>
  <c r="L54" i="2"/>
  <c r="L60" i="2"/>
  <c r="L61" i="2"/>
  <c r="L62" i="2"/>
  <c r="L65" i="2"/>
  <c r="L66" i="2"/>
  <c r="L67" i="2"/>
  <c r="L68" i="2"/>
  <c r="L69" i="2"/>
  <c r="L70" i="2"/>
  <c r="L71" i="2"/>
  <c r="L72" i="2"/>
  <c r="L73" i="2"/>
  <c r="L74" i="2"/>
  <c r="L75" i="2"/>
  <c r="L76" i="2"/>
  <c r="L78" i="2"/>
  <c r="L79" i="2"/>
  <c r="L80" i="2"/>
  <c r="L81" i="2"/>
  <c r="L85" i="2"/>
  <c r="L86" i="2"/>
  <c r="L87" i="2"/>
  <c r="L88" i="2"/>
  <c r="L89" i="2"/>
  <c r="L90" i="2"/>
  <c r="L91" i="2"/>
  <c r="L92" i="2"/>
  <c r="L93" i="2"/>
  <c r="L3" i="2"/>
  <c r="K11" i="1"/>
  <c r="K8" i="1"/>
  <c r="K7" i="1"/>
  <c r="K6" i="1"/>
  <c r="K5" i="1"/>
  <c r="L4" i="1"/>
  <c r="S94" i="2"/>
  <c r="M94" i="2"/>
  <c r="G94" i="2"/>
  <c r="Y94" i="2"/>
  <c r="AA93" i="2"/>
  <c r="AB93" i="2" s="1"/>
  <c r="X93" i="2"/>
  <c r="U93" i="2"/>
  <c r="V93" i="2" s="1"/>
  <c r="R93" i="2"/>
  <c r="O93" i="2"/>
  <c r="P93" i="2" s="1"/>
  <c r="I93" i="2"/>
  <c r="J93" i="2" s="1"/>
  <c r="F93" i="2"/>
  <c r="AB92" i="2"/>
  <c r="AA92" i="2"/>
  <c r="X92" i="2"/>
  <c r="V92" i="2"/>
  <c r="U92" i="2"/>
  <c r="R92" i="2"/>
  <c r="O92" i="2"/>
  <c r="P92" i="2" s="1"/>
  <c r="I92" i="2"/>
  <c r="J92" i="2" s="1"/>
  <c r="F92" i="2"/>
  <c r="AA91" i="2"/>
  <c r="AB91" i="2" s="1"/>
  <c r="X91" i="2"/>
  <c r="U91" i="2"/>
  <c r="V91" i="2" s="1"/>
  <c r="R91" i="2"/>
  <c r="O91" i="2"/>
  <c r="P91" i="2" s="1"/>
  <c r="I91" i="2"/>
  <c r="J91" i="2" s="1"/>
  <c r="F91" i="2"/>
  <c r="AB90" i="2"/>
  <c r="AA90" i="2"/>
  <c r="X90" i="2"/>
  <c r="U90" i="2"/>
  <c r="V90" i="2" s="1"/>
  <c r="R90" i="2"/>
  <c r="O90" i="2"/>
  <c r="P90" i="2" s="1"/>
  <c r="I90" i="2"/>
  <c r="J90" i="2" s="1"/>
  <c r="F90" i="2"/>
  <c r="AB89" i="2"/>
  <c r="AA89" i="2"/>
  <c r="X89" i="2"/>
  <c r="V89" i="2"/>
  <c r="U89" i="2"/>
  <c r="R89" i="2"/>
  <c r="O89" i="2"/>
  <c r="P89" i="2" s="1"/>
  <c r="I89" i="2"/>
  <c r="J89" i="2" s="1"/>
  <c r="F89" i="2"/>
  <c r="AA88" i="2"/>
  <c r="AB88" i="2" s="1"/>
  <c r="X88" i="2"/>
  <c r="U88" i="2"/>
  <c r="V88" i="2" s="1"/>
  <c r="R88" i="2"/>
  <c r="O88" i="2"/>
  <c r="P88" i="2" s="1"/>
  <c r="I88" i="2"/>
  <c r="J88" i="2" s="1"/>
  <c r="F88" i="2"/>
  <c r="AB87" i="2"/>
  <c r="AA87" i="2"/>
  <c r="X87" i="2"/>
  <c r="U87" i="2"/>
  <c r="V87" i="2" s="1"/>
  <c r="R87" i="2"/>
  <c r="O87" i="2"/>
  <c r="P87" i="2" s="1"/>
  <c r="I87" i="2"/>
  <c r="J87" i="2" s="1"/>
  <c r="F87" i="2"/>
  <c r="AB86" i="2"/>
  <c r="AA86" i="2"/>
  <c r="X86" i="2"/>
  <c r="U86" i="2"/>
  <c r="V86" i="2" s="1"/>
  <c r="R86" i="2"/>
  <c r="O86" i="2"/>
  <c r="P86" i="2" s="1"/>
  <c r="I86" i="2"/>
  <c r="J86" i="2" s="1"/>
  <c r="F86" i="2"/>
  <c r="AA85" i="2"/>
  <c r="AB85" i="2" s="1"/>
  <c r="X85" i="2"/>
  <c r="T85" i="2"/>
  <c r="R85" i="2" s="1"/>
  <c r="P85" i="2"/>
  <c r="O85" i="2"/>
  <c r="I85" i="2"/>
  <c r="J85" i="2" s="1"/>
  <c r="F85" i="2"/>
  <c r="AA84" i="2"/>
  <c r="AB84" i="2" s="1"/>
  <c r="X84" i="2"/>
  <c r="U84" i="2"/>
  <c r="V84" i="2" s="1"/>
  <c r="R84" i="2"/>
  <c r="P84" i="2"/>
  <c r="O84" i="2"/>
  <c r="N84" i="2"/>
  <c r="L84" i="2" s="1"/>
  <c r="I84" i="2"/>
  <c r="J84" i="2" s="1"/>
  <c r="F84" i="2"/>
  <c r="AA83" i="2"/>
  <c r="AB83" i="2" s="1"/>
  <c r="X83" i="2"/>
  <c r="U83" i="2"/>
  <c r="V83" i="2" s="1"/>
  <c r="R83" i="2"/>
  <c r="N83" i="2"/>
  <c r="L83" i="2" s="1"/>
  <c r="I83" i="2"/>
  <c r="J83" i="2" s="1"/>
  <c r="F83" i="2"/>
  <c r="AA82" i="2"/>
  <c r="AB82" i="2" s="1"/>
  <c r="X82" i="2"/>
  <c r="U82" i="2"/>
  <c r="V82" i="2" s="1"/>
  <c r="R82" i="2"/>
  <c r="N82" i="2"/>
  <c r="L82" i="2" s="1"/>
  <c r="I82" i="2"/>
  <c r="J82" i="2" s="1"/>
  <c r="F82" i="2"/>
  <c r="Z81" i="2"/>
  <c r="AA81" i="2" s="1"/>
  <c r="AB81" i="2" s="1"/>
  <c r="V81" i="2"/>
  <c r="U81" i="2"/>
  <c r="R81" i="2"/>
  <c r="O81" i="2"/>
  <c r="P81" i="2" s="1"/>
  <c r="I81" i="2"/>
  <c r="J81" i="2" s="1"/>
  <c r="F81" i="2"/>
  <c r="Z80" i="2"/>
  <c r="V80" i="2"/>
  <c r="U80" i="2"/>
  <c r="R80" i="2"/>
  <c r="O80" i="2"/>
  <c r="P80" i="2" s="1"/>
  <c r="I80" i="2"/>
  <c r="J80" i="2" s="1"/>
  <c r="F80" i="2"/>
  <c r="AA79" i="2"/>
  <c r="AB79" i="2" s="1"/>
  <c r="X79" i="2"/>
  <c r="U79" i="2"/>
  <c r="V79" i="2" s="1"/>
  <c r="R79" i="2"/>
  <c r="O79" i="2"/>
  <c r="P79" i="2" s="1"/>
  <c r="I79" i="2"/>
  <c r="J79" i="2" s="1"/>
  <c r="H79" i="2"/>
  <c r="F79" i="2" s="1"/>
  <c r="AA78" i="2"/>
  <c r="AB78" i="2" s="1"/>
  <c r="X78" i="2"/>
  <c r="T78" i="2"/>
  <c r="R78" i="2" s="1"/>
  <c r="O78" i="2"/>
  <c r="P78" i="2" s="1"/>
  <c r="J78" i="2"/>
  <c r="I78" i="2"/>
  <c r="F78" i="2"/>
  <c r="AA77" i="2"/>
  <c r="AB77" i="2" s="1"/>
  <c r="X77" i="2"/>
  <c r="V77" i="2"/>
  <c r="U77" i="2"/>
  <c r="R77" i="2"/>
  <c r="N77" i="2"/>
  <c r="L77" i="2" s="1"/>
  <c r="I77" i="2"/>
  <c r="J77" i="2" s="1"/>
  <c r="F77" i="2"/>
  <c r="AA76" i="2"/>
  <c r="AB76" i="2" s="1"/>
  <c r="X76" i="2"/>
  <c r="V76" i="2"/>
  <c r="U76" i="2"/>
  <c r="R76" i="2"/>
  <c r="P76" i="2"/>
  <c r="O76" i="2"/>
  <c r="H76" i="2"/>
  <c r="F76" i="2" s="1"/>
  <c r="AA75" i="2"/>
  <c r="AB75" i="2" s="1"/>
  <c r="X75" i="2"/>
  <c r="U75" i="2"/>
  <c r="V75" i="2" s="1"/>
  <c r="R75" i="2"/>
  <c r="O75" i="2"/>
  <c r="P75" i="2" s="1"/>
  <c r="AA74" i="2"/>
  <c r="AB74" i="2" s="1"/>
  <c r="X74" i="2"/>
  <c r="U74" i="2"/>
  <c r="V74" i="2" s="1"/>
  <c r="R74" i="2"/>
  <c r="P74" i="2"/>
  <c r="O74" i="2"/>
  <c r="I74" i="2"/>
  <c r="J74" i="2" s="1"/>
  <c r="F74" i="2"/>
  <c r="AA73" i="2"/>
  <c r="AB73" i="2" s="1"/>
  <c r="X73" i="2"/>
  <c r="U73" i="2"/>
  <c r="V73" i="2" s="1"/>
  <c r="T73" i="2"/>
  <c r="R73" i="2" s="1"/>
  <c r="P73" i="2"/>
  <c r="O73" i="2"/>
  <c r="I73" i="2"/>
  <c r="J73" i="2" s="1"/>
  <c r="F73" i="2"/>
  <c r="AB72" i="2"/>
  <c r="AA72" i="2"/>
  <c r="X72" i="2"/>
  <c r="U72" i="2"/>
  <c r="V72" i="2" s="1"/>
  <c r="R72" i="2"/>
  <c r="O72" i="2"/>
  <c r="P72" i="2" s="1"/>
  <c r="N72" i="2"/>
  <c r="I72" i="2"/>
  <c r="J72" i="2" s="1"/>
  <c r="F72" i="2"/>
  <c r="Z71" i="2"/>
  <c r="X71" i="2" s="1"/>
  <c r="U71" i="2"/>
  <c r="V71" i="2" s="1"/>
  <c r="R71" i="2"/>
  <c r="P71" i="2"/>
  <c r="O71" i="2"/>
  <c r="I71" i="2"/>
  <c r="J71" i="2" s="1"/>
  <c r="F71" i="2"/>
  <c r="AB70" i="2"/>
  <c r="AA70" i="2"/>
  <c r="X70" i="2"/>
  <c r="U70" i="2"/>
  <c r="V70" i="2" s="1"/>
  <c r="R70" i="2"/>
  <c r="O70" i="2"/>
  <c r="P70" i="2" s="1"/>
  <c r="I70" i="2"/>
  <c r="J70" i="2" s="1"/>
  <c r="H70" i="2"/>
  <c r="F70" i="2"/>
  <c r="Z69" i="2"/>
  <c r="AA69" i="2" s="1"/>
  <c r="AB69" i="2" s="1"/>
  <c r="U69" i="2"/>
  <c r="V69" i="2" s="1"/>
  <c r="R69" i="2"/>
  <c r="O69" i="2"/>
  <c r="P69" i="2" s="1"/>
  <c r="I69" i="2"/>
  <c r="J69" i="2" s="1"/>
  <c r="F69" i="2"/>
  <c r="Z68" i="2"/>
  <c r="V68" i="2"/>
  <c r="U68" i="2"/>
  <c r="R68" i="2"/>
  <c r="O68" i="2"/>
  <c r="P68" i="2" s="1"/>
  <c r="I68" i="2"/>
  <c r="J68" i="2" s="1"/>
  <c r="F68" i="2"/>
  <c r="AA67" i="2"/>
  <c r="AB67" i="2" s="1"/>
  <c r="X67" i="2"/>
  <c r="U67" i="2"/>
  <c r="V67" i="2" s="1"/>
  <c r="R67" i="2"/>
  <c r="O67" i="2"/>
  <c r="P67" i="2" s="1"/>
  <c r="I67" i="2"/>
  <c r="J67" i="2" s="1"/>
  <c r="H67" i="2"/>
  <c r="F67" i="2" s="1"/>
  <c r="AA66" i="2"/>
  <c r="AB66" i="2" s="1"/>
  <c r="X66" i="2"/>
  <c r="U66" i="2"/>
  <c r="V66" i="2" s="1"/>
  <c r="R66" i="2"/>
  <c r="O66" i="2"/>
  <c r="P66" i="2" s="1"/>
  <c r="I66" i="2"/>
  <c r="J66" i="2" s="1"/>
  <c r="H66" i="2"/>
  <c r="F66" i="2"/>
  <c r="AA65" i="2"/>
  <c r="AB65" i="2" s="1"/>
  <c r="X65" i="2"/>
  <c r="V65" i="2"/>
  <c r="U65" i="2"/>
  <c r="R65" i="2"/>
  <c r="O65" i="2"/>
  <c r="P65" i="2" s="1"/>
  <c r="H65" i="2"/>
  <c r="AA64" i="2"/>
  <c r="AB64" i="2" s="1"/>
  <c r="X64" i="2"/>
  <c r="V64" i="2"/>
  <c r="U64" i="2"/>
  <c r="R64" i="2"/>
  <c r="N64" i="2"/>
  <c r="L64" i="2" s="1"/>
  <c r="I64" i="2"/>
  <c r="J64" i="2" s="1"/>
  <c r="F64" i="2"/>
  <c r="AA63" i="2"/>
  <c r="AB63" i="2" s="1"/>
  <c r="X63" i="2"/>
  <c r="U63" i="2"/>
  <c r="V63" i="2" s="1"/>
  <c r="R63" i="2"/>
  <c r="N63" i="2"/>
  <c r="L63" i="2" s="1"/>
  <c r="I63" i="2"/>
  <c r="J63" i="2" s="1"/>
  <c r="F63" i="2"/>
  <c r="AB62" i="2"/>
  <c r="AA62" i="2"/>
  <c r="X62" i="2"/>
  <c r="T62" i="2"/>
  <c r="R62" i="2" s="1"/>
  <c r="O62" i="2"/>
  <c r="P62" i="2" s="1"/>
  <c r="I62" i="2"/>
  <c r="J62" i="2" s="1"/>
  <c r="F62" i="2"/>
  <c r="AA61" i="2"/>
  <c r="AB61" i="2" s="1"/>
  <c r="X61" i="2"/>
  <c r="T61" i="2"/>
  <c r="R61" i="2" s="1"/>
  <c r="O61" i="2"/>
  <c r="P61" i="2" s="1"/>
  <c r="I61" i="2"/>
  <c r="J61" i="2" s="1"/>
  <c r="F61" i="2"/>
  <c r="AA60" i="2"/>
  <c r="AB60" i="2" s="1"/>
  <c r="X60" i="2"/>
  <c r="T60" i="2"/>
  <c r="U60" i="2" s="1"/>
  <c r="V60" i="2" s="1"/>
  <c r="O60" i="2"/>
  <c r="P60" i="2" s="1"/>
  <c r="I60" i="2"/>
  <c r="J60" i="2" s="1"/>
  <c r="F60" i="2"/>
  <c r="AA59" i="2"/>
  <c r="AB59" i="2" s="1"/>
  <c r="X59" i="2"/>
  <c r="U59" i="2"/>
  <c r="V59" i="2" s="1"/>
  <c r="R59" i="2"/>
  <c r="N59" i="2"/>
  <c r="L59" i="2" s="1"/>
  <c r="I59" i="2"/>
  <c r="J59" i="2" s="1"/>
  <c r="F59" i="2"/>
  <c r="AA58" i="2"/>
  <c r="AB58" i="2" s="1"/>
  <c r="X58" i="2"/>
  <c r="U58" i="2"/>
  <c r="V58" i="2" s="1"/>
  <c r="R58" i="2"/>
  <c r="N58" i="2"/>
  <c r="L58" i="2" s="1"/>
  <c r="I58" i="2"/>
  <c r="J58" i="2" s="1"/>
  <c r="F58" i="2"/>
  <c r="AA57" i="2"/>
  <c r="AB57" i="2" s="1"/>
  <c r="X57" i="2"/>
  <c r="V57" i="2"/>
  <c r="U57" i="2"/>
  <c r="R57" i="2"/>
  <c r="N57" i="2"/>
  <c r="O57" i="2" s="1"/>
  <c r="P57" i="2" s="1"/>
  <c r="I57" i="2"/>
  <c r="J57" i="2" s="1"/>
  <c r="F57" i="2"/>
  <c r="AB56" i="2"/>
  <c r="AA56" i="2"/>
  <c r="X56" i="2"/>
  <c r="U56" i="2"/>
  <c r="V56" i="2" s="1"/>
  <c r="R56" i="2"/>
  <c r="O56" i="2"/>
  <c r="P56" i="2" s="1"/>
  <c r="N56" i="2"/>
  <c r="L56" i="2" s="1"/>
  <c r="I56" i="2"/>
  <c r="J56" i="2" s="1"/>
  <c r="F56" i="2"/>
  <c r="AA55" i="2"/>
  <c r="AB55" i="2" s="1"/>
  <c r="X55" i="2"/>
  <c r="U55" i="2"/>
  <c r="V55" i="2" s="1"/>
  <c r="R55" i="2"/>
  <c r="N55" i="2"/>
  <c r="O55" i="2" s="1"/>
  <c r="P55" i="2" s="1"/>
  <c r="I55" i="2"/>
  <c r="J55" i="2" s="1"/>
  <c r="H55" i="2"/>
  <c r="F55" i="2"/>
  <c r="AB54" i="2"/>
  <c r="AA54" i="2"/>
  <c r="X54" i="2"/>
  <c r="T54" i="2"/>
  <c r="R54" i="2" s="1"/>
  <c r="O54" i="2"/>
  <c r="P54" i="2" s="1"/>
  <c r="I54" i="2"/>
  <c r="J54" i="2" s="1"/>
  <c r="F54" i="2"/>
  <c r="AA53" i="2"/>
  <c r="AB53" i="2" s="1"/>
  <c r="X53" i="2"/>
  <c r="U53" i="2"/>
  <c r="V53" i="2" s="1"/>
  <c r="R53" i="2"/>
  <c r="N53" i="2"/>
  <c r="L53" i="2" s="1"/>
  <c r="I53" i="2"/>
  <c r="J53" i="2" s="1"/>
  <c r="F53" i="2"/>
  <c r="AA52" i="2"/>
  <c r="AB52" i="2" s="1"/>
  <c r="X52" i="2"/>
  <c r="V52" i="2"/>
  <c r="U52" i="2"/>
  <c r="R52" i="2"/>
  <c r="O52" i="2"/>
  <c r="P52" i="2" s="1"/>
  <c r="H52" i="2"/>
  <c r="F52" i="2" s="1"/>
  <c r="AB51" i="2"/>
  <c r="AA51" i="2"/>
  <c r="X51" i="2"/>
  <c r="U51" i="2"/>
  <c r="V51" i="2" s="1"/>
  <c r="R51" i="2"/>
  <c r="N51" i="2"/>
  <c r="L51" i="2" s="1"/>
  <c r="H51" i="2"/>
  <c r="AA50" i="2"/>
  <c r="AB50" i="2" s="1"/>
  <c r="X50" i="2"/>
  <c r="U50" i="2"/>
  <c r="V50" i="2" s="1"/>
  <c r="T50" i="2"/>
  <c r="R50" i="2"/>
  <c r="O50" i="2"/>
  <c r="P50" i="2" s="1"/>
  <c r="J50" i="2"/>
  <c r="I50" i="2"/>
  <c r="F50" i="2"/>
  <c r="AA49" i="2"/>
  <c r="AB49" i="2" s="1"/>
  <c r="X49" i="2"/>
  <c r="T49" i="2"/>
  <c r="O49" i="2"/>
  <c r="P49" i="2" s="1"/>
  <c r="I49" i="2"/>
  <c r="J49" i="2" s="1"/>
  <c r="F49" i="2"/>
  <c r="AB48" i="2"/>
  <c r="AA48" i="2"/>
  <c r="X48" i="2"/>
  <c r="U48" i="2"/>
  <c r="V48" i="2" s="1"/>
  <c r="R48" i="2"/>
  <c r="O48" i="2"/>
  <c r="P48" i="2" s="1"/>
  <c r="I48" i="2"/>
  <c r="J48" i="2" s="1"/>
  <c r="F48" i="2"/>
  <c r="AA47" i="2"/>
  <c r="AB47" i="2" s="1"/>
  <c r="X47" i="2"/>
  <c r="U47" i="2"/>
  <c r="V47" i="2" s="1"/>
  <c r="R47" i="2"/>
  <c r="O47" i="2"/>
  <c r="P47" i="2" s="1"/>
  <c r="I47" i="2"/>
  <c r="J47" i="2" s="1"/>
  <c r="F47" i="2"/>
  <c r="AA46" i="2"/>
  <c r="AB46" i="2" s="1"/>
  <c r="X46" i="2"/>
  <c r="U46" i="2"/>
  <c r="V46" i="2" s="1"/>
  <c r="R46" i="2"/>
  <c r="O46" i="2"/>
  <c r="P46" i="2" s="1"/>
  <c r="I46" i="2"/>
  <c r="J46" i="2" s="1"/>
  <c r="F46" i="2"/>
  <c r="AA45" i="2"/>
  <c r="AB45" i="2" s="1"/>
  <c r="X45" i="2"/>
  <c r="U45" i="2"/>
  <c r="V45" i="2" s="1"/>
  <c r="R45" i="2"/>
  <c r="O45" i="2"/>
  <c r="P45" i="2" s="1"/>
  <c r="H45" i="2"/>
  <c r="I45" i="2" s="1"/>
  <c r="J45" i="2" s="1"/>
  <c r="AA44" i="2"/>
  <c r="AB44" i="2" s="1"/>
  <c r="X44" i="2"/>
  <c r="V44" i="2"/>
  <c r="U44" i="2"/>
  <c r="R44" i="2"/>
  <c r="O44" i="2"/>
  <c r="P44" i="2" s="1"/>
  <c r="H44" i="2"/>
  <c r="I44" i="2" s="1"/>
  <c r="J44" i="2" s="1"/>
  <c r="AA43" i="2"/>
  <c r="AB43" i="2" s="1"/>
  <c r="X43" i="2"/>
  <c r="T43" i="2"/>
  <c r="U43" i="2" s="1"/>
  <c r="V43" i="2" s="1"/>
  <c r="O43" i="2"/>
  <c r="P43" i="2" s="1"/>
  <c r="N43" i="2"/>
  <c r="L43" i="2" s="1"/>
  <c r="J43" i="2"/>
  <c r="I43" i="2"/>
  <c r="F43" i="2"/>
  <c r="AA42" i="2"/>
  <c r="AB42" i="2" s="1"/>
  <c r="X42" i="2"/>
  <c r="U42" i="2"/>
  <c r="V42" i="2" s="1"/>
  <c r="R42" i="2"/>
  <c r="O42" i="2"/>
  <c r="P42" i="2" s="1"/>
  <c r="J42" i="2"/>
  <c r="I42" i="2"/>
  <c r="F42" i="2"/>
  <c r="AA41" i="2"/>
  <c r="AB41" i="2" s="1"/>
  <c r="X41" i="2"/>
  <c r="U41" i="2"/>
  <c r="V41" i="2" s="1"/>
  <c r="R41" i="2"/>
  <c r="P41" i="2"/>
  <c r="O41" i="2"/>
  <c r="I41" i="2"/>
  <c r="J41" i="2" s="1"/>
  <c r="F41" i="2"/>
  <c r="AA40" i="2"/>
  <c r="AB40" i="2" s="1"/>
  <c r="X40" i="2"/>
  <c r="U40" i="2"/>
  <c r="V40" i="2" s="1"/>
  <c r="R40" i="2"/>
  <c r="O40" i="2"/>
  <c r="P40" i="2" s="1"/>
  <c r="H40" i="2"/>
  <c r="I40" i="2" s="1"/>
  <c r="J40" i="2" s="1"/>
  <c r="AA39" i="2"/>
  <c r="AB39" i="2" s="1"/>
  <c r="X39" i="2"/>
  <c r="U39" i="2"/>
  <c r="V39" i="2" s="1"/>
  <c r="R39" i="2"/>
  <c r="O39" i="2"/>
  <c r="P39" i="2" s="1"/>
  <c r="H39" i="2"/>
  <c r="AA38" i="2"/>
  <c r="AB38" i="2" s="1"/>
  <c r="X38" i="2"/>
  <c r="U38" i="2"/>
  <c r="V38" i="2" s="1"/>
  <c r="T38" i="2"/>
  <c r="R38" i="2" s="1"/>
  <c r="O38" i="2"/>
  <c r="P38" i="2" s="1"/>
  <c r="I38" i="2"/>
  <c r="J38" i="2" s="1"/>
  <c r="F38" i="2"/>
  <c r="AA37" i="2"/>
  <c r="AB37" i="2" s="1"/>
  <c r="X37" i="2"/>
  <c r="T37" i="2"/>
  <c r="U37" i="2" s="1"/>
  <c r="V37" i="2" s="1"/>
  <c r="I37" i="2"/>
  <c r="J37" i="2" s="1"/>
  <c r="F37" i="2"/>
  <c r="AA36" i="2"/>
  <c r="AB36" i="2" s="1"/>
  <c r="X36" i="2"/>
  <c r="U36" i="2"/>
  <c r="V36" i="2" s="1"/>
  <c r="R36" i="2"/>
  <c r="O36" i="2"/>
  <c r="P36" i="2" s="1"/>
  <c r="N36" i="2"/>
  <c r="L36" i="2" s="1"/>
  <c r="I36" i="2"/>
  <c r="J36" i="2" s="1"/>
  <c r="F36" i="2"/>
  <c r="AB35" i="2"/>
  <c r="AA35" i="2"/>
  <c r="X35" i="2"/>
  <c r="U35" i="2"/>
  <c r="V35" i="2" s="1"/>
  <c r="R35" i="2"/>
  <c r="O35" i="2"/>
  <c r="P35" i="2" s="1"/>
  <c r="I35" i="2"/>
  <c r="J35" i="2" s="1"/>
  <c r="F35" i="2"/>
  <c r="AA34" i="2"/>
  <c r="AB34" i="2" s="1"/>
  <c r="X34" i="2"/>
  <c r="T34" i="2"/>
  <c r="O34" i="2"/>
  <c r="P34" i="2" s="1"/>
  <c r="I34" i="2"/>
  <c r="J34" i="2" s="1"/>
  <c r="F34" i="2"/>
  <c r="AA33" i="2"/>
  <c r="AB33" i="2" s="1"/>
  <c r="X33" i="2"/>
  <c r="U33" i="2"/>
  <c r="V33" i="2" s="1"/>
  <c r="R33" i="2"/>
  <c r="N33" i="2"/>
  <c r="O33" i="2" s="1"/>
  <c r="P33" i="2" s="1"/>
  <c r="I33" i="2"/>
  <c r="J33" i="2" s="1"/>
  <c r="F33" i="2"/>
  <c r="AA32" i="2"/>
  <c r="AB32" i="2" s="1"/>
  <c r="X32" i="2"/>
  <c r="U32" i="2"/>
  <c r="V32" i="2" s="1"/>
  <c r="R32" i="2"/>
  <c r="N32" i="2"/>
  <c r="O32" i="2" s="1"/>
  <c r="P32" i="2" s="1"/>
  <c r="I32" i="2"/>
  <c r="J32" i="2" s="1"/>
  <c r="F32" i="2"/>
  <c r="AA31" i="2"/>
  <c r="AB31" i="2" s="1"/>
  <c r="X31" i="2"/>
  <c r="U31" i="2"/>
  <c r="V31" i="2" s="1"/>
  <c r="R31" i="2"/>
  <c r="N31" i="2"/>
  <c r="L31" i="2" s="1"/>
  <c r="I31" i="2"/>
  <c r="J31" i="2" s="1"/>
  <c r="F31" i="2"/>
  <c r="AA30" i="2"/>
  <c r="AB30" i="2" s="1"/>
  <c r="X30" i="2"/>
  <c r="U30" i="2"/>
  <c r="V30" i="2" s="1"/>
  <c r="R30" i="2"/>
  <c r="O30" i="2"/>
  <c r="P30" i="2" s="1"/>
  <c r="I30" i="2"/>
  <c r="J30" i="2" s="1"/>
  <c r="F30" i="2"/>
  <c r="AA29" i="2"/>
  <c r="AB29" i="2" s="1"/>
  <c r="X29" i="2"/>
  <c r="U29" i="2"/>
  <c r="V29" i="2" s="1"/>
  <c r="R29" i="2"/>
  <c r="O29" i="2"/>
  <c r="P29" i="2" s="1"/>
  <c r="H29" i="2"/>
  <c r="AA28" i="2"/>
  <c r="AB28" i="2" s="1"/>
  <c r="X28" i="2"/>
  <c r="U28" i="2"/>
  <c r="V28" i="2" s="1"/>
  <c r="R28" i="2"/>
  <c r="O28" i="2"/>
  <c r="P28" i="2" s="1"/>
  <c r="I28" i="2"/>
  <c r="J28" i="2" s="1"/>
  <c r="H28" i="2"/>
  <c r="F28" i="2"/>
  <c r="AA27" i="2"/>
  <c r="AB27" i="2" s="1"/>
  <c r="X27" i="2"/>
  <c r="T27" i="2"/>
  <c r="O27" i="2"/>
  <c r="P27" i="2" s="1"/>
  <c r="I27" i="2"/>
  <c r="J27" i="2" s="1"/>
  <c r="F27" i="2"/>
  <c r="AB26" i="2"/>
  <c r="AA26" i="2"/>
  <c r="X26" i="2"/>
  <c r="U26" i="2"/>
  <c r="V26" i="2" s="1"/>
  <c r="R26" i="2"/>
  <c r="L26" i="2"/>
  <c r="I26" i="2"/>
  <c r="J26" i="2" s="1"/>
  <c r="F26" i="2"/>
  <c r="AA25" i="2"/>
  <c r="AB25" i="2" s="1"/>
  <c r="X25" i="2"/>
  <c r="V25" i="2"/>
  <c r="U25" i="2"/>
  <c r="R25" i="2"/>
  <c r="O25" i="2"/>
  <c r="P25" i="2" s="1"/>
  <c r="H25" i="2"/>
  <c r="AA24" i="2"/>
  <c r="AB24" i="2" s="1"/>
  <c r="X24" i="2"/>
  <c r="U24" i="2"/>
  <c r="V24" i="2" s="1"/>
  <c r="R24" i="2"/>
  <c r="O24" i="2"/>
  <c r="P24" i="2" s="1"/>
  <c r="I24" i="2"/>
  <c r="J24" i="2" s="1"/>
  <c r="F24" i="2"/>
  <c r="AA23" i="2"/>
  <c r="AB23" i="2" s="1"/>
  <c r="X23" i="2"/>
  <c r="U23" i="2"/>
  <c r="V23" i="2" s="1"/>
  <c r="R23" i="2"/>
  <c r="O23" i="2"/>
  <c r="P23" i="2" s="1"/>
  <c r="I23" i="2"/>
  <c r="J23" i="2" s="1"/>
  <c r="F23" i="2"/>
  <c r="AA22" i="2"/>
  <c r="AB22" i="2" s="1"/>
  <c r="X22" i="2"/>
  <c r="U22" i="2"/>
  <c r="V22" i="2" s="1"/>
  <c r="R22" i="2"/>
  <c r="O22" i="2"/>
  <c r="P22" i="2" s="1"/>
  <c r="I22" i="2"/>
  <c r="J22" i="2" s="1"/>
  <c r="F22" i="2"/>
  <c r="AA21" i="2"/>
  <c r="AB21" i="2" s="1"/>
  <c r="X21" i="2"/>
  <c r="T21" i="2"/>
  <c r="U21" i="2" s="1"/>
  <c r="V21" i="2" s="1"/>
  <c r="R21" i="2"/>
  <c r="H21" i="2"/>
  <c r="AA20" i="2"/>
  <c r="AB20" i="2" s="1"/>
  <c r="X20" i="2"/>
  <c r="U20" i="2"/>
  <c r="V20" i="2" s="1"/>
  <c r="R20" i="2"/>
  <c r="P20" i="2"/>
  <c r="O20" i="2"/>
  <c r="I20" i="2"/>
  <c r="J20" i="2" s="1"/>
  <c r="F20" i="2"/>
  <c r="AA19" i="2"/>
  <c r="AB19" i="2" s="1"/>
  <c r="X19" i="2"/>
  <c r="U19" i="2"/>
  <c r="V19" i="2" s="1"/>
  <c r="R19" i="2"/>
  <c r="N19" i="2"/>
  <c r="O19" i="2" s="1"/>
  <c r="P19" i="2" s="1"/>
  <c r="I19" i="2"/>
  <c r="J19" i="2" s="1"/>
  <c r="F19" i="2"/>
  <c r="AA18" i="2"/>
  <c r="AB18" i="2" s="1"/>
  <c r="X18" i="2"/>
  <c r="U18" i="2"/>
  <c r="V18" i="2" s="1"/>
  <c r="R18" i="2"/>
  <c r="O18" i="2"/>
  <c r="P18" i="2" s="1"/>
  <c r="I18" i="2"/>
  <c r="J18" i="2" s="1"/>
  <c r="F18" i="2"/>
  <c r="AA17" i="2"/>
  <c r="AB17" i="2" s="1"/>
  <c r="X17" i="2"/>
  <c r="T17" i="2"/>
  <c r="O17" i="2"/>
  <c r="P17" i="2" s="1"/>
  <c r="I17" i="2"/>
  <c r="J17" i="2" s="1"/>
  <c r="F17" i="2"/>
  <c r="AB16" i="2"/>
  <c r="AA16" i="2"/>
  <c r="X16" i="2"/>
  <c r="U16" i="2"/>
  <c r="V16" i="2" s="1"/>
  <c r="R16" i="2"/>
  <c r="O16" i="2"/>
  <c r="P16" i="2" s="1"/>
  <c r="I16" i="2"/>
  <c r="J16" i="2" s="1"/>
  <c r="F16" i="2"/>
  <c r="AB15" i="2"/>
  <c r="AA15" i="2"/>
  <c r="X15" i="2"/>
  <c r="U15" i="2"/>
  <c r="V15" i="2" s="1"/>
  <c r="R15" i="2"/>
  <c r="O15" i="2"/>
  <c r="P15" i="2" s="1"/>
  <c r="I15" i="2"/>
  <c r="J15" i="2" s="1"/>
  <c r="F15" i="2"/>
  <c r="AB14" i="2"/>
  <c r="AA14" i="2"/>
  <c r="X14" i="2"/>
  <c r="U14" i="2"/>
  <c r="V14" i="2" s="1"/>
  <c r="R14" i="2"/>
  <c r="O14" i="2"/>
  <c r="P14" i="2" s="1"/>
  <c r="I14" i="2"/>
  <c r="J14" i="2" s="1"/>
  <c r="F14" i="2"/>
  <c r="AB13" i="2"/>
  <c r="AA13" i="2"/>
  <c r="X13" i="2"/>
  <c r="U13" i="2"/>
  <c r="V13" i="2" s="1"/>
  <c r="R13" i="2"/>
  <c r="O13" i="2"/>
  <c r="P13" i="2" s="1"/>
  <c r="I13" i="2"/>
  <c r="J13" i="2" s="1"/>
  <c r="F13" i="2"/>
  <c r="AB12" i="2"/>
  <c r="AA12" i="2"/>
  <c r="X12" i="2"/>
  <c r="U12" i="2"/>
  <c r="V12" i="2" s="1"/>
  <c r="R12" i="2"/>
  <c r="O12" i="2"/>
  <c r="P12" i="2" s="1"/>
  <c r="I12" i="2"/>
  <c r="J12" i="2" s="1"/>
  <c r="F12" i="2"/>
  <c r="AB11" i="2"/>
  <c r="AA11" i="2"/>
  <c r="X11" i="2"/>
  <c r="T11" i="2"/>
  <c r="U11" i="2" s="1"/>
  <c r="V11" i="2" s="1"/>
  <c r="P11" i="2"/>
  <c r="O11" i="2"/>
  <c r="I11" i="2"/>
  <c r="J11" i="2" s="1"/>
  <c r="F11" i="2"/>
  <c r="AA10" i="2"/>
  <c r="AB10" i="2" s="1"/>
  <c r="X10" i="2"/>
  <c r="V10" i="2"/>
  <c r="U10" i="2"/>
  <c r="R10" i="2"/>
  <c r="O10" i="2"/>
  <c r="P10" i="2" s="1"/>
  <c r="I10" i="2"/>
  <c r="J10" i="2" s="1"/>
  <c r="F10" i="2"/>
  <c r="AA9" i="2"/>
  <c r="AB9" i="2" s="1"/>
  <c r="X9" i="2"/>
  <c r="V9" i="2"/>
  <c r="U9" i="2"/>
  <c r="R9" i="2"/>
  <c r="O9" i="2"/>
  <c r="P9" i="2" s="1"/>
  <c r="I9" i="2"/>
  <c r="J9" i="2" s="1"/>
  <c r="F9" i="2"/>
  <c r="AA8" i="2"/>
  <c r="AB8" i="2" s="1"/>
  <c r="X8" i="2"/>
  <c r="T8" i="2"/>
  <c r="U8" i="2" s="1"/>
  <c r="V8" i="2" s="1"/>
  <c r="R8" i="2"/>
  <c r="O8" i="2"/>
  <c r="P8" i="2" s="1"/>
  <c r="I8" i="2"/>
  <c r="J8" i="2" s="1"/>
  <c r="F8" i="2"/>
  <c r="AA7" i="2"/>
  <c r="AB7" i="2" s="1"/>
  <c r="X7" i="2"/>
  <c r="U7" i="2"/>
  <c r="V7" i="2" s="1"/>
  <c r="R7" i="2"/>
  <c r="N7" i="2"/>
  <c r="O7" i="2" s="1"/>
  <c r="P7" i="2" s="1"/>
  <c r="I7" i="2"/>
  <c r="J7" i="2" s="1"/>
  <c r="F7" i="2"/>
  <c r="AA6" i="2"/>
  <c r="AB6" i="2" s="1"/>
  <c r="X6" i="2"/>
  <c r="U6" i="2"/>
  <c r="V6" i="2" s="1"/>
  <c r="R6" i="2"/>
  <c r="N6" i="2"/>
  <c r="I6" i="2"/>
  <c r="J6" i="2" s="1"/>
  <c r="F6" i="2"/>
  <c r="AA5" i="2"/>
  <c r="AB5" i="2" s="1"/>
  <c r="X5" i="2"/>
  <c r="U5" i="2"/>
  <c r="V5" i="2" s="1"/>
  <c r="R5" i="2"/>
  <c r="O5" i="2"/>
  <c r="P5" i="2" s="1"/>
  <c r="I5" i="2"/>
  <c r="J5" i="2" s="1"/>
  <c r="F5" i="2"/>
  <c r="AA4" i="2"/>
  <c r="AB4" i="2" s="1"/>
  <c r="X4" i="2"/>
  <c r="U4" i="2"/>
  <c r="V4" i="2" s="1"/>
  <c r="T4" i="2"/>
  <c r="R4" i="2"/>
  <c r="O4" i="2"/>
  <c r="P4" i="2" s="1"/>
  <c r="I4" i="2"/>
  <c r="J4" i="2" s="1"/>
  <c r="F4" i="2"/>
  <c r="AA3" i="2"/>
  <c r="AB3" i="2" s="1"/>
  <c r="X3" i="2"/>
  <c r="U3" i="2"/>
  <c r="V3" i="2" s="1"/>
  <c r="R3" i="2"/>
  <c r="O3" i="2"/>
  <c r="P3" i="2" s="1"/>
  <c r="I3" i="2"/>
  <c r="J3" i="2" s="1"/>
  <c r="F3" i="2"/>
  <c r="Y29" i="1"/>
  <c r="Z29" i="1" s="1"/>
  <c r="V29" i="1"/>
  <c r="Y28" i="1"/>
  <c r="Z28" i="1" s="1"/>
  <c r="V28" i="1"/>
  <c r="S28" i="1"/>
  <c r="T28" i="1" s="1"/>
  <c r="P28" i="1"/>
  <c r="M28" i="1"/>
  <c r="N28" i="1" s="1"/>
  <c r="J28" i="1"/>
  <c r="G28" i="1"/>
  <c r="H28" i="1" s="1"/>
  <c r="D28" i="1"/>
  <c r="Y27" i="1"/>
  <c r="Z27" i="1" s="1"/>
  <c r="V27" i="1"/>
  <c r="S27" i="1"/>
  <c r="T27" i="1" s="1"/>
  <c r="P27" i="1"/>
  <c r="M27" i="1"/>
  <c r="N27" i="1" s="1"/>
  <c r="J27" i="1"/>
  <c r="H27" i="1"/>
  <c r="G27" i="1"/>
  <c r="D27" i="1"/>
  <c r="Y26" i="1"/>
  <c r="Z26" i="1" s="1"/>
  <c r="V26" i="1"/>
  <c r="Y25" i="1"/>
  <c r="Z25" i="1" s="1"/>
  <c r="V25" i="1"/>
  <c r="P25" i="1"/>
  <c r="M25" i="1"/>
  <c r="N25" i="1" s="1"/>
  <c r="J25" i="1"/>
  <c r="G25" i="1"/>
  <c r="H25" i="1" s="1"/>
  <c r="D25" i="1"/>
  <c r="Z24" i="1"/>
  <c r="Y24" i="1"/>
  <c r="V24" i="1"/>
  <c r="P24" i="1"/>
  <c r="M24" i="1"/>
  <c r="N24" i="1" s="1"/>
  <c r="J24" i="1"/>
  <c r="H24" i="1"/>
  <c r="G24" i="1"/>
  <c r="D24" i="1"/>
  <c r="Y23" i="1"/>
  <c r="Z23" i="1" s="1"/>
  <c r="V23" i="1"/>
  <c r="Y22" i="1"/>
  <c r="Z22" i="1" s="1"/>
  <c r="V22" i="1"/>
  <c r="S22" i="1"/>
  <c r="T22" i="1" s="1"/>
  <c r="P22" i="1"/>
  <c r="M22" i="1"/>
  <c r="N22" i="1" s="1"/>
  <c r="J22" i="1"/>
  <c r="G22" i="1"/>
  <c r="H22" i="1" s="1"/>
  <c r="D22" i="1"/>
  <c r="Y21" i="1"/>
  <c r="Z21" i="1" s="1"/>
  <c r="V21" i="1"/>
  <c r="T21" i="1"/>
  <c r="S21" i="1"/>
  <c r="P21" i="1"/>
  <c r="N21" i="1"/>
  <c r="M21" i="1"/>
  <c r="J21" i="1"/>
  <c r="G21" i="1"/>
  <c r="H21" i="1" s="1"/>
  <c r="D21" i="1"/>
  <c r="Y20" i="1"/>
  <c r="Z20" i="1" s="1"/>
  <c r="V20" i="1"/>
  <c r="Y19" i="1"/>
  <c r="Z19" i="1" s="1"/>
  <c r="V19" i="1"/>
  <c r="T19" i="1"/>
  <c r="S19" i="1"/>
  <c r="P19" i="1"/>
  <c r="M19" i="1"/>
  <c r="N19" i="1" s="1"/>
  <c r="L19" i="1"/>
  <c r="J19" i="1" s="1"/>
  <c r="K19" i="1"/>
  <c r="H19" i="1"/>
  <c r="G19" i="1"/>
  <c r="D19" i="1"/>
  <c r="Y18" i="1"/>
  <c r="Z18" i="1" s="1"/>
  <c r="V18" i="1"/>
  <c r="T18" i="1"/>
  <c r="S18" i="1"/>
  <c r="P18" i="1"/>
  <c r="L18" i="1"/>
  <c r="K18" i="1"/>
  <c r="M18" i="1" s="1"/>
  <c r="N18" i="1" s="1"/>
  <c r="J18" i="1"/>
  <c r="G18" i="1"/>
  <c r="H18" i="1" s="1"/>
  <c r="D18" i="1"/>
  <c r="Y17" i="1"/>
  <c r="Z17" i="1" s="1"/>
  <c r="V17" i="1"/>
  <c r="Y16" i="1"/>
  <c r="Z16" i="1" s="1"/>
  <c r="V16" i="1"/>
  <c r="S16" i="1"/>
  <c r="T16" i="1" s="1"/>
  <c r="P16" i="1"/>
  <c r="L16" i="1"/>
  <c r="J16" i="1" s="1"/>
  <c r="K16" i="1"/>
  <c r="M16" i="1" s="1"/>
  <c r="N16" i="1" s="1"/>
  <c r="G16" i="1"/>
  <c r="H16" i="1" s="1"/>
  <c r="D16" i="1"/>
  <c r="Z15" i="1"/>
  <c r="Y15" i="1"/>
  <c r="V15" i="1"/>
  <c r="T15" i="1"/>
  <c r="S15" i="1"/>
  <c r="P15" i="1"/>
  <c r="N15" i="1"/>
  <c r="M15" i="1"/>
  <c r="L15" i="1"/>
  <c r="K15" i="1"/>
  <c r="J15" i="1"/>
  <c r="H15" i="1"/>
  <c r="G15" i="1"/>
  <c r="D15" i="1"/>
  <c r="Z14" i="1"/>
  <c r="Y14" i="1"/>
  <c r="V14" i="1"/>
  <c r="Y13" i="1"/>
  <c r="Z13" i="1" s="1"/>
  <c r="X13" i="1"/>
  <c r="V13" i="1" s="1"/>
  <c r="W13" i="1"/>
  <c r="S13" i="1"/>
  <c r="T13" i="1" s="1"/>
  <c r="P13" i="1"/>
  <c r="M13" i="1"/>
  <c r="N13" i="1" s="1"/>
  <c r="L13" i="1"/>
  <c r="J13" i="1" s="1"/>
  <c r="K13" i="1"/>
  <c r="H13" i="1"/>
  <c r="G13" i="1"/>
  <c r="D13" i="1"/>
  <c r="Y12" i="1"/>
  <c r="Z12" i="1" s="1"/>
  <c r="X12" i="1"/>
  <c r="V12" i="1" s="1"/>
  <c r="W12" i="1"/>
  <c r="T12" i="1"/>
  <c r="S12" i="1"/>
  <c r="P12" i="1"/>
  <c r="M12" i="1"/>
  <c r="N12" i="1" s="1"/>
  <c r="L12" i="1"/>
  <c r="J12" i="1" s="1"/>
  <c r="K12" i="1"/>
  <c r="H12" i="1"/>
  <c r="G12" i="1"/>
  <c r="D12" i="1"/>
  <c r="Y11" i="1"/>
  <c r="Z11" i="1" s="1"/>
  <c r="V11" i="1"/>
  <c r="Z10" i="1"/>
  <c r="Y10" i="1"/>
  <c r="V10" i="1"/>
  <c r="R10" i="1"/>
  <c r="Q10" i="1"/>
  <c r="S10" i="1" s="1"/>
  <c r="T10" i="1" s="1"/>
  <c r="P10" i="1"/>
  <c r="L10" i="1"/>
  <c r="J10" i="1" s="1"/>
  <c r="K10" i="1"/>
  <c r="M10" i="1" s="1"/>
  <c r="N10" i="1" s="1"/>
  <c r="G10" i="1"/>
  <c r="H10" i="1" s="1"/>
  <c r="F10" i="1"/>
  <c r="D10" i="1" s="1"/>
  <c r="E10" i="1"/>
  <c r="Z9" i="1"/>
  <c r="Y9" i="1"/>
  <c r="V9" i="1"/>
  <c r="S9" i="1"/>
  <c r="T9" i="1" s="1"/>
  <c r="R9" i="1"/>
  <c r="P9" i="1" s="1"/>
  <c r="Q9" i="1"/>
  <c r="M9" i="1"/>
  <c r="N9" i="1" s="1"/>
  <c r="L9" i="1"/>
  <c r="K9" i="1"/>
  <c r="J9" i="1"/>
  <c r="G9" i="1"/>
  <c r="H9" i="1" s="1"/>
  <c r="D9" i="1"/>
  <c r="Y8" i="1"/>
  <c r="Z8" i="1" s="1"/>
  <c r="V8" i="1"/>
  <c r="Y7" i="1"/>
  <c r="Z7" i="1" s="1"/>
  <c r="X7" i="1"/>
  <c r="V7" i="1" s="1"/>
  <c r="W7" i="1"/>
  <c r="W30" i="1" s="1"/>
  <c r="T7" i="1"/>
  <c r="S7" i="1"/>
  <c r="R7" i="1"/>
  <c r="Q7" i="1"/>
  <c r="P7" i="1"/>
  <c r="F7" i="1"/>
  <c r="D7" i="1" s="1"/>
  <c r="E7" i="1"/>
  <c r="G7" i="1" s="1"/>
  <c r="H7" i="1" s="1"/>
  <c r="Y6" i="1"/>
  <c r="Z6" i="1" s="1"/>
  <c r="V6" i="1"/>
  <c r="R6" i="1"/>
  <c r="P6" i="1" s="1"/>
  <c r="Q6" i="1"/>
  <c r="Q30" i="1" s="1"/>
  <c r="G6" i="1"/>
  <c r="H6" i="1" s="1"/>
  <c r="F6" i="1"/>
  <c r="E6" i="1"/>
  <c r="D6" i="1"/>
  <c r="Z5" i="1"/>
  <c r="Y5" i="1"/>
  <c r="V5" i="1"/>
  <c r="Y4" i="1"/>
  <c r="Z4" i="1" s="1"/>
  <c r="V4" i="1"/>
  <c r="S4" i="1"/>
  <c r="T4" i="1" s="1"/>
  <c r="P4" i="1"/>
  <c r="N4" i="1"/>
  <c r="M4" i="1"/>
  <c r="J4" i="1"/>
  <c r="F4" i="1"/>
  <c r="E4" i="1"/>
  <c r="G4" i="1" s="1"/>
  <c r="H4" i="1" s="1"/>
  <c r="D4" i="1"/>
  <c r="D30" i="1" s="1"/>
  <c r="Y3" i="1"/>
  <c r="Z3" i="1" s="1"/>
  <c r="V3" i="1"/>
  <c r="S3" i="1"/>
  <c r="T3" i="1" s="1"/>
  <c r="P3" i="1"/>
  <c r="N3" i="1"/>
  <c r="M3" i="1"/>
  <c r="L3" i="1"/>
  <c r="K3" i="1"/>
  <c r="F3" i="1"/>
  <c r="E3" i="1"/>
  <c r="G3" i="1" s="1"/>
  <c r="H3" i="1" s="1"/>
  <c r="D3" i="1"/>
  <c r="U4" i="8"/>
  <c r="V4" i="8" s="1"/>
  <c r="R4" i="8"/>
  <c r="P4" i="8"/>
  <c r="O4" i="8"/>
  <c r="L4" i="8"/>
  <c r="I4" i="8"/>
  <c r="J4" i="8" s="1"/>
  <c r="F4" i="8"/>
  <c r="U3" i="8"/>
  <c r="V3" i="8" s="1"/>
  <c r="R3" i="8"/>
  <c r="O3" i="8"/>
  <c r="P3" i="8" s="1"/>
  <c r="L3" i="8"/>
  <c r="J3" i="8"/>
  <c r="I3" i="8"/>
  <c r="F3" i="8"/>
  <c r="U2" i="8"/>
  <c r="V2" i="8" s="1"/>
  <c r="R2" i="8"/>
  <c r="O2" i="8"/>
  <c r="P2" i="8" s="1"/>
  <c r="L2" i="8"/>
  <c r="H2" i="8"/>
  <c r="I2" i="8" s="1"/>
  <c r="J2" i="8" s="1"/>
  <c r="F2" i="8"/>
  <c r="U1" i="8"/>
  <c r="V1" i="8" s="1"/>
  <c r="R1" i="8"/>
  <c r="P1" i="8"/>
  <c r="O1" i="8"/>
  <c r="L1" i="8"/>
  <c r="I1" i="8"/>
  <c r="J1" i="8" s="1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K6" i="7"/>
  <c r="G6" i="7"/>
  <c r="F40" i="2" l="1"/>
  <c r="O59" i="2"/>
  <c r="P59" i="2" s="1"/>
  <c r="AA71" i="2"/>
  <c r="AB71" i="2" s="1"/>
  <c r="F45" i="2"/>
  <c r="U61" i="2"/>
  <c r="V61" i="2" s="1"/>
  <c r="O64" i="2"/>
  <c r="P64" i="2" s="1"/>
  <c r="U85" i="2"/>
  <c r="V85" i="2" s="1"/>
  <c r="R43" i="2"/>
  <c r="O83" i="2"/>
  <c r="P83" i="2" s="1"/>
  <c r="R37" i="2"/>
  <c r="O53" i="2"/>
  <c r="P53" i="2" s="1"/>
  <c r="L7" i="1"/>
  <c r="L57" i="2"/>
  <c r="L33" i="2"/>
  <c r="L32" i="2"/>
  <c r="R11" i="2"/>
  <c r="R94" i="2" s="1"/>
  <c r="V94" i="2" s="1"/>
  <c r="I52" i="2"/>
  <c r="J52" i="2" s="1"/>
  <c r="U62" i="2"/>
  <c r="V62" i="2" s="1"/>
  <c r="O63" i="2"/>
  <c r="P63" i="2" s="1"/>
  <c r="X69" i="2"/>
  <c r="O77" i="2"/>
  <c r="P77" i="2" s="1"/>
  <c r="O6" i="2"/>
  <c r="P6" i="2" s="1"/>
  <c r="L55" i="2"/>
  <c r="L7" i="2"/>
  <c r="L6" i="2"/>
  <c r="F44" i="2"/>
  <c r="U54" i="2"/>
  <c r="V54" i="2" s="1"/>
  <c r="R60" i="2"/>
  <c r="I75" i="2"/>
  <c r="J75" i="2" s="1"/>
  <c r="X81" i="2"/>
  <c r="L37" i="2"/>
  <c r="L6" i="1"/>
  <c r="I76" i="2"/>
  <c r="J76" i="2" s="1"/>
  <c r="U78" i="2"/>
  <c r="V78" i="2" s="1"/>
  <c r="U34" i="2"/>
  <c r="V34" i="2" s="1"/>
  <c r="R34" i="2"/>
  <c r="R17" i="2"/>
  <c r="U17" i="2"/>
  <c r="V17" i="2" s="1"/>
  <c r="F25" i="2"/>
  <c r="I25" i="2"/>
  <c r="J25" i="2" s="1"/>
  <c r="R27" i="2"/>
  <c r="U27" i="2"/>
  <c r="V27" i="2" s="1"/>
  <c r="O31" i="2"/>
  <c r="P31" i="2" s="1"/>
  <c r="I39" i="2"/>
  <c r="J39" i="2" s="1"/>
  <c r="F39" i="2"/>
  <c r="F29" i="2"/>
  <c r="F94" i="2" s="1"/>
  <c r="J94" i="2" s="1"/>
  <c r="I29" i="2"/>
  <c r="J29" i="2" s="1"/>
  <c r="O26" i="2"/>
  <c r="P26" i="2" s="1"/>
  <c r="O51" i="2"/>
  <c r="P51" i="2" s="1"/>
  <c r="F21" i="2"/>
  <c r="I21" i="2"/>
  <c r="J21" i="2" s="1"/>
  <c r="O58" i="2"/>
  <c r="P58" i="2" s="1"/>
  <c r="F65" i="2"/>
  <c r="I65" i="2"/>
  <c r="J65" i="2" s="1"/>
  <c r="R49" i="2"/>
  <c r="U49" i="2"/>
  <c r="V49" i="2" s="1"/>
  <c r="F51" i="2"/>
  <c r="I51" i="2"/>
  <c r="J51" i="2" s="1"/>
  <c r="X68" i="2"/>
  <c r="X94" i="2" s="1"/>
  <c r="AB94" i="2" s="1"/>
  <c r="AA68" i="2"/>
  <c r="AB68" i="2" s="1"/>
  <c r="X80" i="2"/>
  <c r="AA80" i="2"/>
  <c r="AB80" i="2" s="1"/>
  <c r="O82" i="2"/>
  <c r="P82" i="2" s="1"/>
  <c r="V30" i="1"/>
  <c r="Z30" i="1" s="1"/>
  <c r="P30" i="1"/>
  <c r="T30" i="1" s="1"/>
  <c r="S6" i="1"/>
  <c r="T6" i="1" s="1"/>
  <c r="E30" i="1"/>
  <c r="H30" i="1" s="1"/>
  <c r="K30" i="1"/>
  <c r="M7" i="1" l="1"/>
  <c r="N7" i="1" s="1"/>
  <c r="J7" i="1"/>
  <c r="L94" i="2"/>
  <c r="P94" i="2" s="1"/>
  <c r="M6" i="1"/>
  <c r="N6" i="1" s="1"/>
  <c r="J6" i="1"/>
  <c r="G4" i="3"/>
  <c r="H4" i="3" s="1"/>
  <c r="D4" i="3"/>
  <c r="E3" i="3"/>
  <c r="G3" i="3" s="1"/>
  <c r="H3" i="3" s="1"/>
  <c r="D3" i="3"/>
  <c r="J30" i="1" l="1"/>
  <c r="N30" i="1" s="1"/>
</calcChain>
</file>

<file path=xl/sharedStrings.xml><?xml version="1.0" encoding="utf-8"?>
<sst xmlns="http://schemas.openxmlformats.org/spreadsheetml/2006/main" count="865" uniqueCount="94">
  <si>
    <t>MC2</t>
  </si>
  <si>
    <t>MC9</t>
  </si>
  <si>
    <t>MC10</t>
  </si>
  <si>
    <t>MC5</t>
  </si>
  <si>
    <t>PIPE</t>
  </si>
  <si>
    <t>MATERIAL</t>
  </si>
  <si>
    <t>EXPECTED</t>
  </si>
  <si>
    <t>EXPECTED WEIGHT</t>
  </si>
  <si>
    <t>ACHIEVED TOTAL WEIGHT</t>
  </si>
  <si>
    <t>TOTAL HOURS</t>
  </si>
  <si>
    <t>RECORDED</t>
  </si>
  <si>
    <t>% CHANGE</t>
  </si>
  <si>
    <t>20MM PN16</t>
  </si>
  <si>
    <t>PPR</t>
  </si>
  <si>
    <t>20MM PN20</t>
  </si>
  <si>
    <t>20MM PN25</t>
  </si>
  <si>
    <t>25MM PN16</t>
  </si>
  <si>
    <t>25MM PN20</t>
  </si>
  <si>
    <t>25MM PN25</t>
  </si>
  <si>
    <t>32MM PN16</t>
  </si>
  <si>
    <t>32MM PN20</t>
  </si>
  <si>
    <t>32MM PN25</t>
  </si>
  <si>
    <t>40MM PN16</t>
  </si>
  <si>
    <t>40MM PN20</t>
  </si>
  <si>
    <t>40MM PN25</t>
  </si>
  <si>
    <t>50MM PN16</t>
  </si>
  <si>
    <t>50MM PN20</t>
  </si>
  <si>
    <t>50MM PN25</t>
  </si>
  <si>
    <t>63MM PN16</t>
  </si>
  <si>
    <t>63MM PN20</t>
  </si>
  <si>
    <t>63MM PN25</t>
  </si>
  <si>
    <t>75MM PN16</t>
  </si>
  <si>
    <t>75MM PN20</t>
  </si>
  <si>
    <t>75MM PN25</t>
  </si>
  <si>
    <t>90MM PN16</t>
  </si>
  <si>
    <t>90MM PN20</t>
  </si>
  <si>
    <t>90MM PN25</t>
  </si>
  <si>
    <t>110MM PN16</t>
  </si>
  <si>
    <t>110MM PN20</t>
  </si>
  <si>
    <t>110MM PN25</t>
  </si>
  <si>
    <t>TOTAL</t>
  </si>
  <si>
    <t>JOB NO.</t>
  </si>
  <si>
    <t>DATE</t>
  </si>
  <si>
    <t>ALL THE PPR MACHINE OUTPUT CHART</t>
  </si>
  <si>
    <t>SR NO</t>
  </si>
  <si>
    <t>SIZE</t>
  </si>
  <si>
    <t>MC 2</t>
  </si>
  <si>
    <t>MC 5</t>
  </si>
  <si>
    <t>MC 9</t>
  </si>
  <si>
    <t>MC 10</t>
  </si>
  <si>
    <t>Actual</t>
  </si>
  <si>
    <t>Expecting</t>
  </si>
  <si>
    <t>PPR/AQ/20/16/4</t>
  </si>
  <si>
    <t>PPR/AQ/20/20/4</t>
  </si>
  <si>
    <t>PPR/AQ/20/25/4</t>
  </si>
  <si>
    <t>PPR/AQ/25/16/4</t>
  </si>
  <si>
    <t>PPR/AQ/25/20/4</t>
  </si>
  <si>
    <t>PPR/AQ/25/25/4</t>
  </si>
  <si>
    <t>PPR/AQ/32/16/4</t>
  </si>
  <si>
    <t>PPR/AQ/32/20/4</t>
  </si>
  <si>
    <t>PPR/AQ/32/25/4</t>
  </si>
  <si>
    <t>PPR/AQ/40/16/4</t>
  </si>
  <si>
    <t>PPR/AQ/40/20/4</t>
  </si>
  <si>
    <t>PPR/AQ/40/25/4</t>
  </si>
  <si>
    <t>PPR/AQ/50/16/4</t>
  </si>
  <si>
    <t>PPR/AQ/50/20/4</t>
  </si>
  <si>
    <t>PPR/AQ/50/25/4</t>
  </si>
  <si>
    <t>PPR/AQ/63/16/4</t>
  </si>
  <si>
    <t>PPR/AQ/63/20/4</t>
  </si>
  <si>
    <t>PPR/AQ/63/25/4</t>
  </si>
  <si>
    <t>PPR/AQ/75/16/4</t>
  </si>
  <si>
    <t>PPR/AQ/75/20/4</t>
  </si>
  <si>
    <t>PPR/AQ/90/16/4</t>
  </si>
  <si>
    <t>PPR/AQ/90/20/4</t>
  </si>
  <si>
    <t>PPR/AQ/110/16/4</t>
  </si>
  <si>
    <t>PPR/AQ/110/20/4</t>
  </si>
  <si>
    <t>PPR MACHINE RUNNING HOURS</t>
  </si>
  <si>
    <t>DATE:</t>
  </si>
  <si>
    <t>SHIFT HRS:</t>
  </si>
  <si>
    <t>SUPERVISOR:</t>
  </si>
  <si>
    <t xml:space="preserve">MACHINE  </t>
  </si>
  <si>
    <t>MACHINE  OPERATOR</t>
  </si>
  <si>
    <t>SIZE:</t>
  </si>
  <si>
    <t>STARTING TIME:</t>
  </si>
  <si>
    <t>END TIME:</t>
  </si>
  <si>
    <t>OPERATOR SIGNATURE:</t>
  </si>
  <si>
    <t>SUPERVISOR SIGNATURE:</t>
  </si>
  <si>
    <t>MACHINE</t>
  </si>
  <si>
    <t>MONTH</t>
  </si>
  <si>
    <t>MACHINE 2</t>
  </si>
  <si>
    <t>OCTOBER</t>
  </si>
  <si>
    <t>MACHINE 9</t>
  </si>
  <si>
    <t>MACHINE 10</t>
  </si>
  <si>
    <t>MACHINE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</si>
</sst>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8"/>
      <color theme="1"/>
      <name val="Algerian"/>
      <family val="5"/>
    </font>
    <font>
      <sz val="11"/>
      <color theme="1"/>
      <name val="Algerian"/>
      <family val="5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2" borderId="18" xfId="0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10" fontId="3" fillId="0" borderId="28" xfId="1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8" xfId="1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wrapText="1"/>
    </xf>
    <xf numFmtId="2" fontId="3" fillId="0" borderId="11" xfId="0" applyNumberFormat="1" applyFont="1" applyBorder="1" applyAlignment="1">
      <alignment horizontal="center"/>
    </xf>
    <xf numFmtId="2" fontId="3" fillId="0" borderId="25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22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0" fontId="3" fillId="2" borderId="24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WEEKLY%20JOB%20DETAILS1.xlsx" TargetMode="External"/><Relationship Id="rId1" Type="http://schemas.openxmlformats.org/officeDocument/2006/relationships/externalLinkPath" Target="file:///C:\Users\USER\Desktop\WEEKLY%20JOB%20DETAI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Job Details"/>
      <sheetName val="september 30"/>
      <sheetName val="OUTPUT CHART"/>
      <sheetName val="RUNNING HOURS"/>
      <sheetName val="POWERBI SUMMARY"/>
    </sheetNames>
    <sheetDataSet>
      <sheetData sheetId="0" refreshError="1"/>
      <sheetData sheetId="1" refreshError="1"/>
      <sheetData sheetId="2">
        <row r="3">
          <cell r="G3">
            <v>3672.65</v>
          </cell>
          <cell r="H3">
            <v>24</v>
          </cell>
        </row>
        <row r="4">
          <cell r="S4">
            <v>1200.9499999999998</v>
          </cell>
          <cell r="T4">
            <v>6.0654040404040392</v>
          </cell>
        </row>
        <row r="6">
          <cell r="M6">
            <v>237.75</v>
          </cell>
          <cell r="N6">
            <v>1.6625874125874125</v>
          </cell>
        </row>
        <row r="7">
          <cell r="M7">
            <v>687.55000000000007</v>
          </cell>
          <cell r="N7">
            <v>4.4937908496732026</v>
          </cell>
        </row>
        <row r="8">
          <cell r="S8">
            <v>3170.2</v>
          </cell>
          <cell r="T8">
            <v>17.600000000000001</v>
          </cell>
        </row>
        <row r="9">
          <cell r="G9">
            <v>3511.1</v>
          </cell>
          <cell r="H9">
            <v>24</v>
          </cell>
        </row>
        <row r="10">
          <cell r="M10">
            <v>3534.95</v>
          </cell>
          <cell r="N10">
            <v>24</v>
          </cell>
        </row>
        <row r="11">
          <cell r="S11">
            <v>4175.95</v>
          </cell>
          <cell r="T11">
            <v>24.420760233918127</v>
          </cell>
        </row>
        <row r="12">
          <cell r="G12">
            <v>360.55</v>
          </cell>
          <cell r="H12">
            <v>2</v>
          </cell>
        </row>
        <row r="13">
          <cell r="G13">
            <v>624.95000000000005</v>
          </cell>
          <cell r="H13">
            <v>7.1</v>
          </cell>
        </row>
        <row r="14">
          <cell r="G14">
            <v>1418.649999999999</v>
          </cell>
          <cell r="H14">
            <v>8.6999999999999993</v>
          </cell>
        </row>
        <row r="15">
          <cell r="M15">
            <v>1175.82</v>
          </cell>
          <cell r="N15">
            <v>8</v>
          </cell>
        </row>
        <row r="16">
          <cell r="M16">
            <v>194.85</v>
          </cell>
          <cell r="N16">
            <v>1.4</v>
          </cell>
        </row>
        <row r="17">
          <cell r="S17">
            <v>2981.2499999999932</v>
          </cell>
          <cell r="T17">
            <v>16.562499999999961</v>
          </cell>
        </row>
        <row r="18">
          <cell r="G18">
            <v>3832.55</v>
          </cell>
          <cell r="H18">
            <v>24</v>
          </cell>
        </row>
        <row r="19">
          <cell r="M19">
            <v>2106.25</v>
          </cell>
          <cell r="N19">
            <v>15.6</v>
          </cell>
        </row>
        <row r="20">
          <cell r="S20">
            <v>4173.45</v>
          </cell>
          <cell r="T20">
            <v>24</v>
          </cell>
        </row>
        <row r="21">
          <cell r="G21">
            <v>2044.7</v>
          </cell>
          <cell r="H21">
            <v>12</v>
          </cell>
          <cell r="S21">
            <v>2837</v>
          </cell>
          <cell r="T21">
            <v>16.21142857142857</v>
          </cell>
        </row>
        <row r="22">
          <cell r="G22">
            <v>273.64999999999998</v>
          </cell>
          <cell r="H22">
            <v>2</v>
          </cell>
        </row>
        <row r="23">
          <cell r="M23">
            <v>2050.9</v>
          </cell>
          <cell r="N23">
            <v>13</v>
          </cell>
        </row>
        <row r="24">
          <cell r="M24">
            <v>237.7</v>
          </cell>
          <cell r="N24">
            <v>1.5</v>
          </cell>
        </row>
        <row r="25">
          <cell r="G25">
            <v>3605.23</v>
          </cell>
          <cell r="H25">
            <v>22.1179754601227</v>
          </cell>
        </row>
        <row r="26">
          <cell r="M26">
            <v>3367.8</v>
          </cell>
          <cell r="N26">
            <v>23.551048951048951</v>
          </cell>
        </row>
        <row r="27">
          <cell r="S27">
            <v>4156.4399999999996</v>
          </cell>
          <cell r="T27">
            <v>24.165348837209301</v>
          </cell>
        </row>
        <row r="28">
          <cell r="G28">
            <v>2331.25</v>
          </cell>
          <cell r="H28">
            <v>15.263496932515338</v>
          </cell>
        </row>
        <row r="29">
          <cell r="G29">
            <v>351.35</v>
          </cell>
          <cell r="H29">
            <v>3.7779569892473122</v>
          </cell>
        </row>
        <row r="30">
          <cell r="G30">
            <v>151.1</v>
          </cell>
          <cell r="H30">
            <v>2</v>
          </cell>
        </row>
        <row r="31">
          <cell r="M31">
            <v>979.8</v>
          </cell>
          <cell r="N31">
            <v>6.8999999999999995</v>
          </cell>
        </row>
        <row r="32">
          <cell r="M32">
            <v>1088.7</v>
          </cell>
          <cell r="N32">
            <v>6.8043750000000003</v>
          </cell>
        </row>
        <row r="33">
          <cell r="M33">
            <v>863.45</v>
          </cell>
          <cell r="N33">
            <v>5.3965624999999999</v>
          </cell>
        </row>
        <row r="34">
          <cell r="S34">
            <v>4151.8999999999996</v>
          </cell>
          <cell r="T34">
            <v>24.138953488372092</v>
          </cell>
        </row>
        <row r="35">
          <cell r="G35">
            <v>2187.15</v>
          </cell>
          <cell r="H35">
            <v>24.301666666666669</v>
          </cell>
        </row>
        <row r="36">
          <cell r="M36">
            <v>877.08</v>
          </cell>
          <cell r="N36">
            <v>5.8084768211920537</v>
          </cell>
        </row>
        <row r="37">
          <cell r="S37">
            <v>2407.4499999999998</v>
          </cell>
          <cell r="T37">
            <v>12.037249999999998</v>
          </cell>
        </row>
        <row r="38">
          <cell r="S38">
            <v>1352</v>
          </cell>
          <cell r="T38">
            <v>7.9064327485380117</v>
          </cell>
        </row>
        <row r="39">
          <cell r="G39">
            <v>242.4</v>
          </cell>
          <cell r="H39">
            <v>2.8517647058823532</v>
          </cell>
        </row>
        <row r="40">
          <cell r="G40">
            <v>1957.3</v>
          </cell>
          <cell r="H40">
            <v>18.640952380952381</v>
          </cell>
        </row>
        <row r="43">
          <cell r="S43">
            <v>4425.3</v>
          </cell>
          <cell r="T43">
            <v>21.586829268292682</v>
          </cell>
        </row>
        <row r="44">
          <cell r="G44">
            <v>1631.5</v>
          </cell>
          <cell r="H44">
            <v>16.479797979797979</v>
          </cell>
        </row>
        <row r="45">
          <cell r="G45">
            <v>994.85</v>
          </cell>
          <cell r="H45">
            <v>6.6323333333333334</v>
          </cell>
        </row>
        <row r="49">
          <cell r="S49">
            <v>1220.7</v>
          </cell>
          <cell r="T49">
            <v>5.9546341463414638</v>
          </cell>
        </row>
        <row r="50">
          <cell r="S50">
            <v>2210.1499999999992</v>
          </cell>
          <cell r="T50">
            <v>9.8667410714285673</v>
          </cell>
        </row>
        <row r="51">
          <cell r="G51">
            <v>772.1</v>
          </cell>
          <cell r="H51">
            <v>5.0464052287581698</v>
          </cell>
        </row>
        <row r="52">
          <cell r="G52">
            <v>2562.85</v>
          </cell>
          <cell r="H52">
            <v>15.532424242424241</v>
          </cell>
        </row>
        <row r="53">
          <cell r="M53">
            <v>687.45000000000016</v>
          </cell>
          <cell r="N53">
            <v>8.8134615384615405</v>
          </cell>
        </row>
        <row r="54">
          <cell r="S54">
            <v>2493.6999999999998</v>
          </cell>
          <cell r="T54">
            <v>10.985462555066078</v>
          </cell>
        </row>
        <row r="55">
          <cell r="G55">
            <v>3713.9</v>
          </cell>
          <cell r="H55">
            <v>23.457752016129032</v>
          </cell>
        </row>
        <row r="57">
          <cell r="M57">
            <v>151.19999999999999</v>
          </cell>
          <cell r="N57">
            <v>1.1630769230769229</v>
          </cell>
        </row>
        <row r="58">
          <cell r="M58">
            <v>97.85</v>
          </cell>
          <cell r="N58">
            <v>0.78279999999999994</v>
          </cell>
        </row>
        <row r="59">
          <cell r="M59">
            <v>64</v>
          </cell>
          <cell r="N59">
            <v>0.51200000000000001</v>
          </cell>
        </row>
        <row r="60">
          <cell r="S60">
            <v>4598.25</v>
          </cell>
          <cell r="T60">
            <v>21.896428571428572</v>
          </cell>
        </row>
        <row r="61">
          <cell r="S61">
            <v>3206.5</v>
          </cell>
          <cell r="T61">
            <v>15.269047619047619</v>
          </cell>
        </row>
        <row r="62">
          <cell r="S62">
            <v>750</v>
          </cell>
          <cell r="T62">
            <v>3.6407766990291264</v>
          </cell>
        </row>
        <row r="63">
          <cell r="M63">
            <v>267.75</v>
          </cell>
          <cell r="N63">
            <v>1.575</v>
          </cell>
        </row>
        <row r="64">
          <cell r="M64">
            <v>2806.8500000000008</v>
          </cell>
          <cell r="N64">
            <v>15.507458563535916</v>
          </cell>
        </row>
        <row r="65">
          <cell r="G65">
            <v>1721.3</v>
          </cell>
          <cell r="H65">
            <v>11.784338153503894</v>
          </cell>
        </row>
        <row r="66">
          <cell r="G66">
            <v>794.50000000000011</v>
          </cell>
          <cell r="H66">
            <v>5.0929487179487181</v>
          </cell>
        </row>
        <row r="67">
          <cell r="G67">
            <v>686.44999999999993</v>
          </cell>
          <cell r="H67">
            <v>4.4866013071895416</v>
          </cell>
        </row>
        <row r="68">
          <cell r="Y68">
            <v>322.5</v>
          </cell>
          <cell r="Z68">
            <v>1.9907407407407407</v>
          </cell>
        </row>
        <row r="69">
          <cell r="Y69">
            <v>875</v>
          </cell>
          <cell r="Z69">
            <v>5.1470588235294121</v>
          </cell>
        </row>
        <row r="70">
          <cell r="G70">
            <v>3946.6</v>
          </cell>
          <cell r="H70">
            <v>22.839209039548024</v>
          </cell>
        </row>
        <row r="71">
          <cell r="Y71">
            <v>3836.5</v>
          </cell>
          <cell r="Z71">
            <v>23.978124999999999</v>
          </cell>
        </row>
        <row r="72">
          <cell r="M72">
            <v>3941.05</v>
          </cell>
          <cell r="N72">
            <v>22.443924731182797</v>
          </cell>
        </row>
        <row r="73">
          <cell r="S73">
            <v>4101.5600000000004</v>
          </cell>
          <cell r="T73">
            <v>20.007609756097562</v>
          </cell>
        </row>
        <row r="74">
          <cell r="G74">
            <v>204.15</v>
          </cell>
          <cell r="H74">
            <v>2.4596385542168675</v>
          </cell>
        </row>
        <row r="75">
          <cell r="G75">
            <v>336.9</v>
          </cell>
          <cell r="H75">
            <v>3.8724137931034481</v>
          </cell>
        </row>
        <row r="76">
          <cell r="G76">
            <v>554.15</v>
          </cell>
          <cell r="H76">
            <v>3.221802325581395</v>
          </cell>
        </row>
        <row r="77">
          <cell r="M77">
            <v>2916.4</v>
          </cell>
          <cell r="N77">
            <v>16.202222222222222</v>
          </cell>
        </row>
        <row r="78">
          <cell r="S78">
            <v>3477.77</v>
          </cell>
          <cell r="T78">
            <v>17.131871921182267</v>
          </cell>
        </row>
        <row r="79">
          <cell r="G79">
            <v>2823.75</v>
          </cell>
          <cell r="H79">
            <v>16.749215337922866</v>
          </cell>
        </row>
        <row r="80">
          <cell r="Y80">
            <v>680</v>
          </cell>
          <cell r="Z80">
            <v>4.387096774193548</v>
          </cell>
        </row>
        <row r="81">
          <cell r="Y81">
            <v>1608</v>
          </cell>
          <cell r="Z81">
            <v>10.374193548387098</v>
          </cell>
        </row>
        <row r="82">
          <cell r="M82">
            <v>797.9</v>
          </cell>
          <cell r="N82">
            <v>5.2841059602649008</v>
          </cell>
        </row>
        <row r="83">
          <cell r="M83">
            <v>352.8</v>
          </cell>
          <cell r="N83">
            <v>2.3364238410596028</v>
          </cell>
        </row>
        <row r="84">
          <cell r="M84">
            <v>1453.0499999999997</v>
          </cell>
          <cell r="N84">
            <v>9.435389610389608</v>
          </cell>
        </row>
        <row r="85">
          <cell r="S85">
            <v>3105.95</v>
          </cell>
          <cell r="T85">
            <v>15.150975609756097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C29F-ECE3-4316-8A57-A9BC72F5BF23}">
  <dimension ref="A1:Z30"/>
  <sheetViews>
    <sheetView topLeftCell="A11" workbookViewId="0">
      <pane xSplit="2" topLeftCell="Q1" activePane="topRight" state="frozen"/>
      <selection pane="topRight" activeCell="U3" sqref="U3:Z29"/>
    </sheetView>
  </sheetViews>
  <sheetFormatPr defaultColWidth="9.140625" defaultRowHeight="15" x14ac:dyDescent="0.2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55" customWidth="1"/>
    <col min="5" max="5" width="26.42578125" style="2" customWidth="1"/>
    <col min="6" max="6" width="14.85546875" style="2" customWidth="1"/>
    <col min="7" max="7" width="12.7109375" style="55" customWidth="1"/>
    <col min="8" max="8" width="13.28515625" style="12" customWidth="1"/>
    <col min="9" max="9" width="12.5703125" style="14" customWidth="1"/>
    <col min="10" max="10" width="18.5703125" style="55" customWidth="1"/>
    <col min="11" max="11" width="24.28515625" style="2" customWidth="1"/>
    <col min="12" max="12" width="15" style="2" customWidth="1"/>
    <col min="13" max="13" width="13.85546875" style="55" customWidth="1"/>
    <col min="14" max="14" width="15.42578125" style="12" customWidth="1"/>
    <col min="15" max="15" width="14" style="14" customWidth="1"/>
    <col min="16" max="16" width="18.85546875" style="55" customWidth="1"/>
    <col min="17" max="17" width="23.7109375" style="2" customWidth="1"/>
    <col min="18" max="18" width="15.42578125" style="2" customWidth="1"/>
    <col min="19" max="19" width="13.28515625" style="55" customWidth="1"/>
    <col min="20" max="20" width="12.140625" style="12" customWidth="1"/>
    <col min="21" max="21" width="13.140625" style="2" customWidth="1"/>
    <col min="22" max="22" width="18.7109375" style="55" bestFit="1" customWidth="1"/>
    <col min="23" max="23" width="24.7109375" style="2" bestFit="1" customWidth="1"/>
    <col min="24" max="24" width="13.7109375" style="2" bestFit="1" customWidth="1"/>
    <col min="25" max="25" width="11" style="55" customWidth="1"/>
    <col min="26" max="26" width="10.7109375" style="2" customWidth="1"/>
    <col min="27" max="16384" width="9.140625" style="2"/>
  </cols>
  <sheetData>
    <row r="1" spans="1:26" s="6" customFormat="1" x14ac:dyDescent="0.25">
      <c r="A1" s="5"/>
      <c r="B1" s="7"/>
      <c r="C1" s="13" t="s">
        <v>0</v>
      </c>
      <c r="D1" s="57" t="s">
        <v>0</v>
      </c>
      <c r="E1" s="9" t="s">
        <v>0</v>
      </c>
      <c r="F1" s="9" t="s">
        <v>0</v>
      </c>
      <c r="G1" s="50" t="s">
        <v>0</v>
      </c>
      <c r="H1" s="10" t="s">
        <v>0</v>
      </c>
      <c r="I1" s="13" t="s">
        <v>1</v>
      </c>
      <c r="J1" s="57" t="s">
        <v>1</v>
      </c>
      <c r="K1" s="9" t="s">
        <v>1</v>
      </c>
      <c r="L1" s="9" t="s">
        <v>1</v>
      </c>
      <c r="M1" s="50" t="s">
        <v>1</v>
      </c>
      <c r="N1" s="10" t="s">
        <v>1</v>
      </c>
      <c r="O1" s="13" t="s">
        <v>2</v>
      </c>
      <c r="P1" s="57" t="s">
        <v>2</v>
      </c>
      <c r="Q1" s="9" t="s">
        <v>2</v>
      </c>
      <c r="R1" s="9" t="s">
        <v>2</v>
      </c>
      <c r="S1" s="50" t="s">
        <v>2</v>
      </c>
      <c r="T1" s="10" t="s">
        <v>2</v>
      </c>
      <c r="U1" s="28" t="s">
        <v>3</v>
      </c>
      <c r="V1" s="58" t="s">
        <v>3</v>
      </c>
      <c r="W1" s="28" t="s">
        <v>3</v>
      </c>
      <c r="X1" s="58" t="s">
        <v>3</v>
      </c>
      <c r="Y1" s="58" t="s">
        <v>3</v>
      </c>
      <c r="Z1" s="28" t="s">
        <v>3</v>
      </c>
    </row>
    <row r="2" spans="1:26" s="6" customFormat="1" x14ac:dyDescent="0.25">
      <c r="A2" s="15" t="s">
        <v>4</v>
      </c>
      <c r="B2" s="16" t="s">
        <v>5</v>
      </c>
      <c r="C2" s="21" t="s">
        <v>6</v>
      </c>
      <c r="D2" s="59" t="s">
        <v>7</v>
      </c>
      <c r="E2" s="15" t="s">
        <v>8</v>
      </c>
      <c r="F2" s="15" t="s">
        <v>9</v>
      </c>
      <c r="G2" s="51" t="s">
        <v>10</v>
      </c>
      <c r="H2" s="18" t="s">
        <v>11</v>
      </c>
      <c r="I2" s="21" t="s">
        <v>6</v>
      </c>
      <c r="J2" s="59" t="s">
        <v>7</v>
      </c>
      <c r="K2" s="15" t="s">
        <v>8</v>
      </c>
      <c r="L2" s="15" t="s">
        <v>9</v>
      </c>
      <c r="M2" s="51" t="s">
        <v>10</v>
      </c>
      <c r="N2" s="18" t="s">
        <v>11</v>
      </c>
      <c r="O2" s="21" t="s">
        <v>6</v>
      </c>
      <c r="P2" s="59" t="s">
        <v>7</v>
      </c>
      <c r="Q2" s="15" t="s">
        <v>8</v>
      </c>
      <c r="R2" s="15" t="s">
        <v>9</v>
      </c>
      <c r="S2" s="51" t="s">
        <v>10</v>
      </c>
      <c r="T2" s="18" t="s">
        <v>11</v>
      </c>
      <c r="U2" s="29" t="s">
        <v>6</v>
      </c>
      <c r="V2" s="60" t="s">
        <v>7</v>
      </c>
      <c r="W2" s="15" t="s">
        <v>8</v>
      </c>
      <c r="X2" s="51" t="s">
        <v>9</v>
      </c>
      <c r="Y2" s="51" t="s">
        <v>10</v>
      </c>
      <c r="Z2" s="18" t="s">
        <v>11</v>
      </c>
    </row>
    <row r="3" spans="1:26" s="1" customFormat="1" x14ac:dyDescent="0.25">
      <c r="A3" s="1" t="s">
        <v>12</v>
      </c>
      <c r="B3" s="30" t="s">
        <v>13</v>
      </c>
      <c r="C3" s="1">
        <v>75</v>
      </c>
      <c r="D3" s="52">
        <f>C3*F3</f>
        <v>2903.4802445074415</v>
      </c>
      <c r="E3" s="1">
        <f>+'[1]Job Details'!G13+'[1]Job Details'!G30+'[1]Job Details'!G35+'[1]Job Details'!G39+'[1]Job Details'!G74</f>
        <v>3409.7500000000005</v>
      </c>
      <c r="F3" s="52">
        <f>+'[1]Job Details'!H13+'[1]Job Details'!H30+'[1]Job Details'!H35+'[1]Job Details'!H39+'[1]Job Details'!H74</f>
        <v>38.71306992676589</v>
      </c>
      <c r="G3" s="52">
        <f>E3/F3</f>
        <v>88.077489242012504</v>
      </c>
      <c r="H3" s="35">
        <f>(G3-C3)/C3</f>
        <v>0.17436652322683338</v>
      </c>
      <c r="I3" s="1">
        <v>75</v>
      </c>
      <c r="J3" s="52">
        <f>I3*L3</f>
        <v>661.00961538461559</v>
      </c>
      <c r="K3" s="1">
        <f>+'[1]Job Details'!M53</f>
        <v>687.45000000000016</v>
      </c>
      <c r="L3" s="52">
        <f>+'[1]Job Details'!N53</f>
        <v>8.8134615384615405</v>
      </c>
      <c r="M3" s="52">
        <f>K3/L3</f>
        <v>78</v>
      </c>
      <c r="N3" s="35">
        <f>(M3-I3)/I3</f>
        <v>0.04</v>
      </c>
      <c r="O3" s="1">
        <v>100</v>
      </c>
      <c r="P3" s="52">
        <f>O3*R3</f>
        <v>0</v>
      </c>
      <c r="S3" s="52" t="e">
        <f>Q3/R3</f>
        <v>#DIV/0!</v>
      </c>
      <c r="T3" s="35" t="e">
        <f>(S3-O3)/O3</f>
        <v>#DIV/0!</v>
      </c>
      <c r="V3" s="52">
        <f>U3*X3</f>
        <v>0</v>
      </c>
      <c r="Y3" s="52" t="e">
        <f>W3/X3</f>
        <v>#DIV/0!</v>
      </c>
      <c r="Z3" s="35" t="e">
        <f>(Y3-U3)/U3</f>
        <v>#DIV/0!</v>
      </c>
    </row>
    <row r="4" spans="1:26" s="1" customFormat="1" x14ac:dyDescent="0.25">
      <c r="A4" s="1" t="s">
        <v>14</v>
      </c>
      <c r="B4" s="30" t="s">
        <v>13</v>
      </c>
      <c r="C4" s="1">
        <v>85</v>
      </c>
      <c r="D4" s="52">
        <f t="shared" ref="D4:D28" si="0">C4*F4</f>
        <v>3635.545297163595</v>
      </c>
      <c r="E4" s="52">
        <f>+'[1]Job Details'!G29+'[1]Job Details'!G40+'[1]Job Details'!G44+'[1]Job Details'!G75</f>
        <v>4277.05</v>
      </c>
      <c r="F4" s="52">
        <f>+'[1]Job Details'!H29+'[1]Job Details'!H40+'[1]Job Details'!H44+'[1]Job Details'!H75</f>
        <v>42.771121143101119</v>
      </c>
      <c r="G4" s="52">
        <f t="shared" ref="G4:G28" si="1">E4/F4</f>
        <v>99.998547751182301</v>
      </c>
      <c r="H4" s="35">
        <f t="shared" ref="H4:H28" si="2">(G4-C4)/C4</f>
        <v>0.17645350295508588</v>
      </c>
      <c r="I4" s="1">
        <v>85</v>
      </c>
      <c r="J4" s="52">
        <f t="shared" ref="J4" si="3">I4*L4</f>
        <v>263.5</v>
      </c>
      <c r="K4" s="1">
        <v>260.3</v>
      </c>
      <c r="L4" s="52">
        <f>+'Job Details'!N5</f>
        <v>3.1</v>
      </c>
      <c r="M4" s="52">
        <f t="shared" ref="M4:M28" si="4">K4/L4</f>
        <v>83.967741935483872</v>
      </c>
      <c r="N4" s="35">
        <f t="shared" ref="N4:N28" si="5">(M4-I4)/I4</f>
        <v>-1.2144212523719155E-2</v>
      </c>
      <c r="O4" s="1">
        <v>110</v>
      </c>
      <c r="P4" s="52">
        <f t="shared" ref="P4:P28" si="6">O4*R4</f>
        <v>0</v>
      </c>
      <c r="S4" s="52" t="e">
        <f t="shared" ref="S4:S28" si="7">Q4/R4</f>
        <v>#DIV/0!</v>
      </c>
      <c r="T4" s="35" t="e">
        <f t="shared" ref="T4:T28" si="8">(S4-O4)/O4</f>
        <v>#DIV/0!</v>
      </c>
      <c r="U4" s="32"/>
      <c r="V4" s="52">
        <f t="shared" ref="V4:V29" si="9">U4*X4</f>
        <v>0</v>
      </c>
      <c r="Y4" s="52" t="e">
        <f t="shared" ref="Y4:Y29" si="10">W4/X4</f>
        <v>#DIV/0!</v>
      </c>
      <c r="Z4" s="35" t="e">
        <f t="shared" ref="Z4:Z29" si="11">(Y4-U4)/U4</f>
        <v>#DIV/0!</v>
      </c>
    </row>
    <row r="5" spans="1:26" s="1" customFormat="1" x14ac:dyDescent="0.25">
      <c r="A5" s="1" t="s">
        <v>15</v>
      </c>
      <c r="B5" s="30" t="s">
        <v>13</v>
      </c>
      <c r="C5" s="32"/>
      <c r="D5" s="52"/>
      <c r="G5" s="52"/>
      <c r="H5" s="35"/>
      <c r="I5" s="34"/>
      <c r="J5" s="52"/>
      <c r="K5" s="1">
        <f>+'Job Details'!M48</f>
        <v>395.59999999999997</v>
      </c>
      <c r="M5" s="52"/>
      <c r="N5" s="35"/>
      <c r="O5" s="34"/>
      <c r="P5" s="52"/>
      <c r="S5" s="52"/>
      <c r="T5" s="35"/>
      <c r="U5" s="32"/>
      <c r="V5" s="52">
        <f t="shared" si="9"/>
        <v>0</v>
      </c>
      <c r="Y5" s="52" t="e">
        <f t="shared" si="10"/>
        <v>#DIV/0!</v>
      </c>
      <c r="Z5" s="35" t="e">
        <f t="shared" si="11"/>
        <v>#DIV/0!</v>
      </c>
    </row>
    <row r="6" spans="1:26" s="1" customFormat="1" x14ac:dyDescent="0.25">
      <c r="A6" s="1" t="s">
        <v>16</v>
      </c>
      <c r="B6" s="30" t="s">
        <v>13</v>
      </c>
      <c r="C6" s="1">
        <v>155</v>
      </c>
      <c r="D6" s="52">
        <f t="shared" si="0"/>
        <v>4468.7652242506201</v>
      </c>
      <c r="E6" s="1">
        <f>+'[1]Job Details'!G21+'[1]Job Details'!G51+'[1]Job Details'!G65</f>
        <v>4538.1000000000004</v>
      </c>
      <c r="F6" s="52">
        <f>+'[1]Job Details'!H21+'[1]Job Details'!H51+'[1]Job Details'!H65</f>
        <v>28.830743382262064</v>
      </c>
      <c r="G6" s="52">
        <f t="shared" si="1"/>
        <v>157.40489032246177</v>
      </c>
      <c r="H6" s="35">
        <f t="shared" si="2"/>
        <v>1.5515421435237209E-2</v>
      </c>
      <c r="I6" s="1">
        <v>130</v>
      </c>
      <c r="J6" s="52">
        <f t="shared" ref="J6:J28" si="12">I6*L6</f>
        <v>1173.6624185613612</v>
      </c>
      <c r="K6" s="1">
        <f>+'Job Details'!M51+'Job Details'!M56</f>
        <v>1102.8299999999997</v>
      </c>
      <c r="L6" s="52">
        <f>+'Job Details'!N51+'Job Details'!N56</f>
        <v>9.0281724504720096</v>
      </c>
      <c r="M6" s="52">
        <f t="shared" si="4"/>
        <v>122.15429047795179</v>
      </c>
      <c r="N6" s="35">
        <f t="shared" si="5"/>
        <v>-6.0351611708063156E-2</v>
      </c>
      <c r="O6" s="1">
        <v>170</v>
      </c>
      <c r="P6" s="52">
        <f t="shared" si="6"/>
        <v>26350.92205950923</v>
      </c>
      <c r="Q6" s="1">
        <f>+'[1]Job Details'!S8+'[1]Job Details'!S11+'[1]Job Details'!S17+'[1]Job Details'!S20+'[1]Job Details'!S21+'[1]Job Details'!S27+'[1]Job Details'!S34+'[1]Job Details'!S38</f>
        <v>26998.189999999988</v>
      </c>
      <c r="R6" s="52">
        <f>+'[1]Job Details'!T8+'[1]Job Details'!T11+'[1]Job Details'!T17+'[1]Job Details'!T20+'[1]Job Details'!T21+'[1]Job Details'!T27+'[1]Job Details'!T34+'[1]Job Details'!T38</f>
        <v>155.00542387946606</v>
      </c>
      <c r="S6" s="52">
        <f t="shared" si="7"/>
        <v>174.17577607473967</v>
      </c>
      <c r="T6" s="35">
        <f t="shared" si="8"/>
        <v>2.4563388674939252E-2</v>
      </c>
      <c r="U6" s="32"/>
      <c r="V6" s="52">
        <f t="shared" si="9"/>
        <v>0</v>
      </c>
      <c r="Y6" s="52" t="e">
        <f t="shared" si="10"/>
        <v>#DIV/0!</v>
      </c>
      <c r="Z6" s="35" t="e">
        <f t="shared" si="11"/>
        <v>#DIV/0!</v>
      </c>
    </row>
    <row r="7" spans="1:26" s="1" customFormat="1" x14ac:dyDescent="0.25">
      <c r="A7" s="1" t="s">
        <v>17</v>
      </c>
      <c r="B7" s="30" t="s">
        <v>13</v>
      </c>
      <c r="C7" s="1">
        <v>160</v>
      </c>
      <c r="D7" s="52">
        <f t="shared" si="0"/>
        <v>19647.508912395737</v>
      </c>
      <c r="E7" s="1">
        <f>+'[1]Job Details'!G14+'[1]Job Details'!G18+'[1]Job Details'!G22+'[1]Job Details'!G25+'[1]Job Details'!G28+'[1]Job Details'!G45+'[1]Job Details'!G52+'[1]Job Details'!G55+'[1]Job Details'!G66</f>
        <v>19527.43</v>
      </c>
      <c r="F7" s="52">
        <f>+'[1]Job Details'!H14+'[1]Job Details'!H18+'[1]Job Details'!H22+'[1]Job Details'!H25+'[1]Job Details'!H28+'[1]Job Details'!H45+'[1]Job Details'!H52+'[1]Job Details'!H55+'[1]Job Details'!H66</f>
        <v>122.79693070247336</v>
      </c>
      <c r="G7" s="52">
        <f t="shared" si="1"/>
        <v>159.02213425279595</v>
      </c>
      <c r="H7" s="35">
        <f t="shared" si="2"/>
        <v>-6.1116609200253082E-3</v>
      </c>
      <c r="I7" s="1">
        <v>140</v>
      </c>
      <c r="J7" s="52">
        <f>I7*L7</f>
        <v>2062.9815092453773</v>
      </c>
      <c r="K7" s="1">
        <f>+'Job Details'!M4+'Job Details'!M37+'Job Details'!M43+'Job Details'!M55</f>
        <v>1675.25</v>
      </c>
      <c r="L7" s="52">
        <f>+'Job Details'!N4+'Job Details'!N37+'Job Details'!N43+'Job Details'!N55</f>
        <v>14.735582208895552</v>
      </c>
      <c r="M7" s="52">
        <f t="shared" si="4"/>
        <v>113.68739804448906</v>
      </c>
      <c r="N7" s="35">
        <f t="shared" si="5"/>
        <v>-0.18794715682507815</v>
      </c>
      <c r="O7" s="1">
        <v>195</v>
      </c>
      <c r="P7" s="52">
        <f t="shared" si="6"/>
        <v>19097.242074704453</v>
      </c>
      <c r="Q7" s="1">
        <f>+'[1]Job Details'!S4+'[1]Job Details'!S37+'[1]Job Details'!S43+'[1]Job Details'!S49+'[1]Job Details'!S73+'[1]Job Details'!S78+'[1]Job Details'!S85</f>
        <v>19939.68</v>
      </c>
      <c r="R7" s="52">
        <f>+'[1]Job Details'!T4+'[1]Job Details'!T37+'[1]Job Details'!T43+'[1]Job Details'!T49+'[1]Job Details'!T73+'[1]Job Details'!T78+'[1]Job Details'!T85</f>
        <v>97.934574742074119</v>
      </c>
      <c r="S7" s="52">
        <f t="shared" si="7"/>
        <v>203.60204812768359</v>
      </c>
      <c r="T7" s="35">
        <f t="shared" si="8"/>
        <v>4.41130673214543E-2</v>
      </c>
      <c r="U7" s="32">
        <v>140</v>
      </c>
      <c r="V7" s="52">
        <f t="shared" si="9"/>
        <v>1452.3870967741937</v>
      </c>
      <c r="W7" s="1">
        <f>+'[1]Job Details'!Y81</f>
        <v>1608</v>
      </c>
      <c r="X7" s="52">
        <f>+'[1]Job Details'!Z81</f>
        <v>10.374193548387098</v>
      </c>
      <c r="Y7" s="52">
        <f t="shared" si="10"/>
        <v>155</v>
      </c>
      <c r="Z7" s="35">
        <f t="shared" si="11"/>
        <v>0.10714285714285714</v>
      </c>
    </row>
    <row r="8" spans="1:26" s="1" customFormat="1" x14ac:dyDescent="0.25">
      <c r="A8" s="1" t="s">
        <v>18</v>
      </c>
      <c r="B8" s="30" t="s">
        <v>13</v>
      </c>
      <c r="C8" s="34"/>
      <c r="D8" s="52"/>
      <c r="G8" s="52"/>
      <c r="H8" s="35"/>
      <c r="I8" s="34"/>
      <c r="J8" s="52"/>
      <c r="K8" s="1">
        <f>+'Job Details'!M41+'Job Details'!M47</f>
        <v>781.94999999999993</v>
      </c>
      <c r="M8" s="52"/>
      <c r="N8" s="35"/>
      <c r="O8" s="34"/>
      <c r="P8" s="52"/>
      <c r="S8" s="52"/>
      <c r="T8" s="35"/>
      <c r="U8" s="32"/>
      <c r="V8" s="52">
        <f t="shared" si="9"/>
        <v>0</v>
      </c>
      <c r="Y8" s="52" t="e">
        <f t="shared" si="10"/>
        <v>#DIV/0!</v>
      </c>
      <c r="Z8" s="35" t="e">
        <f t="shared" si="11"/>
        <v>#DIV/0!</v>
      </c>
    </row>
    <row r="9" spans="1:26" s="1" customFormat="1" x14ac:dyDescent="0.25">
      <c r="A9" s="1" t="s">
        <v>19</v>
      </c>
      <c r="B9" s="30" t="s">
        <v>13</v>
      </c>
      <c r="C9" s="1">
        <v>165</v>
      </c>
      <c r="D9" s="52">
        <f t="shared" si="0"/>
        <v>0</v>
      </c>
      <c r="G9" s="52" t="e">
        <f t="shared" si="1"/>
        <v>#DIV/0!</v>
      </c>
      <c r="H9" s="35" t="e">
        <f t="shared" si="2"/>
        <v>#DIV/0!</v>
      </c>
      <c r="I9" s="1">
        <v>150</v>
      </c>
      <c r="J9" s="52">
        <f t="shared" si="12"/>
        <v>9067.6573426573432</v>
      </c>
      <c r="K9" s="1">
        <f>+'[1]Job Details'!M16+'[1]Job Details'!M19+'[1]Job Details'!M23+'[1]Job Details'!M26+'[1]Job Details'!M31</f>
        <v>8699.6</v>
      </c>
      <c r="L9" s="52">
        <f>+'[1]Job Details'!N16+'[1]Job Details'!N19+'[1]Job Details'!N23+'[1]Job Details'!N26+'[1]Job Details'!N31</f>
        <v>60.451048951048953</v>
      </c>
      <c r="M9" s="52">
        <f t="shared" si="4"/>
        <v>143.91148128868068</v>
      </c>
      <c r="N9" s="35">
        <f t="shared" si="5"/>
        <v>-4.0590124742128829E-2</v>
      </c>
      <c r="O9" s="1">
        <v>195</v>
      </c>
      <c r="P9" s="52">
        <f t="shared" si="6"/>
        <v>709.95145631067965</v>
      </c>
      <c r="Q9" s="1">
        <f>+'[1]Job Details'!S62</f>
        <v>750</v>
      </c>
      <c r="R9" s="52">
        <f>+'[1]Job Details'!T62</f>
        <v>3.6407766990291264</v>
      </c>
      <c r="S9" s="52">
        <f t="shared" si="7"/>
        <v>206</v>
      </c>
      <c r="T9" s="35">
        <f t="shared" si="8"/>
        <v>5.6410256410256411E-2</v>
      </c>
      <c r="U9" s="32"/>
      <c r="V9" s="52">
        <f t="shared" si="9"/>
        <v>0</v>
      </c>
      <c r="Y9" s="52" t="e">
        <f t="shared" si="10"/>
        <v>#DIV/0!</v>
      </c>
      <c r="Z9" s="35" t="e">
        <f t="shared" si="11"/>
        <v>#DIV/0!</v>
      </c>
    </row>
    <row r="10" spans="1:26" s="1" customFormat="1" x14ac:dyDescent="0.25">
      <c r="A10" s="1" t="s">
        <v>20</v>
      </c>
      <c r="B10" s="30" t="s">
        <v>13</v>
      </c>
      <c r="C10" s="1">
        <v>170</v>
      </c>
      <c r="D10" s="52">
        <f t="shared" si="0"/>
        <v>16540.460761741109</v>
      </c>
      <c r="E10" s="52">
        <f>+'[1]Job Details'!G3+'[1]Job Details'!G9+'[1]Job Details'!G12+'[1]Job Details'!G67+'[1]Job Details'!G70+'[1]Job Details'!G76+'[1]Job Details'!G79</f>
        <v>15555.25</v>
      </c>
      <c r="F10" s="52">
        <f>+'[1]Job Details'!H3+'[1]Job Details'!H9+'[1]Job Details'!H12+'[1]Job Details'!H67+'[1]Job Details'!H70+'[1]Job Details'!H76+'[1]Job Details'!H79</f>
        <v>97.296828010241825</v>
      </c>
      <c r="G10" s="52">
        <f t="shared" si="1"/>
        <v>159.87417388738095</v>
      </c>
      <c r="H10" s="35">
        <f t="shared" si="2"/>
        <v>-5.9563683015406189E-2</v>
      </c>
      <c r="I10" s="1">
        <v>150</v>
      </c>
      <c r="J10" s="52">
        <f t="shared" si="12"/>
        <v>1020.65625</v>
      </c>
      <c r="K10" s="52">
        <f>+'[1]Job Details'!M32</f>
        <v>1088.7</v>
      </c>
      <c r="L10" s="52">
        <f>+'[1]Job Details'!N32</f>
        <v>6.8043750000000003</v>
      </c>
      <c r="M10" s="52">
        <f t="shared" si="4"/>
        <v>160</v>
      </c>
      <c r="N10" s="35">
        <f t="shared" si="5"/>
        <v>6.6666666666666666E-2</v>
      </c>
      <c r="O10" s="1">
        <v>195</v>
      </c>
      <c r="P10" s="52">
        <f t="shared" si="6"/>
        <v>11313.447564309312</v>
      </c>
      <c r="Q10" s="1">
        <f>+'[1]Job Details'!S50+'[1]Job Details'!S54+'[1]Job Details'!S60+'[1]Job Details'!S61</f>
        <v>12508.599999999999</v>
      </c>
      <c r="R10" s="52">
        <f>+'[1]Job Details'!T50+'[1]Job Details'!T54+'[1]Job Details'!T60+'[1]Job Details'!T61</f>
        <v>58.017679816970833</v>
      </c>
      <c r="S10" s="52">
        <f t="shared" si="7"/>
        <v>215.59979715598848</v>
      </c>
      <c r="T10" s="35">
        <f t="shared" si="8"/>
        <v>0.10563998541532556</v>
      </c>
      <c r="U10" s="32"/>
      <c r="V10" s="52">
        <f t="shared" si="9"/>
        <v>0</v>
      </c>
      <c r="Y10" s="52" t="e">
        <f t="shared" si="10"/>
        <v>#DIV/0!</v>
      </c>
      <c r="Z10" s="35" t="e">
        <f t="shared" si="11"/>
        <v>#DIV/0!</v>
      </c>
    </row>
    <row r="11" spans="1:26" s="1" customFormat="1" x14ac:dyDescent="0.25">
      <c r="A11" s="1" t="s">
        <v>21</v>
      </c>
      <c r="B11" s="30" t="s">
        <v>13</v>
      </c>
      <c r="C11" s="34"/>
      <c r="D11" s="52"/>
      <c r="G11" s="52"/>
      <c r="H11" s="35"/>
      <c r="I11" s="34"/>
      <c r="J11" s="52"/>
      <c r="K11" s="1">
        <f>+'Job Details'!M42+'Job Details'!M46</f>
        <v>302.14999999999998</v>
      </c>
      <c r="M11" s="52"/>
      <c r="N11" s="35"/>
      <c r="O11" s="34"/>
      <c r="P11" s="52"/>
      <c r="S11" s="52"/>
      <c r="T11" s="35"/>
      <c r="U11" s="32"/>
      <c r="V11" s="52">
        <f t="shared" si="9"/>
        <v>0</v>
      </c>
      <c r="Y11" s="52" t="e">
        <f t="shared" si="10"/>
        <v>#DIV/0!</v>
      </c>
      <c r="Z11" s="35" t="e">
        <f t="shared" si="11"/>
        <v>#DIV/0!</v>
      </c>
    </row>
    <row r="12" spans="1:26" s="1" customFormat="1" x14ac:dyDescent="0.25">
      <c r="A12" s="1" t="s">
        <v>22</v>
      </c>
      <c r="B12" s="30" t="s">
        <v>13</v>
      </c>
      <c r="C12" s="1">
        <v>165</v>
      </c>
      <c r="D12" s="52">
        <f t="shared" si="0"/>
        <v>0</v>
      </c>
      <c r="G12" s="52" t="e">
        <f t="shared" si="1"/>
        <v>#DIV/0!</v>
      </c>
      <c r="H12" s="35" t="e">
        <f t="shared" si="2"/>
        <v>#DIV/0!</v>
      </c>
      <c r="I12" s="1">
        <v>150</v>
      </c>
      <c r="J12" s="52">
        <f t="shared" si="12"/>
        <v>1640.3084415584412</v>
      </c>
      <c r="K12" s="1">
        <f>+'[1]Job Details'!M24+'[1]Job Details'!M84</f>
        <v>1690.7499999999998</v>
      </c>
      <c r="L12" s="52">
        <f>+'[1]Job Details'!N24+'[1]Job Details'!N84</f>
        <v>10.935389610389608</v>
      </c>
      <c r="M12" s="52">
        <f t="shared" si="4"/>
        <v>154.61268964698198</v>
      </c>
      <c r="N12" s="35">
        <f t="shared" si="5"/>
        <v>3.0751264313213178E-2</v>
      </c>
      <c r="O12" s="1">
        <v>195</v>
      </c>
      <c r="P12" s="52">
        <f t="shared" si="6"/>
        <v>0</v>
      </c>
      <c r="S12" s="52" t="e">
        <f t="shared" si="7"/>
        <v>#DIV/0!</v>
      </c>
      <c r="T12" s="35" t="e">
        <f t="shared" si="8"/>
        <v>#DIV/0!</v>
      </c>
      <c r="U12" s="32">
        <v>150</v>
      </c>
      <c r="V12" s="52">
        <f t="shared" si="9"/>
        <v>298.61111111111109</v>
      </c>
      <c r="W12" s="1">
        <f>+'[1]Job Details'!Y68</f>
        <v>322.5</v>
      </c>
      <c r="X12" s="52">
        <f>+'[1]Job Details'!Z68</f>
        <v>1.9907407407407407</v>
      </c>
      <c r="Y12" s="52">
        <f t="shared" si="10"/>
        <v>162</v>
      </c>
      <c r="Z12" s="35">
        <f t="shared" si="11"/>
        <v>0.08</v>
      </c>
    </row>
    <row r="13" spans="1:26" s="1" customFormat="1" x14ac:dyDescent="0.25">
      <c r="A13" s="1" t="s">
        <v>23</v>
      </c>
      <c r="B13" s="30" t="s">
        <v>13</v>
      </c>
      <c r="C13" s="1">
        <v>165</v>
      </c>
      <c r="D13" s="52">
        <f t="shared" si="0"/>
        <v>0</v>
      </c>
      <c r="G13" s="52" t="e">
        <f t="shared" si="1"/>
        <v>#DIV/0!</v>
      </c>
      <c r="H13" s="35" t="e">
        <f t="shared" si="2"/>
        <v>#DIV/0!</v>
      </c>
      <c r="I13" s="1">
        <v>150</v>
      </c>
      <c r="J13" s="52">
        <f t="shared" si="12"/>
        <v>6360.353002450981</v>
      </c>
      <c r="K13" s="1">
        <f>+'[1]Job Details'!M7+'[1]Job Details'!M10+'[1]Job Details'!M15+'[1]Job Details'!M33+'[1]Job Details'!M59</f>
        <v>6325.7699999999995</v>
      </c>
      <c r="L13" s="52">
        <f>+'[1]Job Details'!N7+'[1]Job Details'!N10+'[1]Job Details'!N15+'[1]Job Details'!N33+'[1]Job Details'!N59</f>
        <v>42.402353349673206</v>
      </c>
      <c r="M13" s="52">
        <f t="shared" si="4"/>
        <v>149.18440841795288</v>
      </c>
      <c r="N13" s="35">
        <f t="shared" si="5"/>
        <v>-5.4372772136474625E-3</v>
      </c>
      <c r="O13" s="1">
        <v>195</v>
      </c>
      <c r="P13" s="52">
        <f t="shared" si="6"/>
        <v>0</v>
      </c>
      <c r="S13" s="52" t="e">
        <f t="shared" si="7"/>
        <v>#DIV/0!</v>
      </c>
      <c r="T13" s="35" t="e">
        <f t="shared" si="8"/>
        <v>#DIV/0!</v>
      </c>
      <c r="U13" s="32">
        <v>150</v>
      </c>
      <c r="V13" s="52">
        <f t="shared" si="9"/>
        <v>5026.8420896584448</v>
      </c>
      <c r="W13" s="1">
        <f>+'[1]Job Details'!Y69+'[1]Job Details'!Y71+'[1]Job Details'!Y80</f>
        <v>5391.5</v>
      </c>
      <c r="X13" s="52">
        <f>+'[1]Job Details'!Z69+'[1]Job Details'!Z71+'[1]Job Details'!Z80</f>
        <v>33.512280597722963</v>
      </c>
      <c r="Y13" s="52">
        <f t="shared" si="10"/>
        <v>160.88132182702995</v>
      </c>
      <c r="Z13" s="35">
        <f t="shared" si="11"/>
        <v>7.2542145513532996E-2</v>
      </c>
    </row>
    <row r="14" spans="1:26" s="1" customFormat="1" x14ac:dyDescent="0.25">
      <c r="A14" s="1" t="s">
        <v>24</v>
      </c>
      <c r="B14" s="30" t="s">
        <v>13</v>
      </c>
      <c r="C14" s="34"/>
      <c r="D14" s="52"/>
      <c r="G14" s="52"/>
      <c r="H14" s="35"/>
      <c r="I14" s="34"/>
      <c r="J14" s="52"/>
      <c r="L14" s="52"/>
      <c r="M14" s="52"/>
      <c r="N14" s="35"/>
      <c r="O14" s="34"/>
      <c r="P14" s="52"/>
      <c r="S14" s="52"/>
      <c r="T14" s="35"/>
      <c r="U14" s="32"/>
      <c r="V14" s="52">
        <f t="shared" si="9"/>
        <v>0</v>
      </c>
      <c r="Y14" s="52" t="e">
        <f t="shared" si="10"/>
        <v>#DIV/0!</v>
      </c>
      <c r="Z14" s="35" t="e">
        <f t="shared" si="11"/>
        <v>#DIV/0!</v>
      </c>
    </row>
    <row r="15" spans="1:26" s="1" customFormat="1" x14ac:dyDescent="0.25">
      <c r="A15" s="1" t="s">
        <v>25</v>
      </c>
      <c r="B15" s="30" t="s">
        <v>13</v>
      </c>
      <c r="C15" s="1">
        <v>165</v>
      </c>
      <c r="D15" s="52">
        <f t="shared" si="0"/>
        <v>0</v>
      </c>
      <c r="G15" s="52" t="e">
        <f t="shared" si="1"/>
        <v>#DIV/0!</v>
      </c>
      <c r="H15" s="35" t="e">
        <f t="shared" si="2"/>
        <v>#DIV/0!</v>
      </c>
      <c r="I15" s="1">
        <v>150</v>
      </c>
      <c r="J15" s="52">
        <f t="shared" si="12"/>
        <v>599.85168804705233</v>
      </c>
      <c r="K15" s="1">
        <f>+'[1]Job Details'!M6+'[1]Job Details'!M83</f>
        <v>590.54999999999995</v>
      </c>
      <c r="L15" s="52">
        <f>+'[1]Job Details'!N6+'[1]Job Details'!N83</f>
        <v>3.9990112536470153</v>
      </c>
      <c r="M15" s="52">
        <f t="shared" si="4"/>
        <v>147.67400303298237</v>
      </c>
      <c r="N15" s="35">
        <f t="shared" si="5"/>
        <v>-1.5506646446784202E-2</v>
      </c>
      <c r="O15" s="1">
        <v>195</v>
      </c>
      <c r="P15" s="52">
        <f t="shared" si="6"/>
        <v>0</v>
      </c>
      <c r="S15" s="52" t="e">
        <f t="shared" si="7"/>
        <v>#DIV/0!</v>
      </c>
      <c r="T15" s="35" t="e">
        <f t="shared" si="8"/>
        <v>#DIV/0!</v>
      </c>
      <c r="U15" s="32"/>
      <c r="V15" s="52">
        <f t="shared" si="9"/>
        <v>0</v>
      </c>
      <c r="Y15" s="52" t="e">
        <f t="shared" si="10"/>
        <v>#DIV/0!</v>
      </c>
      <c r="Z15" s="35" t="e">
        <f t="shared" si="11"/>
        <v>#DIV/0!</v>
      </c>
    </row>
    <row r="16" spans="1:26" s="1" customFormat="1" x14ac:dyDescent="0.25">
      <c r="A16" s="1" t="s">
        <v>26</v>
      </c>
      <c r="B16" s="30" t="s">
        <v>13</v>
      </c>
      <c r="C16" s="1">
        <v>165</v>
      </c>
      <c r="D16" s="52">
        <f t="shared" si="0"/>
        <v>0</v>
      </c>
      <c r="G16" s="52" t="e">
        <f t="shared" si="1"/>
        <v>#DIV/0!</v>
      </c>
      <c r="H16" s="35" t="e">
        <f t="shared" si="2"/>
        <v>#DIV/0!</v>
      </c>
      <c r="I16" s="1">
        <v>150</v>
      </c>
      <c r="J16" s="52">
        <f t="shared" si="12"/>
        <v>1781.3074172185432</v>
      </c>
      <c r="K16" s="1">
        <f>+'[1]Job Details'!M36+'[1]Job Details'!M58+'[1]Job Details'!M82</f>
        <v>1772.83</v>
      </c>
      <c r="L16" s="52">
        <f>+'[1]Job Details'!N36+'[1]Job Details'!N58+'[1]Job Details'!N82</f>
        <v>11.875382781456954</v>
      </c>
      <c r="M16" s="52">
        <f t="shared" si="4"/>
        <v>149.28613524510718</v>
      </c>
      <c r="N16" s="35">
        <f t="shared" si="5"/>
        <v>-4.7590983659521651E-3</v>
      </c>
      <c r="O16" s="1">
        <v>195</v>
      </c>
      <c r="P16" s="52">
        <f t="shared" si="6"/>
        <v>0</v>
      </c>
      <c r="S16" s="52" t="e">
        <f t="shared" si="7"/>
        <v>#DIV/0!</v>
      </c>
      <c r="T16" s="35" t="e">
        <f t="shared" si="8"/>
        <v>#DIV/0!</v>
      </c>
      <c r="U16" s="32"/>
      <c r="V16" s="52">
        <f t="shared" si="9"/>
        <v>0</v>
      </c>
      <c r="Y16" s="52" t="e">
        <f t="shared" si="10"/>
        <v>#DIV/0!</v>
      </c>
      <c r="Z16" s="35" t="e">
        <f t="shared" si="11"/>
        <v>#DIV/0!</v>
      </c>
    </row>
    <row r="17" spans="1:26" s="1" customFormat="1" x14ac:dyDescent="0.25">
      <c r="A17" s="1" t="s">
        <v>27</v>
      </c>
      <c r="B17" s="30" t="s">
        <v>13</v>
      </c>
      <c r="C17" s="34"/>
      <c r="D17" s="52"/>
      <c r="G17" s="52"/>
      <c r="H17" s="35"/>
      <c r="I17" s="34"/>
      <c r="J17" s="52"/>
      <c r="M17" s="52"/>
      <c r="N17" s="35"/>
      <c r="O17" s="34"/>
      <c r="P17" s="52"/>
      <c r="S17" s="52"/>
      <c r="T17" s="35"/>
      <c r="U17" s="32"/>
      <c r="V17" s="52">
        <f t="shared" si="9"/>
        <v>0</v>
      </c>
      <c r="Y17" s="52" t="e">
        <f t="shared" si="10"/>
        <v>#DIV/0!</v>
      </c>
      <c r="Z17" s="35" t="e">
        <f t="shared" si="11"/>
        <v>#DIV/0!</v>
      </c>
    </row>
    <row r="18" spans="1:26" s="1" customFormat="1" x14ac:dyDescent="0.25">
      <c r="A18" s="1" t="s">
        <v>28</v>
      </c>
      <c r="B18" s="30" t="s">
        <v>13</v>
      </c>
      <c r="C18" s="1">
        <v>170</v>
      </c>
      <c r="D18" s="52">
        <f t="shared" si="0"/>
        <v>0</v>
      </c>
      <c r="G18" s="52" t="e">
        <f t="shared" si="1"/>
        <v>#DIV/0!</v>
      </c>
      <c r="H18" s="35" t="e">
        <f t="shared" si="2"/>
        <v>#DIV/0!</v>
      </c>
      <c r="I18" s="1">
        <v>155</v>
      </c>
      <c r="J18" s="52">
        <f t="shared" si="12"/>
        <v>244.125</v>
      </c>
      <c r="K18" s="1">
        <f>+'[1]Job Details'!M63</f>
        <v>267.75</v>
      </c>
      <c r="L18" s="52">
        <f>+'[1]Job Details'!N63</f>
        <v>1.575</v>
      </c>
      <c r="M18" s="52">
        <f t="shared" si="4"/>
        <v>170</v>
      </c>
      <c r="N18" s="35">
        <f t="shared" si="5"/>
        <v>9.6774193548387094E-2</v>
      </c>
      <c r="O18" s="1">
        <v>200</v>
      </c>
      <c r="P18" s="52">
        <f t="shared" si="6"/>
        <v>0</v>
      </c>
      <c r="S18" s="52" t="e">
        <f t="shared" si="7"/>
        <v>#DIV/0!</v>
      </c>
      <c r="T18" s="35" t="e">
        <f t="shared" si="8"/>
        <v>#DIV/0!</v>
      </c>
      <c r="U18" s="32"/>
      <c r="V18" s="52">
        <f t="shared" si="9"/>
        <v>0</v>
      </c>
      <c r="Y18" s="52" t="e">
        <f t="shared" si="10"/>
        <v>#DIV/0!</v>
      </c>
      <c r="Z18" s="35" t="e">
        <f t="shared" si="11"/>
        <v>#DIV/0!</v>
      </c>
    </row>
    <row r="19" spans="1:26" s="1" customFormat="1" x14ac:dyDescent="0.25">
      <c r="A19" s="1" t="s">
        <v>29</v>
      </c>
      <c r="B19" s="30" t="s">
        <v>13</v>
      </c>
      <c r="C19" s="1">
        <v>175</v>
      </c>
      <c r="D19" s="52">
        <f t="shared" si="0"/>
        <v>0</v>
      </c>
      <c r="G19" s="52" t="e">
        <f t="shared" si="1"/>
        <v>#DIV/0!</v>
      </c>
      <c r="H19" s="35" t="e">
        <f t="shared" si="2"/>
        <v>#DIV/0!</v>
      </c>
      <c r="I19" s="1">
        <v>165</v>
      </c>
      <c r="J19" s="52">
        <f t="shared" si="12"/>
        <v>9127.2526026029464</v>
      </c>
      <c r="K19" s="1">
        <f>+'[1]Job Details'!M57+'[1]Job Details'!M64+'[1]Job Details'!M72+'[1]Job Details'!M77</f>
        <v>9815.5</v>
      </c>
      <c r="L19" s="52">
        <f>+'[1]Job Details'!N57+'[1]Job Details'!N64+'[1]Job Details'!N72+'[1]Job Details'!N77</f>
        <v>55.316682440017857</v>
      </c>
      <c r="M19" s="52">
        <f t="shared" si="4"/>
        <v>177.44195000564881</v>
      </c>
      <c r="N19" s="35">
        <f t="shared" si="5"/>
        <v>7.5405757609992768E-2</v>
      </c>
      <c r="O19" s="1">
        <v>205</v>
      </c>
      <c r="P19" s="52">
        <f t="shared" si="6"/>
        <v>0</v>
      </c>
      <c r="S19" s="52" t="e">
        <f t="shared" si="7"/>
        <v>#DIV/0!</v>
      </c>
      <c r="T19" s="35" t="e">
        <f t="shared" si="8"/>
        <v>#DIV/0!</v>
      </c>
      <c r="U19" s="32"/>
      <c r="V19" s="52">
        <f t="shared" si="9"/>
        <v>0</v>
      </c>
      <c r="Y19" s="52" t="e">
        <f t="shared" si="10"/>
        <v>#DIV/0!</v>
      </c>
      <c r="Z19" s="35" t="e">
        <f t="shared" si="11"/>
        <v>#DIV/0!</v>
      </c>
    </row>
    <row r="20" spans="1:26" s="1" customFormat="1" x14ac:dyDescent="0.25">
      <c r="A20" s="1" t="s">
        <v>30</v>
      </c>
      <c r="B20" s="30" t="s">
        <v>13</v>
      </c>
      <c r="C20" s="34"/>
      <c r="D20" s="52"/>
      <c r="G20" s="52"/>
      <c r="H20" s="35"/>
      <c r="I20" s="34"/>
      <c r="J20" s="52"/>
      <c r="M20" s="52"/>
      <c r="N20" s="35"/>
      <c r="O20" s="34"/>
      <c r="P20" s="52"/>
      <c r="S20" s="52"/>
      <c r="T20" s="35"/>
      <c r="U20" s="32"/>
      <c r="V20" s="52">
        <f t="shared" si="9"/>
        <v>0</v>
      </c>
      <c r="Y20" s="52" t="e">
        <f t="shared" si="10"/>
        <v>#DIV/0!</v>
      </c>
      <c r="Z20" s="35" t="e">
        <f t="shared" si="11"/>
        <v>#DIV/0!</v>
      </c>
    </row>
    <row r="21" spans="1:26" s="1" customFormat="1" x14ac:dyDescent="0.25">
      <c r="A21" s="1" t="s">
        <v>31</v>
      </c>
      <c r="B21" s="30" t="s">
        <v>13</v>
      </c>
      <c r="C21" s="1">
        <v>170</v>
      </c>
      <c r="D21" s="52">
        <f t="shared" si="0"/>
        <v>0</v>
      </c>
      <c r="G21" s="52" t="e">
        <f t="shared" si="1"/>
        <v>#DIV/0!</v>
      </c>
      <c r="H21" s="35" t="e">
        <f t="shared" si="2"/>
        <v>#DIV/0!</v>
      </c>
      <c r="I21" s="1">
        <v>155</v>
      </c>
      <c r="J21" s="52">
        <f t="shared" si="12"/>
        <v>0</v>
      </c>
      <c r="M21" s="52" t="e">
        <f t="shared" si="4"/>
        <v>#DIV/0!</v>
      </c>
      <c r="N21" s="35" t="e">
        <f t="shared" si="5"/>
        <v>#DIV/0!</v>
      </c>
      <c r="O21" s="34"/>
      <c r="P21" s="52">
        <f t="shared" si="6"/>
        <v>0</v>
      </c>
      <c r="S21" s="52" t="e">
        <f t="shared" si="7"/>
        <v>#DIV/0!</v>
      </c>
      <c r="T21" s="35" t="e">
        <f t="shared" si="8"/>
        <v>#DIV/0!</v>
      </c>
      <c r="U21" s="32"/>
      <c r="V21" s="52">
        <f t="shared" si="9"/>
        <v>0</v>
      </c>
      <c r="Y21" s="52" t="e">
        <f t="shared" si="10"/>
        <v>#DIV/0!</v>
      </c>
      <c r="Z21" s="35" t="e">
        <f t="shared" si="11"/>
        <v>#DIV/0!</v>
      </c>
    </row>
    <row r="22" spans="1:26" s="1" customFormat="1" x14ac:dyDescent="0.25">
      <c r="A22" s="1" t="s">
        <v>32</v>
      </c>
      <c r="B22" s="30" t="s">
        <v>13</v>
      </c>
      <c r="C22" s="1">
        <v>175</v>
      </c>
      <c r="D22" s="52">
        <f t="shared" si="0"/>
        <v>0</v>
      </c>
      <c r="G22" s="52" t="e">
        <f t="shared" si="1"/>
        <v>#DIV/0!</v>
      </c>
      <c r="H22" s="35" t="e">
        <f t="shared" si="2"/>
        <v>#DIV/0!</v>
      </c>
      <c r="I22" s="1">
        <v>165</v>
      </c>
      <c r="J22" s="52">
        <f t="shared" si="12"/>
        <v>0</v>
      </c>
      <c r="M22" s="52" t="e">
        <f t="shared" si="4"/>
        <v>#DIV/0!</v>
      </c>
      <c r="N22" s="35" t="e">
        <f t="shared" si="5"/>
        <v>#DIV/0!</v>
      </c>
      <c r="O22" s="34"/>
      <c r="P22" s="52">
        <f t="shared" si="6"/>
        <v>0</v>
      </c>
      <c r="S22" s="52" t="e">
        <f t="shared" si="7"/>
        <v>#DIV/0!</v>
      </c>
      <c r="T22" s="35" t="e">
        <f t="shared" si="8"/>
        <v>#DIV/0!</v>
      </c>
      <c r="U22" s="32"/>
      <c r="V22" s="52">
        <f t="shared" si="9"/>
        <v>0</v>
      </c>
      <c r="Y22" s="52" t="e">
        <f t="shared" si="10"/>
        <v>#DIV/0!</v>
      </c>
      <c r="Z22" s="35" t="e">
        <f t="shared" si="11"/>
        <v>#DIV/0!</v>
      </c>
    </row>
    <row r="23" spans="1:26" s="1" customFormat="1" x14ac:dyDescent="0.25">
      <c r="A23" s="1" t="s">
        <v>33</v>
      </c>
      <c r="B23" s="30" t="s">
        <v>13</v>
      </c>
      <c r="C23" s="34"/>
      <c r="D23" s="52"/>
      <c r="G23" s="52"/>
      <c r="H23" s="35"/>
      <c r="I23" s="34"/>
      <c r="J23" s="52"/>
      <c r="M23" s="52"/>
      <c r="N23" s="35"/>
      <c r="O23" s="34"/>
      <c r="P23" s="52"/>
      <c r="S23" s="52"/>
      <c r="T23" s="35"/>
      <c r="U23" s="32"/>
      <c r="V23" s="52">
        <f t="shared" si="9"/>
        <v>0</v>
      </c>
      <c r="Y23" s="52" t="e">
        <f t="shared" si="10"/>
        <v>#DIV/0!</v>
      </c>
      <c r="Z23" s="35" t="e">
        <f t="shared" si="11"/>
        <v>#DIV/0!</v>
      </c>
    </row>
    <row r="24" spans="1:26" s="1" customFormat="1" x14ac:dyDescent="0.25">
      <c r="A24" s="1" t="s">
        <v>34</v>
      </c>
      <c r="B24" s="30" t="s">
        <v>13</v>
      </c>
      <c r="C24" s="1">
        <v>170</v>
      </c>
      <c r="D24" s="52">
        <f>C24*F24</f>
        <v>0</v>
      </c>
      <c r="G24" s="52" t="e">
        <f>E24/F24</f>
        <v>#DIV/0!</v>
      </c>
      <c r="H24" s="35" t="e">
        <f>(G24-C24)/C24</f>
        <v>#DIV/0!</v>
      </c>
      <c r="I24" s="1">
        <v>155</v>
      </c>
      <c r="J24" s="52">
        <f>I24*L24</f>
        <v>0</v>
      </c>
      <c r="M24" s="52" t="e">
        <f>K24/L24</f>
        <v>#DIV/0!</v>
      </c>
      <c r="N24" s="35" t="e">
        <f>(M24-I24)/I24</f>
        <v>#DIV/0!</v>
      </c>
      <c r="O24" s="34"/>
      <c r="P24" s="52">
        <f>O24*R24</f>
        <v>0</v>
      </c>
      <c r="S24" s="52"/>
      <c r="T24" s="35"/>
      <c r="U24" s="32"/>
      <c r="V24" s="52">
        <f t="shared" si="9"/>
        <v>0</v>
      </c>
      <c r="Y24" s="52" t="e">
        <f t="shared" si="10"/>
        <v>#DIV/0!</v>
      </c>
      <c r="Z24" s="35" t="e">
        <f t="shared" si="11"/>
        <v>#DIV/0!</v>
      </c>
    </row>
    <row r="25" spans="1:26" s="1" customFormat="1" x14ac:dyDescent="0.25">
      <c r="A25" s="1" t="s">
        <v>35</v>
      </c>
      <c r="B25" s="30" t="s">
        <v>13</v>
      </c>
      <c r="C25" s="1">
        <v>175</v>
      </c>
      <c r="D25" s="52">
        <f>C25*F25</f>
        <v>0</v>
      </c>
      <c r="G25" s="52" t="e">
        <f>E25/F25</f>
        <v>#DIV/0!</v>
      </c>
      <c r="H25" s="35" t="e">
        <f>(G25-C25)/C25</f>
        <v>#DIV/0!</v>
      </c>
      <c r="I25" s="1">
        <v>165</v>
      </c>
      <c r="J25" s="52">
        <f>I25*L25</f>
        <v>0</v>
      </c>
      <c r="M25" s="52" t="e">
        <f>K25/L25</f>
        <v>#DIV/0!</v>
      </c>
      <c r="N25" s="35" t="e">
        <f>(M25-I25)/I25</f>
        <v>#DIV/0!</v>
      </c>
      <c r="O25" s="34"/>
      <c r="P25" s="52">
        <f>O25*R25</f>
        <v>0</v>
      </c>
      <c r="S25" s="52"/>
      <c r="T25" s="35"/>
      <c r="U25" s="32"/>
      <c r="V25" s="52">
        <f t="shared" si="9"/>
        <v>0</v>
      </c>
      <c r="Y25" s="52" t="e">
        <f t="shared" si="10"/>
        <v>#DIV/0!</v>
      </c>
      <c r="Z25" s="35" t="e">
        <f t="shared" si="11"/>
        <v>#DIV/0!</v>
      </c>
    </row>
    <row r="26" spans="1:26" s="1" customFormat="1" x14ac:dyDescent="0.25">
      <c r="A26" s="1" t="s">
        <v>36</v>
      </c>
      <c r="B26" s="30" t="s">
        <v>13</v>
      </c>
      <c r="C26" s="34"/>
      <c r="D26" s="52"/>
      <c r="G26" s="52"/>
      <c r="H26" s="35"/>
      <c r="I26" s="34"/>
      <c r="J26" s="52"/>
      <c r="M26" s="52"/>
      <c r="N26" s="35"/>
      <c r="O26" s="34"/>
      <c r="P26" s="52"/>
      <c r="S26" s="52"/>
      <c r="T26" s="35"/>
      <c r="U26" s="32"/>
      <c r="V26" s="52">
        <f t="shared" si="9"/>
        <v>0</v>
      </c>
      <c r="Y26" s="52" t="e">
        <f t="shared" si="10"/>
        <v>#DIV/0!</v>
      </c>
      <c r="Z26" s="35" t="e">
        <f t="shared" si="11"/>
        <v>#DIV/0!</v>
      </c>
    </row>
    <row r="27" spans="1:26" s="1" customFormat="1" x14ac:dyDescent="0.25">
      <c r="A27" s="1" t="s">
        <v>37</v>
      </c>
      <c r="B27" s="30" t="s">
        <v>13</v>
      </c>
      <c r="C27" s="1">
        <v>170</v>
      </c>
      <c r="D27" s="52">
        <f t="shared" si="0"/>
        <v>0</v>
      </c>
      <c r="G27" s="52" t="e">
        <f t="shared" si="1"/>
        <v>#DIV/0!</v>
      </c>
      <c r="H27" s="35" t="e">
        <f t="shared" si="2"/>
        <v>#DIV/0!</v>
      </c>
      <c r="I27" s="1">
        <v>160</v>
      </c>
      <c r="J27" s="52">
        <f t="shared" si="12"/>
        <v>0</v>
      </c>
      <c r="M27" s="52" t="e">
        <f t="shared" si="4"/>
        <v>#DIV/0!</v>
      </c>
      <c r="N27" s="35" t="e">
        <f t="shared" si="5"/>
        <v>#DIV/0!</v>
      </c>
      <c r="O27" s="34"/>
      <c r="P27" s="52">
        <f t="shared" si="6"/>
        <v>0</v>
      </c>
      <c r="S27" s="52" t="e">
        <f t="shared" si="7"/>
        <v>#DIV/0!</v>
      </c>
      <c r="T27" s="35" t="e">
        <f t="shared" si="8"/>
        <v>#DIV/0!</v>
      </c>
      <c r="U27" s="32"/>
      <c r="V27" s="52">
        <f t="shared" si="9"/>
        <v>0</v>
      </c>
      <c r="Y27" s="52" t="e">
        <f t="shared" si="10"/>
        <v>#DIV/0!</v>
      </c>
      <c r="Z27" s="35" t="e">
        <f t="shared" si="11"/>
        <v>#DIV/0!</v>
      </c>
    </row>
    <row r="28" spans="1:26" s="1" customFormat="1" x14ac:dyDescent="0.25">
      <c r="A28" s="1" t="s">
        <v>38</v>
      </c>
      <c r="B28" s="30" t="s">
        <v>13</v>
      </c>
      <c r="C28" s="1">
        <v>175</v>
      </c>
      <c r="D28" s="52">
        <f t="shared" si="0"/>
        <v>0</v>
      </c>
      <c r="G28" s="52" t="e">
        <f t="shared" si="1"/>
        <v>#DIV/0!</v>
      </c>
      <c r="H28" s="35" t="e">
        <f t="shared" si="2"/>
        <v>#DIV/0!</v>
      </c>
      <c r="I28" s="1">
        <v>170</v>
      </c>
      <c r="J28" s="52">
        <f t="shared" si="12"/>
        <v>0</v>
      </c>
      <c r="M28" s="52" t="e">
        <f t="shared" si="4"/>
        <v>#DIV/0!</v>
      </c>
      <c r="N28" s="35" t="e">
        <f t="shared" si="5"/>
        <v>#DIV/0!</v>
      </c>
      <c r="O28" s="34"/>
      <c r="P28" s="52">
        <f t="shared" si="6"/>
        <v>0</v>
      </c>
      <c r="S28" s="52" t="e">
        <f t="shared" si="7"/>
        <v>#DIV/0!</v>
      </c>
      <c r="T28" s="35" t="e">
        <f t="shared" si="8"/>
        <v>#DIV/0!</v>
      </c>
      <c r="U28" s="32"/>
      <c r="V28" s="52">
        <f t="shared" si="9"/>
        <v>0</v>
      </c>
      <c r="Y28" s="52" t="e">
        <f t="shared" si="10"/>
        <v>#DIV/0!</v>
      </c>
      <c r="Z28" s="35" t="e">
        <f t="shared" si="11"/>
        <v>#DIV/0!</v>
      </c>
    </row>
    <row r="29" spans="1:26" s="47" customFormat="1" ht="15.75" thickBot="1" x14ac:dyDescent="0.3">
      <c r="A29" s="1" t="s">
        <v>39</v>
      </c>
      <c r="B29" s="30" t="s">
        <v>13</v>
      </c>
      <c r="C29" s="46"/>
      <c r="D29" s="61"/>
      <c r="G29" s="61"/>
      <c r="H29" s="48"/>
      <c r="I29" s="46"/>
      <c r="J29" s="61"/>
      <c r="M29" s="61"/>
      <c r="N29" s="48"/>
      <c r="O29" s="46"/>
      <c r="P29" s="61"/>
      <c r="S29" s="61"/>
      <c r="T29" s="48"/>
      <c r="U29" s="45"/>
      <c r="V29" s="52">
        <f t="shared" si="9"/>
        <v>0</v>
      </c>
      <c r="Y29" s="52" t="e">
        <f t="shared" si="10"/>
        <v>#DIV/0!</v>
      </c>
      <c r="Z29" s="35" t="e">
        <f t="shared" si="11"/>
        <v>#DIV/0!</v>
      </c>
    </row>
    <row r="30" spans="1:26" s="25" customFormat="1" ht="15.75" thickBot="1" x14ac:dyDescent="0.3">
      <c r="A30" s="24" t="s">
        <v>40</v>
      </c>
      <c r="B30" s="39"/>
      <c r="C30" s="24"/>
      <c r="D30" s="62">
        <f>SUM(D3:D28)</f>
        <v>47195.760440058504</v>
      </c>
      <c r="E30" s="25">
        <f>SUM(E3:E28)</f>
        <v>47307.58</v>
      </c>
      <c r="G30" s="62"/>
      <c r="H30" s="38">
        <f>(E30-D30)/D30</f>
        <v>2.3692712840916131E-3</v>
      </c>
      <c r="I30" s="24"/>
      <c r="J30" s="62">
        <f>SUM(J3:J28)</f>
        <v>34002.665287726661</v>
      </c>
      <c r="K30" s="25">
        <f>SUM(K3:K28)</f>
        <v>35456.979999999996</v>
      </c>
      <c r="M30" s="62"/>
      <c r="N30" s="38">
        <f>(K30-J30)/J30</f>
        <v>4.2770609302744088E-2</v>
      </c>
      <c r="O30" s="24"/>
      <c r="P30" s="62">
        <f>SUM(P3:P28)</f>
        <v>57471.563154833675</v>
      </c>
      <c r="Q30" s="25">
        <f>SUM(Q3:Q28)</f>
        <v>60196.469999999987</v>
      </c>
      <c r="S30" s="62"/>
      <c r="T30" s="38">
        <f>(Q30-P30)/P30</f>
        <v>4.7413132610038149E-2</v>
      </c>
      <c r="U30" s="24"/>
      <c r="V30" s="62">
        <f>SUM(V3:V28)</f>
        <v>6777.8402975437493</v>
      </c>
      <c r="W30" s="25">
        <f>SUM(W3:W28)</f>
        <v>7322</v>
      </c>
      <c r="Y30" s="62"/>
      <c r="Z30" s="38">
        <f>(W30-V30)/V30</f>
        <v>8.0285117171239789E-2</v>
      </c>
    </row>
  </sheetData>
  <autoFilter ref="A2:Z30" xr:uid="{8C6DC29F-ECE3-4316-8A57-A9BC72F5BF2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69A7-8F8D-46BD-8E5D-2CF3CD4450E6}">
  <dimension ref="A1:H4"/>
  <sheetViews>
    <sheetView workbookViewId="0">
      <selection activeCell="E7" sqref="E7"/>
    </sheetView>
  </sheetViews>
  <sheetFormatPr defaultRowHeight="15" x14ac:dyDescent="0.25"/>
  <sheetData>
    <row r="1" spans="1:8" x14ac:dyDescent="0.25">
      <c r="A1" s="5"/>
      <c r="B1" s="5"/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</row>
    <row r="2" spans="1:8" x14ac:dyDescent="0.25">
      <c r="A2" s="1" t="s">
        <v>4</v>
      </c>
      <c r="B2" s="1" t="s">
        <v>5</v>
      </c>
      <c r="C2" s="4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 s="2" t="s">
        <v>12</v>
      </c>
      <c r="B3" s="2" t="s">
        <v>13</v>
      </c>
      <c r="C3" s="2">
        <v>80</v>
      </c>
      <c r="D3" s="2">
        <f>C3*F3</f>
        <v>5040</v>
      </c>
      <c r="E3" s="2">
        <f>1280+590+3750</f>
        <v>5620</v>
      </c>
      <c r="F3" s="2">
        <v>63</v>
      </c>
      <c r="G3" s="2">
        <f>E3/F3</f>
        <v>89.206349206349202</v>
      </c>
      <c r="H3" s="3">
        <f>(G3-C3)/C3</f>
        <v>0.11507936507936503</v>
      </c>
    </row>
    <row r="4" spans="1:8" x14ac:dyDescent="0.25">
      <c r="A4" s="2" t="s">
        <v>14</v>
      </c>
      <c r="B4" s="2" t="s">
        <v>13</v>
      </c>
      <c r="C4" s="2">
        <v>100</v>
      </c>
      <c r="D4" s="2">
        <f t="shared" ref="D4" si="0">C4*F4</f>
        <v>11500</v>
      </c>
      <c r="E4" s="2">
        <v>13412</v>
      </c>
      <c r="F4" s="2">
        <v>115</v>
      </c>
      <c r="G4" s="2">
        <f t="shared" ref="G4" si="1">E4/F4</f>
        <v>116.62608695652175</v>
      </c>
      <c r="H4" s="3">
        <f t="shared" ref="H4" si="2">(G4-C4)/C4</f>
        <v>0.16626086956521746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0EFF-3DD1-4F63-AB5D-039692A2D1E2}">
  <dimension ref="A1:AB94"/>
  <sheetViews>
    <sheetView workbookViewId="0">
      <pane xSplit="3" topLeftCell="L1" activePane="topRight" state="frozen"/>
      <selection pane="topRight" activeCell="P3" sqref="P3"/>
    </sheetView>
  </sheetViews>
  <sheetFormatPr defaultColWidth="9.140625" defaultRowHeight="15" x14ac:dyDescent="0.25"/>
  <cols>
    <col min="1" max="1" width="7.28515625" style="2" customWidth="1"/>
    <col min="2" max="2" width="19.42578125" style="2" customWidth="1"/>
    <col min="3" max="3" width="13.85546875" style="2" customWidth="1"/>
    <col min="4" max="4" width="12.28515625" style="2" customWidth="1"/>
    <col min="5" max="5" width="13.42578125" style="11" customWidth="1"/>
    <col min="6" max="6" width="19.28515625" style="67" customWidth="1"/>
    <col min="7" max="7" width="24.85546875" style="2" customWidth="1"/>
    <col min="8" max="8" width="13.85546875" style="55" customWidth="1"/>
    <col min="9" max="9" width="15.7109375" style="55" customWidth="1"/>
    <col min="10" max="10" width="12.42578125" style="12" customWidth="1"/>
    <col min="11" max="11" width="14.7109375" style="11" customWidth="1"/>
    <col min="12" max="12" width="18.28515625" style="55" customWidth="1"/>
    <col min="13" max="13" width="25.28515625" style="2" customWidth="1"/>
    <col min="14" max="14" width="14.140625" style="55" customWidth="1"/>
    <col min="15" max="15" width="14.28515625" style="55" customWidth="1"/>
    <col min="16" max="16" width="12.42578125" style="12" customWidth="1"/>
    <col min="17" max="17" width="14.5703125" style="11" customWidth="1"/>
    <col min="18" max="18" width="20.5703125" style="55" customWidth="1"/>
    <col min="19" max="19" width="24.85546875" style="2" customWidth="1"/>
    <col min="20" max="20" width="15" style="55" customWidth="1"/>
    <col min="21" max="21" width="12.5703125" style="2" customWidth="1"/>
    <col min="22" max="22" width="12.5703125" style="12" customWidth="1"/>
    <col min="23" max="23" width="10.5703125" style="2" bestFit="1" customWidth="1"/>
    <col min="24" max="24" width="18.7109375" style="55" bestFit="1" customWidth="1"/>
    <col min="25" max="25" width="24.7109375" style="2" bestFit="1" customWidth="1"/>
    <col min="26" max="26" width="13.7109375" style="55" bestFit="1" customWidth="1"/>
    <col min="27" max="27" width="14" style="2" customWidth="1"/>
    <col min="28" max="28" width="12.42578125" style="2" customWidth="1"/>
    <col min="29" max="16384" width="9.140625" style="2"/>
  </cols>
  <sheetData>
    <row r="1" spans="1:28" s="6" customFormat="1" x14ac:dyDescent="0.25">
      <c r="A1" s="5"/>
      <c r="B1" s="5"/>
      <c r="C1" s="5"/>
      <c r="D1" s="7"/>
      <c r="E1" s="28" t="s">
        <v>0</v>
      </c>
      <c r="F1" s="63" t="s">
        <v>0</v>
      </c>
      <c r="G1" s="9" t="s">
        <v>0</v>
      </c>
      <c r="H1" s="50" t="s">
        <v>0</v>
      </c>
      <c r="I1" s="50" t="s">
        <v>0</v>
      </c>
      <c r="J1" s="10" t="s">
        <v>0</v>
      </c>
      <c r="K1" s="8" t="s">
        <v>1</v>
      </c>
      <c r="L1" s="50" t="s">
        <v>1</v>
      </c>
      <c r="M1" s="9" t="s">
        <v>1</v>
      </c>
      <c r="N1" s="50" t="s">
        <v>1</v>
      </c>
      <c r="O1" s="50" t="s">
        <v>1</v>
      </c>
      <c r="P1" s="10" t="s">
        <v>1</v>
      </c>
      <c r="Q1" s="8" t="s">
        <v>2</v>
      </c>
      <c r="R1" s="50" t="s">
        <v>2</v>
      </c>
      <c r="S1" s="9" t="s">
        <v>2</v>
      </c>
      <c r="T1" s="50" t="s">
        <v>2</v>
      </c>
      <c r="U1" s="9" t="s">
        <v>2</v>
      </c>
      <c r="V1" s="10" t="s">
        <v>2</v>
      </c>
      <c r="W1" s="28" t="s">
        <v>3</v>
      </c>
      <c r="X1" s="58" t="s">
        <v>3</v>
      </c>
      <c r="Y1" s="28" t="s">
        <v>3</v>
      </c>
      <c r="Z1" s="58" t="s">
        <v>3</v>
      </c>
      <c r="AA1" s="28" t="s">
        <v>3</v>
      </c>
      <c r="AB1" s="28" t="s">
        <v>3</v>
      </c>
    </row>
    <row r="2" spans="1:28" s="6" customFormat="1" x14ac:dyDescent="0.25">
      <c r="A2" s="15" t="s">
        <v>41</v>
      </c>
      <c r="B2" s="15" t="s">
        <v>42</v>
      </c>
      <c r="C2" s="15" t="s">
        <v>4</v>
      </c>
      <c r="D2" s="16" t="s">
        <v>5</v>
      </c>
      <c r="E2" s="29" t="s">
        <v>6</v>
      </c>
      <c r="F2" s="60" t="s">
        <v>7</v>
      </c>
      <c r="G2" s="15" t="s">
        <v>8</v>
      </c>
      <c r="H2" s="51" t="s">
        <v>9</v>
      </c>
      <c r="I2" s="51" t="s">
        <v>10</v>
      </c>
      <c r="J2" s="18" t="s">
        <v>11</v>
      </c>
      <c r="K2" s="17" t="s">
        <v>6</v>
      </c>
      <c r="L2" s="51" t="s">
        <v>7</v>
      </c>
      <c r="M2" s="15" t="s">
        <v>8</v>
      </c>
      <c r="N2" s="51" t="s">
        <v>9</v>
      </c>
      <c r="O2" s="51" t="s">
        <v>10</v>
      </c>
      <c r="P2" s="18" t="s">
        <v>11</v>
      </c>
      <c r="Q2" s="19" t="s">
        <v>6</v>
      </c>
      <c r="R2" s="51" t="s">
        <v>7</v>
      </c>
      <c r="S2" s="15" t="s">
        <v>8</v>
      </c>
      <c r="T2" s="51" t="s">
        <v>9</v>
      </c>
      <c r="U2" s="15" t="s">
        <v>10</v>
      </c>
      <c r="V2" s="18" t="s">
        <v>11</v>
      </c>
      <c r="W2" s="29" t="s">
        <v>6</v>
      </c>
      <c r="X2" s="60" t="s">
        <v>7</v>
      </c>
      <c r="Y2" s="15" t="s">
        <v>8</v>
      </c>
      <c r="Z2" s="51" t="s">
        <v>9</v>
      </c>
      <c r="AA2" s="15" t="s">
        <v>10</v>
      </c>
      <c r="AB2" s="18" t="s">
        <v>11</v>
      </c>
    </row>
    <row r="3" spans="1:28" s="1" customFormat="1" x14ac:dyDescent="0.25">
      <c r="B3" s="20">
        <v>45931</v>
      </c>
      <c r="C3" s="1" t="s">
        <v>20</v>
      </c>
      <c r="D3" s="1" t="s">
        <v>13</v>
      </c>
      <c r="E3" s="30">
        <v>170</v>
      </c>
      <c r="F3" s="64">
        <f t="shared" ref="F3:F66" si="0">E3*H3</f>
        <v>3910</v>
      </c>
      <c r="G3" s="1">
        <v>3672.65</v>
      </c>
      <c r="H3" s="52">
        <v>23</v>
      </c>
      <c r="I3" s="52">
        <f t="shared" ref="I3:I66" si="1">G3/H3</f>
        <v>159.6804347826087</v>
      </c>
      <c r="J3" s="35">
        <f t="shared" ref="J3:J66" si="2">(I3-E3)/E3</f>
        <v>-6.070332480818412E-2</v>
      </c>
      <c r="K3" s="34"/>
      <c r="L3" s="52">
        <f t="shared" ref="L3:L34" si="3">K3*N3</f>
        <v>0</v>
      </c>
      <c r="N3" s="52"/>
      <c r="O3" s="52" t="e">
        <f t="shared" ref="O3:O66" si="4">M3/N3</f>
        <v>#DIV/0!</v>
      </c>
      <c r="P3" s="35" t="e">
        <f t="shared" ref="P3:P66" si="5">(O3-K3)/K3</f>
        <v>#DIV/0!</v>
      </c>
      <c r="Q3" s="34"/>
      <c r="R3" s="52">
        <f t="shared" ref="R3:R66" si="6">Q3*T3</f>
        <v>0</v>
      </c>
      <c r="T3" s="52"/>
      <c r="U3" s="1" t="e">
        <f t="shared" ref="U3:U66" si="7">S3/T3</f>
        <v>#DIV/0!</v>
      </c>
      <c r="V3" s="35" t="e">
        <f t="shared" ref="V3:V66" si="8">(U3-Q3)/Q3</f>
        <v>#DIV/0!</v>
      </c>
      <c r="W3" s="32"/>
      <c r="X3" s="52">
        <f t="shared" ref="X3:X66" si="9">W3*Z3</f>
        <v>0</v>
      </c>
      <c r="Z3" s="52"/>
      <c r="AA3" s="1" t="e">
        <f t="shared" ref="AA3:AA66" si="10">Y3/Z3</f>
        <v>#DIV/0!</v>
      </c>
      <c r="AB3" s="35" t="e">
        <f t="shared" ref="AB3:AB66" si="11">(AA3-W3)/W3</f>
        <v>#DIV/0!</v>
      </c>
    </row>
    <row r="4" spans="1:28" s="1" customFormat="1" x14ac:dyDescent="0.25">
      <c r="B4" s="20">
        <v>45931</v>
      </c>
      <c r="C4" s="1" t="s">
        <v>17</v>
      </c>
      <c r="D4" s="1" t="s">
        <v>13</v>
      </c>
      <c r="E4" s="30"/>
      <c r="F4" s="64">
        <f t="shared" si="0"/>
        <v>0</v>
      </c>
      <c r="H4" s="52"/>
      <c r="I4" s="52" t="e">
        <f t="shared" si="1"/>
        <v>#DIV/0!</v>
      </c>
      <c r="J4" s="35" t="e">
        <f t="shared" si="2"/>
        <v>#DIV/0!</v>
      </c>
      <c r="K4" s="1">
        <v>140</v>
      </c>
      <c r="L4" s="52">
        <f t="shared" si="3"/>
        <v>420</v>
      </c>
      <c r="M4" s="1">
        <v>352.8</v>
      </c>
      <c r="N4" s="52">
        <v>3</v>
      </c>
      <c r="O4" s="52">
        <f t="shared" si="4"/>
        <v>117.60000000000001</v>
      </c>
      <c r="P4" s="35">
        <f t="shared" si="5"/>
        <v>-0.15999999999999995</v>
      </c>
      <c r="Q4" s="1">
        <v>195</v>
      </c>
      <c r="R4" s="52">
        <f t="shared" si="6"/>
        <v>1182.7537878787878</v>
      </c>
      <c r="S4" s="1">
        <v>1200.9499999999998</v>
      </c>
      <c r="T4" s="52">
        <f>+S4/198</f>
        <v>6.0654040404040392</v>
      </c>
      <c r="U4" s="1">
        <f t="shared" si="7"/>
        <v>198</v>
      </c>
      <c r="V4" s="49">
        <f t="shared" si="8"/>
        <v>1.5384615384615385E-2</v>
      </c>
      <c r="W4" s="32"/>
      <c r="X4" s="52">
        <f t="shared" si="9"/>
        <v>0</v>
      </c>
      <c r="Z4" s="52"/>
      <c r="AA4" s="1" t="e">
        <f t="shared" si="10"/>
        <v>#DIV/0!</v>
      </c>
      <c r="AB4" s="35" t="e">
        <f t="shared" si="11"/>
        <v>#DIV/0!</v>
      </c>
    </row>
    <row r="5" spans="1:28" s="1" customFormat="1" x14ac:dyDescent="0.25">
      <c r="B5" s="20">
        <v>45931</v>
      </c>
      <c r="C5" s="1" t="s">
        <v>14</v>
      </c>
      <c r="D5" s="1" t="s">
        <v>13</v>
      </c>
      <c r="E5" s="30"/>
      <c r="F5" s="64">
        <f t="shared" si="0"/>
        <v>0</v>
      </c>
      <c r="H5" s="52"/>
      <c r="I5" s="52" t="e">
        <f t="shared" si="1"/>
        <v>#DIV/0!</v>
      </c>
      <c r="J5" s="35" t="e">
        <f t="shared" si="2"/>
        <v>#DIV/0!</v>
      </c>
      <c r="K5" s="1">
        <v>85</v>
      </c>
      <c r="L5" s="52">
        <f t="shared" si="3"/>
        <v>263.5</v>
      </c>
      <c r="M5" s="1">
        <v>260.3</v>
      </c>
      <c r="N5" s="52">
        <v>3.1</v>
      </c>
      <c r="O5" s="52">
        <f t="shared" si="4"/>
        <v>83.967741935483872</v>
      </c>
      <c r="P5" s="49">
        <f t="shared" si="5"/>
        <v>-1.2144212523719155E-2</v>
      </c>
      <c r="Q5" s="34"/>
      <c r="R5" s="52">
        <f t="shared" si="6"/>
        <v>0</v>
      </c>
      <c r="T5" s="52"/>
      <c r="U5" s="1" t="e">
        <f t="shared" si="7"/>
        <v>#DIV/0!</v>
      </c>
      <c r="V5" s="35" t="e">
        <f t="shared" si="8"/>
        <v>#DIV/0!</v>
      </c>
      <c r="W5" s="32"/>
      <c r="X5" s="52">
        <f t="shared" si="9"/>
        <v>0</v>
      </c>
      <c r="Z5" s="52"/>
      <c r="AA5" s="1" t="e">
        <f t="shared" si="10"/>
        <v>#DIV/0!</v>
      </c>
      <c r="AB5" s="35" t="e">
        <f t="shared" si="11"/>
        <v>#DIV/0!</v>
      </c>
    </row>
    <row r="6" spans="1:28" s="1" customFormat="1" x14ac:dyDescent="0.25">
      <c r="B6" s="20">
        <v>45931</v>
      </c>
      <c r="C6" s="1" t="s">
        <v>25</v>
      </c>
      <c r="D6" s="1" t="s">
        <v>13</v>
      </c>
      <c r="E6" s="30"/>
      <c r="F6" s="64">
        <f t="shared" si="0"/>
        <v>0</v>
      </c>
      <c r="H6" s="52"/>
      <c r="I6" s="52" t="e">
        <f t="shared" si="1"/>
        <v>#DIV/0!</v>
      </c>
      <c r="J6" s="35" t="e">
        <f t="shared" si="2"/>
        <v>#DIV/0!</v>
      </c>
      <c r="K6" s="34">
        <v>150</v>
      </c>
      <c r="L6" s="52">
        <f t="shared" si="3"/>
        <v>249.38811188811187</v>
      </c>
      <c r="M6" s="1">
        <v>237.75</v>
      </c>
      <c r="N6" s="52">
        <f>+M6/143</f>
        <v>1.6625874125874125</v>
      </c>
      <c r="O6" s="52">
        <f>M6/N6</f>
        <v>143</v>
      </c>
      <c r="P6" s="35">
        <f t="shared" si="5"/>
        <v>-4.6666666666666669E-2</v>
      </c>
      <c r="Q6" s="34"/>
      <c r="R6" s="52">
        <f t="shared" si="6"/>
        <v>0</v>
      </c>
      <c r="T6" s="52"/>
      <c r="U6" s="1" t="e">
        <f t="shared" si="7"/>
        <v>#DIV/0!</v>
      </c>
      <c r="V6" s="35" t="e">
        <f t="shared" si="8"/>
        <v>#DIV/0!</v>
      </c>
      <c r="W6" s="32"/>
      <c r="X6" s="52">
        <f t="shared" si="9"/>
        <v>0</v>
      </c>
      <c r="Z6" s="52"/>
      <c r="AA6" s="1" t="e">
        <f t="shared" si="10"/>
        <v>#DIV/0!</v>
      </c>
      <c r="AB6" s="35" t="e">
        <f t="shared" si="11"/>
        <v>#DIV/0!</v>
      </c>
    </row>
    <row r="7" spans="1:28" s="1" customFormat="1" x14ac:dyDescent="0.25">
      <c r="B7" s="20">
        <v>45931</v>
      </c>
      <c r="C7" s="1" t="s">
        <v>23</v>
      </c>
      <c r="D7" s="1" t="s">
        <v>13</v>
      </c>
      <c r="E7" s="30"/>
      <c r="F7" s="64">
        <f t="shared" si="0"/>
        <v>0</v>
      </c>
      <c r="H7" s="52"/>
      <c r="I7" s="52" t="e">
        <f t="shared" si="1"/>
        <v>#DIV/0!</v>
      </c>
      <c r="J7" s="35" t="e">
        <f t="shared" si="2"/>
        <v>#DIV/0!</v>
      </c>
      <c r="K7" s="34">
        <v>150</v>
      </c>
      <c r="L7" s="52">
        <f t="shared" si="3"/>
        <v>674.06862745098044</v>
      </c>
      <c r="M7" s="1">
        <v>687.55000000000007</v>
      </c>
      <c r="N7" s="52">
        <f>+M7/153</f>
        <v>4.4937908496732026</v>
      </c>
      <c r="O7" s="52">
        <f t="shared" si="4"/>
        <v>153.00000000000003</v>
      </c>
      <c r="P7" s="49">
        <f t="shared" si="5"/>
        <v>2.0000000000000188E-2</v>
      </c>
      <c r="Q7" s="34"/>
      <c r="R7" s="52">
        <f t="shared" si="6"/>
        <v>0</v>
      </c>
      <c r="T7" s="52"/>
      <c r="U7" s="1" t="e">
        <f t="shared" si="7"/>
        <v>#DIV/0!</v>
      </c>
      <c r="V7" s="35" t="e">
        <f t="shared" si="8"/>
        <v>#DIV/0!</v>
      </c>
      <c r="W7" s="32"/>
      <c r="X7" s="52">
        <f t="shared" si="9"/>
        <v>0</v>
      </c>
      <c r="Z7" s="52"/>
      <c r="AA7" s="1" t="e">
        <f t="shared" si="10"/>
        <v>#DIV/0!</v>
      </c>
      <c r="AB7" s="35" t="e">
        <f t="shared" si="11"/>
        <v>#DIV/0!</v>
      </c>
    </row>
    <row r="8" spans="1:28" s="1" customFormat="1" x14ac:dyDescent="0.25">
      <c r="B8" s="20">
        <v>45931</v>
      </c>
      <c r="C8" s="1" t="s">
        <v>16</v>
      </c>
      <c r="D8" s="1" t="s">
        <v>13</v>
      </c>
      <c r="E8" s="30"/>
      <c r="F8" s="64">
        <f t="shared" si="0"/>
        <v>0</v>
      </c>
      <c r="H8" s="52"/>
      <c r="I8" s="52" t="e">
        <f t="shared" si="1"/>
        <v>#DIV/0!</v>
      </c>
      <c r="J8" s="35" t="e">
        <f t="shared" si="2"/>
        <v>#DIV/0!</v>
      </c>
      <c r="K8" s="34"/>
      <c r="L8" s="52">
        <f t="shared" si="3"/>
        <v>0</v>
      </c>
      <c r="N8" s="52"/>
      <c r="O8" s="52" t="e">
        <f t="shared" si="4"/>
        <v>#DIV/0!</v>
      </c>
      <c r="P8" s="35" t="e">
        <f t="shared" si="5"/>
        <v>#DIV/0!</v>
      </c>
      <c r="Q8" s="1">
        <v>170</v>
      </c>
      <c r="R8" s="52">
        <f t="shared" si="6"/>
        <v>2992.0000000000005</v>
      </c>
      <c r="S8" s="1">
        <v>3170.2</v>
      </c>
      <c r="T8" s="52">
        <f>2+15.6</f>
        <v>17.600000000000001</v>
      </c>
      <c r="U8" s="1">
        <f t="shared" si="7"/>
        <v>180.12499999999997</v>
      </c>
      <c r="V8" s="35">
        <f t="shared" si="8"/>
        <v>5.9558823529411595E-2</v>
      </c>
      <c r="W8" s="32"/>
      <c r="X8" s="52">
        <f t="shared" si="9"/>
        <v>0</v>
      </c>
      <c r="Z8" s="52"/>
      <c r="AA8" s="1" t="e">
        <f t="shared" si="10"/>
        <v>#DIV/0!</v>
      </c>
      <c r="AB8" s="35" t="e">
        <f t="shared" si="11"/>
        <v>#DIV/0!</v>
      </c>
    </row>
    <row r="9" spans="1:28" s="1" customFormat="1" x14ac:dyDescent="0.25">
      <c r="B9" s="20">
        <v>45932</v>
      </c>
      <c r="C9" s="1" t="s">
        <v>20</v>
      </c>
      <c r="D9" s="1" t="s">
        <v>13</v>
      </c>
      <c r="E9" s="30">
        <v>170</v>
      </c>
      <c r="F9" s="64">
        <f t="shared" si="0"/>
        <v>3740</v>
      </c>
      <c r="G9" s="1">
        <v>3511.1</v>
      </c>
      <c r="H9" s="52">
        <v>22</v>
      </c>
      <c r="I9" s="52">
        <f t="shared" si="1"/>
        <v>159.59545454545454</v>
      </c>
      <c r="J9" s="35">
        <f t="shared" si="2"/>
        <v>-6.1203208556149739E-2</v>
      </c>
      <c r="K9" s="34"/>
      <c r="L9" s="52">
        <f t="shared" si="3"/>
        <v>0</v>
      </c>
      <c r="N9" s="52"/>
      <c r="O9" s="52" t="e">
        <f t="shared" si="4"/>
        <v>#DIV/0!</v>
      </c>
      <c r="P9" s="35" t="e">
        <f t="shared" si="5"/>
        <v>#DIV/0!</v>
      </c>
      <c r="Q9" s="34"/>
      <c r="R9" s="52">
        <f t="shared" si="6"/>
        <v>0</v>
      </c>
      <c r="T9" s="52"/>
      <c r="U9" s="1" t="e">
        <f t="shared" si="7"/>
        <v>#DIV/0!</v>
      </c>
      <c r="V9" s="35" t="e">
        <f t="shared" si="8"/>
        <v>#DIV/0!</v>
      </c>
      <c r="W9" s="32"/>
      <c r="X9" s="52">
        <f t="shared" si="9"/>
        <v>0</v>
      </c>
      <c r="Z9" s="52"/>
      <c r="AA9" s="1" t="e">
        <f t="shared" si="10"/>
        <v>#DIV/0!</v>
      </c>
      <c r="AB9" s="35" t="e">
        <f t="shared" si="11"/>
        <v>#DIV/0!</v>
      </c>
    </row>
    <row r="10" spans="1:28" s="1" customFormat="1" x14ac:dyDescent="0.25">
      <c r="B10" s="20">
        <v>45932</v>
      </c>
      <c r="C10" s="1" t="s">
        <v>23</v>
      </c>
      <c r="D10" s="1" t="s">
        <v>13</v>
      </c>
      <c r="E10" s="30"/>
      <c r="F10" s="64">
        <f t="shared" si="0"/>
        <v>0</v>
      </c>
      <c r="H10" s="52"/>
      <c r="I10" s="52" t="e">
        <f t="shared" si="1"/>
        <v>#DIV/0!</v>
      </c>
      <c r="J10" s="35" t="e">
        <f t="shared" si="2"/>
        <v>#DIV/0!</v>
      </c>
      <c r="K10" s="34">
        <v>150</v>
      </c>
      <c r="L10" s="52">
        <f t="shared" si="3"/>
        <v>3300</v>
      </c>
      <c r="M10" s="1">
        <v>3534.95</v>
      </c>
      <c r="N10" s="52">
        <v>22</v>
      </c>
      <c r="O10" s="52">
        <f t="shared" si="4"/>
        <v>160.67954545454543</v>
      </c>
      <c r="P10" s="35">
        <f t="shared" si="5"/>
        <v>7.119696969696955E-2</v>
      </c>
      <c r="Q10" s="34"/>
      <c r="R10" s="52">
        <f t="shared" si="6"/>
        <v>0</v>
      </c>
      <c r="T10" s="52"/>
      <c r="U10" s="1" t="e">
        <f t="shared" si="7"/>
        <v>#DIV/0!</v>
      </c>
      <c r="V10" s="35" t="e">
        <f t="shared" si="8"/>
        <v>#DIV/0!</v>
      </c>
      <c r="W10" s="32"/>
      <c r="X10" s="52">
        <f t="shared" si="9"/>
        <v>0</v>
      </c>
      <c r="Z10" s="52"/>
      <c r="AA10" s="1" t="e">
        <f t="shared" si="10"/>
        <v>#DIV/0!</v>
      </c>
      <c r="AB10" s="35" t="e">
        <f t="shared" si="11"/>
        <v>#DIV/0!</v>
      </c>
    </row>
    <row r="11" spans="1:28" s="1" customFormat="1" x14ac:dyDescent="0.25">
      <c r="B11" s="20">
        <v>45932</v>
      </c>
      <c r="C11" s="1" t="s">
        <v>16</v>
      </c>
      <c r="D11" s="1" t="s">
        <v>13</v>
      </c>
      <c r="E11" s="30"/>
      <c r="F11" s="64">
        <f t="shared" si="0"/>
        <v>0</v>
      </c>
      <c r="H11" s="52"/>
      <c r="I11" s="52" t="e">
        <f t="shared" si="1"/>
        <v>#DIV/0!</v>
      </c>
      <c r="J11" s="35" t="e">
        <f t="shared" si="2"/>
        <v>#DIV/0!</v>
      </c>
      <c r="K11" s="34"/>
      <c r="L11" s="52">
        <f t="shared" si="3"/>
        <v>0</v>
      </c>
      <c r="N11" s="52"/>
      <c r="O11" s="52" t="e">
        <f t="shared" si="4"/>
        <v>#DIV/0!</v>
      </c>
      <c r="P11" s="35" t="e">
        <f t="shared" si="5"/>
        <v>#DIV/0!</v>
      </c>
      <c r="Q11" s="1">
        <v>170</v>
      </c>
      <c r="R11" s="52">
        <f t="shared" si="6"/>
        <v>4151.5292397660814</v>
      </c>
      <c r="S11" s="1">
        <v>4175.95</v>
      </c>
      <c r="T11" s="52">
        <f>+S11/171</f>
        <v>24.420760233918127</v>
      </c>
      <c r="U11" s="1">
        <f t="shared" si="7"/>
        <v>171</v>
      </c>
      <c r="V11" s="49">
        <f t="shared" si="8"/>
        <v>5.8823529411764705E-3</v>
      </c>
      <c r="W11" s="32"/>
      <c r="X11" s="52">
        <f t="shared" si="9"/>
        <v>0</v>
      </c>
      <c r="Z11" s="52"/>
      <c r="AA11" s="1" t="e">
        <f t="shared" si="10"/>
        <v>#DIV/0!</v>
      </c>
      <c r="AB11" s="35" t="e">
        <f t="shared" si="11"/>
        <v>#DIV/0!</v>
      </c>
    </row>
    <row r="12" spans="1:28" s="1" customFormat="1" x14ac:dyDescent="0.25">
      <c r="B12" s="20">
        <v>45933</v>
      </c>
      <c r="C12" s="1" t="s">
        <v>20</v>
      </c>
      <c r="D12" s="1" t="s">
        <v>13</v>
      </c>
      <c r="E12" s="30">
        <v>170</v>
      </c>
      <c r="F12" s="64">
        <f t="shared" si="0"/>
        <v>340</v>
      </c>
      <c r="G12" s="1">
        <v>360.55</v>
      </c>
      <c r="H12" s="52">
        <v>2</v>
      </c>
      <c r="I12" s="52">
        <f t="shared" si="1"/>
        <v>180.27500000000001</v>
      </c>
      <c r="J12" s="35">
        <f t="shared" si="2"/>
        <v>6.0441176470588269E-2</v>
      </c>
      <c r="K12" s="34"/>
      <c r="L12" s="52">
        <f t="shared" si="3"/>
        <v>0</v>
      </c>
      <c r="N12" s="52"/>
      <c r="O12" s="52" t="e">
        <f t="shared" si="4"/>
        <v>#DIV/0!</v>
      </c>
      <c r="P12" s="35" t="e">
        <f t="shared" si="5"/>
        <v>#DIV/0!</v>
      </c>
      <c r="Q12" s="34"/>
      <c r="R12" s="52">
        <f t="shared" si="6"/>
        <v>0</v>
      </c>
      <c r="T12" s="52"/>
      <c r="U12" s="1" t="e">
        <f t="shared" si="7"/>
        <v>#DIV/0!</v>
      </c>
      <c r="V12" s="35" t="e">
        <f t="shared" si="8"/>
        <v>#DIV/0!</v>
      </c>
      <c r="W12" s="32"/>
      <c r="X12" s="52">
        <f t="shared" si="9"/>
        <v>0</v>
      </c>
      <c r="Z12" s="52"/>
      <c r="AA12" s="1" t="e">
        <f t="shared" si="10"/>
        <v>#DIV/0!</v>
      </c>
      <c r="AB12" s="35" t="e">
        <f t="shared" si="11"/>
        <v>#DIV/0!</v>
      </c>
    </row>
    <row r="13" spans="1:28" s="1" customFormat="1" x14ac:dyDescent="0.25">
      <c r="B13" s="20">
        <v>45933</v>
      </c>
      <c r="C13" s="1" t="s">
        <v>12</v>
      </c>
      <c r="D13" s="1" t="s">
        <v>13</v>
      </c>
      <c r="E13" s="1">
        <v>75</v>
      </c>
      <c r="F13" s="64">
        <f t="shared" si="0"/>
        <v>600</v>
      </c>
      <c r="G13" s="1">
        <v>624.95000000000005</v>
      </c>
      <c r="H13" s="52">
        <v>8</v>
      </c>
      <c r="I13" s="52">
        <f t="shared" si="1"/>
        <v>78.118750000000006</v>
      </c>
      <c r="J13" s="49">
        <f t="shared" si="2"/>
        <v>4.158333333333341E-2</v>
      </c>
      <c r="K13" s="34"/>
      <c r="L13" s="52">
        <f t="shared" si="3"/>
        <v>0</v>
      </c>
      <c r="N13" s="52"/>
      <c r="O13" s="52" t="e">
        <f t="shared" si="4"/>
        <v>#DIV/0!</v>
      </c>
      <c r="P13" s="35" t="e">
        <f t="shared" si="5"/>
        <v>#DIV/0!</v>
      </c>
      <c r="Q13" s="34"/>
      <c r="R13" s="52">
        <f t="shared" si="6"/>
        <v>0</v>
      </c>
      <c r="T13" s="52"/>
      <c r="U13" s="1" t="e">
        <f t="shared" si="7"/>
        <v>#DIV/0!</v>
      </c>
      <c r="V13" s="35" t="e">
        <f t="shared" si="8"/>
        <v>#DIV/0!</v>
      </c>
      <c r="W13" s="32"/>
      <c r="X13" s="52">
        <f t="shared" si="9"/>
        <v>0</v>
      </c>
      <c r="Z13" s="52"/>
      <c r="AA13" s="1" t="e">
        <f t="shared" si="10"/>
        <v>#DIV/0!</v>
      </c>
      <c r="AB13" s="35" t="e">
        <f t="shared" si="11"/>
        <v>#DIV/0!</v>
      </c>
    </row>
    <row r="14" spans="1:28" s="1" customFormat="1" x14ac:dyDescent="0.25">
      <c r="B14" s="20">
        <v>45933</v>
      </c>
      <c r="C14" s="1" t="s">
        <v>17</v>
      </c>
      <c r="D14" s="1" t="s">
        <v>13</v>
      </c>
      <c r="E14" s="1">
        <v>160</v>
      </c>
      <c r="F14" s="64">
        <f t="shared" si="0"/>
        <v>1392</v>
      </c>
      <c r="G14" s="1">
        <v>1418.649999999999</v>
      </c>
      <c r="H14" s="52">
        <v>8.6999999999999993</v>
      </c>
      <c r="I14" s="52">
        <f t="shared" si="1"/>
        <v>163.06321839080448</v>
      </c>
      <c r="J14" s="49">
        <f t="shared" si="2"/>
        <v>1.9145114942527998E-2</v>
      </c>
      <c r="K14" s="34"/>
      <c r="L14" s="52">
        <f t="shared" si="3"/>
        <v>0</v>
      </c>
      <c r="N14" s="52"/>
      <c r="O14" s="52" t="e">
        <f t="shared" si="4"/>
        <v>#DIV/0!</v>
      </c>
      <c r="P14" s="35" t="e">
        <f t="shared" si="5"/>
        <v>#DIV/0!</v>
      </c>
      <c r="Q14" s="34"/>
      <c r="R14" s="52">
        <f t="shared" si="6"/>
        <v>0</v>
      </c>
      <c r="T14" s="52"/>
      <c r="U14" s="1" t="e">
        <f t="shared" si="7"/>
        <v>#DIV/0!</v>
      </c>
      <c r="V14" s="35" t="e">
        <f t="shared" si="8"/>
        <v>#DIV/0!</v>
      </c>
      <c r="W14" s="32"/>
      <c r="X14" s="52">
        <f t="shared" si="9"/>
        <v>0</v>
      </c>
      <c r="Z14" s="52"/>
      <c r="AA14" s="1" t="e">
        <f t="shared" si="10"/>
        <v>#DIV/0!</v>
      </c>
      <c r="AB14" s="35" t="e">
        <f t="shared" si="11"/>
        <v>#DIV/0!</v>
      </c>
    </row>
    <row r="15" spans="1:28" s="1" customFormat="1" x14ac:dyDescent="0.25">
      <c r="B15" s="20">
        <v>45933</v>
      </c>
      <c r="C15" s="1" t="s">
        <v>23</v>
      </c>
      <c r="D15" s="1" t="s">
        <v>13</v>
      </c>
      <c r="E15" s="30"/>
      <c r="F15" s="64">
        <f t="shared" si="0"/>
        <v>0</v>
      </c>
      <c r="H15" s="52"/>
      <c r="I15" s="52" t="e">
        <f t="shared" si="1"/>
        <v>#DIV/0!</v>
      </c>
      <c r="J15" s="35" t="e">
        <f t="shared" si="2"/>
        <v>#DIV/0!</v>
      </c>
      <c r="K15" s="34">
        <v>150</v>
      </c>
      <c r="L15" s="52">
        <f t="shared" si="3"/>
        <v>1050</v>
      </c>
      <c r="M15" s="1">
        <v>1175.82</v>
      </c>
      <c r="N15" s="52">
        <v>7</v>
      </c>
      <c r="O15" s="52">
        <f t="shared" si="4"/>
        <v>167.97428571428571</v>
      </c>
      <c r="P15" s="35">
        <f t="shared" si="5"/>
        <v>0.11982857142857142</v>
      </c>
      <c r="Q15" s="34"/>
      <c r="R15" s="52">
        <f t="shared" si="6"/>
        <v>0</v>
      </c>
      <c r="T15" s="52"/>
      <c r="U15" s="1" t="e">
        <f t="shared" si="7"/>
        <v>#DIV/0!</v>
      </c>
      <c r="V15" s="35" t="e">
        <f t="shared" si="8"/>
        <v>#DIV/0!</v>
      </c>
      <c r="W15" s="32"/>
      <c r="X15" s="52">
        <f t="shared" si="9"/>
        <v>0</v>
      </c>
      <c r="Z15" s="52"/>
      <c r="AA15" s="1" t="e">
        <f t="shared" si="10"/>
        <v>#DIV/0!</v>
      </c>
      <c r="AB15" s="35" t="e">
        <f t="shared" si="11"/>
        <v>#DIV/0!</v>
      </c>
    </row>
    <row r="16" spans="1:28" s="1" customFormat="1" x14ac:dyDescent="0.25">
      <c r="B16" s="20">
        <v>45933</v>
      </c>
      <c r="C16" s="1" t="s">
        <v>19</v>
      </c>
      <c r="D16" s="1" t="s">
        <v>13</v>
      </c>
      <c r="E16" s="30"/>
      <c r="F16" s="64">
        <f t="shared" si="0"/>
        <v>0</v>
      </c>
      <c r="H16" s="52"/>
      <c r="I16" s="52" t="e">
        <f t="shared" si="1"/>
        <v>#DIV/0!</v>
      </c>
      <c r="J16" s="35" t="e">
        <f t="shared" si="2"/>
        <v>#DIV/0!</v>
      </c>
      <c r="K16" s="34">
        <v>150</v>
      </c>
      <c r="L16" s="52">
        <f t="shared" si="3"/>
        <v>210</v>
      </c>
      <c r="M16" s="1">
        <v>194.85</v>
      </c>
      <c r="N16" s="52">
        <v>1.4</v>
      </c>
      <c r="O16" s="52">
        <f t="shared" si="4"/>
        <v>139.17857142857144</v>
      </c>
      <c r="P16" s="49">
        <f t="shared" si="5"/>
        <v>-7.2142857142857036E-2</v>
      </c>
      <c r="Q16" s="34"/>
      <c r="R16" s="52">
        <f t="shared" si="6"/>
        <v>0</v>
      </c>
      <c r="T16" s="52"/>
      <c r="U16" s="1" t="e">
        <f t="shared" si="7"/>
        <v>#DIV/0!</v>
      </c>
      <c r="V16" s="35" t="e">
        <f t="shared" si="8"/>
        <v>#DIV/0!</v>
      </c>
      <c r="W16" s="32"/>
      <c r="X16" s="52">
        <f t="shared" si="9"/>
        <v>0</v>
      </c>
      <c r="Z16" s="52"/>
      <c r="AA16" s="1" t="e">
        <f t="shared" si="10"/>
        <v>#DIV/0!</v>
      </c>
      <c r="AB16" s="35" t="e">
        <f t="shared" si="11"/>
        <v>#DIV/0!</v>
      </c>
    </row>
    <row r="17" spans="2:28" s="1" customFormat="1" x14ac:dyDescent="0.25">
      <c r="B17" s="20">
        <v>45933</v>
      </c>
      <c r="C17" s="1" t="s">
        <v>16</v>
      </c>
      <c r="D17" s="1" t="s">
        <v>13</v>
      </c>
      <c r="E17" s="30"/>
      <c r="F17" s="64">
        <f t="shared" si="0"/>
        <v>0</v>
      </c>
      <c r="H17" s="52"/>
      <c r="I17" s="52" t="e">
        <f t="shared" si="1"/>
        <v>#DIV/0!</v>
      </c>
      <c r="J17" s="35" t="e">
        <f t="shared" si="2"/>
        <v>#DIV/0!</v>
      </c>
      <c r="K17" s="34"/>
      <c r="L17" s="52">
        <f t="shared" si="3"/>
        <v>0</v>
      </c>
      <c r="N17" s="52"/>
      <c r="O17" s="52" t="e">
        <f t="shared" si="4"/>
        <v>#DIV/0!</v>
      </c>
      <c r="P17" s="35" t="e">
        <f t="shared" si="5"/>
        <v>#DIV/0!</v>
      </c>
      <c r="Q17" s="1">
        <v>170</v>
      </c>
      <c r="R17" s="52">
        <f t="shared" si="6"/>
        <v>2815.6249999999932</v>
      </c>
      <c r="S17" s="1">
        <v>2981.2499999999932</v>
      </c>
      <c r="T17" s="52">
        <f>+S17/180</f>
        <v>16.562499999999961</v>
      </c>
      <c r="U17" s="1">
        <f t="shared" si="7"/>
        <v>180</v>
      </c>
      <c r="V17" s="49">
        <f t="shared" si="8"/>
        <v>5.8823529411764705E-2</v>
      </c>
      <c r="W17" s="32"/>
      <c r="X17" s="52">
        <f t="shared" si="9"/>
        <v>0</v>
      </c>
      <c r="Z17" s="52"/>
      <c r="AA17" s="1" t="e">
        <f t="shared" si="10"/>
        <v>#DIV/0!</v>
      </c>
      <c r="AB17" s="35" t="e">
        <f t="shared" si="11"/>
        <v>#DIV/0!</v>
      </c>
    </row>
    <row r="18" spans="2:28" s="1" customFormat="1" x14ac:dyDescent="0.25">
      <c r="B18" s="20">
        <v>45934</v>
      </c>
      <c r="C18" s="1" t="s">
        <v>17</v>
      </c>
      <c r="D18" s="1" t="s">
        <v>13</v>
      </c>
      <c r="E18" s="1">
        <v>160</v>
      </c>
      <c r="F18" s="64">
        <f t="shared" si="0"/>
        <v>3520</v>
      </c>
      <c r="G18" s="1">
        <v>3832.55</v>
      </c>
      <c r="H18" s="52">
        <v>22</v>
      </c>
      <c r="I18" s="52">
        <f t="shared" si="1"/>
        <v>174.20681818181819</v>
      </c>
      <c r="J18" s="35">
        <f t="shared" si="2"/>
        <v>8.8792613636363704E-2</v>
      </c>
      <c r="K18" s="34"/>
      <c r="L18" s="52">
        <f t="shared" si="3"/>
        <v>0</v>
      </c>
      <c r="N18" s="52"/>
      <c r="O18" s="52" t="e">
        <f t="shared" si="4"/>
        <v>#DIV/0!</v>
      </c>
      <c r="P18" s="35" t="e">
        <f t="shared" si="5"/>
        <v>#DIV/0!</v>
      </c>
      <c r="Q18" s="34"/>
      <c r="R18" s="52">
        <f t="shared" si="6"/>
        <v>0</v>
      </c>
      <c r="T18" s="52"/>
      <c r="U18" s="1" t="e">
        <f t="shared" si="7"/>
        <v>#DIV/0!</v>
      </c>
      <c r="V18" s="35" t="e">
        <f t="shared" si="8"/>
        <v>#DIV/0!</v>
      </c>
      <c r="W18" s="32"/>
      <c r="X18" s="52">
        <f t="shared" si="9"/>
        <v>0</v>
      </c>
      <c r="Z18" s="52"/>
      <c r="AA18" s="1" t="e">
        <f t="shared" si="10"/>
        <v>#DIV/0!</v>
      </c>
      <c r="AB18" s="35" t="e">
        <f t="shared" si="11"/>
        <v>#DIV/0!</v>
      </c>
    </row>
    <row r="19" spans="2:28" s="1" customFormat="1" x14ac:dyDescent="0.25">
      <c r="B19" s="20">
        <v>45934</v>
      </c>
      <c r="C19" s="1" t="s">
        <v>19</v>
      </c>
      <c r="D19" s="1" t="s">
        <v>13</v>
      </c>
      <c r="E19" s="30"/>
      <c r="F19" s="64">
        <f t="shared" si="0"/>
        <v>0</v>
      </c>
      <c r="H19" s="52"/>
      <c r="I19" s="52" t="e">
        <f t="shared" si="1"/>
        <v>#DIV/0!</v>
      </c>
      <c r="J19" s="35" t="e">
        <f t="shared" si="2"/>
        <v>#DIV/0!</v>
      </c>
      <c r="K19" s="34">
        <v>150</v>
      </c>
      <c r="L19" s="52">
        <f t="shared" si="3"/>
        <v>2340</v>
      </c>
      <c r="M19" s="1">
        <v>2106.25</v>
      </c>
      <c r="N19" s="52">
        <f>1.1+14.5</f>
        <v>15.6</v>
      </c>
      <c r="O19" s="52">
        <f t="shared" si="4"/>
        <v>135.01602564102564</v>
      </c>
      <c r="P19" s="49">
        <f t="shared" si="5"/>
        <v>-9.9893162393162427E-2</v>
      </c>
      <c r="Q19" s="34"/>
      <c r="R19" s="52">
        <f t="shared" si="6"/>
        <v>0</v>
      </c>
      <c r="T19" s="52"/>
      <c r="U19" s="1" t="e">
        <f t="shared" si="7"/>
        <v>#DIV/0!</v>
      </c>
      <c r="V19" s="35" t="e">
        <f t="shared" si="8"/>
        <v>#DIV/0!</v>
      </c>
      <c r="W19" s="32"/>
      <c r="X19" s="52">
        <f t="shared" si="9"/>
        <v>0</v>
      </c>
      <c r="Z19" s="52"/>
      <c r="AA19" s="1" t="e">
        <f t="shared" si="10"/>
        <v>#DIV/0!</v>
      </c>
      <c r="AB19" s="35" t="e">
        <f t="shared" si="11"/>
        <v>#DIV/0!</v>
      </c>
    </row>
    <row r="20" spans="2:28" s="1" customFormat="1" ht="15.75" thickBot="1" x14ac:dyDescent="0.3">
      <c r="B20" s="20">
        <v>45934</v>
      </c>
      <c r="C20" s="1" t="s">
        <v>16</v>
      </c>
      <c r="D20" s="1" t="s">
        <v>13</v>
      </c>
      <c r="E20" s="30"/>
      <c r="F20" s="64">
        <f t="shared" si="0"/>
        <v>0</v>
      </c>
      <c r="H20" s="52"/>
      <c r="I20" s="52" t="e">
        <f t="shared" si="1"/>
        <v>#DIV/0!</v>
      </c>
      <c r="J20" s="35" t="e">
        <f t="shared" si="2"/>
        <v>#DIV/0!</v>
      </c>
      <c r="K20" s="34"/>
      <c r="L20" s="52">
        <f t="shared" si="3"/>
        <v>0</v>
      </c>
      <c r="N20" s="52"/>
      <c r="O20" s="52" t="e">
        <f t="shared" si="4"/>
        <v>#DIV/0!</v>
      </c>
      <c r="P20" s="35" t="e">
        <f t="shared" si="5"/>
        <v>#DIV/0!</v>
      </c>
      <c r="Q20" s="1">
        <v>170</v>
      </c>
      <c r="R20" s="52">
        <f t="shared" si="6"/>
        <v>4080</v>
      </c>
      <c r="S20" s="1">
        <v>4173.45</v>
      </c>
      <c r="T20" s="52">
        <v>24</v>
      </c>
      <c r="U20" s="1">
        <f t="shared" si="7"/>
        <v>173.89374999999998</v>
      </c>
      <c r="V20" s="35">
        <f t="shared" si="8"/>
        <v>2.2904411764705781E-2</v>
      </c>
      <c r="W20" s="32"/>
      <c r="X20" s="52">
        <f t="shared" si="9"/>
        <v>0</v>
      </c>
      <c r="Z20" s="52"/>
      <c r="AA20" s="1" t="e">
        <f t="shared" si="10"/>
        <v>#DIV/0!</v>
      </c>
      <c r="AB20" s="35" t="e">
        <f t="shared" si="11"/>
        <v>#DIV/0!</v>
      </c>
    </row>
    <row r="21" spans="2:28" s="1" customFormat="1" x14ac:dyDescent="0.25">
      <c r="B21" s="20">
        <v>45936</v>
      </c>
      <c r="C21" s="1" t="s">
        <v>16</v>
      </c>
      <c r="D21" s="1" t="s">
        <v>13</v>
      </c>
      <c r="E21" s="30">
        <v>155</v>
      </c>
      <c r="F21" s="64">
        <f t="shared" si="0"/>
        <v>1860</v>
      </c>
      <c r="G21" s="56">
        <v>2044.7</v>
      </c>
      <c r="H21" s="52">
        <f>2+10</f>
        <v>12</v>
      </c>
      <c r="I21" s="52">
        <f t="shared" si="1"/>
        <v>170.39166666666668</v>
      </c>
      <c r="J21" s="49">
        <f t="shared" si="2"/>
        <v>9.930107526881729E-2</v>
      </c>
      <c r="K21" s="34"/>
      <c r="L21" s="52">
        <f t="shared" si="3"/>
        <v>0</v>
      </c>
      <c r="N21" s="52"/>
      <c r="O21" s="52"/>
      <c r="P21" s="49"/>
      <c r="Q21" s="32">
        <v>170</v>
      </c>
      <c r="R21" s="52">
        <f t="shared" si="6"/>
        <v>2755.9428571428571</v>
      </c>
      <c r="S21" s="1">
        <v>2837</v>
      </c>
      <c r="T21" s="52">
        <f>S21/175</f>
        <v>16.21142857142857</v>
      </c>
      <c r="U21" s="1">
        <f t="shared" si="7"/>
        <v>175.00000000000003</v>
      </c>
      <c r="V21" s="49">
        <f t="shared" si="8"/>
        <v>2.9411764705882519E-2</v>
      </c>
      <c r="W21" s="32"/>
      <c r="X21" s="52">
        <f t="shared" si="9"/>
        <v>0</v>
      </c>
      <c r="Z21" s="52"/>
      <c r="AA21" s="1" t="e">
        <f t="shared" si="10"/>
        <v>#DIV/0!</v>
      </c>
      <c r="AB21" s="35" t="e">
        <f t="shared" si="11"/>
        <v>#DIV/0!</v>
      </c>
    </row>
    <row r="22" spans="2:28" s="1" customFormat="1" x14ac:dyDescent="0.25">
      <c r="B22" s="20">
        <v>45936</v>
      </c>
      <c r="C22" s="1" t="s">
        <v>17</v>
      </c>
      <c r="D22" s="1" t="s">
        <v>13</v>
      </c>
      <c r="E22" s="1">
        <v>160</v>
      </c>
      <c r="F22" s="64">
        <f t="shared" si="0"/>
        <v>320</v>
      </c>
      <c r="G22" s="1">
        <v>273.64999999999998</v>
      </c>
      <c r="H22" s="52">
        <v>2</v>
      </c>
      <c r="I22" s="52">
        <f t="shared" si="1"/>
        <v>136.82499999999999</v>
      </c>
      <c r="J22" s="35">
        <f t="shared" si="2"/>
        <v>-0.14484375000000008</v>
      </c>
      <c r="K22" s="34"/>
      <c r="L22" s="52">
        <f t="shared" si="3"/>
        <v>0</v>
      </c>
      <c r="N22" s="52"/>
      <c r="O22" s="52" t="e">
        <f t="shared" si="4"/>
        <v>#DIV/0!</v>
      </c>
      <c r="P22" s="35" t="e">
        <f t="shared" si="5"/>
        <v>#DIV/0!</v>
      </c>
      <c r="Q22" s="34"/>
      <c r="R22" s="52">
        <f t="shared" si="6"/>
        <v>0</v>
      </c>
      <c r="T22" s="52"/>
      <c r="U22" s="1" t="e">
        <f t="shared" si="7"/>
        <v>#DIV/0!</v>
      </c>
      <c r="V22" s="35" t="e">
        <f t="shared" si="8"/>
        <v>#DIV/0!</v>
      </c>
      <c r="W22" s="32"/>
      <c r="X22" s="52">
        <f t="shared" si="9"/>
        <v>0</v>
      </c>
      <c r="Z22" s="52"/>
      <c r="AA22" s="1" t="e">
        <f t="shared" si="10"/>
        <v>#DIV/0!</v>
      </c>
      <c r="AB22" s="35" t="e">
        <f t="shared" si="11"/>
        <v>#DIV/0!</v>
      </c>
    </row>
    <row r="23" spans="2:28" s="1" customFormat="1" x14ac:dyDescent="0.25">
      <c r="B23" s="20">
        <v>45936</v>
      </c>
      <c r="C23" s="1" t="s">
        <v>19</v>
      </c>
      <c r="D23" s="1" t="s">
        <v>13</v>
      </c>
      <c r="F23" s="64">
        <f t="shared" si="0"/>
        <v>0</v>
      </c>
      <c r="H23" s="52"/>
      <c r="I23" s="52" t="e">
        <f t="shared" si="1"/>
        <v>#DIV/0!</v>
      </c>
      <c r="J23" s="35" t="e">
        <f t="shared" si="2"/>
        <v>#DIV/0!</v>
      </c>
      <c r="K23" s="34">
        <v>150</v>
      </c>
      <c r="L23" s="52">
        <f t="shared" si="3"/>
        <v>1950</v>
      </c>
      <c r="M23" s="1">
        <v>2050.9</v>
      </c>
      <c r="N23" s="52">
        <v>13</v>
      </c>
      <c r="O23" s="52">
        <f t="shared" si="4"/>
        <v>157.76153846153846</v>
      </c>
      <c r="P23" s="35">
        <f t="shared" si="5"/>
        <v>5.1743589743589759E-2</v>
      </c>
      <c r="Q23" s="34"/>
      <c r="R23" s="52">
        <f t="shared" si="6"/>
        <v>0</v>
      </c>
      <c r="T23" s="52"/>
      <c r="U23" s="1" t="e">
        <f t="shared" si="7"/>
        <v>#DIV/0!</v>
      </c>
      <c r="V23" s="35" t="e">
        <f t="shared" si="8"/>
        <v>#DIV/0!</v>
      </c>
      <c r="W23" s="32"/>
      <c r="X23" s="52">
        <f t="shared" si="9"/>
        <v>0</v>
      </c>
      <c r="Z23" s="52"/>
      <c r="AA23" s="1" t="e">
        <f t="shared" si="10"/>
        <v>#DIV/0!</v>
      </c>
      <c r="AB23" s="35" t="e">
        <f t="shared" si="11"/>
        <v>#DIV/0!</v>
      </c>
    </row>
    <row r="24" spans="2:28" s="1" customFormat="1" x14ac:dyDescent="0.25">
      <c r="B24" s="20">
        <v>45936</v>
      </c>
      <c r="C24" s="1" t="s">
        <v>22</v>
      </c>
      <c r="D24" s="1" t="s">
        <v>13</v>
      </c>
      <c r="E24" s="30"/>
      <c r="F24" s="64">
        <f t="shared" si="0"/>
        <v>0</v>
      </c>
      <c r="H24" s="52"/>
      <c r="I24" s="52" t="e">
        <f t="shared" si="1"/>
        <v>#DIV/0!</v>
      </c>
      <c r="J24" s="35" t="e">
        <f t="shared" si="2"/>
        <v>#DIV/0!</v>
      </c>
      <c r="K24" s="34">
        <v>150</v>
      </c>
      <c r="L24" s="52">
        <f t="shared" si="3"/>
        <v>225</v>
      </c>
      <c r="M24" s="1">
        <v>237.7</v>
      </c>
      <c r="N24" s="52">
        <v>1.5</v>
      </c>
      <c r="O24" s="52">
        <f t="shared" si="4"/>
        <v>158.46666666666667</v>
      </c>
      <c r="P24" s="35">
        <f t="shared" si="5"/>
        <v>5.6444444444444457E-2</v>
      </c>
      <c r="Q24" s="34"/>
      <c r="R24" s="52">
        <f t="shared" si="6"/>
        <v>0</v>
      </c>
      <c r="T24" s="52"/>
      <c r="U24" s="1" t="e">
        <f t="shared" si="7"/>
        <v>#DIV/0!</v>
      </c>
      <c r="V24" s="35" t="e">
        <f t="shared" si="8"/>
        <v>#DIV/0!</v>
      </c>
      <c r="W24" s="32"/>
      <c r="X24" s="52">
        <f t="shared" si="9"/>
        <v>0</v>
      </c>
      <c r="Z24" s="52"/>
      <c r="AA24" s="1" t="e">
        <f t="shared" si="10"/>
        <v>#DIV/0!</v>
      </c>
      <c r="AB24" s="35" t="e">
        <f t="shared" si="11"/>
        <v>#DIV/0!</v>
      </c>
    </row>
    <row r="25" spans="2:28" s="1" customFormat="1" x14ac:dyDescent="0.25">
      <c r="B25" s="20">
        <v>45937</v>
      </c>
      <c r="C25" s="1" t="s">
        <v>17</v>
      </c>
      <c r="D25" s="1" t="s">
        <v>13</v>
      </c>
      <c r="E25" s="30">
        <v>160</v>
      </c>
      <c r="F25" s="64">
        <f t="shared" si="0"/>
        <v>3538.8760736196318</v>
      </c>
      <c r="G25" s="1">
        <v>3605.23</v>
      </c>
      <c r="H25" s="52">
        <f>+G25/163</f>
        <v>22.1179754601227</v>
      </c>
      <c r="I25" s="52">
        <f t="shared" si="1"/>
        <v>163</v>
      </c>
      <c r="J25" s="35">
        <f t="shared" si="2"/>
        <v>1.8749999999999999E-2</v>
      </c>
      <c r="K25" s="34"/>
      <c r="L25" s="52">
        <f t="shared" si="3"/>
        <v>0</v>
      </c>
      <c r="N25" s="52"/>
      <c r="O25" s="52" t="e">
        <f t="shared" si="4"/>
        <v>#DIV/0!</v>
      </c>
      <c r="P25" s="35" t="e">
        <f t="shared" si="5"/>
        <v>#DIV/0!</v>
      </c>
      <c r="Q25" s="34"/>
      <c r="R25" s="52">
        <f t="shared" si="6"/>
        <v>0</v>
      </c>
      <c r="T25" s="52"/>
      <c r="U25" s="1" t="e">
        <f t="shared" si="7"/>
        <v>#DIV/0!</v>
      </c>
      <c r="V25" s="35" t="e">
        <f t="shared" si="8"/>
        <v>#DIV/0!</v>
      </c>
      <c r="W25" s="32"/>
      <c r="X25" s="52">
        <f t="shared" si="9"/>
        <v>0</v>
      </c>
      <c r="Z25" s="52"/>
      <c r="AA25" s="1" t="e">
        <f t="shared" si="10"/>
        <v>#DIV/0!</v>
      </c>
      <c r="AB25" s="35" t="e">
        <f t="shared" si="11"/>
        <v>#DIV/0!</v>
      </c>
    </row>
    <row r="26" spans="2:28" s="1" customFormat="1" x14ac:dyDescent="0.25">
      <c r="B26" s="20">
        <v>45937</v>
      </c>
      <c r="C26" s="1" t="s">
        <v>19</v>
      </c>
      <c r="D26" s="1" t="s">
        <v>13</v>
      </c>
      <c r="E26" s="30"/>
      <c r="F26" s="64">
        <f t="shared" si="0"/>
        <v>0</v>
      </c>
      <c r="H26" s="52"/>
      <c r="I26" s="52" t="e">
        <f t="shared" si="1"/>
        <v>#DIV/0!</v>
      </c>
      <c r="J26" s="35" t="e">
        <f t="shared" si="2"/>
        <v>#DIV/0!</v>
      </c>
      <c r="K26" s="34">
        <v>150</v>
      </c>
      <c r="L26" s="52">
        <f t="shared" si="3"/>
        <v>3300</v>
      </c>
      <c r="M26" s="1">
        <v>3367.8</v>
      </c>
      <c r="N26" s="52">
        <v>22</v>
      </c>
      <c r="O26" s="52">
        <f t="shared" si="4"/>
        <v>153.08181818181819</v>
      </c>
      <c r="P26" s="35">
        <f t="shared" si="5"/>
        <v>2.0545454545454617E-2</v>
      </c>
      <c r="Q26" s="34"/>
      <c r="R26" s="52">
        <f t="shared" si="6"/>
        <v>0</v>
      </c>
      <c r="T26" s="52"/>
      <c r="U26" s="1" t="e">
        <f t="shared" si="7"/>
        <v>#DIV/0!</v>
      </c>
      <c r="V26" s="35" t="e">
        <f t="shared" si="8"/>
        <v>#DIV/0!</v>
      </c>
      <c r="W26" s="32"/>
      <c r="X26" s="52">
        <f t="shared" si="9"/>
        <v>0</v>
      </c>
      <c r="Z26" s="52"/>
      <c r="AA26" s="1" t="e">
        <f t="shared" si="10"/>
        <v>#DIV/0!</v>
      </c>
      <c r="AB26" s="35" t="e">
        <f t="shared" si="11"/>
        <v>#DIV/0!</v>
      </c>
    </row>
    <row r="27" spans="2:28" s="1" customFormat="1" x14ac:dyDescent="0.25">
      <c r="B27" s="20">
        <v>45937</v>
      </c>
      <c r="C27" s="1" t="s">
        <v>16</v>
      </c>
      <c r="D27" s="1" t="s">
        <v>13</v>
      </c>
      <c r="E27" s="30"/>
      <c r="F27" s="64">
        <f t="shared" si="0"/>
        <v>0</v>
      </c>
      <c r="H27" s="52"/>
      <c r="I27" s="52" t="e">
        <f t="shared" si="1"/>
        <v>#DIV/0!</v>
      </c>
      <c r="J27" s="35" t="e">
        <f t="shared" si="2"/>
        <v>#DIV/0!</v>
      </c>
      <c r="K27" s="34"/>
      <c r="L27" s="52">
        <f t="shared" si="3"/>
        <v>0</v>
      </c>
      <c r="N27" s="52"/>
      <c r="O27" s="52" t="e">
        <f t="shared" si="4"/>
        <v>#DIV/0!</v>
      </c>
      <c r="P27" s="35" t="e">
        <f t="shared" si="5"/>
        <v>#DIV/0!</v>
      </c>
      <c r="Q27" s="34">
        <v>170</v>
      </c>
      <c r="R27" s="52">
        <f t="shared" si="6"/>
        <v>4108.1093023255808</v>
      </c>
      <c r="S27" s="1">
        <v>4156.4399999999996</v>
      </c>
      <c r="T27" s="52">
        <f>+S27/172</f>
        <v>24.165348837209301</v>
      </c>
      <c r="U27" s="1">
        <f t="shared" si="7"/>
        <v>172</v>
      </c>
      <c r="V27" s="35">
        <f t="shared" si="8"/>
        <v>1.1764705882352941E-2</v>
      </c>
      <c r="W27" s="32"/>
      <c r="X27" s="52">
        <f t="shared" si="9"/>
        <v>0</v>
      </c>
      <c r="Z27" s="52"/>
      <c r="AA27" s="1" t="e">
        <f t="shared" si="10"/>
        <v>#DIV/0!</v>
      </c>
      <c r="AB27" s="35" t="e">
        <f t="shared" si="11"/>
        <v>#DIV/0!</v>
      </c>
    </row>
    <row r="28" spans="2:28" s="1" customFormat="1" x14ac:dyDescent="0.25">
      <c r="B28" s="20">
        <v>45938</v>
      </c>
      <c r="C28" s="1" t="s">
        <v>17</v>
      </c>
      <c r="D28" s="1" t="s">
        <v>13</v>
      </c>
      <c r="E28" s="30">
        <v>160</v>
      </c>
      <c r="F28" s="64">
        <f t="shared" si="0"/>
        <v>2442.159509202454</v>
      </c>
      <c r="G28" s="1">
        <v>2331.25</v>
      </c>
      <c r="H28" s="52">
        <f>8+(1183.95/163)</f>
        <v>15.263496932515338</v>
      </c>
      <c r="I28" s="52">
        <f t="shared" si="1"/>
        <v>152.73367631986173</v>
      </c>
      <c r="J28" s="35">
        <f t="shared" si="2"/>
        <v>-4.5414523000864196E-2</v>
      </c>
      <c r="K28" s="34"/>
      <c r="L28" s="52">
        <f t="shared" si="3"/>
        <v>0</v>
      </c>
      <c r="N28" s="52"/>
      <c r="O28" s="52" t="e">
        <f t="shared" si="4"/>
        <v>#DIV/0!</v>
      </c>
      <c r="P28" s="35" t="e">
        <f t="shared" si="5"/>
        <v>#DIV/0!</v>
      </c>
      <c r="Q28" s="34"/>
      <c r="R28" s="52">
        <f t="shared" si="6"/>
        <v>0</v>
      </c>
      <c r="T28" s="52"/>
      <c r="U28" s="1" t="e">
        <f t="shared" si="7"/>
        <v>#DIV/0!</v>
      </c>
      <c r="V28" s="35" t="e">
        <f t="shared" si="8"/>
        <v>#DIV/0!</v>
      </c>
      <c r="W28" s="32"/>
      <c r="X28" s="52">
        <f t="shared" si="9"/>
        <v>0</v>
      </c>
      <c r="Z28" s="52"/>
      <c r="AA28" s="1" t="e">
        <f t="shared" si="10"/>
        <v>#DIV/0!</v>
      </c>
      <c r="AB28" s="35" t="e">
        <f t="shared" si="11"/>
        <v>#DIV/0!</v>
      </c>
    </row>
    <row r="29" spans="2:28" s="1" customFormat="1" x14ac:dyDescent="0.25">
      <c r="B29" s="20">
        <v>45938</v>
      </c>
      <c r="C29" s="1" t="s">
        <v>14</v>
      </c>
      <c r="D29" s="1" t="s">
        <v>13</v>
      </c>
      <c r="E29" s="30">
        <v>85</v>
      </c>
      <c r="F29" s="64">
        <f t="shared" si="0"/>
        <v>321.12634408602156</v>
      </c>
      <c r="G29" s="1">
        <v>351.35</v>
      </c>
      <c r="H29" s="52">
        <f>+G29/93</f>
        <v>3.7779569892473122</v>
      </c>
      <c r="I29" s="52">
        <f t="shared" si="1"/>
        <v>93</v>
      </c>
      <c r="J29" s="35">
        <f t="shared" si="2"/>
        <v>9.4117647058823528E-2</v>
      </c>
      <c r="K29" s="34"/>
      <c r="L29" s="52">
        <f t="shared" si="3"/>
        <v>0</v>
      </c>
      <c r="N29" s="52"/>
      <c r="O29" s="52" t="e">
        <f t="shared" si="4"/>
        <v>#DIV/0!</v>
      </c>
      <c r="P29" s="35" t="e">
        <f t="shared" si="5"/>
        <v>#DIV/0!</v>
      </c>
      <c r="Q29" s="34"/>
      <c r="R29" s="52">
        <f t="shared" si="6"/>
        <v>0</v>
      </c>
      <c r="T29" s="52"/>
      <c r="U29" s="1" t="e">
        <f t="shared" si="7"/>
        <v>#DIV/0!</v>
      </c>
      <c r="V29" s="35" t="e">
        <f t="shared" si="8"/>
        <v>#DIV/0!</v>
      </c>
      <c r="W29" s="32"/>
      <c r="X29" s="52">
        <f t="shared" si="9"/>
        <v>0</v>
      </c>
      <c r="Z29" s="52"/>
      <c r="AA29" s="1" t="e">
        <f t="shared" si="10"/>
        <v>#DIV/0!</v>
      </c>
      <c r="AB29" s="35" t="e">
        <f t="shared" si="11"/>
        <v>#DIV/0!</v>
      </c>
    </row>
    <row r="30" spans="2:28" s="1" customFormat="1" x14ac:dyDescent="0.25">
      <c r="B30" s="20">
        <v>45938</v>
      </c>
      <c r="C30" s="1" t="s">
        <v>12</v>
      </c>
      <c r="D30" s="1" t="s">
        <v>13</v>
      </c>
      <c r="E30" s="30">
        <v>75</v>
      </c>
      <c r="F30" s="64">
        <f t="shared" si="0"/>
        <v>150</v>
      </c>
      <c r="G30" s="1">
        <v>151.1</v>
      </c>
      <c r="H30" s="52">
        <v>2</v>
      </c>
      <c r="I30" s="52">
        <f t="shared" si="1"/>
        <v>75.55</v>
      </c>
      <c r="J30" s="35">
        <f t="shared" si="2"/>
        <v>7.333333333333295E-3</v>
      </c>
      <c r="K30" s="34"/>
      <c r="L30" s="52">
        <f t="shared" si="3"/>
        <v>0</v>
      </c>
      <c r="N30" s="52"/>
      <c r="O30" s="52" t="e">
        <f t="shared" si="4"/>
        <v>#DIV/0!</v>
      </c>
      <c r="P30" s="35" t="e">
        <f t="shared" si="5"/>
        <v>#DIV/0!</v>
      </c>
      <c r="Q30" s="34"/>
      <c r="R30" s="52">
        <f t="shared" si="6"/>
        <v>0</v>
      </c>
      <c r="T30" s="52"/>
      <c r="U30" s="1" t="e">
        <f t="shared" si="7"/>
        <v>#DIV/0!</v>
      </c>
      <c r="V30" s="35" t="e">
        <f t="shared" si="8"/>
        <v>#DIV/0!</v>
      </c>
      <c r="W30" s="32"/>
      <c r="X30" s="52">
        <f t="shared" si="9"/>
        <v>0</v>
      </c>
      <c r="Z30" s="52"/>
      <c r="AA30" s="1" t="e">
        <f t="shared" si="10"/>
        <v>#DIV/0!</v>
      </c>
      <c r="AB30" s="35" t="e">
        <f t="shared" si="11"/>
        <v>#DIV/0!</v>
      </c>
    </row>
    <row r="31" spans="2:28" s="1" customFormat="1" x14ac:dyDescent="0.25">
      <c r="B31" s="20">
        <v>45938</v>
      </c>
      <c r="C31" s="1" t="s">
        <v>19</v>
      </c>
      <c r="D31" s="1" t="s">
        <v>13</v>
      </c>
      <c r="E31" s="30"/>
      <c r="F31" s="64">
        <f t="shared" si="0"/>
        <v>0</v>
      </c>
      <c r="H31" s="52"/>
      <c r="I31" s="52" t="e">
        <f t="shared" si="1"/>
        <v>#DIV/0!</v>
      </c>
      <c r="J31" s="35" t="e">
        <f t="shared" si="2"/>
        <v>#DIV/0!</v>
      </c>
      <c r="K31" s="34">
        <v>150</v>
      </c>
      <c r="L31" s="52">
        <f t="shared" si="3"/>
        <v>1035</v>
      </c>
      <c r="M31" s="1">
        <v>979.8</v>
      </c>
      <c r="N31" s="52">
        <f>+M31/142</f>
        <v>6.8999999999999995</v>
      </c>
      <c r="O31" s="52">
        <f t="shared" si="4"/>
        <v>142</v>
      </c>
      <c r="P31" s="35">
        <f t="shared" si="5"/>
        <v>-5.3333333333333337E-2</v>
      </c>
      <c r="Q31" s="34"/>
      <c r="R31" s="52">
        <f t="shared" si="6"/>
        <v>0</v>
      </c>
      <c r="T31" s="52"/>
      <c r="U31" s="1" t="e">
        <f t="shared" si="7"/>
        <v>#DIV/0!</v>
      </c>
      <c r="V31" s="35" t="e">
        <f t="shared" si="8"/>
        <v>#DIV/0!</v>
      </c>
      <c r="W31" s="32"/>
      <c r="X31" s="52">
        <f t="shared" si="9"/>
        <v>0</v>
      </c>
      <c r="Z31" s="52"/>
      <c r="AA31" s="1" t="e">
        <f t="shared" si="10"/>
        <v>#DIV/0!</v>
      </c>
      <c r="AB31" s="35" t="e">
        <f t="shared" si="11"/>
        <v>#DIV/0!</v>
      </c>
    </row>
    <row r="32" spans="2:28" s="1" customFormat="1" x14ac:dyDescent="0.25">
      <c r="B32" s="20">
        <v>45938</v>
      </c>
      <c r="C32" s="1" t="s">
        <v>20</v>
      </c>
      <c r="D32" s="1" t="s">
        <v>13</v>
      </c>
      <c r="E32" s="30"/>
      <c r="F32" s="64">
        <f t="shared" si="0"/>
        <v>0</v>
      </c>
      <c r="H32" s="52"/>
      <c r="I32" s="52" t="e">
        <f t="shared" si="1"/>
        <v>#DIV/0!</v>
      </c>
      <c r="J32" s="35" t="e">
        <f t="shared" si="2"/>
        <v>#DIV/0!</v>
      </c>
      <c r="K32" s="34">
        <v>150</v>
      </c>
      <c r="L32" s="52">
        <f t="shared" si="3"/>
        <v>1020.65625</v>
      </c>
      <c r="M32" s="1">
        <v>1088.7</v>
      </c>
      <c r="N32" s="52">
        <f>+M32/160</f>
        <v>6.8043750000000003</v>
      </c>
      <c r="O32" s="52">
        <f t="shared" si="4"/>
        <v>160</v>
      </c>
      <c r="P32" s="35">
        <f t="shared" si="5"/>
        <v>6.6666666666666666E-2</v>
      </c>
      <c r="Q32" s="34"/>
      <c r="R32" s="52">
        <f t="shared" si="6"/>
        <v>0</v>
      </c>
      <c r="T32" s="52"/>
      <c r="U32" s="1" t="e">
        <f t="shared" si="7"/>
        <v>#DIV/0!</v>
      </c>
      <c r="V32" s="35" t="e">
        <f t="shared" si="8"/>
        <v>#DIV/0!</v>
      </c>
      <c r="W32" s="32"/>
      <c r="X32" s="52">
        <f t="shared" si="9"/>
        <v>0</v>
      </c>
      <c r="Z32" s="52"/>
      <c r="AA32" s="1" t="e">
        <f t="shared" si="10"/>
        <v>#DIV/0!</v>
      </c>
      <c r="AB32" s="35" t="e">
        <f t="shared" si="11"/>
        <v>#DIV/0!</v>
      </c>
    </row>
    <row r="33" spans="2:28" s="1" customFormat="1" x14ac:dyDescent="0.25">
      <c r="B33" s="20">
        <v>45938</v>
      </c>
      <c r="C33" s="1" t="s">
        <v>23</v>
      </c>
      <c r="D33" s="1" t="s">
        <v>13</v>
      </c>
      <c r="E33" s="30"/>
      <c r="F33" s="64">
        <f t="shared" si="0"/>
        <v>0</v>
      </c>
      <c r="H33" s="52"/>
      <c r="I33" s="52" t="e">
        <f t="shared" si="1"/>
        <v>#DIV/0!</v>
      </c>
      <c r="J33" s="35" t="e">
        <f t="shared" si="2"/>
        <v>#DIV/0!</v>
      </c>
      <c r="K33" s="34">
        <v>150</v>
      </c>
      <c r="L33" s="52">
        <f t="shared" si="3"/>
        <v>809.484375</v>
      </c>
      <c r="M33" s="1">
        <v>863.45</v>
      </c>
      <c r="N33" s="52">
        <f>+M33/160</f>
        <v>5.3965624999999999</v>
      </c>
      <c r="O33" s="52">
        <f t="shared" si="4"/>
        <v>160</v>
      </c>
      <c r="P33" s="35">
        <f t="shared" si="5"/>
        <v>6.6666666666666666E-2</v>
      </c>
      <c r="Q33" s="34"/>
      <c r="R33" s="52">
        <f t="shared" si="6"/>
        <v>0</v>
      </c>
      <c r="T33" s="52"/>
      <c r="U33" s="1" t="e">
        <f t="shared" si="7"/>
        <v>#DIV/0!</v>
      </c>
      <c r="V33" s="35" t="e">
        <f t="shared" si="8"/>
        <v>#DIV/0!</v>
      </c>
      <c r="W33" s="32"/>
      <c r="X33" s="52">
        <f t="shared" si="9"/>
        <v>0</v>
      </c>
      <c r="Z33" s="52"/>
      <c r="AA33" s="1" t="e">
        <f t="shared" si="10"/>
        <v>#DIV/0!</v>
      </c>
      <c r="AB33" s="35" t="e">
        <f t="shared" si="11"/>
        <v>#DIV/0!</v>
      </c>
    </row>
    <row r="34" spans="2:28" s="1" customFormat="1" x14ac:dyDescent="0.25">
      <c r="B34" s="20">
        <v>45938</v>
      </c>
      <c r="C34" s="1" t="s">
        <v>16</v>
      </c>
      <c r="D34" s="1" t="s">
        <v>13</v>
      </c>
      <c r="E34" s="30"/>
      <c r="F34" s="64">
        <f t="shared" si="0"/>
        <v>0</v>
      </c>
      <c r="H34" s="52"/>
      <c r="I34" s="52" t="e">
        <f t="shared" si="1"/>
        <v>#DIV/0!</v>
      </c>
      <c r="J34" s="35" t="e">
        <f t="shared" si="2"/>
        <v>#DIV/0!</v>
      </c>
      <c r="K34" s="34"/>
      <c r="L34" s="52">
        <f t="shared" si="3"/>
        <v>0</v>
      </c>
      <c r="N34" s="52"/>
      <c r="O34" s="52" t="e">
        <f t="shared" si="4"/>
        <v>#DIV/0!</v>
      </c>
      <c r="P34" s="35" t="e">
        <f t="shared" si="5"/>
        <v>#DIV/0!</v>
      </c>
      <c r="Q34" s="34">
        <v>170</v>
      </c>
      <c r="R34" s="52">
        <f t="shared" si="6"/>
        <v>4103.6220930232557</v>
      </c>
      <c r="S34" s="1">
        <v>4151.8999999999996</v>
      </c>
      <c r="T34" s="52">
        <f>+S34/172</f>
        <v>24.138953488372092</v>
      </c>
      <c r="U34" s="1">
        <f t="shared" si="7"/>
        <v>172</v>
      </c>
      <c r="V34" s="35">
        <f t="shared" si="8"/>
        <v>1.1764705882352941E-2</v>
      </c>
      <c r="W34" s="32"/>
      <c r="X34" s="52">
        <f t="shared" si="9"/>
        <v>0</v>
      </c>
      <c r="Z34" s="52"/>
      <c r="AA34" s="1" t="e">
        <f t="shared" si="10"/>
        <v>#DIV/0!</v>
      </c>
      <c r="AB34" s="35" t="e">
        <f t="shared" si="11"/>
        <v>#DIV/0!</v>
      </c>
    </row>
    <row r="35" spans="2:28" s="1" customFormat="1" x14ac:dyDescent="0.25">
      <c r="B35" s="20">
        <v>45939</v>
      </c>
      <c r="C35" s="1" t="s">
        <v>12</v>
      </c>
      <c r="D35" s="1" t="s">
        <v>13</v>
      </c>
      <c r="E35" s="30">
        <v>75</v>
      </c>
      <c r="F35" s="64">
        <f t="shared" si="0"/>
        <v>1762.5</v>
      </c>
      <c r="G35" s="1">
        <v>2187.15</v>
      </c>
      <c r="H35" s="52">
        <v>23.5</v>
      </c>
      <c r="I35" s="52">
        <f t="shared" si="1"/>
        <v>93.07021276595745</v>
      </c>
      <c r="J35" s="35">
        <f t="shared" si="2"/>
        <v>0.240936170212766</v>
      </c>
      <c r="K35" s="34"/>
      <c r="L35" s="52">
        <f t="shared" ref="L35:L66" si="12">K35*N35</f>
        <v>0</v>
      </c>
      <c r="N35" s="52"/>
      <c r="O35" s="52" t="e">
        <f t="shared" si="4"/>
        <v>#DIV/0!</v>
      </c>
      <c r="P35" s="35" t="e">
        <f t="shared" si="5"/>
        <v>#DIV/0!</v>
      </c>
      <c r="Q35" s="34"/>
      <c r="R35" s="52">
        <f t="shared" si="6"/>
        <v>0</v>
      </c>
      <c r="T35" s="52"/>
      <c r="U35" s="1" t="e">
        <f t="shared" si="7"/>
        <v>#DIV/0!</v>
      </c>
      <c r="V35" s="35" t="e">
        <f t="shared" si="8"/>
        <v>#DIV/0!</v>
      </c>
      <c r="W35" s="32"/>
      <c r="X35" s="52">
        <f t="shared" si="9"/>
        <v>0</v>
      </c>
      <c r="Z35" s="52"/>
      <c r="AA35" s="1" t="e">
        <f t="shared" si="10"/>
        <v>#DIV/0!</v>
      </c>
      <c r="AB35" s="35" t="e">
        <f t="shared" si="11"/>
        <v>#DIV/0!</v>
      </c>
    </row>
    <row r="36" spans="2:28" s="1" customFormat="1" x14ac:dyDescent="0.25">
      <c r="B36" s="20">
        <v>45939</v>
      </c>
      <c r="C36" s="1" t="s">
        <v>26</v>
      </c>
      <c r="D36" s="1" t="s">
        <v>13</v>
      </c>
      <c r="E36" s="30"/>
      <c r="F36" s="64">
        <f t="shared" si="0"/>
        <v>0</v>
      </c>
      <c r="H36" s="52"/>
      <c r="I36" s="52" t="e">
        <f t="shared" si="1"/>
        <v>#DIV/0!</v>
      </c>
      <c r="J36" s="35" t="e">
        <f t="shared" si="2"/>
        <v>#DIV/0!</v>
      </c>
      <c r="K36" s="34">
        <v>150</v>
      </c>
      <c r="L36" s="52">
        <f t="shared" si="12"/>
        <v>871.27152317880802</v>
      </c>
      <c r="M36" s="1">
        <v>877.08</v>
      </c>
      <c r="N36" s="52">
        <f>+M36/151</f>
        <v>5.8084768211920537</v>
      </c>
      <c r="O36" s="52">
        <f t="shared" si="4"/>
        <v>151</v>
      </c>
      <c r="P36" s="35">
        <f t="shared" si="5"/>
        <v>6.6666666666666671E-3</v>
      </c>
      <c r="Q36" s="34"/>
      <c r="R36" s="52">
        <f t="shared" si="6"/>
        <v>0</v>
      </c>
      <c r="T36" s="52"/>
      <c r="U36" s="1" t="e">
        <f t="shared" si="7"/>
        <v>#DIV/0!</v>
      </c>
      <c r="V36" s="35" t="e">
        <f t="shared" si="8"/>
        <v>#DIV/0!</v>
      </c>
      <c r="W36" s="32"/>
      <c r="X36" s="52">
        <f t="shared" si="9"/>
        <v>0</v>
      </c>
      <c r="Z36" s="52"/>
      <c r="AA36" s="1" t="e">
        <f t="shared" si="10"/>
        <v>#DIV/0!</v>
      </c>
      <c r="AB36" s="35" t="e">
        <f t="shared" si="11"/>
        <v>#DIV/0!</v>
      </c>
    </row>
    <row r="37" spans="2:28" s="1" customFormat="1" x14ac:dyDescent="0.25">
      <c r="B37" s="20">
        <v>45939</v>
      </c>
      <c r="C37" s="1" t="s">
        <v>17</v>
      </c>
      <c r="D37" s="1" t="s">
        <v>13</v>
      </c>
      <c r="E37" s="30"/>
      <c r="F37" s="64">
        <f t="shared" si="0"/>
        <v>0</v>
      </c>
      <c r="H37" s="52"/>
      <c r="I37" s="52" t="e">
        <f t="shared" si="1"/>
        <v>#DIV/0!</v>
      </c>
      <c r="J37" s="35" t="e">
        <f t="shared" si="2"/>
        <v>#DIV/0!</v>
      </c>
      <c r="K37" s="34">
        <v>140</v>
      </c>
      <c r="L37" s="52">
        <f t="shared" si="12"/>
        <v>694.60919540229895</v>
      </c>
      <c r="M37" s="1">
        <v>431.65000000000009</v>
      </c>
      <c r="N37" s="52">
        <f>+M37/87</f>
        <v>4.9614942528735639</v>
      </c>
      <c r="O37" s="52">
        <f t="shared" si="4"/>
        <v>87</v>
      </c>
      <c r="P37" s="35">
        <f t="shared" si="5"/>
        <v>-0.37857142857142856</v>
      </c>
      <c r="Q37" s="34">
        <v>195</v>
      </c>
      <c r="R37" s="52">
        <f t="shared" si="6"/>
        <v>2347.2637499999996</v>
      </c>
      <c r="S37" s="1">
        <v>2407.4499999999998</v>
      </c>
      <c r="T37" s="52">
        <f>+S37/200</f>
        <v>12.037249999999998</v>
      </c>
      <c r="U37" s="1">
        <f t="shared" si="7"/>
        <v>200</v>
      </c>
      <c r="V37" s="35">
        <f t="shared" si="8"/>
        <v>2.564102564102564E-2</v>
      </c>
      <c r="W37" s="32"/>
      <c r="X37" s="52">
        <f t="shared" si="9"/>
        <v>0</v>
      </c>
      <c r="Z37" s="52"/>
      <c r="AA37" s="1" t="e">
        <f t="shared" si="10"/>
        <v>#DIV/0!</v>
      </c>
      <c r="AB37" s="35" t="e">
        <f t="shared" si="11"/>
        <v>#DIV/0!</v>
      </c>
    </row>
    <row r="38" spans="2:28" s="1" customFormat="1" x14ac:dyDescent="0.25">
      <c r="B38" s="20">
        <v>45939</v>
      </c>
      <c r="C38" s="1" t="s">
        <v>16</v>
      </c>
      <c r="D38" s="1" t="s">
        <v>13</v>
      </c>
      <c r="E38" s="30"/>
      <c r="F38" s="64">
        <f t="shared" si="0"/>
        <v>0</v>
      </c>
      <c r="H38" s="52"/>
      <c r="I38" s="52" t="e">
        <f t="shared" si="1"/>
        <v>#DIV/0!</v>
      </c>
      <c r="J38" s="35" t="e">
        <f t="shared" si="2"/>
        <v>#DIV/0!</v>
      </c>
      <c r="K38" s="34"/>
      <c r="L38" s="52">
        <f t="shared" si="12"/>
        <v>0</v>
      </c>
      <c r="N38" s="52"/>
      <c r="O38" s="52" t="e">
        <f t="shared" si="4"/>
        <v>#DIV/0!</v>
      </c>
      <c r="P38" s="35" t="e">
        <f t="shared" si="5"/>
        <v>#DIV/0!</v>
      </c>
      <c r="Q38" s="34">
        <v>170</v>
      </c>
      <c r="R38" s="52">
        <f t="shared" si="6"/>
        <v>1344.093567251462</v>
      </c>
      <c r="S38" s="1">
        <v>1352</v>
      </c>
      <c r="T38" s="52">
        <f>+S38/171</f>
        <v>7.9064327485380117</v>
      </c>
      <c r="U38" s="1">
        <f t="shared" si="7"/>
        <v>171</v>
      </c>
      <c r="V38" s="35">
        <f t="shared" si="8"/>
        <v>5.8823529411764705E-3</v>
      </c>
      <c r="W38" s="32"/>
      <c r="X38" s="52">
        <f t="shared" si="9"/>
        <v>0</v>
      </c>
      <c r="Z38" s="52"/>
      <c r="AA38" s="1" t="e">
        <f t="shared" si="10"/>
        <v>#DIV/0!</v>
      </c>
      <c r="AB38" s="35" t="e">
        <f t="shared" si="11"/>
        <v>#DIV/0!</v>
      </c>
    </row>
    <row r="39" spans="2:28" s="23" customFormat="1" x14ac:dyDescent="0.25">
      <c r="B39" s="20">
        <v>45940</v>
      </c>
      <c r="C39" s="1" t="s">
        <v>12</v>
      </c>
      <c r="D39" s="23" t="s">
        <v>13</v>
      </c>
      <c r="E39" s="31">
        <v>75</v>
      </c>
      <c r="F39" s="65">
        <f t="shared" si="0"/>
        <v>213.88235294117649</v>
      </c>
      <c r="G39" s="23">
        <v>242.4</v>
      </c>
      <c r="H39" s="53">
        <f>+G39/85</f>
        <v>2.8517647058823532</v>
      </c>
      <c r="I39" s="53">
        <f t="shared" si="1"/>
        <v>85</v>
      </c>
      <c r="J39" s="37">
        <f t="shared" si="2"/>
        <v>0.13333333333333333</v>
      </c>
      <c r="K39" s="36"/>
      <c r="L39" s="52">
        <f t="shared" si="12"/>
        <v>0</v>
      </c>
      <c r="N39" s="53"/>
      <c r="O39" s="53" t="e">
        <f t="shared" si="4"/>
        <v>#DIV/0!</v>
      </c>
      <c r="P39" s="37" t="e">
        <f t="shared" si="5"/>
        <v>#DIV/0!</v>
      </c>
      <c r="Q39" s="36"/>
      <c r="R39" s="53">
        <f t="shared" si="6"/>
        <v>0</v>
      </c>
      <c r="T39" s="53"/>
      <c r="U39" s="23" t="e">
        <f t="shared" si="7"/>
        <v>#DIV/0!</v>
      </c>
      <c r="V39" s="37" t="e">
        <f t="shared" si="8"/>
        <v>#DIV/0!</v>
      </c>
      <c r="W39" s="33"/>
      <c r="X39" s="52">
        <f t="shared" si="9"/>
        <v>0</v>
      </c>
      <c r="Z39" s="53"/>
      <c r="AA39" s="1" t="e">
        <f t="shared" si="10"/>
        <v>#DIV/0!</v>
      </c>
      <c r="AB39" s="35" t="e">
        <f t="shared" si="11"/>
        <v>#DIV/0!</v>
      </c>
    </row>
    <row r="40" spans="2:28" x14ac:dyDescent="0.25">
      <c r="B40" s="20">
        <v>45940</v>
      </c>
      <c r="C40" s="1" t="s">
        <v>14</v>
      </c>
      <c r="D40" s="23" t="s">
        <v>13</v>
      </c>
      <c r="E40" s="2">
        <v>85</v>
      </c>
      <c r="F40" s="65">
        <f t="shared" si="0"/>
        <v>1584.4809523809524</v>
      </c>
      <c r="G40" s="2">
        <v>1957.3</v>
      </c>
      <c r="H40" s="55">
        <f>+G40/105</f>
        <v>18.640952380952381</v>
      </c>
      <c r="I40" s="53">
        <f t="shared" si="1"/>
        <v>105</v>
      </c>
      <c r="J40" s="37">
        <f t="shared" si="2"/>
        <v>0.23529411764705882</v>
      </c>
      <c r="L40" s="52">
        <f t="shared" si="12"/>
        <v>0</v>
      </c>
      <c r="O40" s="53" t="e">
        <f t="shared" si="4"/>
        <v>#DIV/0!</v>
      </c>
      <c r="P40" s="37" t="e">
        <f t="shared" si="5"/>
        <v>#DIV/0!</v>
      </c>
      <c r="R40" s="53">
        <f t="shared" si="6"/>
        <v>0</v>
      </c>
      <c r="U40" s="23" t="e">
        <f t="shared" si="7"/>
        <v>#DIV/0!</v>
      </c>
      <c r="V40" s="37" t="e">
        <f t="shared" si="8"/>
        <v>#DIV/0!</v>
      </c>
      <c r="X40" s="52">
        <f t="shared" si="9"/>
        <v>0</v>
      </c>
      <c r="AA40" s="1" t="e">
        <f t="shared" si="10"/>
        <v>#DIV/0!</v>
      </c>
      <c r="AB40" s="35" t="e">
        <f t="shared" si="11"/>
        <v>#DIV/0!</v>
      </c>
    </row>
    <row r="41" spans="2:28" x14ac:dyDescent="0.25">
      <c r="B41" s="20">
        <v>45940</v>
      </c>
      <c r="C41" s="4" t="s">
        <v>18</v>
      </c>
      <c r="D41" s="23" t="s">
        <v>13</v>
      </c>
      <c r="E41" s="2"/>
      <c r="F41" s="65">
        <f t="shared" si="0"/>
        <v>0</v>
      </c>
      <c r="I41" s="53" t="e">
        <f t="shared" si="1"/>
        <v>#DIV/0!</v>
      </c>
      <c r="J41" s="37" t="e">
        <f t="shared" si="2"/>
        <v>#DIV/0!</v>
      </c>
      <c r="L41" s="52">
        <f t="shared" si="12"/>
        <v>0</v>
      </c>
      <c r="M41" s="2">
        <v>664.4</v>
      </c>
      <c r="O41" s="53" t="e">
        <f t="shared" si="4"/>
        <v>#DIV/0!</v>
      </c>
      <c r="P41" s="37" t="e">
        <f t="shared" si="5"/>
        <v>#DIV/0!</v>
      </c>
      <c r="R41" s="53">
        <f t="shared" si="6"/>
        <v>0</v>
      </c>
      <c r="U41" s="23" t="e">
        <f t="shared" si="7"/>
        <v>#DIV/0!</v>
      </c>
      <c r="V41" s="37" t="e">
        <f t="shared" si="8"/>
        <v>#DIV/0!</v>
      </c>
      <c r="X41" s="52">
        <f t="shared" si="9"/>
        <v>0</v>
      </c>
      <c r="AA41" s="1" t="e">
        <f t="shared" si="10"/>
        <v>#DIV/0!</v>
      </c>
      <c r="AB41" s="35" t="e">
        <f t="shared" si="11"/>
        <v>#DIV/0!</v>
      </c>
    </row>
    <row r="42" spans="2:28" x14ac:dyDescent="0.25">
      <c r="B42" s="20">
        <v>45940</v>
      </c>
      <c r="C42" s="4" t="s">
        <v>21</v>
      </c>
      <c r="D42" s="23" t="s">
        <v>13</v>
      </c>
      <c r="E42" s="2"/>
      <c r="F42" s="65">
        <f t="shared" si="0"/>
        <v>0</v>
      </c>
      <c r="I42" s="53" t="e">
        <f t="shared" si="1"/>
        <v>#DIV/0!</v>
      </c>
      <c r="J42" s="37" t="e">
        <f t="shared" si="2"/>
        <v>#DIV/0!</v>
      </c>
      <c r="L42" s="52">
        <f t="shared" si="12"/>
        <v>0</v>
      </c>
      <c r="M42" s="2">
        <v>251.7</v>
      </c>
      <c r="O42" s="53" t="e">
        <f t="shared" si="4"/>
        <v>#DIV/0!</v>
      </c>
      <c r="P42" s="37" t="e">
        <f t="shared" si="5"/>
        <v>#DIV/0!</v>
      </c>
      <c r="R42" s="53">
        <f t="shared" si="6"/>
        <v>0</v>
      </c>
      <c r="U42" s="23" t="e">
        <f t="shared" si="7"/>
        <v>#DIV/0!</v>
      </c>
      <c r="V42" s="37" t="e">
        <f t="shared" si="8"/>
        <v>#DIV/0!</v>
      </c>
      <c r="X42" s="52">
        <f t="shared" si="9"/>
        <v>0</v>
      </c>
      <c r="AA42" s="1" t="e">
        <f t="shared" si="10"/>
        <v>#DIV/0!</v>
      </c>
      <c r="AB42" s="35" t="e">
        <f t="shared" si="11"/>
        <v>#DIV/0!</v>
      </c>
    </row>
    <row r="43" spans="2:28" x14ac:dyDescent="0.25">
      <c r="B43" s="20">
        <v>45940</v>
      </c>
      <c r="C43" s="1" t="s">
        <v>17</v>
      </c>
      <c r="D43" s="23" t="s">
        <v>13</v>
      </c>
      <c r="E43" s="2"/>
      <c r="F43" s="65">
        <f t="shared" si="0"/>
        <v>0</v>
      </c>
      <c r="I43" s="53" t="e">
        <f t="shared" si="1"/>
        <v>#DIV/0!</v>
      </c>
      <c r="J43" s="37" t="e">
        <f t="shared" si="2"/>
        <v>#DIV/0!</v>
      </c>
      <c r="K43" s="34">
        <v>140</v>
      </c>
      <c r="L43" s="52">
        <f t="shared" si="12"/>
        <v>120.85057471264366</v>
      </c>
      <c r="M43" s="2">
        <v>75.099999999999994</v>
      </c>
      <c r="N43" s="55">
        <f>+M43/87</f>
        <v>0.86321839080459761</v>
      </c>
      <c r="O43" s="53">
        <f t="shared" si="4"/>
        <v>87</v>
      </c>
      <c r="P43" s="37">
        <f t="shared" si="5"/>
        <v>-0.37857142857142856</v>
      </c>
      <c r="Q43" s="11">
        <v>195</v>
      </c>
      <c r="R43" s="53">
        <f t="shared" si="6"/>
        <v>4209.4317073170732</v>
      </c>
      <c r="S43" s="2">
        <v>4425.3</v>
      </c>
      <c r="T43" s="55">
        <f>+S43/205</f>
        <v>21.586829268292682</v>
      </c>
      <c r="U43" s="23">
        <f t="shared" si="7"/>
        <v>205.00000000000003</v>
      </c>
      <c r="V43" s="37">
        <f t="shared" si="8"/>
        <v>5.1282051282051426E-2</v>
      </c>
      <c r="X43" s="52">
        <f t="shared" si="9"/>
        <v>0</v>
      </c>
      <c r="AA43" s="1" t="e">
        <f t="shared" si="10"/>
        <v>#DIV/0!</v>
      </c>
      <c r="AB43" s="35" t="e">
        <f t="shared" si="11"/>
        <v>#DIV/0!</v>
      </c>
    </row>
    <row r="44" spans="2:28" x14ac:dyDescent="0.25">
      <c r="B44" s="20">
        <v>45941</v>
      </c>
      <c r="C44" s="2" t="s">
        <v>14</v>
      </c>
      <c r="D44" s="23" t="s">
        <v>13</v>
      </c>
      <c r="E44" s="2">
        <v>85</v>
      </c>
      <c r="F44" s="65">
        <f t="shared" si="0"/>
        <v>1400.7828282828282</v>
      </c>
      <c r="G44" s="2">
        <v>1631.5</v>
      </c>
      <c r="H44" s="55">
        <f>+G44/99</f>
        <v>16.479797979797979</v>
      </c>
      <c r="I44" s="53">
        <f t="shared" si="1"/>
        <v>99</v>
      </c>
      <c r="J44" s="37">
        <f t="shared" si="2"/>
        <v>0.16470588235294117</v>
      </c>
      <c r="L44" s="52">
        <f t="shared" si="12"/>
        <v>0</v>
      </c>
      <c r="O44" s="53" t="e">
        <f t="shared" si="4"/>
        <v>#DIV/0!</v>
      </c>
      <c r="P44" s="37" t="e">
        <f t="shared" si="5"/>
        <v>#DIV/0!</v>
      </c>
      <c r="R44" s="53">
        <f t="shared" si="6"/>
        <v>0</v>
      </c>
      <c r="U44" s="23" t="e">
        <f t="shared" si="7"/>
        <v>#DIV/0!</v>
      </c>
      <c r="V44" s="37" t="e">
        <f t="shared" si="8"/>
        <v>#DIV/0!</v>
      </c>
      <c r="X44" s="52">
        <f t="shared" si="9"/>
        <v>0</v>
      </c>
      <c r="AA44" s="1" t="e">
        <f t="shared" si="10"/>
        <v>#DIV/0!</v>
      </c>
      <c r="AB44" s="35" t="e">
        <f t="shared" si="11"/>
        <v>#DIV/0!</v>
      </c>
    </row>
    <row r="45" spans="2:28" x14ac:dyDescent="0.25">
      <c r="B45" s="20">
        <v>45941</v>
      </c>
      <c r="C45" s="1" t="s">
        <v>17</v>
      </c>
      <c r="D45" s="23" t="s">
        <v>13</v>
      </c>
      <c r="E45" s="30">
        <v>160</v>
      </c>
      <c r="F45" s="65">
        <f t="shared" si="0"/>
        <v>1061.1733333333334</v>
      </c>
      <c r="G45" s="2">
        <v>994.85</v>
      </c>
      <c r="H45" s="55">
        <f>+G45/150</f>
        <v>6.6323333333333334</v>
      </c>
      <c r="I45" s="53">
        <f t="shared" si="1"/>
        <v>150</v>
      </c>
      <c r="J45" s="37">
        <f t="shared" si="2"/>
        <v>-6.25E-2</v>
      </c>
      <c r="L45" s="52">
        <f t="shared" si="12"/>
        <v>0</v>
      </c>
      <c r="O45" s="53" t="e">
        <f t="shared" si="4"/>
        <v>#DIV/0!</v>
      </c>
      <c r="P45" s="37" t="e">
        <f t="shared" si="5"/>
        <v>#DIV/0!</v>
      </c>
      <c r="R45" s="53">
        <f t="shared" si="6"/>
        <v>0</v>
      </c>
      <c r="U45" s="23" t="e">
        <f t="shared" si="7"/>
        <v>#DIV/0!</v>
      </c>
      <c r="V45" s="37" t="e">
        <f t="shared" si="8"/>
        <v>#DIV/0!</v>
      </c>
      <c r="X45" s="52">
        <f t="shared" si="9"/>
        <v>0</v>
      </c>
      <c r="AA45" s="1" t="e">
        <f t="shared" si="10"/>
        <v>#DIV/0!</v>
      </c>
      <c r="AB45" s="35" t="e">
        <f t="shared" si="11"/>
        <v>#DIV/0!</v>
      </c>
    </row>
    <row r="46" spans="2:28" x14ac:dyDescent="0.25">
      <c r="B46" s="20">
        <v>45941</v>
      </c>
      <c r="C46" s="4" t="s">
        <v>21</v>
      </c>
      <c r="D46" s="23" t="s">
        <v>13</v>
      </c>
      <c r="E46" s="2"/>
      <c r="F46" s="65">
        <f t="shared" si="0"/>
        <v>0</v>
      </c>
      <c r="I46" s="53" t="e">
        <f t="shared" si="1"/>
        <v>#DIV/0!</v>
      </c>
      <c r="J46" s="37" t="e">
        <f t="shared" si="2"/>
        <v>#DIV/0!</v>
      </c>
      <c r="L46" s="52">
        <f t="shared" si="12"/>
        <v>0</v>
      </c>
      <c r="M46" s="2">
        <v>50.45</v>
      </c>
      <c r="O46" s="53" t="e">
        <f t="shared" si="4"/>
        <v>#DIV/0!</v>
      </c>
      <c r="P46" s="37" t="e">
        <f t="shared" si="5"/>
        <v>#DIV/0!</v>
      </c>
      <c r="R46" s="53">
        <f t="shared" si="6"/>
        <v>0</v>
      </c>
      <c r="U46" s="23" t="e">
        <f t="shared" si="7"/>
        <v>#DIV/0!</v>
      </c>
      <c r="V46" s="37" t="e">
        <f t="shared" si="8"/>
        <v>#DIV/0!</v>
      </c>
      <c r="X46" s="52">
        <f t="shared" si="9"/>
        <v>0</v>
      </c>
      <c r="AA46" s="1" t="e">
        <f t="shared" si="10"/>
        <v>#DIV/0!</v>
      </c>
      <c r="AB46" s="35" t="e">
        <f t="shared" si="11"/>
        <v>#DIV/0!</v>
      </c>
    </row>
    <row r="47" spans="2:28" x14ac:dyDescent="0.25">
      <c r="B47" s="20">
        <v>45941</v>
      </c>
      <c r="C47" s="4" t="s">
        <v>18</v>
      </c>
      <c r="D47" s="23" t="s">
        <v>13</v>
      </c>
      <c r="E47" s="2"/>
      <c r="F47" s="65">
        <f t="shared" si="0"/>
        <v>0</v>
      </c>
      <c r="I47" s="53" t="e">
        <f t="shared" si="1"/>
        <v>#DIV/0!</v>
      </c>
      <c r="J47" s="37" t="e">
        <f t="shared" si="2"/>
        <v>#DIV/0!</v>
      </c>
      <c r="L47" s="52">
        <f t="shared" si="12"/>
        <v>0</v>
      </c>
      <c r="M47" s="2">
        <v>117.55</v>
      </c>
      <c r="O47" s="53" t="e">
        <f t="shared" si="4"/>
        <v>#DIV/0!</v>
      </c>
      <c r="P47" s="37" t="e">
        <f t="shared" si="5"/>
        <v>#DIV/0!</v>
      </c>
      <c r="R47" s="53">
        <f t="shared" si="6"/>
        <v>0</v>
      </c>
      <c r="U47" s="23" t="e">
        <f t="shared" si="7"/>
        <v>#DIV/0!</v>
      </c>
      <c r="V47" s="37" t="e">
        <f t="shared" si="8"/>
        <v>#DIV/0!</v>
      </c>
      <c r="X47" s="52">
        <f t="shared" si="9"/>
        <v>0</v>
      </c>
      <c r="AA47" s="1" t="e">
        <f t="shared" si="10"/>
        <v>#DIV/0!</v>
      </c>
      <c r="AB47" s="35" t="e">
        <f t="shared" si="11"/>
        <v>#DIV/0!</v>
      </c>
    </row>
    <row r="48" spans="2:28" x14ac:dyDescent="0.25">
      <c r="B48" s="20">
        <v>45941</v>
      </c>
      <c r="C48" s="4" t="s">
        <v>15</v>
      </c>
      <c r="D48" s="23" t="s">
        <v>13</v>
      </c>
      <c r="E48" s="2"/>
      <c r="F48" s="65">
        <f t="shared" si="0"/>
        <v>0</v>
      </c>
      <c r="I48" s="53" t="e">
        <f t="shared" si="1"/>
        <v>#DIV/0!</v>
      </c>
      <c r="J48" s="37" t="e">
        <f t="shared" si="2"/>
        <v>#DIV/0!</v>
      </c>
      <c r="L48" s="52">
        <f t="shared" si="12"/>
        <v>0</v>
      </c>
      <c r="M48" s="2">
        <v>395.59999999999997</v>
      </c>
      <c r="O48" s="53" t="e">
        <f t="shared" si="4"/>
        <v>#DIV/0!</v>
      </c>
      <c r="P48" s="37" t="e">
        <f t="shared" si="5"/>
        <v>#DIV/0!</v>
      </c>
      <c r="R48" s="53">
        <f t="shared" si="6"/>
        <v>0</v>
      </c>
      <c r="U48" s="23" t="e">
        <f t="shared" si="7"/>
        <v>#DIV/0!</v>
      </c>
      <c r="V48" s="37" t="e">
        <f t="shared" si="8"/>
        <v>#DIV/0!</v>
      </c>
      <c r="X48" s="52">
        <f t="shared" si="9"/>
        <v>0</v>
      </c>
      <c r="AA48" s="1" t="e">
        <f t="shared" si="10"/>
        <v>#DIV/0!</v>
      </c>
      <c r="AB48" s="35" t="e">
        <f t="shared" si="11"/>
        <v>#DIV/0!</v>
      </c>
    </row>
    <row r="49" spans="2:28" x14ac:dyDescent="0.25">
      <c r="B49" s="20">
        <v>45941</v>
      </c>
      <c r="C49" s="1" t="s">
        <v>17</v>
      </c>
      <c r="D49" s="23" t="s">
        <v>13</v>
      </c>
      <c r="E49" s="2"/>
      <c r="F49" s="65">
        <f t="shared" si="0"/>
        <v>0</v>
      </c>
      <c r="I49" s="53" t="e">
        <f t="shared" si="1"/>
        <v>#DIV/0!</v>
      </c>
      <c r="J49" s="37" t="e">
        <f t="shared" si="2"/>
        <v>#DIV/0!</v>
      </c>
      <c r="L49" s="52">
        <f t="shared" si="12"/>
        <v>0</v>
      </c>
      <c r="O49" s="53" t="e">
        <f t="shared" si="4"/>
        <v>#DIV/0!</v>
      </c>
      <c r="P49" s="37" t="e">
        <f t="shared" si="5"/>
        <v>#DIV/0!</v>
      </c>
      <c r="Q49" s="34">
        <v>195</v>
      </c>
      <c r="R49" s="53">
        <f t="shared" si="6"/>
        <v>1161.1536585365855</v>
      </c>
      <c r="S49" s="2">
        <v>1220.7</v>
      </c>
      <c r="T49" s="55">
        <f>+S49/205</f>
        <v>5.9546341463414638</v>
      </c>
      <c r="U49" s="23">
        <f t="shared" si="7"/>
        <v>205</v>
      </c>
      <c r="V49" s="37">
        <f t="shared" si="8"/>
        <v>5.128205128205128E-2</v>
      </c>
      <c r="X49" s="52">
        <f t="shared" si="9"/>
        <v>0</v>
      </c>
      <c r="AA49" s="1" t="e">
        <f t="shared" si="10"/>
        <v>#DIV/0!</v>
      </c>
      <c r="AB49" s="35" t="e">
        <f t="shared" si="11"/>
        <v>#DIV/0!</v>
      </c>
    </row>
    <row r="50" spans="2:28" x14ac:dyDescent="0.25">
      <c r="B50" s="20">
        <v>45941</v>
      </c>
      <c r="C50" s="1" t="s">
        <v>20</v>
      </c>
      <c r="D50" s="23" t="s">
        <v>13</v>
      </c>
      <c r="E50" s="2"/>
      <c r="F50" s="65">
        <f t="shared" si="0"/>
        <v>0</v>
      </c>
      <c r="I50" s="53" t="e">
        <f t="shared" si="1"/>
        <v>#DIV/0!</v>
      </c>
      <c r="J50" s="37" t="e">
        <f t="shared" si="2"/>
        <v>#DIV/0!</v>
      </c>
      <c r="L50" s="52">
        <f t="shared" si="12"/>
        <v>0</v>
      </c>
      <c r="O50" s="53" t="e">
        <f t="shared" si="4"/>
        <v>#DIV/0!</v>
      </c>
      <c r="P50" s="37" t="e">
        <f t="shared" si="5"/>
        <v>#DIV/0!</v>
      </c>
      <c r="Q50" s="11">
        <v>195</v>
      </c>
      <c r="R50" s="53">
        <f t="shared" si="6"/>
        <v>1924.0145089285706</v>
      </c>
      <c r="S50" s="2">
        <v>2210.1499999999992</v>
      </c>
      <c r="T50" s="55">
        <f>+S50/224</f>
        <v>9.8667410714285673</v>
      </c>
      <c r="U50" s="23">
        <f t="shared" si="7"/>
        <v>224</v>
      </c>
      <c r="V50" s="37">
        <f t="shared" si="8"/>
        <v>0.14871794871794872</v>
      </c>
      <c r="X50" s="52">
        <f t="shared" si="9"/>
        <v>0</v>
      </c>
      <c r="AA50" s="1" t="e">
        <f t="shared" si="10"/>
        <v>#DIV/0!</v>
      </c>
      <c r="AB50" s="35" t="e">
        <f t="shared" si="11"/>
        <v>#DIV/0!</v>
      </c>
    </row>
    <row r="51" spans="2:28" x14ac:dyDescent="0.25">
      <c r="B51" s="20">
        <v>45943</v>
      </c>
      <c r="C51" s="1" t="s">
        <v>16</v>
      </c>
      <c r="D51" s="23" t="s">
        <v>13</v>
      </c>
      <c r="E51" s="2">
        <v>155</v>
      </c>
      <c r="F51" s="65">
        <f t="shared" si="0"/>
        <v>782.19281045751632</v>
      </c>
      <c r="G51" s="2">
        <v>772.1</v>
      </c>
      <c r="H51" s="55">
        <f>+G51/153</f>
        <v>5.0464052287581698</v>
      </c>
      <c r="I51" s="53">
        <f t="shared" si="1"/>
        <v>153</v>
      </c>
      <c r="J51" s="37">
        <f t="shared" si="2"/>
        <v>-1.2903225806451613E-2</v>
      </c>
      <c r="K51" s="11">
        <v>130</v>
      </c>
      <c r="L51" s="52">
        <f t="shared" si="12"/>
        <v>641.2935779816512</v>
      </c>
      <c r="M51" s="2">
        <v>537.69999999999982</v>
      </c>
      <c r="N51" s="55">
        <f>+M51/109</f>
        <v>4.9330275229357783</v>
      </c>
      <c r="O51" s="53">
        <f t="shared" si="4"/>
        <v>109</v>
      </c>
      <c r="P51" s="37">
        <f t="shared" si="5"/>
        <v>-0.16153846153846155</v>
      </c>
      <c r="R51" s="53">
        <f t="shared" si="6"/>
        <v>0</v>
      </c>
      <c r="U51" s="23" t="e">
        <f t="shared" si="7"/>
        <v>#DIV/0!</v>
      </c>
      <c r="V51" s="37" t="e">
        <f t="shared" si="8"/>
        <v>#DIV/0!</v>
      </c>
      <c r="X51" s="52">
        <f t="shared" si="9"/>
        <v>0</v>
      </c>
      <c r="AA51" s="1" t="e">
        <f t="shared" si="10"/>
        <v>#DIV/0!</v>
      </c>
      <c r="AB51" s="35" t="e">
        <f t="shared" si="11"/>
        <v>#DIV/0!</v>
      </c>
    </row>
    <row r="52" spans="2:28" x14ac:dyDescent="0.25">
      <c r="B52" s="20">
        <v>45943</v>
      </c>
      <c r="C52" s="1" t="s">
        <v>17</v>
      </c>
      <c r="D52" s="23" t="s">
        <v>13</v>
      </c>
      <c r="E52" s="2">
        <v>160</v>
      </c>
      <c r="F52" s="65">
        <f t="shared" si="0"/>
        <v>2485.1878787878786</v>
      </c>
      <c r="G52" s="2">
        <v>2562.85</v>
      </c>
      <c r="H52" s="55">
        <f>+G52/165</f>
        <v>15.532424242424241</v>
      </c>
      <c r="I52" s="53">
        <f t="shared" si="1"/>
        <v>165</v>
      </c>
      <c r="J52" s="37">
        <f t="shared" si="2"/>
        <v>3.125E-2</v>
      </c>
      <c r="L52" s="52">
        <f t="shared" si="12"/>
        <v>0</v>
      </c>
      <c r="O52" s="53" t="e">
        <f t="shared" si="4"/>
        <v>#DIV/0!</v>
      </c>
      <c r="P52" s="37" t="e">
        <f t="shared" si="5"/>
        <v>#DIV/0!</v>
      </c>
      <c r="R52" s="53">
        <f t="shared" si="6"/>
        <v>0</v>
      </c>
      <c r="U52" s="23" t="e">
        <f t="shared" si="7"/>
        <v>#DIV/0!</v>
      </c>
      <c r="V52" s="37" t="e">
        <f t="shared" si="8"/>
        <v>#DIV/0!</v>
      </c>
      <c r="X52" s="52">
        <f t="shared" si="9"/>
        <v>0</v>
      </c>
      <c r="AA52" s="1" t="e">
        <f t="shared" si="10"/>
        <v>#DIV/0!</v>
      </c>
      <c r="AB52" s="35" t="e">
        <f t="shared" si="11"/>
        <v>#DIV/0!</v>
      </c>
    </row>
    <row r="53" spans="2:28" x14ac:dyDescent="0.25">
      <c r="B53" s="20">
        <v>45943</v>
      </c>
      <c r="C53" s="1" t="s">
        <v>12</v>
      </c>
      <c r="D53" s="23" t="s">
        <v>13</v>
      </c>
      <c r="E53" s="2"/>
      <c r="F53" s="65">
        <f t="shared" si="0"/>
        <v>0</v>
      </c>
      <c r="I53" s="53" t="e">
        <f t="shared" si="1"/>
        <v>#DIV/0!</v>
      </c>
      <c r="J53" s="37" t="e">
        <f t="shared" si="2"/>
        <v>#DIV/0!</v>
      </c>
      <c r="K53" s="11">
        <v>75</v>
      </c>
      <c r="L53" s="52">
        <f t="shared" si="12"/>
        <v>661.00961538461559</v>
      </c>
      <c r="M53" s="1">
        <v>687.45000000000016</v>
      </c>
      <c r="N53" s="55">
        <f>+M53/78</f>
        <v>8.8134615384615405</v>
      </c>
      <c r="O53" s="53">
        <f t="shared" si="4"/>
        <v>78</v>
      </c>
      <c r="P53" s="37">
        <f t="shared" si="5"/>
        <v>0.04</v>
      </c>
      <c r="R53" s="53">
        <f t="shared" si="6"/>
        <v>0</v>
      </c>
      <c r="U53" s="23" t="e">
        <f t="shared" si="7"/>
        <v>#DIV/0!</v>
      </c>
      <c r="V53" s="37" t="e">
        <f t="shared" si="8"/>
        <v>#DIV/0!</v>
      </c>
      <c r="X53" s="52">
        <f t="shared" si="9"/>
        <v>0</v>
      </c>
      <c r="AA53" s="1" t="e">
        <f t="shared" si="10"/>
        <v>#DIV/0!</v>
      </c>
      <c r="AB53" s="35" t="e">
        <f t="shared" si="11"/>
        <v>#DIV/0!</v>
      </c>
    </row>
    <row r="54" spans="2:28" x14ac:dyDescent="0.25">
      <c r="B54" s="20">
        <v>45943</v>
      </c>
      <c r="C54" s="1" t="s">
        <v>20</v>
      </c>
      <c r="D54" s="23" t="s">
        <v>13</v>
      </c>
      <c r="E54" s="2"/>
      <c r="F54" s="65">
        <f t="shared" si="0"/>
        <v>0</v>
      </c>
      <c r="I54" s="53" t="e">
        <f t="shared" si="1"/>
        <v>#DIV/0!</v>
      </c>
      <c r="J54" s="37" t="e">
        <f t="shared" si="2"/>
        <v>#DIV/0!</v>
      </c>
      <c r="L54" s="52">
        <f t="shared" si="12"/>
        <v>0</v>
      </c>
      <c r="O54" s="53" t="e">
        <f t="shared" si="4"/>
        <v>#DIV/0!</v>
      </c>
      <c r="P54" s="37" t="e">
        <f t="shared" si="5"/>
        <v>#DIV/0!</v>
      </c>
      <c r="Q54" s="11">
        <v>195</v>
      </c>
      <c r="R54" s="53">
        <f t="shared" si="6"/>
        <v>2142.1651982378853</v>
      </c>
      <c r="S54" s="2">
        <v>2493.6999999999998</v>
      </c>
      <c r="T54" s="55">
        <f>+S54/227</f>
        <v>10.985462555066078</v>
      </c>
      <c r="U54" s="23">
        <f t="shared" si="7"/>
        <v>227</v>
      </c>
      <c r="V54" s="37">
        <f t="shared" si="8"/>
        <v>0.1641025641025641</v>
      </c>
      <c r="X54" s="52">
        <f t="shared" si="9"/>
        <v>0</v>
      </c>
      <c r="AA54" s="1" t="e">
        <f t="shared" si="10"/>
        <v>#DIV/0!</v>
      </c>
      <c r="AB54" s="35" t="e">
        <f t="shared" si="11"/>
        <v>#DIV/0!</v>
      </c>
    </row>
    <row r="55" spans="2:28" x14ac:dyDescent="0.25">
      <c r="B55" s="20">
        <v>45944</v>
      </c>
      <c r="C55" s="1" t="s">
        <v>17</v>
      </c>
      <c r="D55" s="23" t="s">
        <v>13</v>
      </c>
      <c r="E55" s="2">
        <v>160</v>
      </c>
      <c r="F55" s="65">
        <f t="shared" si="0"/>
        <v>3753.2403225806452</v>
      </c>
      <c r="G55" s="2">
        <v>3713.9</v>
      </c>
      <c r="H55" s="55">
        <f>+(1219.55/155)+(2494.35/160)</f>
        <v>23.457752016129032</v>
      </c>
      <c r="I55" s="53">
        <f t="shared" si="1"/>
        <v>158.32292870375665</v>
      </c>
      <c r="J55" s="37">
        <f>(I55-E55)/E55</f>
        <v>-1.0481695601520968E-2</v>
      </c>
      <c r="K55" s="11">
        <v>140</v>
      </c>
      <c r="L55" s="52">
        <f t="shared" si="12"/>
        <v>827.52173913043475</v>
      </c>
      <c r="M55" s="2">
        <v>815.69999999999993</v>
      </c>
      <c r="N55" s="55">
        <f>+M55/138</f>
        <v>5.910869565217391</v>
      </c>
      <c r="O55" s="53">
        <f t="shared" si="4"/>
        <v>138</v>
      </c>
      <c r="P55" s="37">
        <f t="shared" si="5"/>
        <v>-1.4285714285714285E-2</v>
      </c>
      <c r="R55" s="53">
        <f t="shared" si="6"/>
        <v>0</v>
      </c>
      <c r="U55" s="23" t="e">
        <f t="shared" si="7"/>
        <v>#DIV/0!</v>
      </c>
      <c r="V55" s="37" t="e">
        <f t="shared" si="8"/>
        <v>#DIV/0!</v>
      </c>
      <c r="X55" s="52">
        <f t="shared" si="9"/>
        <v>0</v>
      </c>
      <c r="AA55" s="1" t="e">
        <f t="shared" si="10"/>
        <v>#DIV/0!</v>
      </c>
      <c r="AB55" s="35" t="e">
        <f t="shared" si="11"/>
        <v>#DIV/0!</v>
      </c>
    </row>
    <row r="56" spans="2:28" x14ac:dyDescent="0.25">
      <c r="B56" s="20">
        <v>45944</v>
      </c>
      <c r="C56" s="2" t="s">
        <v>16</v>
      </c>
      <c r="D56" s="23" t="s">
        <v>13</v>
      </c>
      <c r="E56" s="2"/>
      <c r="F56" s="65">
        <f t="shared" si="0"/>
        <v>0</v>
      </c>
      <c r="I56" s="53" t="e">
        <f t="shared" si="1"/>
        <v>#DIV/0!</v>
      </c>
      <c r="J56" s="37" t="e">
        <f t="shared" si="2"/>
        <v>#DIV/0!</v>
      </c>
      <c r="K56" s="11">
        <v>130</v>
      </c>
      <c r="L56" s="52">
        <f t="shared" si="12"/>
        <v>532.36884057971008</v>
      </c>
      <c r="M56" s="2">
        <v>565.12999999999988</v>
      </c>
      <c r="N56" s="55">
        <f>+M56/138</f>
        <v>4.0951449275362313</v>
      </c>
      <c r="O56" s="53">
        <f t="shared" si="4"/>
        <v>138</v>
      </c>
      <c r="P56" s="37">
        <f t="shared" si="5"/>
        <v>6.1538461538461542E-2</v>
      </c>
      <c r="R56" s="53">
        <f t="shared" si="6"/>
        <v>0</v>
      </c>
      <c r="U56" s="23" t="e">
        <f t="shared" si="7"/>
        <v>#DIV/0!</v>
      </c>
      <c r="V56" s="37" t="e">
        <f t="shared" si="8"/>
        <v>#DIV/0!</v>
      </c>
      <c r="X56" s="52">
        <f t="shared" si="9"/>
        <v>0</v>
      </c>
      <c r="AA56" s="1" t="e">
        <f t="shared" si="10"/>
        <v>#DIV/0!</v>
      </c>
      <c r="AB56" s="35" t="e">
        <f t="shared" si="11"/>
        <v>#DIV/0!</v>
      </c>
    </row>
    <row r="57" spans="2:28" x14ac:dyDescent="0.25">
      <c r="B57" s="20">
        <v>45944</v>
      </c>
      <c r="C57" s="2" t="s">
        <v>29</v>
      </c>
      <c r="D57" s="23" t="s">
        <v>13</v>
      </c>
      <c r="E57" s="2"/>
      <c r="F57" s="65">
        <f t="shared" si="0"/>
        <v>0</v>
      </c>
      <c r="I57" s="53" t="e">
        <f t="shared" si="1"/>
        <v>#DIV/0!</v>
      </c>
      <c r="J57" s="37" t="e">
        <f t="shared" si="2"/>
        <v>#DIV/0!</v>
      </c>
      <c r="K57" s="11">
        <v>165</v>
      </c>
      <c r="L57" s="52">
        <f t="shared" si="12"/>
        <v>191.90769230769229</v>
      </c>
      <c r="M57" s="2">
        <v>151.19999999999999</v>
      </c>
      <c r="N57" s="55">
        <f>+M57/130</f>
        <v>1.1630769230769229</v>
      </c>
      <c r="O57" s="53">
        <f t="shared" si="4"/>
        <v>130</v>
      </c>
      <c r="P57" s="37">
        <f t="shared" si="5"/>
        <v>-0.21212121212121213</v>
      </c>
      <c r="R57" s="53">
        <f t="shared" si="6"/>
        <v>0</v>
      </c>
      <c r="U57" s="23" t="e">
        <f t="shared" si="7"/>
        <v>#DIV/0!</v>
      </c>
      <c r="V57" s="37" t="e">
        <f t="shared" si="8"/>
        <v>#DIV/0!</v>
      </c>
      <c r="X57" s="52">
        <f t="shared" si="9"/>
        <v>0</v>
      </c>
      <c r="AA57" s="1" t="e">
        <f t="shared" si="10"/>
        <v>#DIV/0!</v>
      </c>
      <c r="AB57" s="35" t="e">
        <f t="shared" si="11"/>
        <v>#DIV/0!</v>
      </c>
    </row>
    <row r="58" spans="2:28" x14ac:dyDescent="0.25">
      <c r="B58" s="20">
        <v>45944</v>
      </c>
      <c r="C58" s="2" t="s">
        <v>26</v>
      </c>
      <c r="D58" s="23" t="s">
        <v>13</v>
      </c>
      <c r="E58" s="2"/>
      <c r="F58" s="65">
        <f t="shared" si="0"/>
        <v>0</v>
      </c>
      <c r="I58" s="53" t="e">
        <f t="shared" si="1"/>
        <v>#DIV/0!</v>
      </c>
      <c r="J58" s="37" t="e">
        <f t="shared" si="2"/>
        <v>#DIV/0!</v>
      </c>
      <c r="K58" s="11">
        <v>150</v>
      </c>
      <c r="L58" s="52">
        <f t="shared" si="12"/>
        <v>117.41999999999999</v>
      </c>
      <c r="M58" s="2">
        <v>97.85</v>
      </c>
      <c r="N58" s="55">
        <f>+M58/125</f>
        <v>0.78279999999999994</v>
      </c>
      <c r="O58" s="53">
        <f t="shared" si="4"/>
        <v>125</v>
      </c>
      <c r="P58" s="37">
        <f t="shared" si="5"/>
        <v>-0.16666666666666666</v>
      </c>
      <c r="R58" s="53">
        <f t="shared" si="6"/>
        <v>0</v>
      </c>
      <c r="U58" s="23" t="e">
        <f t="shared" si="7"/>
        <v>#DIV/0!</v>
      </c>
      <c r="V58" s="37" t="e">
        <f t="shared" si="8"/>
        <v>#DIV/0!</v>
      </c>
      <c r="X58" s="52">
        <f t="shared" si="9"/>
        <v>0</v>
      </c>
      <c r="AA58" s="1" t="e">
        <f t="shared" si="10"/>
        <v>#DIV/0!</v>
      </c>
      <c r="AB58" s="35" t="e">
        <f t="shared" si="11"/>
        <v>#DIV/0!</v>
      </c>
    </row>
    <row r="59" spans="2:28" x14ac:dyDescent="0.25">
      <c r="B59" s="20">
        <v>45944</v>
      </c>
      <c r="C59" s="2" t="s">
        <v>23</v>
      </c>
      <c r="D59" s="23" t="s">
        <v>13</v>
      </c>
      <c r="E59" s="2"/>
      <c r="F59" s="65">
        <f t="shared" si="0"/>
        <v>0</v>
      </c>
      <c r="I59" s="53" t="e">
        <f t="shared" si="1"/>
        <v>#DIV/0!</v>
      </c>
      <c r="J59" s="37" t="e">
        <f t="shared" si="2"/>
        <v>#DIV/0!</v>
      </c>
      <c r="K59" s="1">
        <v>150</v>
      </c>
      <c r="L59" s="52">
        <f t="shared" si="12"/>
        <v>76.8</v>
      </c>
      <c r="M59" s="2">
        <v>64</v>
      </c>
      <c r="N59" s="55">
        <f>+M59/125</f>
        <v>0.51200000000000001</v>
      </c>
      <c r="O59" s="53">
        <f t="shared" si="4"/>
        <v>125</v>
      </c>
      <c r="P59" s="37">
        <f t="shared" si="5"/>
        <v>-0.16666666666666666</v>
      </c>
      <c r="R59" s="53">
        <f t="shared" si="6"/>
        <v>0</v>
      </c>
      <c r="U59" s="23" t="e">
        <f t="shared" si="7"/>
        <v>#DIV/0!</v>
      </c>
      <c r="V59" s="37" t="e">
        <f t="shared" si="8"/>
        <v>#DIV/0!</v>
      </c>
      <c r="X59" s="52">
        <f t="shared" si="9"/>
        <v>0</v>
      </c>
      <c r="AA59" s="1" t="e">
        <f t="shared" si="10"/>
        <v>#DIV/0!</v>
      </c>
      <c r="AB59" s="35" t="e">
        <f t="shared" si="11"/>
        <v>#DIV/0!</v>
      </c>
    </row>
    <row r="60" spans="2:28" x14ac:dyDescent="0.25">
      <c r="B60" s="20">
        <v>45944</v>
      </c>
      <c r="C60" s="2" t="s">
        <v>20</v>
      </c>
      <c r="D60" s="23" t="s">
        <v>13</v>
      </c>
      <c r="E60" s="2"/>
      <c r="F60" s="65">
        <f t="shared" si="0"/>
        <v>0</v>
      </c>
      <c r="I60" s="53" t="e">
        <f t="shared" si="1"/>
        <v>#DIV/0!</v>
      </c>
      <c r="J60" s="37" t="e">
        <f t="shared" si="2"/>
        <v>#DIV/0!</v>
      </c>
      <c r="L60" s="52">
        <f t="shared" si="12"/>
        <v>0</v>
      </c>
      <c r="O60" s="53" t="e">
        <f t="shared" si="4"/>
        <v>#DIV/0!</v>
      </c>
      <c r="P60" s="37" t="e">
        <f t="shared" si="5"/>
        <v>#DIV/0!</v>
      </c>
      <c r="Q60" s="11">
        <v>195</v>
      </c>
      <c r="R60" s="53">
        <f t="shared" si="6"/>
        <v>4269.8035714285716</v>
      </c>
      <c r="S60" s="2">
        <v>4598.25</v>
      </c>
      <c r="T60" s="55">
        <f>+S60/210</f>
        <v>21.896428571428572</v>
      </c>
      <c r="U60" s="23">
        <f t="shared" si="7"/>
        <v>210</v>
      </c>
      <c r="V60" s="37">
        <f t="shared" si="8"/>
        <v>7.6923076923076927E-2</v>
      </c>
      <c r="X60" s="52">
        <f t="shared" si="9"/>
        <v>0</v>
      </c>
      <c r="AA60" s="1" t="e">
        <f t="shared" si="10"/>
        <v>#DIV/0!</v>
      </c>
      <c r="AB60" s="35" t="e">
        <f t="shared" si="11"/>
        <v>#DIV/0!</v>
      </c>
    </row>
    <row r="61" spans="2:28" x14ac:dyDescent="0.25">
      <c r="B61" s="20">
        <v>45945</v>
      </c>
      <c r="C61" s="2" t="s">
        <v>20</v>
      </c>
      <c r="D61" s="23" t="s">
        <v>13</v>
      </c>
      <c r="E61" s="2"/>
      <c r="F61" s="65">
        <f t="shared" si="0"/>
        <v>0</v>
      </c>
      <c r="I61" s="53" t="e">
        <f t="shared" si="1"/>
        <v>#DIV/0!</v>
      </c>
      <c r="J61" s="37" t="e">
        <f t="shared" si="2"/>
        <v>#DIV/0!</v>
      </c>
      <c r="L61" s="52">
        <f t="shared" si="12"/>
        <v>0</v>
      </c>
      <c r="O61" s="53" t="e">
        <f t="shared" si="4"/>
        <v>#DIV/0!</v>
      </c>
      <c r="P61" s="37" t="e">
        <f t="shared" si="5"/>
        <v>#DIV/0!</v>
      </c>
      <c r="Q61" s="11">
        <v>195</v>
      </c>
      <c r="R61" s="53">
        <f t="shared" si="6"/>
        <v>2977.4642857142858</v>
      </c>
      <c r="S61" s="2">
        <v>3206.5</v>
      </c>
      <c r="T61" s="55">
        <f>+S61/210</f>
        <v>15.269047619047619</v>
      </c>
      <c r="U61" s="23">
        <f t="shared" si="7"/>
        <v>210</v>
      </c>
      <c r="V61" s="37">
        <f t="shared" si="8"/>
        <v>7.6923076923076927E-2</v>
      </c>
      <c r="X61" s="52">
        <f t="shared" si="9"/>
        <v>0</v>
      </c>
      <c r="AA61" s="1" t="e">
        <f t="shared" si="10"/>
        <v>#DIV/0!</v>
      </c>
      <c r="AB61" s="35" t="e">
        <f t="shared" si="11"/>
        <v>#DIV/0!</v>
      </c>
    </row>
    <row r="62" spans="2:28" x14ac:dyDescent="0.25">
      <c r="B62" s="20">
        <v>45945</v>
      </c>
      <c r="C62" s="2" t="s">
        <v>19</v>
      </c>
      <c r="D62" s="23" t="s">
        <v>13</v>
      </c>
      <c r="E62" s="2"/>
      <c r="F62" s="65">
        <f t="shared" si="0"/>
        <v>0</v>
      </c>
      <c r="I62" s="53" t="e">
        <f t="shared" si="1"/>
        <v>#DIV/0!</v>
      </c>
      <c r="J62" s="37" t="e">
        <f t="shared" si="2"/>
        <v>#DIV/0!</v>
      </c>
      <c r="L62" s="52">
        <f t="shared" si="12"/>
        <v>0</v>
      </c>
      <c r="O62" s="53" t="e">
        <f t="shared" si="4"/>
        <v>#DIV/0!</v>
      </c>
      <c r="P62" s="37" t="e">
        <f t="shared" si="5"/>
        <v>#DIV/0!</v>
      </c>
      <c r="Q62" s="11">
        <v>195</v>
      </c>
      <c r="R62" s="53">
        <f t="shared" si="6"/>
        <v>709.95145631067965</v>
      </c>
      <c r="S62" s="2">
        <v>750</v>
      </c>
      <c r="T62" s="55">
        <f>+S62/206</f>
        <v>3.6407766990291264</v>
      </c>
      <c r="U62" s="23">
        <f t="shared" si="7"/>
        <v>206</v>
      </c>
      <c r="V62" s="37">
        <f t="shared" si="8"/>
        <v>5.6410256410256411E-2</v>
      </c>
      <c r="X62" s="52">
        <f t="shared" si="9"/>
        <v>0</v>
      </c>
      <c r="AA62" s="1" t="e">
        <f t="shared" si="10"/>
        <v>#DIV/0!</v>
      </c>
      <c r="AB62" s="35" t="e">
        <f t="shared" si="11"/>
        <v>#DIV/0!</v>
      </c>
    </row>
    <row r="63" spans="2:28" x14ac:dyDescent="0.25">
      <c r="B63" s="20">
        <v>45945</v>
      </c>
      <c r="C63" s="1" t="s">
        <v>28</v>
      </c>
      <c r="D63" s="23" t="s">
        <v>13</v>
      </c>
      <c r="E63" s="2"/>
      <c r="F63" s="65">
        <f t="shared" si="0"/>
        <v>0</v>
      </c>
      <c r="I63" s="53" t="e">
        <f t="shared" si="1"/>
        <v>#DIV/0!</v>
      </c>
      <c r="J63" s="37" t="e">
        <f t="shared" si="2"/>
        <v>#DIV/0!</v>
      </c>
      <c r="K63" s="11">
        <v>155</v>
      </c>
      <c r="L63" s="52">
        <f t="shared" si="12"/>
        <v>244.125</v>
      </c>
      <c r="M63" s="2">
        <v>267.75</v>
      </c>
      <c r="N63" s="55">
        <f>+M63/170</f>
        <v>1.575</v>
      </c>
      <c r="O63" s="53">
        <f t="shared" si="4"/>
        <v>170</v>
      </c>
      <c r="P63" s="37">
        <f t="shared" si="5"/>
        <v>9.6774193548387094E-2</v>
      </c>
      <c r="R63" s="53">
        <f t="shared" si="6"/>
        <v>0</v>
      </c>
      <c r="U63" s="23" t="e">
        <f t="shared" si="7"/>
        <v>#DIV/0!</v>
      </c>
      <c r="V63" s="37" t="e">
        <f t="shared" si="8"/>
        <v>#DIV/0!</v>
      </c>
      <c r="X63" s="52">
        <f t="shared" si="9"/>
        <v>0</v>
      </c>
      <c r="AA63" s="1" t="e">
        <f t="shared" si="10"/>
        <v>#DIV/0!</v>
      </c>
      <c r="AB63" s="35" t="e">
        <f t="shared" si="11"/>
        <v>#DIV/0!</v>
      </c>
    </row>
    <row r="64" spans="2:28" x14ac:dyDescent="0.25">
      <c r="B64" s="20">
        <v>45945</v>
      </c>
      <c r="C64" s="1" t="s">
        <v>29</v>
      </c>
      <c r="D64" s="23" t="s">
        <v>13</v>
      </c>
      <c r="E64" s="2"/>
      <c r="F64" s="65">
        <f t="shared" si="0"/>
        <v>0</v>
      </c>
      <c r="I64" s="53" t="e">
        <f t="shared" si="1"/>
        <v>#DIV/0!</v>
      </c>
      <c r="J64" s="37" t="e">
        <f t="shared" si="2"/>
        <v>#DIV/0!</v>
      </c>
      <c r="K64" s="11">
        <v>165</v>
      </c>
      <c r="L64" s="52">
        <f t="shared" si="12"/>
        <v>2558.7306629834261</v>
      </c>
      <c r="M64" s="2">
        <v>2806.8500000000008</v>
      </c>
      <c r="N64" s="55">
        <f>+M64/181</f>
        <v>15.507458563535916</v>
      </c>
      <c r="O64" s="53">
        <f t="shared" si="4"/>
        <v>181</v>
      </c>
      <c r="P64" s="37">
        <f t="shared" si="5"/>
        <v>9.696969696969697E-2</v>
      </c>
      <c r="R64" s="53">
        <f t="shared" si="6"/>
        <v>0</v>
      </c>
      <c r="U64" s="23" t="e">
        <f t="shared" si="7"/>
        <v>#DIV/0!</v>
      </c>
      <c r="V64" s="37" t="e">
        <f t="shared" si="8"/>
        <v>#DIV/0!</v>
      </c>
      <c r="X64" s="52">
        <f t="shared" si="9"/>
        <v>0</v>
      </c>
      <c r="AA64" s="1" t="e">
        <f t="shared" si="10"/>
        <v>#DIV/0!</v>
      </c>
      <c r="AB64" s="35" t="e">
        <f t="shared" si="11"/>
        <v>#DIV/0!</v>
      </c>
    </row>
    <row r="65" spans="2:28" x14ac:dyDescent="0.25">
      <c r="B65" s="20">
        <v>45945</v>
      </c>
      <c r="C65" s="1" t="s">
        <v>16</v>
      </c>
      <c r="D65" s="23" t="s">
        <v>13</v>
      </c>
      <c r="E65" s="2">
        <v>155</v>
      </c>
      <c r="F65" s="65">
        <f t="shared" si="0"/>
        <v>1826.5724137931036</v>
      </c>
      <c r="G65" s="2">
        <v>1721.3</v>
      </c>
      <c r="H65" s="55">
        <f>+(194.85/155)+(1526.45/145)</f>
        <v>11.784338153503894</v>
      </c>
      <c r="I65" s="53">
        <f t="shared" si="1"/>
        <v>146.0667521228757</v>
      </c>
      <c r="J65" s="37">
        <f t="shared" si="2"/>
        <v>-5.7633857271769687E-2</v>
      </c>
      <c r="L65" s="52">
        <f t="shared" si="12"/>
        <v>0</v>
      </c>
      <c r="O65" s="53" t="e">
        <f t="shared" si="4"/>
        <v>#DIV/0!</v>
      </c>
      <c r="P65" s="37" t="e">
        <f t="shared" si="5"/>
        <v>#DIV/0!</v>
      </c>
      <c r="R65" s="53">
        <f t="shared" si="6"/>
        <v>0</v>
      </c>
      <c r="U65" s="23" t="e">
        <f t="shared" si="7"/>
        <v>#DIV/0!</v>
      </c>
      <c r="V65" s="37" t="e">
        <f t="shared" si="8"/>
        <v>#DIV/0!</v>
      </c>
      <c r="X65" s="52">
        <f t="shared" si="9"/>
        <v>0</v>
      </c>
      <c r="AA65" s="1" t="e">
        <f t="shared" si="10"/>
        <v>#DIV/0!</v>
      </c>
      <c r="AB65" s="35" t="e">
        <f t="shared" si="11"/>
        <v>#DIV/0!</v>
      </c>
    </row>
    <row r="66" spans="2:28" x14ac:dyDescent="0.25">
      <c r="B66" s="20">
        <v>45945</v>
      </c>
      <c r="C66" s="1" t="s">
        <v>17</v>
      </c>
      <c r="D66" s="23" t="s">
        <v>13</v>
      </c>
      <c r="E66" s="2">
        <v>160</v>
      </c>
      <c r="F66" s="65">
        <f t="shared" si="0"/>
        <v>814.87179487179492</v>
      </c>
      <c r="G66" s="2">
        <v>794.50000000000011</v>
      </c>
      <c r="H66" s="55">
        <f>(794.5/156)</f>
        <v>5.0929487179487181</v>
      </c>
      <c r="I66" s="53">
        <f t="shared" si="1"/>
        <v>156.00000000000003</v>
      </c>
      <c r="J66" s="37">
        <f t="shared" si="2"/>
        <v>-2.4999999999999821E-2</v>
      </c>
      <c r="L66" s="52">
        <f t="shared" si="12"/>
        <v>0</v>
      </c>
      <c r="O66" s="53" t="e">
        <f t="shared" si="4"/>
        <v>#DIV/0!</v>
      </c>
      <c r="P66" s="37" t="e">
        <f t="shared" si="5"/>
        <v>#DIV/0!</v>
      </c>
      <c r="R66" s="53">
        <f t="shared" si="6"/>
        <v>0</v>
      </c>
      <c r="U66" s="23" t="e">
        <f t="shared" si="7"/>
        <v>#DIV/0!</v>
      </c>
      <c r="V66" s="37" t="e">
        <f t="shared" si="8"/>
        <v>#DIV/0!</v>
      </c>
      <c r="X66" s="52">
        <f t="shared" si="9"/>
        <v>0</v>
      </c>
      <c r="AA66" s="1" t="e">
        <f t="shared" si="10"/>
        <v>#DIV/0!</v>
      </c>
      <c r="AB66" s="35" t="e">
        <f t="shared" si="11"/>
        <v>#DIV/0!</v>
      </c>
    </row>
    <row r="67" spans="2:28" x14ac:dyDescent="0.25">
      <c r="B67" s="20">
        <v>45945</v>
      </c>
      <c r="C67" s="2" t="s">
        <v>20</v>
      </c>
      <c r="D67" s="23" t="s">
        <v>13</v>
      </c>
      <c r="E67" s="2">
        <v>170</v>
      </c>
      <c r="F67" s="65">
        <f t="shared" ref="F67:F93" si="13">E67*H67</f>
        <v>762.72222222222206</v>
      </c>
      <c r="G67" s="2">
        <v>686.44999999999993</v>
      </c>
      <c r="H67" s="55">
        <f>+G67/153</f>
        <v>4.4866013071895416</v>
      </c>
      <c r="I67" s="53">
        <f t="shared" ref="I67:I93" si="14">G67/H67</f>
        <v>153</v>
      </c>
      <c r="J67" s="37">
        <f t="shared" ref="J67:J93" si="15">(I67-E67)/E67</f>
        <v>-0.1</v>
      </c>
      <c r="L67" s="52">
        <f t="shared" ref="L67:L93" si="16">K67*N67</f>
        <v>0</v>
      </c>
      <c r="O67" s="53" t="e">
        <f t="shared" ref="O67:O93" si="17">M67/N67</f>
        <v>#DIV/0!</v>
      </c>
      <c r="P67" s="37" t="e">
        <f t="shared" ref="P67:P93" si="18">(O67-K67)/K67</f>
        <v>#DIV/0!</v>
      </c>
      <c r="R67" s="53">
        <f t="shared" ref="R67:R93" si="19">Q67*T67</f>
        <v>0</v>
      </c>
      <c r="U67" s="23" t="e">
        <f t="shared" ref="U67:U93" si="20">S67/T67</f>
        <v>#DIV/0!</v>
      </c>
      <c r="V67" s="37" t="e">
        <f t="shared" ref="V67:V93" si="21">(U67-Q67)/Q67</f>
        <v>#DIV/0!</v>
      </c>
      <c r="X67" s="52">
        <f t="shared" ref="X67:X93" si="22">W67*Z67</f>
        <v>0</v>
      </c>
      <c r="AA67" s="1" t="e">
        <f t="shared" ref="AA67:AA93" si="23">Y67/Z67</f>
        <v>#DIV/0!</v>
      </c>
      <c r="AB67" s="35" t="e">
        <f t="shared" ref="AB67:AB93" si="24">(AA67-W67)/W67</f>
        <v>#DIV/0!</v>
      </c>
    </row>
    <row r="68" spans="2:28" x14ac:dyDescent="0.25">
      <c r="B68" s="20">
        <v>45945</v>
      </c>
      <c r="C68" s="2" t="s">
        <v>22</v>
      </c>
      <c r="D68" s="23" t="s">
        <v>13</v>
      </c>
      <c r="E68" s="2"/>
      <c r="F68" s="65">
        <f t="shared" si="13"/>
        <v>0</v>
      </c>
      <c r="I68" s="53" t="e">
        <f t="shared" si="14"/>
        <v>#DIV/0!</v>
      </c>
      <c r="J68" s="37" t="e">
        <f t="shared" si="15"/>
        <v>#DIV/0!</v>
      </c>
      <c r="L68" s="52">
        <f t="shared" si="16"/>
        <v>0</v>
      </c>
      <c r="O68" s="53" t="e">
        <f t="shared" si="17"/>
        <v>#DIV/0!</v>
      </c>
      <c r="P68" s="37" t="e">
        <f t="shared" si="18"/>
        <v>#DIV/0!</v>
      </c>
      <c r="R68" s="53">
        <f t="shared" si="19"/>
        <v>0</v>
      </c>
      <c r="U68" s="23" t="e">
        <f t="shared" si="20"/>
        <v>#DIV/0!</v>
      </c>
      <c r="V68" s="37" t="e">
        <f t="shared" si="21"/>
        <v>#DIV/0!</v>
      </c>
      <c r="W68" s="2">
        <v>150</v>
      </c>
      <c r="X68" s="52">
        <f t="shared" si="22"/>
        <v>298.61111111111109</v>
      </c>
      <c r="Y68" s="2">
        <v>322.5</v>
      </c>
      <c r="Z68" s="55">
        <f>+Y68/162</f>
        <v>1.9907407407407407</v>
      </c>
      <c r="AA68" s="1">
        <f t="shared" si="23"/>
        <v>162</v>
      </c>
      <c r="AB68" s="35">
        <f t="shared" si="24"/>
        <v>0.08</v>
      </c>
    </row>
    <row r="69" spans="2:28" x14ac:dyDescent="0.25">
      <c r="B69" s="20">
        <v>45945</v>
      </c>
      <c r="C69" s="2" t="s">
        <v>23</v>
      </c>
      <c r="D69" s="23" t="s">
        <v>13</v>
      </c>
      <c r="E69" s="2"/>
      <c r="F69" s="65">
        <f t="shared" si="13"/>
        <v>0</v>
      </c>
      <c r="I69" s="53" t="e">
        <f t="shared" si="14"/>
        <v>#DIV/0!</v>
      </c>
      <c r="J69" s="37" t="e">
        <f t="shared" si="15"/>
        <v>#DIV/0!</v>
      </c>
      <c r="L69" s="52">
        <f t="shared" si="16"/>
        <v>0</v>
      </c>
      <c r="O69" s="53" t="e">
        <f t="shared" si="17"/>
        <v>#DIV/0!</v>
      </c>
      <c r="P69" s="37" t="e">
        <f t="shared" si="18"/>
        <v>#DIV/0!</v>
      </c>
      <c r="R69" s="53">
        <f t="shared" si="19"/>
        <v>0</v>
      </c>
      <c r="U69" s="23" t="e">
        <f t="shared" si="20"/>
        <v>#DIV/0!</v>
      </c>
      <c r="V69" s="37" t="e">
        <f t="shared" si="21"/>
        <v>#DIV/0!</v>
      </c>
      <c r="W69" s="2">
        <v>150</v>
      </c>
      <c r="X69" s="52">
        <f t="shared" si="22"/>
        <v>772.05882352941182</v>
      </c>
      <c r="Y69" s="2">
        <v>875</v>
      </c>
      <c r="Z69" s="55">
        <f>+Y69/170</f>
        <v>5.1470588235294121</v>
      </c>
      <c r="AA69" s="1">
        <f t="shared" si="23"/>
        <v>170</v>
      </c>
      <c r="AB69" s="35">
        <f t="shared" si="24"/>
        <v>0.13333333333333333</v>
      </c>
    </row>
    <row r="70" spans="2:28" x14ac:dyDescent="0.25">
      <c r="B70" s="20">
        <v>45946</v>
      </c>
      <c r="C70" s="2" t="s">
        <v>20</v>
      </c>
      <c r="D70" s="23" t="s">
        <v>13</v>
      </c>
      <c r="E70" s="2">
        <v>170</v>
      </c>
      <c r="F70" s="65">
        <f t="shared" si="13"/>
        <v>3882.6655367231642</v>
      </c>
      <c r="G70" s="2">
        <v>3946.6</v>
      </c>
      <c r="H70" s="55">
        <f>(1312.3/165)+(2634.8/177)</f>
        <v>22.839209039548024</v>
      </c>
      <c r="I70" s="53">
        <f t="shared" si="14"/>
        <v>172.79932913465296</v>
      </c>
      <c r="J70" s="37">
        <f t="shared" si="15"/>
        <v>1.6466641968546851E-2</v>
      </c>
      <c r="L70" s="52">
        <f t="shared" si="16"/>
        <v>0</v>
      </c>
      <c r="O70" s="53" t="e">
        <f t="shared" si="17"/>
        <v>#DIV/0!</v>
      </c>
      <c r="P70" s="37" t="e">
        <f t="shared" si="18"/>
        <v>#DIV/0!</v>
      </c>
      <c r="R70" s="53">
        <f t="shared" si="19"/>
        <v>0</v>
      </c>
      <c r="U70" s="23" t="e">
        <f t="shared" si="20"/>
        <v>#DIV/0!</v>
      </c>
      <c r="V70" s="37" t="e">
        <f t="shared" si="21"/>
        <v>#DIV/0!</v>
      </c>
      <c r="X70" s="52">
        <f t="shared" si="22"/>
        <v>0</v>
      </c>
      <c r="AA70" s="1" t="e">
        <f t="shared" si="23"/>
        <v>#DIV/0!</v>
      </c>
      <c r="AB70" s="35" t="e">
        <f t="shared" si="24"/>
        <v>#DIV/0!</v>
      </c>
    </row>
    <row r="71" spans="2:28" x14ac:dyDescent="0.25">
      <c r="B71" s="20">
        <v>45946</v>
      </c>
      <c r="C71" s="2" t="s">
        <v>23</v>
      </c>
      <c r="D71" s="23" t="s">
        <v>13</v>
      </c>
      <c r="E71" s="2"/>
      <c r="F71" s="65">
        <f t="shared" si="13"/>
        <v>0</v>
      </c>
      <c r="I71" s="53" t="e">
        <f t="shared" si="14"/>
        <v>#DIV/0!</v>
      </c>
      <c r="J71" s="37" t="e">
        <f t="shared" si="15"/>
        <v>#DIV/0!</v>
      </c>
      <c r="L71" s="52">
        <f t="shared" si="16"/>
        <v>0</v>
      </c>
      <c r="O71" s="53" t="e">
        <f t="shared" si="17"/>
        <v>#DIV/0!</v>
      </c>
      <c r="P71" s="37" t="e">
        <f t="shared" si="18"/>
        <v>#DIV/0!</v>
      </c>
      <c r="R71" s="53">
        <f t="shared" si="19"/>
        <v>0</v>
      </c>
      <c r="U71" s="23" t="e">
        <f t="shared" si="20"/>
        <v>#DIV/0!</v>
      </c>
      <c r="V71" s="37" t="e">
        <f t="shared" si="21"/>
        <v>#DIV/0!</v>
      </c>
      <c r="W71" s="2">
        <v>150</v>
      </c>
      <c r="X71" s="52">
        <f t="shared" si="22"/>
        <v>3596.71875</v>
      </c>
      <c r="Y71" s="2">
        <v>3836.5</v>
      </c>
      <c r="Z71" s="55">
        <f>+Y71/160</f>
        <v>23.978124999999999</v>
      </c>
      <c r="AA71" s="1">
        <f t="shared" si="23"/>
        <v>160</v>
      </c>
      <c r="AB71" s="35">
        <f t="shared" si="24"/>
        <v>6.6666666666666666E-2</v>
      </c>
    </row>
    <row r="72" spans="2:28" x14ac:dyDescent="0.25">
      <c r="B72" s="20">
        <v>45946</v>
      </c>
      <c r="C72" s="2" t="s">
        <v>29</v>
      </c>
      <c r="D72" s="23" t="s">
        <v>13</v>
      </c>
      <c r="E72" s="2"/>
      <c r="F72" s="65">
        <f t="shared" si="13"/>
        <v>0</v>
      </c>
      <c r="I72" s="53" t="e">
        <f t="shared" si="14"/>
        <v>#DIV/0!</v>
      </c>
      <c r="J72" s="37" t="e">
        <f t="shared" si="15"/>
        <v>#DIV/0!</v>
      </c>
      <c r="K72" s="11">
        <v>165</v>
      </c>
      <c r="L72" s="52">
        <f t="shared" si="16"/>
        <v>3703.2475806451616</v>
      </c>
      <c r="M72" s="2">
        <v>3941.05</v>
      </c>
      <c r="N72" s="55">
        <f>(1459.9/186)+(2481.15/170)</f>
        <v>22.443924731182797</v>
      </c>
      <c r="O72" s="53">
        <f t="shared" si="17"/>
        <v>175.59540264027194</v>
      </c>
      <c r="P72" s="37">
        <f t="shared" si="18"/>
        <v>6.4214561456193586E-2</v>
      </c>
      <c r="R72" s="53">
        <f t="shared" si="19"/>
        <v>0</v>
      </c>
      <c r="U72" s="23" t="e">
        <f>M72/T72</f>
        <v>#DIV/0!</v>
      </c>
      <c r="V72" s="37" t="e">
        <f t="shared" si="21"/>
        <v>#DIV/0!</v>
      </c>
      <c r="X72" s="52">
        <f t="shared" si="22"/>
        <v>0</v>
      </c>
      <c r="AA72" s="1" t="e">
        <f t="shared" si="23"/>
        <v>#DIV/0!</v>
      </c>
      <c r="AB72" s="35" t="e">
        <f t="shared" si="24"/>
        <v>#DIV/0!</v>
      </c>
    </row>
    <row r="73" spans="2:28" x14ac:dyDescent="0.25">
      <c r="B73" s="20">
        <v>45946</v>
      </c>
      <c r="C73" s="2" t="s">
        <v>17</v>
      </c>
      <c r="D73" s="23" t="s">
        <v>13</v>
      </c>
      <c r="E73" s="2"/>
      <c r="F73" s="65">
        <f t="shared" si="13"/>
        <v>0</v>
      </c>
      <c r="I73" s="53" t="e">
        <f t="shared" si="14"/>
        <v>#DIV/0!</v>
      </c>
      <c r="J73" s="37" t="e">
        <f t="shared" si="15"/>
        <v>#DIV/0!</v>
      </c>
      <c r="L73" s="52">
        <f t="shared" si="16"/>
        <v>0</v>
      </c>
      <c r="O73" s="53" t="e">
        <f t="shared" si="17"/>
        <v>#DIV/0!</v>
      </c>
      <c r="P73" s="37" t="e">
        <f t="shared" si="18"/>
        <v>#DIV/0!</v>
      </c>
      <c r="Q73" s="11">
        <v>195</v>
      </c>
      <c r="R73" s="53">
        <f t="shared" si="19"/>
        <v>3901.4839024390244</v>
      </c>
      <c r="S73" s="2">
        <v>4101.5600000000004</v>
      </c>
      <c r="T73" s="55">
        <f>+S73/205</f>
        <v>20.007609756097562</v>
      </c>
      <c r="U73" s="23">
        <f t="shared" ref="U73:U92" si="25">S73/T73</f>
        <v>205</v>
      </c>
      <c r="V73" s="37">
        <f t="shared" si="21"/>
        <v>5.128205128205128E-2</v>
      </c>
      <c r="X73" s="52">
        <f t="shared" si="22"/>
        <v>0</v>
      </c>
      <c r="AA73" s="1" t="e">
        <f t="shared" si="23"/>
        <v>#DIV/0!</v>
      </c>
      <c r="AB73" s="35" t="e">
        <f t="shared" si="24"/>
        <v>#DIV/0!</v>
      </c>
    </row>
    <row r="74" spans="2:28" x14ac:dyDescent="0.25">
      <c r="B74" s="20">
        <v>45948</v>
      </c>
      <c r="C74" s="2" t="s">
        <v>12</v>
      </c>
      <c r="D74" s="23" t="s">
        <v>13</v>
      </c>
      <c r="E74" s="1">
        <v>75</v>
      </c>
      <c r="F74" s="65">
        <f t="shared" si="13"/>
        <v>184.47289156626508</v>
      </c>
      <c r="G74" s="2">
        <v>204.15</v>
      </c>
      <c r="H74" s="55">
        <f>+(27.35/83)+(176.8/83)</f>
        <v>2.4596385542168675</v>
      </c>
      <c r="I74" s="53">
        <f t="shared" si="14"/>
        <v>83</v>
      </c>
      <c r="J74" s="37">
        <f t="shared" si="15"/>
        <v>0.10666666666666667</v>
      </c>
      <c r="L74" s="52">
        <f t="shared" si="16"/>
        <v>0</v>
      </c>
      <c r="O74" s="53" t="e">
        <f t="shared" si="17"/>
        <v>#DIV/0!</v>
      </c>
      <c r="P74" s="37" t="e">
        <f t="shared" si="18"/>
        <v>#DIV/0!</v>
      </c>
      <c r="R74" s="53">
        <f t="shared" si="19"/>
        <v>0</v>
      </c>
      <c r="U74" s="23" t="e">
        <f t="shared" si="25"/>
        <v>#DIV/0!</v>
      </c>
      <c r="V74" s="37" t="e">
        <f t="shared" si="21"/>
        <v>#DIV/0!</v>
      </c>
      <c r="X74" s="52">
        <f t="shared" si="22"/>
        <v>0</v>
      </c>
      <c r="AA74" s="1" t="e">
        <f t="shared" si="23"/>
        <v>#DIV/0!</v>
      </c>
      <c r="AB74" s="35" t="e">
        <f t="shared" si="24"/>
        <v>#DIV/0!</v>
      </c>
    </row>
    <row r="75" spans="2:28" x14ac:dyDescent="0.25">
      <c r="B75" s="20">
        <v>45948</v>
      </c>
      <c r="C75" s="2" t="s">
        <v>14</v>
      </c>
      <c r="D75" s="23" t="s">
        <v>13</v>
      </c>
      <c r="E75" s="1">
        <v>85</v>
      </c>
      <c r="F75" s="65">
        <f t="shared" si="13"/>
        <v>318.18333333333334</v>
      </c>
      <c r="G75" s="2">
        <v>336.9</v>
      </c>
      <c r="H75" s="55">
        <f>+G75/90</f>
        <v>3.7433333333333332</v>
      </c>
      <c r="I75" s="53">
        <f t="shared" si="14"/>
        <v>90</v>
      </c>
      <c r="J75" s="37">
        <f t="shared" si="15"/>
        <v>5.8823529411764705E-2</v>
      </c>
      <c r="L75" s="52">
        <f t="shared" si="16"/>
        <v>0</v>
      </c>
      <c r="O75" s="53" t="e">
        <f t="shared" si="17"/>
        <v>#DIV/0!</v>
      </c>
      <c r="P75" s="37" t="e">
        <f t="shared" si="18"/>
        <v>#DIV/0!</v>
      </c>
      <c r="R75" s="53">
        <f t="shared" si="19"/>
        <v>0</v>
      </c>
      <c r="U75" s="23" t="e">
        <f t="shared" si="25"/>
        <v>#DIV/0!</v>
      </c>
      <c r="V75" s="37" t="e">
        <f t="shared" si="21"/>
        <v>#DIV/0!</v>
      </c>
      <c r="X75" s="52">
        <f t="shared" si="22"/>
        <v>0</v>
      </c>
      <c r="AA75" s="1" t="e">
        <f t="shared" si="23"/>
        <v>#DIV/0!</v>
      </c>
      <c r="AB75" s="35" t="e">
        <f t="shared" si="24"/>
        <v>#DIV/0!</v>
      </c>
    </row>
    <row r="76" spans="2:28" x14ac:dyDescent="0.25">
      <c r="B76" s="20">
        <v>45948</v>
      </c>
      <c r="C76" s="2" t="s">
        <v>20</v>
      </c>
      <c r="D76" s="23" t="s">
        <v>13</v>
      </c>
      <c r="E76" s="1">
        <v>170</v>
      </c>
      <c r="F76" s="65">
        <f t="shared" si="13"/>
        <v>547.70639534883719</v>
      </c>
      <c r="G76" s="2">
        <v>554.15</v>
      </c>
      <c r="H76" s="55">
        <f>+G76/172</f>
        <v>3.221802325581395</v>
      </c>
      <c r="I76" s="53">
        <f t="shared" si="14"/>
        <v>172</v>
      </c>
      <c r="J76" s="37">
        <f t="shared" si="15"/>
        <v>1.1764705882352941E-2</v>
      </c>
      <c r="L76" s="52">
        <f t="shared" si="16"/>
        <v>0</v>
      </c>
      <c r="O76" s="53" t="e">
        <f t="shared" si="17"/>
        <v>#DIV/0!</v>
      </c>
      <c r="P76" s="37" t="e">
        <f t="shared" si="18"/>
        <v>#DIV/0!</v>
      </c>
      <c r="R76" s="53">
        <f t="shared" si="19"/>
        <v>0</v>
      </c>
      <c r="U76" s="23" t="e">
        <f t="shared" si="25"/>
        <v>#DIV/0!</v>
      </c>
      <c r="V76" s="37" t="e">
        <f t="shared" si="21"/>
        <v>#DIV/0!</v>
      </c>
      <c r="X76" s="52">
        <f t="shared" si="22"/>
        <v>0</v>
      </c>
      <c r="AA76" s="1" t="e">
        <f t="shared" si="23"/>
        <v>#DIV/0!</v>
      </c>
      <c r="AB76" s="35" t="e">
        <f t="shared" si="24"/>
        <v>#DIV/0!</v>
      </c>
    </row>
    <row r="77" spans="2:28" x14ac:dyDescent="0.25">
      <c r="B77" s="20">
        <v>45948</v>
      </c>
      <c r="C77" s="2" t="s">
        <v>29</v>
      </c>
      <c r="D77" s="23" t="s">
        <v>13</v>
      </c>
      <c r="E77" s="2"/>
      <c r="F77" s="65">
        <f t="shared" si="13"/>
        <v>0</v>
      </c>
      <c r="I77" s="53" t="e">
        <f t="shared" si="14"/>
        <v>#DIV/0!</v>
      </c>
      <c r="J77" s="37" t="e">
        <f t="shared" si="15"/>
        <v>#DIV/0!</v>
      </c>
      <c r="K77" s="11">
        <v>165</v>
      </c>
      <c r="L77" s="52">
        <f t="shared" si="16"/>
        <v>2673.3666666666668</v>
      </c>
      <c r="M77" s="2">
        <v>2916.4</v>
      </c>
      <c r="N77" s="55">
        <f>+M77/180</f>
        <v>16.202222222222222</v>
      </c>
      <c r="O77" s="53">
        <f t="shared" si="17"/>
        <v>180</v>
      </c>
      <c r="P77" s="37">
        <f t="shared" si="18"/>
        <v>9.0909090909090912E-2</v>
      </c>
      <c r="R77" s="53">
        <f t="shared" si="19"/>
        <v>0</v>
      </c>
      <c r="U77" s="23" t="e">
        <f t="shared" si="25"/>
        <v>#DIV/0!</v>
      </c>
      <c r="V77" s="37" t="e">
        <f t="shared" si="21"/>
        <v>#DIV/0!</v>
      </c>
      <c r="X77" s="52">
        <f t="shared" si="22"/>
        <v>0</v>
      </c>
      <c r="AA77" s="1" t="e">
        <f t="shared" si="23"/>
        <v>#DIV/0!</v>
      </c>
      <c r="AB77" s="35" t="e">
        <f t="shared" si="24"/>
        <v>#DIV/0!</v>
      </c>
    </row>
    <row r="78" spans="2:28" x14ac:dyDescent="0.25">
      <c r="B78" s="20">
        <v>45948</v>
      </c>
      <c r="C78" s="2" t="s">
        <v>17</v>
      </c>
      <c r="D78" s="23" t="s">
        <v>13</v>
      </c>
      <c r="E78" s="2"/>
      <c r="F78" s="65">
        <f t="shared" si="13"/>
        <v>0</v>
      </c>
      <c r="I78" s="53" t="e">
        <f t="shared" si="14"/>
        <v>#DIV/0!</v>
      </c>
      <c r="J78" s="37" t="e">
        <f t="shared" si="15"/>
        <v>#DIV/0!</v>
      </c>
      <c r="L78" s="52">
        <f t="shared" si="16"/>
        <v>0</v>
      </c>
      <c r="O78" s="53" t="e">
        <f t="shared" si="17"/>
        <v>#DIV/0!</v>
      </c>
      <c r="P78" s="37" t="e">
        <f t="shared" si="18"/>
        <v>#DIV/0!</v>
      </c>
      <c r="Q78" s="11">
        <v>195</v>
      </c>
      <c r="R78" s="53">
        <f t="shared" si="19"/>
        <v>3340.7150246305418</v>
      </c>
      <c r="S78" s="2">
        <v>3477.77</v>
      </c>
      <c r="T78" s="55">
        <f>+S78/203</f>
        <v>17.131871921182267</v>
      </c>
      <c r="U78" s="23">
        <f t="shared" si="25"/>
        <v>203</v>
      </c>
      <c r="V78" s="37">
        <f t="shared" si="21"/>
        <v>4.1025641025641026E-2</v>
      </c>
      <c r="X78" s="52">
        <f t="shared" si="22"/>
        <v>0</v>
      </c>
      <c r="AA78" s="1" t="e">
        <f t="shared" si="23"/>
        <v>#DIV/0!</v>
      </c>
      <c r="AB78" s="35" t="e">
        <f t="shared" si="24"/>
        <v>#DIV/0!</v>
      </c>
    </row>
    <row r="79" spans="2:28" x14ac:dyDescent="0.25">
      <c r="B79" s="20">
        <v>45951</v>
      </c>
      <c r="C79" s="2" t="s">
        <v>20</v>
      </c>
      <c r="D79" s="23" t="s">
        <v>13</v>
      </c>
      <c r="E79" s="2">
        <v>170</v>
      </c>
      <c r="F79" s="65">
        <f t="shared" si="13"/>
        <v>2847.3666074468874</v>
      </c>
      <c r="G79" s="2">
        <v>2823.75</v>
      </c>
      <c r="H79" s="55">
        <f>(490.6/158)+(2333.15/171)</f>
        <v>16.749215337922866</v>
      </c>
      <c r="I79" s="53">
        <f t="shared" si="14"/>
        <v>168.58998723400401</v>
      </c>
      <c r="J79" s="37">
        <f t="shared" si="15"/>
        <v>-8.2941927411528636E-3</v>
      </c>
      <c r="L79" s="52">
        <f t="shared" si="16"/>
        <v>0</v>
      </c>
      <c r="O79" s="53" t="e">
        <f t="shared" si="17"/>
        <v>#DIV/0!</v>
      </c>
      <c r="P79" s="37" t="e">
        <f t="shared" si="18"/>
        <v>#DIV/0!</v>
      </c>
      <c r="R79" s="53">
        <f t="shared" si="19"/>
        <v>0</v>
      </c>
      <c r="U79" s="23" t="e">
        <f t="shared" si="25"/>
        <v>#DIV/0!</v>
      </c>
      <c r="V79" s="37" t="e">
        <f t="shared" si="21"/>
        <v>#DIV/0!</v>
      </c>
      <c r="X79" s="52">
        <f t="shared" si="22"/>
        <v>0</v>
      </c>
      <c r="AA79" s="1" t="e">
        <f t="shared" si="23"/>
        <v>#DIV/0!</v>
      </c>
      <c r="AB79" s="35" t="e">
        <f t="shared" si="24"/>
        <v>#DIV/0!</v>
      </c>
    </row>
    <row r="80" spans="2:28" x14ac:dyDescent="0.25">
      <c r="B80" s="20">
        <v>45951</v>
      </c>
      <c r="C80" s="2" t="s">
        <v>23</v>
      </c>
      <c r="D80" s="23" t="s">
        <v>13</v>
      </c>
      <c r="E80" s="2"/>
      <c r="F80" s="65">
        <f t="shared" si="13"/>
        <v>0</v>
      </c>
      <c r="I80" s="53" t="e">
        <f t="shared" si="14"/>
        <v>#DIV/0!</v>
      </c>
      <c r="J80" s="37" t="e">
        <f t="shared" si="15"/>
        <v>#DIV/0!</v>
      </c>
      <c r="L80" s="52">
        <f t="shared" si="16"/>
        <v>0</v>
      </c>
      <c r="O80" s="53" t="e">
        <f t="shared" si="17"/>
        <v>#DIV/0!</v>
      </c>
      <c r="P80" s="37" t="e">
        <f t="shared" si="18"/>
        <v>#DIV/0!</v>
      </c>
      <c r="R80" s="53">
        <f t="shared" si="19"/>
        <v>0</v>
      </c>
      <c r="U80" s="23" t="e">
        <f t="shared" si="25"/>
        <v>#DIV/0!</v>
      </c>
      <c r="V80" s="37" t="e">
        <f t="shared" si="21"/>
        <v>#DIV/0!</v>
      </c>
      <c r="W80" s="2">
        <v>150</v>
      </c>
      <c r="X80" s="52">
        <f t="shared" si="22"/>
        <v>658.0645161290322</v>
      </c>
      <c r="Y80" s="2">
        <v>680</v>
      </c>
      <c r="Z80" s="55">
        <f>+Y80/155</f>
        <v>4.387096774193548</v>
      </c>
      <c r="AA80" s="1">
        <f t="shared" si="23"/>
        <v>155</v>
      </c>
      <c r="AB80" s="35">
        <f t="shared" si="24"/>
        <v>3.3333333333333333E-2</v>
      </c>
    </row>
    <row r="81" spans="1:28" x14ac:dyDescent="0.25">
      <c r="B81" s="20">
        <v>45951</v>
      </c>
      <c r="C81" s="2" t="s">
        <v>17</v>
      </c>
      <c r="D81" s="23" t="s">
        <v>13</v>
      </c>
      <c r="E81" s="2"/>
      <c r="F81" s="65">
        <f t="shared" si="13"/>
        <v>0</v>
      </c>
      <c r="I81" s="53" t="e">
        <f t="shared" si="14"/>
        <v>#DIV/0!</v>
      </c>
      <c r="J81" s="37" t="e">
        <f t="shared" si="15"/>
        <v>#DIV/0!</v>
      </c>
      <c r="L81" s="52">
        <f t="shared" si="16"/>
        <v>0</v>
      </c>
      <c r="O81" s="53" t="e">
        <f t="shared" si="17"/>
        <v>#DIV/0!</v>
      </c>
      <c r="P81" s="37" t="e">
        <f t="shared" si="18"/>
        <v>#DIV/0!</v>
      </c>
      <c r="R81" s="53">
        <f t="shared" si="19"/>
        <v>0</v>
      </c>
      <c r="U81" s="23" t="e">
        <f t="shared" si="25"/>
        <v>#DIV/0!</v>
      </c>
      <c r="V81" s="37" t="e">
        <f t="shared" si="21"/>
        <v>#DIV/0!</v>
      </c>
      <c r="W81" s="2">
        <v>140</v>
      </c>
      <c r="X81" s="52">
        <f t="shared" si="22"/>
        <v>1452.3870967741937</v>
      </c>
      <c r="Y81" s="2">
        <v>1608</v>
      </c>
      <c r="Z81" s="55">
        <f>+Y81/155</f>
        <v>10.374193548387098</v>
      </c>
      <c r="AA81" s="1">
        <f t="shared" si="23"/>
        <v>155</v>
      </c>
      <c r="AB81" s="35">
        <f t="shared" si="24"/>
        <v>0.10714285714285714</v>
      </c>
    </row>
    <row r="82" spans="1:28" x14ac:dyDescent="0.25">
      <c r="B82" s="20">
        <v>45951</v>
      </c>
      <c r="C82" s="2" t="s">
        <v>26</v>
      </c>
      <c r="D82" s="23" t="s">
        <v>13</v>
      </c>
      <c r="E82" s="2"/>
      <c r="F82" s="65">
        <f t="shared" si="13"/>
        <v>0</v>
      </c>
      <c r="I82" s="53" t="e">
        <f t="shared" si="14"/>
        <v>#DIV/0!</v>
      </c>
      <c r="J82" s="37" t="e">
        <f t="shared" si="15"/>
        <v>#DIV/0!</v>
      </c>
      <c r="K82" s="11">
        <v>150</v>
      </c>
      <c r="L82" s="52">
        <f t="shared" si="16"/>
        <v>792.61589403973517</v>
      </c>
      <c r="M82" s="2">
        <v>797.9</v>
      </c>
      <c r="N82" s="55">
        <f>+M82/151</f>
        <v>5.2841059602649008</v>
      </c>
      <c r="O82" s="53">
        <f t="shared" si="17"/>
        <v>151</v>
      </c>
      <c r="P82" s="37">
        <f t="shared" si="18"/>
        <v>6.6666666666666671E-3</v>
      </c>
      <c r="R82" s="53">
        <f t="shared" si="19"/>
        <v>0</v>
      </c>
      <c r="U82" s="23" t="e">
        <f t="shared" si="25"/>
        <v>#DIV/0!</v>
      </c>
      <c r="V82" s="37" t="e">
        <f t="shared" si="21"/>
        <v>#DIV/0!</v>
      </c>
      <c r="X82" s="52">
        <f t="shared" si="22"/>
        <v>0</v>
      </c>
      <c r="AA82" s="1" t="e">
        <f t="shared" si="23"/>
        <v>#DIV/0!</v>
      </c>
      <c r="AB82" s="35" t="e">
        <f t="shared" si="24"/>
        <v>#DIV/0!</v>
      </c>
    </row>
    <row r="83" spans="1:28" x14ac:dyDescent="0.25">
      <c r="B83" s="20">
        <v>45951</v>
      </c>
      <c r="C83" s="2" t="s">
        <v>25</v>
      </c>
      <c r="D83" s="23" t="s">
        <v>13</v>
      </c>
      <c r="E83" s="2"/>
      <c r="F83" s="65">
        <f t="shared" si="13"/>
        <v>0</v>
      </c>
      <c r="I83" s="53" t="e">
        <f t="shared" si="14"/>
        <v>#DIV/0!</v>
      </c>
      <c r="J83" s="37" t="e">
        <f t="shared" si="15"/>
        <v>#DIV/0!</v>
      </c>
      <c r="K83" s="11">
        <v>150</v>
      </c>
      <c r="L83" s="52">
        <f t="shared" si="16"/>
        <v>350.46357615894044</v>
      </c>
      <c r="M83" s="2">
        <v>352.8</v>
      </c>
      <c r="N83" s="55">
        <f>+M83/151</f>
        <v>2.3364238410596028</v>
      </c>
      <c r="O83" s="53">
        <f t="shared" si="17"/>
        <v>151</v>
      </c>
      <c r="P83" s="37">
        <f t="shared" si="18"/>
        <v>6.6666666666666671E-3</v>
      </c>
      <c r="R83" s="53">
        <f t="shared" si="19"/>
        <v>0</v>
      </c>
      <c r="U83" s="23" t="e">
        <f t="shared" si="25"/>
        <v>#DIV/0!</v>
      </c>
      <c r="V83" s="37" t="e">
        <f t="shared" si="21"/>
        <v>#DIV/0!</v>
      </c>
      <c r="X83" s="52">
        <f t="shared" si="22"/>
        <v>0</v>
      </c>
      <c r="AA83" s="1" t="e">
        <f t="shared" si="23"/>
        <v>#DIV/0!</v>
      </c>
      <c r="AB83" s="35" t="e">
        <f t="shared" si="24"/>
        <v>#DIV/0!</v>
      </c>
    </row>
    <row r="84" spans="1:28" x14ac:dyDescent="0.25">
      <c r="B84" s="20">
        <v>45951</v>
      </c>
      <c r="C84" s="2" t="s">
        <v>22</v>
      </c>
      <c r="D84" s="23" t="s">
        <v>13</v>
      </c>
      <c r="E84" s="2"/>
      <c r="F84" s="65">
        <f t="shared" si="13"/>
        <v>0</v>
      </c>
      <c r="I84" s="53" t="e">
        <f t="shared" si="14"/>
        <v>#DIV/0!</v>
      </c>
      <c r="J84" s="37" t="e">
        <f t="shared" si="15"/>
        <v>#DIV/0!</v>
      </c>
      <c r="K84" s="11">
        <v>150</v>
      </c>
      <c r="L84" s="52">
        <f t="shared" si="16"/>
        <v>1415.3084415584412</v>
      </c>
      <c r="M84" s="2">
        <v>1453.0499999999997</v>
      </c>
      <c r="N84" s="55">
        <f>+M84/154</f>
        <v>9.435389610389608</v>
      </c>
      <c r="O84" s="53">
        <f t="shared" si="17"/>
        <v>154</v>
      </c>
      <c r="P84" s="37">
        <f t="shared" si="18"/>
        <v>2.6666666666666668E-2</v>
      </c>
      <c r="R84" s="53">
        <f t="shared" si="19"/>
        <v>0</v>
      </c>
      <c r="U84" s="23" t="e">
        <f t="shared" si="25"/>
        <v>#DIV/0!</v>
      </c>
      <c r="V84" s="37" t="e">
        <f t="shared" si="21"/>
        <v>#DIV/0!</v>
      </c>
      <c r="X84" s="52">
        <f t="shared" si="22"/>
        <v>0</v>
      </c>
      <c r="AA84" s="1" t="e">
        <f t="shared" si="23"/>
        <v>#DIV/0!</v>
      </c>
      <c r="AB84" s="35" t="e">
        <f t="shared" si="24"/>
        <v>#DIV/0!</v>
      </c>
    </row>
    <row r="85" spans="1:28" x14ac:dyDescent="0.25">
      <c r="B85" s="20">
        <v>45951</v>
      </c>
      <c r="C85" s="1" t="s">
        <v>17</v>
      </c>
      <c r="D85" s="23" t="s">
        <v>13</v>
      </c>
      <c r="E85" s="2"/>
      <c r="F85" s="65">
        <f t="shared" si="13"/>
        <v>0</v>
      </c>
      <c r="I85" s="53" t="e">
        <f t="shared" si="14"/>
        <v>#DIV/0!</v>
      </c>
      <c r="J85" s="37" t="e">
        <f t="shared" si="15"/>
        <v>#DIV/0!</v>
      </c>
      <c r="L85" s="52">
        <f t="shared" si="16"/>
        <v>0</v>
      </c>
      <c r="O85" s="53" t="e">
        <f t="shared" si="17"/>
        <v>#DIV/0!</v>
      </c>
      <c r="P85" s="37" t="e">
        <f t="shared" si="18"/>
        <v>#DIV/0!</v>
      </c>
      <c r="Q85" s="11">
        <v>195</v>
      </c>
      <c r="R85" s="53">
        <f t="shared" si="19"/>
        <v>2954.4402439024389</v>
      </c>
      <c r="S85" s="2">
        <v>3105.95</v>
      </c>
      <c r="T85" s="55">
        <f>+S85/205</f>
        <v>15.150975609756097</v>
      </c>
      <c r="U85" s="23">
        <f t="shared" si="25"/>
        <v>205</v>
      </c>
      <c r="V85" s="37">
        <f t="shared" si="21"/>
        <v>5.128205128205128E-2</v>
      </c>
      <c r="X85" s="52">
        <f t="shared" si="22"/>
        <v>0</v>
      </c>
      <c r="AA85" s="1" t="e">
        <f t="shared" si="23"/>
        <v>#DIV/0!</v>
      </c>
      <c r="AB85" s="35" t="e">
        <f t="shared" si="24"/>
        <v>#DIV/0!</v>
      </c>
    </row>
    <row r="86" spans="1:28" x14ac:dyDescent="0.25">
      <c r="D86" s="23" t="s">
        <v>13</v>
      </c>
      <c r="E86" s="2"/>
      <c r="F86" s="65">
        <f t="shared" si="13"/>
        <v>0</v>
      </c>
      <c r="I86" s="53" t="e">
        <f t="shared" si="14"/>
        <v>#DIV/0!</v>
      </c>
      <c r="J86" s="37" t="e">
        <f t="shared" si="15"/>
        <v>#DIV/0!</v>
      </c>
      <c r="L86" s="52">
        <f t="shared" si="16"/>
        <v>0</v>
      </c>
      <c r="O86" s="53" t="e">
        <f t="shared" si="17"/>
        <v>#DIV/0!</v>
      </c>
      <c r="P86" s="37" t="e">
        <f t="shared" si="18"/>
        <v>#DIV/0!</v>
      </c>
      <c r="R86" s="53">
        <f t="shared" si="19"/>
        <v>0</v>
      </c>
      <c r="U86" s="23" t="e">
        <f t="shared" si="25"/>
        <v>#DIV/0!</v>
      </c>
      <c r="V86" s="37" t="e">
        <f t="shared" si="21"/>
        <v>#DIV/0!</v>
      </c>
      <c r="X86" s="52">
        <f t="shared" si="22"/>
        <v>0</v>
      </c>
      <c r="AA86" s="1" t="e">
        <f t="shared" si="23"/>
        <v>#DIV/0!</v>
      </c>
      <c r="AB86" s="35" t="e">
        <f t="shared" si="24"/>
        <v>#DIV/0!</v>
      </c>
    </row>
    <row r="87" spans="1:28" x14ac:dyDescent="0.25">
      <c r="D87" s="23" t="s">
        <v>13</v>
      </c>
      <c r="E87" s="2"/>
      <c r="F87" s="65">
        <f t="shared" si="13"/>
        <v>0</v>
      </c>
      <c r="I87" s="53" t="e">
        <f t="shared" si="14"/>
        <v>#DIV/0!</v>
      </c>
      <c r="J87" s="37" t="e">
        <f t="shared" si="15"/>
        <v>#DIV/0!</v>
      </c>
      <c r="L87" s="52">
        <f t="shared" si="16"/>
        <v>0</v>
      </c>
      <c r="O87" s="53" t="e">
        <f t="shared" si="17"/>
        <v>#DIV/0!</v>
      </c>
      <c r="P87" s="37" t="e">
        <f t="shared" si="18"/>
        <v>#DIV/0!</v>
      </c>
      <c r="R87" s="53">
        <f t="shared" si="19"/>
        <v>0</v>
      </c>
      <c r="U87" s="23" t="e">
        <f t="shared" si="25"/>
        <v>#DIV/0!</v>
      </c>
      <c r="V87" s="37" t="e">
        <f t="shared" si="21"/>
        <v>#DIV/0!</v>
      </c>
      <c r="X87" s="52">
        <f t="shared" si="22"/>
        <v>0</v>
      </c>
      <c r="AA87" s="1" t="e">
        <f t="shared" si="23"/>
        <v>#DIV/0!</v>
      </c>
      <c r="AB87" s="35" t="e">
        <f t="shared" si="24"/>
        <v>#DIV/0!</v>
      </c>
    </row>
    <row r="88" spans="1:28" x14ac:dyDescent="0.25">
      <c r="D88" s="23" t="s">
        <v>13</v>
      </c>
      <c r="E88" s="2"/>
      <c r="F88" s="65">
        <f t="shared" si="13"/>
        <v>0</v>
      </c>
      <c r="I88" s="53" t="e">
        <f t="shared" si="14"/>
        <v>#DIV/0!</v>
      </c>
      <c r="J88" s="37" t="e">
        <f t="shared" si="15"/>
        <v>#DIV/0!</v>
      </c>
      <c r="L88" s="52">
        <f t="shared" si="16"/>
        <v>0</v>
      </c>
      <c r="O88" s="53" t="e">
        <f t="shared" si="17"/>
        <v>#DIV/0!</v>
      </c>
      <c r="P88" s="37" t="e">
        <f t="shared" si="18"/>
        <v>#DIV/0!</v>
      </c>
      <c r="R88" s="53">
        <f t="shared" si="19"/>
        <v>0</v>
      </c>
      <c r="U88" s="23" t="e">
        <f t="shared" si="25"/>
        <v>#DIV/0!</v>
      </c>
      <c r="V88" s="37" t="e">
        <f t="shared" si="21"/>
        <v>#DIV/0!</v>
      </c>
      <c r="X88" s="52">
        <f t="shared" si="22"/>
        <v>0</v>
      </c>
      <c r="AA88" s="1" t="e">
        <f t="shared" si="23"/>
        <v>#DIV/0!</v>
      </c>
      <c r="AB88" s="35" t="e">
        <f t="shared" si="24"/>
        <v>#DIV/0!</v>
      </c>
    </row>
    <row r="89" spans="1:28" x14ac:dyDescent="0.25">
      <c r="D89" s="23" t="s">
        <v>13</v>
      </c>
      <c r="E89" s="2"/>
      <c r="F89" s="65">
        <f t="shared" si="13"/>
        <v>0</v>
      </c>
      <c r="I89" s="53" t="e">
        <f t="shared" si="14"/>
        <v>#DIV/0!</v>
      </c>
      <c r="J89" s="37" t="e">
        <f t="shared" si="15"/>
        <v>#DIV/0!</v>
      </c>
      <c r="L89" s="52">
        <f t="shared" si="16"/>
        <v>0</v>
      </c>
      <c r="O89" s="53" t="e">
        <f t="shared" si="17"/>
        <v>#DIV/0!</v>
      </c>
      <c r="P89" s="37" t="e">
        <f t="shared" si="18"/>
        <v>#DIV/0!</v>
      </c>
      <c r="R89" s="53">
        <f t="shared" si="19"/>
        <v>0</v>
      </c>
      <c r="U89" s="23" t="e">
        <f t="shared" si="25"/>
        <v>#DIV/0!</v>
      </c>
      <c r="V89" s="37" t="e">
        <f t="shared" si="21"/>
        <v>#DIV/0!</v>
      </c>
      <c r="X89" s="52">
        <f t="shared" si="22"/>
        <v>0</v>
      </c>
      <c r="AA89" s="1" t="e">
        <f t="shared" si="23"/>
        <v>#DIV/0!</v>
      </c>
      <c r="AB89" s="35" t="e">
        <f t="shared" si="24"/>
        <v>#DIV/0!</v>
      </c>
    </row>
    <row r="90" spans="1:28" x14ac:dyDescent="0.25">
      <c r="D90" s="23" t="s">
        <v>13</v>
      </c>
      <c r="E90" s="2"/>
      <c r="F90" s="65">
        <f t="shared" si="13"/>
        <v>0</v>
      </c>
      <c r="I90" s="53" t="e">
        <f t="shared" si="14"/>
        <v>#DIV/0!</v>
      </c>
      <c r="J90" s="37" t="e">
        <f t="shared" si="15"/>
        <v>#DIV/0!</v>
      </c>
      <c r="L90" s="52">
        <f t="shared" si="16"/>
        <v>0</v>
      </c>
      <c r="O90" s="53" t="e">
        <f t="shared" si="17"/>
        <v>#DIV/0!</v>
      </c>
      <c r="P90" s="37" t="e">
        <f t="shared" si="18"/>
        <v>#DIV/0!</v>
      </c>
      <c r="R90" s="53">
        <f t="shared" si="19"/>
        <v>0</v>
      </c>
      <c r="U90" s="23" t="e">
        <f t="shared" si="25"/>
        <v>#DIV/0!</v>
      </c>
      <c r="V90" s="37" t="e">
        <f t="shared" si="21"/>
        <v>#DIV/0!</v>
      </c>
      <c r="X90" s="52">
        <f t="shared" si="22"/>
        <v>0</v>
      </c>
      <c r="AA90" s="1" t="e">
        <f t="shared" si="23"/>
        <v>#DIV/0!</v>
      </c>
      <c r="AB90" s="35" t="e">
        <f t="shared" si="24"/>
        <v>#DIV/0!</v>
      </c>
    </row>
    <row r="91" spans="1:28" x14ac:dyDescent="0.25">
      <c r="D91" s="23" t="s">
        <v>13</v>
      </c>
      <c r="E91" s="2"/>
      <c r="F91" s="65">
        <f t="shared" si="13"/>
        <v>0</v>
      </c>
      <c r="I91" s="53" t="e">
        <f t="shared" si="14"/>
        <v>#DIV/0!</v>
      </c>
      <c r="J91" s="37" t="e">
        <f t="shared" si="15"/>
        <v>#DIV/0!</v>
      </c>
      <c r="L91" s="52">
        <f t="shared" si="16"/>
        <v>0</v>
      </c>
      <c r="O91" s="53" t="e">
        <f t="shared" si="17"/>
        <v>#DIV/0!</v>
      </c>
      <c r="P91" s="37" t="e">
        <f t="shared" si="18"/>
        <v>#DIV/0!</v>
      </c>
      <c r="R91" s="53">
        <f t="shared" si="19"/>
        <v>0</v>
      </c>
      <c r="U91" s="23" t="e">
        <f t="shared" si="25"/>
        <v>#DIV/0!</v>
      </c>
      <c r="V91" s="37" t="e">
        <f t="shared" si="21"/>
        <v>#DIV/0!</v>
      </c>
      <c r="X91" s="52">
        <f t="shared" si="22"/>
        <v>0</v>
      </c>
      <c r="AA91" s="1" t="e">
        <f t="shared" si="23"/>
        <v>#DIV/0!</v>
      </c>
      <c r="AB91" s="35" t="e">
        <f t="shared" si="24"/>
        <v>#DIV/0!</v>
      </c>
    </row>
    <row r="92" spans="1:28" x14ac:dyDescent="0.25">
      <c r="D92" s="23" t="s">
        <v>13</v>
      </c>
      <c r="E92" s="2"/>
      <c r="F92" s="65">
        <f t="shared" si="13"/>
        <v>0</v>
      </c>
      <c r="I92" s="53" t="e">
        <f t="shared" si="14"/>
        <v>#DIV/0!</v>
      </c>
      <c r="J92" s="37" t="e">
        <f t="shared" si="15"/>
        <v>#DIV/0!</v>
      </c>
      <c r="L92" s="52">
        <f t="shared" si="16"/>
        <v>0</v>
      </c>
      <c r="O92" s="53" t="e">
        <f t="shared" si="17"/>
        <v>#DIV/0!</v>
      </c>
      <c r="P92" s="37" t="e">
        <f t="shared" si="18"/>
        <v>#DIV/0!</v>
      </c>
      <c r="R92" s="53">
        <f t="shared" si="19"/>
        <v>0</v>
      </c>
      <c r="U92" s="23" t="e">
        <f t="shared" si="25"/>
        <v>#DIV/0!</v>
      </c>
      <c r="V92" s="37" t="e">
        <f t="shared" si="21"/>
        <v>#DIV/0!</v>
      </c>
      <c r="X92" s="52">
        <f t="shared" si="22"/>
        <v>0</v>
      </c>
      <c r="AA92" s="1" t="e">
        <f t="shared" si="23"/>
        <v>#DIV/0!</v>
      </c>
      <c r="AB92" s="35" t="e">
        <f t="shared" si="24"/>
        <v>#DIV/0!</v>
      </c>
    </row>
    <row r="93" spans="1:28" ht="15.75" thickBot="1" x14ac:dyDescent="0.3">
      <c r="D93" s="23" t="s">
        <v>13</v>
      </c>
      <c r="E93" s="2"/>
      <c r="F93" s="65">
        <f t="shared" si="13"/>
        <v>0</v>
      </c>
      <c r="I93" s="53" t="e">
        <f t="shared" si="14"/>
        <v>#DIV/0!</v>
      </c>
      <c r="J93" s="37" t="e">
        <f t="shared" si="15"/>
        <v>#DIV/0!</v>
      </c>
      <c r="L93" s="52">
        <f t="shared" si="16"/>
        <v>0</v>
      </c>
      <c r="O93" s="53" t="e">
        <f t="shared" si="17"/>
        <v>#DIV/0!</v>
      </c>
      <c r="P93" s="37" t="e">
        <f t="shared" si="18"/>
        <v>#DIV/0!</v>
      </c>
      <c r="R93" s="53">
        <f t="shared" si="19"/>
        <v>0</v>
      </c>
      <c r="U93" s="23" t="e">
        <f t="shared" si="20"/>
        <v>#DIV/0!</v>
      </c>
      <c r="V93" s="37" t="e">
        <f t="shared" si="21"/>
        <v>#DIV/0!</v>
      </c>
      <c r="X93" s="52">
        <f t="shared" si="22"/>
        <v>0</v>
      </c>
      <c r="AA93" s="1" t="e">
        <f t="shared" si="23"/>
        <v>#DIV/0!</v>
      </c>
      <c r="AB93" s="35" t="e">
        <f t="shared" si="24"/>
        <v>#DIV/0!</v>
      </c>
    </row>
    <row r="94" spans="1:28" s="27" customFormat="1" ht="15.75" thickBot="1" x14ac:dyDescent="0.3">
      <c r="A94" s="26"/>
      <c r="C94" s="27" t="s">
        <v>40</v>
      </c>
      <c r="E94" s="26"/>
      <c r="F94" s="66">
        <f>SUM(F3:F93)</f>
        <v>46362.163600978041</v>
      </c>
      <c r="G94" s="66">
        <f>SUM(G3:G93)</f>
        <v>47307.58</v>
      </c>
      <c r="H94" s="54"/>
      <c r="I94" s="54"/>
      <c r="J94" s="68">
        <f>(G94-F94)/F94</f>
        <v>2.0391981857421689E-2</v>
      </c>
      <c r="K94" s="26"/>
      <c r="L94" s="54">
        <f>SUM(L3:L93)</f>
        <v>33320.00794506933</v>
      </c>
      <c r="M94" s="54">
        <f>SUM(M3:M93)</f>
        <v>35456.980000000018</v>
      </c>
      <c r="N94" s="54"/>
      <c r="O94" s="54"/>
      <c r="P94" s="68">
        <f>(M94-L94)/L94</f>
        <v>6.4134800281370141E-2</v>
      </c>
      <c r="Q94" s="26"/>
      <c r="R94" s="54">
        <f>SUM(R3:R93)</f>
        <v>57471.563154833668</v>
      </c>
      <c r="S94" s="54">
        <f>SUM(S3:S93)</f>
        <v>60196.469999999979</v>
      </c>
      <c r="T94" s="54"/>
      <c r="V94" s="68">
        <f>(S94-R94)/R94</f>
        <v>4.7413132610038156E-2</v>
      </c>
      <c r="X94" s="54">
        <f>SUM(X3:X93)</f>
        <v>6777.8402975437493</v>
      </c>
      <c r="Y94" s="27">
        <f>SUM(Y3:Y93)</f>
        <v>7322</v>
      </c>
      <c r="Z94" s="54"/>
      <c r="AB94" s="68">
        <f>(Y94-X94)/X94</f>
        <v>8.0285117171239789E-2</v>
      </c>
    </row>
  </sheetData>
  <autoFilter ref="A2:AB94" xr:uid="{17E70EFF-3DD1-4F63-AB5D-039692A2D1E2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C14C-B39B-4F67-B37C-0C63DE05B641}">
  <dimension ref="B1:W4"/>
  <sheetViews>
    <sheetView workbookViewId="0">
      <selection activeCell="I15" sqref="I15"/>
    </sheetView>
  </sheetViews>
  <sheetFormatPr defaultRowHeight="15" x14ac:dyDescent="0.25"/>
  <cols>
    <col min="2" max="2" width="18.140625" customWidth="1"/>
  </cols>
  <sheetData>
    <row r="1" spans="2:23" s="1" customFormat="1" x14ac:dyDescent="0.25">
      <c r="B1" s="20">
        <v>45930</v>
      </c>
      <c r="C1" s="1" t="s">
        <v>17</v>
      </c>
      <c r="D1" s="1" t="s">
        <v>13</v>
      </c>
      <c r="E1" s="30"/>
      <c r="F1" s="34"/>
      <c r="I1" s="1" t="e">
        <f>G1/H1</f>
        <v>#DIV/0!</v>
      </c>
      <c r="J1" s="35" t="e">
        <f>(I1-E1)/E1</f>
        <v>#DIV/0!</v>
      </c>
      <c r="K1" s="1">
        <v>140</v>
      </c>
      <c r="L1" s="1">
        <f>K1*N1</f>
        <v>1120</v>
      </c>
      <c r="M1" s="1">
        <v>471.05</v>
      </c>
      <c r="N1" s="1">
        <v>8</v>
      </c>
      <c r="O1" s="1">
        <f>M1/N1</f>
        <v>58.881250000000001</v>
      </c>
      <c r="P1" s="40">
        <f>(O1-K1)/K1</f>
        <v>-0.57941964285714287</v>
      </c>
      <c r="Q1" s="1">
        <v>195</v>
      </c>
      <c r="R1" s="1">
        <f t="shared" ref="R1:R4" si="0">Q1*T1</f>
        <v>3900</v>
      </c>
      <c r="S1" s="1">
        <v>3350</v>
      </c>
      <c r="T1" s="1">
        <v>20</v>
      </c>
      <c r="U1" s="1">
        <f>S1/T1</f>
        <v>167.5</v>
      </c>
      <c r="V1" s="40">
        <f>(U1-Q1)/Q1</f>
        <v>-0.14102564102564102</v>
      </c>
      <c r="W1" s="32"/>
    </row>
    <row r="2" spans="2:23" s="1" customFormat="1" x14ac:dyDescent="0.25">
      <c r="B2" s="20">
        <v>45930</v>
      </c>
      <c r="C2" s="1" t="s">
        <v>20</v>
      </c>
      <c r="D2" s="1" t="s">
        <v>13</v>
      </c>
      <c r="E2" s="30">
        <v>170</v>
      </c>
      <c r="F2" s="34">
        <f t="shared" ref="F2:F4" si="1">E2*H2</f>
        <v>3400</v>
      </c>
      <c r="G2" s="1">
        <v>2640.3</v>
      </c>
      <c r="H2" s="1">
        <f>6+14</f>
        <v>20</v>
      </c>
      <c r="I2" s="1">
        <f t="shared" ref="I2:I3" si="2">G2/H2</f>
        <v>132.01500000000001</v>
      </c>
      <c r="J2" s="40">
        <f t="shared" ref="J2:J4" si="3">(I2-E2)/E2</f>
        <v>-0.22344117647058814</v>
      </c>
      <c r="K2" s="34">
        <v>150</v>
      </c>
      <c r="L2" s="1">
        <f t="shared" ref="L2:L4" si="4">K2*N2</f>
        <v>1050</v>
      </c>
      <c r="M2" s="1">
        <v>655.1</v>
      </c>
      <c r="N2" s="1">
        <v>7</v>
      </c>
      <c r="O2" s="1">
        <f t="shared" ref="O2:O4" si="5">M2/N2</f>
        <v>93.585714285714289</v>
      </c>
      <c r="P2" s="40">
        <f t="shared" ref="P2:P4" si="6">(O2-K2)/K2</f>
        <v>-0.37609523809523809</v>
      </c>
      <c r="Q2" s="34"/>
      <c r="R2" s="1">
        <f t="shared" si="0"/>
        <v>0</v>
      </c>
      <c r="U2" s="1" t="e">
        <f t="shared" ref="U2:U4" si="7">S2/T2</f>
        <v>#DIV/0!</v>
      </c>
      <c r="V2" s="35" t="e">
        <f t="shared" ref="V2:V4" si="8">(U2-Q2)/Q2</f>
        <v>#DIV/0!</v>
      </c>
      <c r="W2" s="32"/>
    </row>
    <row r="3" spans="2:23" s="1" customFormat="1" x14ac:dyDescent="0.25">
      <c r="B3" s="20">
        <v>45930</v>
      </c>
      <c r="C3" s="1" t="s">
        <v>23</v>
      </c>
      <c r="D3" s="1" t="s">
        <v>13</v>
      </c>
      <c r="E3" s="30"/>
      <c r="F3" s="34">
        <f t="shared" si="1"/>
        <v>0</v>
      </c>
      <c r="I3" s="1" t="e">
        <f t="shared" si="2"/>
        <v>#DIV/0!</v>
      </c>
      <c r="J3" s="35" t="e">
        <f t="shared" si="3"/>
        <v>#DIV/0!</v>
      </c>
      <c r="K3" s="34">
        <v>150</v>
      </c>
      <c r="L3" s="1">
        <f t="shared" si="4"/>
        <v>150</v>
      </c>
      <c r="M3" s="1">
        <v>55.1</v>
      </c>
      <c r="N3" s="1">
        <v>1</v>
      </c>
      <c r="O3" s="1">
        <f t="shared" si="5"/>
        <v>55.1</v>
      </c>
      <c r="P3" s="40">
        <f t="shared" si="6"/>
        <v>-0.63266666666666671</v>
      </c>
      <c r="Q3" s="34"/>
      <c r="R3" s="1">
        <f t="shared" si="0"/>
        <v>0</v>
      </c>
      <c r="U3" s="1" t="e">
        <f t="shared" si="7"/>
        <v>#DIV/0!</v>
      </c>
      <c r="V3" s="35" t="e">
        <f t="shared" si="8"/>
        <v>#DIV/0!</v>
      </c>
      <c r="W3" s="32"/>
    </row>
    <row r="4" spans="2:23" s="1" customFormat="1" x14ac:dyDescent="0.25">
      <c r="B4" s="20">
        <v>45930</v>
      </c>
      <c r="C4" s="1" t="s">
        <v>26</v>
      </c>
      <c r="D4" s="1" t="s">
        <v>13</v>
      </c>
      <c r="E4" s="30"/>
      <c r="F4" s="34">
        <f t="shared" si="1"/>
        <v>0</v>
      </c>
      <c r="I4" s="1" t="e">
        <f>G4/H4</f>
        <v>#DIV/0!</v>
      </c>
      <c r="J4" s="35" t="e">
        <f t="shared" si="3"/>
        <v>#DIV/0!</v>
      </c>
      <c r="K4" s="34">
        <v>150</v>
      </c>
      <c r="L4" s="1">
        <f t="shared" si="4"/>
        <v>300</v>
      </c>
      <c r="M4" s="1">
        <v>103.35</v>
      </c>
      <c r="N4" s="1">
        <v>2</v>
      </c>
      <c r="O4" s="1">
        <f t="shared" si="5"/>
        <v>51.674999999999997</v>
      </c>
      <c r="P4" s="40">
        <f t="shared" si="6"/>
        <v>-0.65549999999999997</v>
      </c>
      <c r="Q4" s="34"/>
      <c r="R4" s="1">
        <f t="shared" si="0"/>
        <v>0</v>
      </c>
      <c r="U4" s="1" t="e">
        <f t="shared" si="7"/>
        <v>#DIV/0!</v>
      </c>
      <c r="V4" s="35" t="e">
        <f t="shared" si="8"/>
        <v>#DIV/0!</v>
      </c>
      <c r="W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041-9190-4115-8F3C-3AE799111710}">
  <sheetPr>
    <pageSetUpPr fitToPage="1"/>
  </sheetPr>
  <dimension ref="B3:K29"/>
  <sheetViews>
    <sheetView workbookViewId="0">
      <selection activeCell="O12" sqref="O12"/>
    </sheetView>
  </sheetViews>
  <sheetFormatPr defaultRowHeight="15" x14ac:dyDescent="0.25"/>
  <cols>
    <col min="3" max="3" width="19.5703125" customWidth="1"/>
    <col min="4" max="5" width="11.85546875" customWidth="1"/>
    <col min="6" max="7" width="11.7109375" customWidth="1"/>
    <col min="8" max="9" width="14.5703125" customWidth="1"/>
    <col min="10" max="10" width="12.42578125" customWidth="1"/>
    <col min="11" max="11" width="14" customWidth="1"/>
  </cols>
  <sheetData>
    <row r="3" spans="2:11" ht="22.9" customHeight="1" x14ac:dyDescent="0.4">
      <c r="B3" s="69" t="s">
        <v>43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32.450000000000003" customHeight="1" x14ac:dyDescent="0.25">
      <c r="B4" s="44" t="s">
        <v>44</v>
      </c>
      <c r="C4" s="44" t="s">
        <v>45</v>
      </c>
      <c r="D4" s="70" t="s">
        <v>46</v>
      </c>
      <c r="E4" s="71"/>
      <c r="F4" s="70" t="s">
        <v>47</v>
      </c>
      <c r="G4" s="71"/>
      <c r="H4" s="70" t="s">
        <v>48</v>
      </c>
      <c r="I4" s="71"/>
      <c r="J4" s="70" t="s">
        <v>49</v>
      </c>
      <c r="K4" s="71"/>
    </row>
    <row r="5" spans="2:11" ht="32.450000000000003" customHeight="1" x14ac:dyDescent="0.25">
      <c r="B5" s="44"/>
      <c r="C5" s="44"/>
      <c r="D5" s="44" t="s">
        <v>50</v>
      </c>
      <c r="E5" s="44" t="s">
        <v>51</v>
      </c>
      <c r="F5" s="44" t="s">
        <v>50</v>
      </c>
      <c r="G5" s="44" t="s">
        <v>51</v>
      </c>
      <c r="H5" s="44" t="s">
        <v>50</v>
      </c>
      <c r="I5" s="44" t="s">
        <v>51</v>
      </c>
      <c r="J5" s="44" t="s">
        <v>50</v>
      </c>
      <c r="K5" s="44" t="s">
        <v>51</v>
      </c>
    </row>
    <row r="6" spans="2:11" x14ac:dyDescent="0.25">
      <c r="B6" s="1">
        <v>1</v>
      </c>
      <c r="C6" s="1" t="s">
        <v>52</v>
      </c>
      <c r="D6" s="1">
        <v>75</v>
      </c>
      <c r="E6" s="43">
        <f>D6*10%+D6</f>
        <v>82.5</v>
      </c>
      <c r="F6" s="1">
        <v>75</v>
      </c>
      <c r="G6" s="43">
        <f>F6*10%+F6</f>
        <v>82.5</v>
      </c>
      <c r="H6" s="1">
        <v>75</v>
      </c>
      <c r="I6" s="43">
        <f>H6*10%+H6</f>
        <v>82.5</v>
      </c>
      <c r="J6" s="1">
        <v>100</v>
      </c>
      <c r="K6" s="43">
        <f>J6*10%+J6</f>
        <v>110</v>
      </c>
    </row>
    <row r="7" spans="2:11" x14ac:dyDescent="0.25">
      <c r="B7" s="1">
        <v>2</v>
      </c>
      <c r="C7" s="1" t="s">
        <v>53</v>
      </c>
      <c r="D7" s="1">
        <v>85</v>
      </c>
      <c r="E7" s="43">
        <f>D7*10%+D7</f>
        <v>93.5</v>
      </c>
      <c r="F7" s="1">
        <v>85</v>
      </c>
      <c r="G7" s="43">
        <f t="shared" ref="G7:G29" si="0">F7*10%+F7</f>
        <v>93.5</v>
      </c>
      <c r="H7" s="1">
        <v>85</v>
      </c>
      <c r="I7" s="43">
        <f t="shared" ref="I7:I29" si="1">H7*10%+H7</f>
        <v>93.5</v>
      </c>
      <c r="J7" s="1">
        <v>110</v>
      </c>
      <c r="K7" s="43">
        <f t="shared" ref="K7:K22" si="2">J7*10%+J7</f>
        <v>121</v>
      </c>
    </row>
    <row r="8" spans="2:11" x14ac:dyDescent="0.25">
      <c r="B8" s="1">
        <v>3</v>
      </c>
      <c r="C8" s="1" t="s">
        <v>54</v>
      </c>
      <c r="D8" s="1"/>
      <c r="E8" s="43">
        <f t="shared" ref="E8:E29" si="3">D8*10%+D8</f>
        <v>0</v>
      </c>
      <c r="F8" s="1"/>
      <c r="G8" s="43">
        <f t="shared" si="0"/>
        <v>0</v>
      </c>
      <c r="H8" s="1"/>
      <c r="I8" s="43">
        <f t="shared" si="1"/>
        <v>0</v>
      </c>
      <c r="J8" s="1"/>
      <c r="K8" s="43">
        <f t="shared" si="2"/>
        <v>0</v>
      </c>
    </row>
    <row r="9" spans="2:11" x14ac:dyDescent="0.25">
      <c r="B9" s="1">
        <v>4</v>
      </c>
      <c r="C9" s="1" t="s">
        <v>55</v>
      </c>
      <c r="D9" s="1">
        <v>155</v>
      </c>
      <c r="E9" s="43">
        <f t="shared" si="3"/>
        <v>170.5</v>
      </c>
      <c r="F9" s="1">
        <v>130</v>
      </c>
      <c r="G9" s="43">
        <f t="shared" si="0"/>
        <v>143</v>
      </c>
      <c r="H9" s="1">
        <v>130</v>
      </c>
      <c r="I9" s="43">
        <f t="shared" si="1"/>
        <v>143</v>
      </c>
      <c r="J9" s="1">
        <v>170</v>
      </c>
      <c r="K9" s="43">
        <f t="shared" si="2"/>
        <v>187</v>
      </c>
    </row>
    <row r="10" spans="2:11" x14ac:dyDescent="0.25">
      <c r="B10" s="1">
        <v>5</v>
      </c>
      <c r="C10" s="1" t="s">
        <v>56</v>
      </c>
      <c r="D10" s="1">
        <v>160</v>
      </c>
      <c r="E10" s="43">
        <f t="shared" si="3"/>
        <v>176</v>
      </c>
      <c r="F10" s="1">
        <v>140</v>
      </c>
      <c r="G10" s="43">
        <f t="shared" si="0"/>
        <v>154</v>
      </c>
      <c r="H10" s="1">
        <v>140</v>
      </c>
      <c r="I10" s="43">
        <f t="shared" si="1"/>
        <v>154</v>
      </c>
      <c r="J10" s="1">
        <v>195</v>
      </c>
      <c r="K10" s="43">
        <f t="shared" si="2"/>
        <v>214.5</v>
      </c>
    </row>
    <row r="11" spans="2:11" x14ac:dyDescent="0.25">
      <c r="B11" s="1">
        <v>6</v>
      </c>
      <c r="C11" s="1" t="s">
        <v>57</v>
      </c>
      <c r="D11" s="1"/>
      <c r="E11" s="43">
        <f t="shared" si="3"/>
        <v>0</v>
      </c>
      <c r="F11" s="1"/>
      <c r="G11" s="43">
        <f t="shared" si="0"/>
        <v>0</v>
      </c>
      <c r="H11" s="1"/>
      <c r="I11" s="43">
        <f t="shared" si="1"/>
        <v>0</v>
      </c>
      <c r="J11" s="1"/>
      <c r="K11" s="43">
        <f t="shared" si="2"/>
        <v>0</v>
      </c>
    </row>
    <row r="12" spans="2:11" x14ac:dyDescent="0.25">
      <c r="B12" s="1">
        <v>7</v>
      </c>
      <c r="C12" s="1" t="s">
        <v>58</v>
      </c>
      <c r="D12" s="1">
        <v>165</v>
      </c>
      <c r="E12" s="43">
        <f t="shared" si="3"/>
        <v>181.5</v>
      </c>
      <c r="F12" s="1">
        <v>150</v>
      </c>
      <c r="G12" s="43">
        <f t="shared" si="0"/>
        <v>165</v>
      </c>
      <c r="H12" s="1">
        <v>150</v>
      </c>
      <c r="I12" s="43">
        <f t="shared" si="1"/>
        <v>165</v>
      </c>
      <c r="J12" s="1">
        <v>195</v>
      </c>
      <c r="K12" s="43">
        <f t="shared" si="2"/>
        <v>214.5</v>
      </c>
    </row>
    <row r="13" spans="2:11" x14ac:dyDescent="0.25">
      <c r="B13" s="1">
        <v>8</v>
      </c>
      <c r="C13" s="1" t="s">
        <v>59</v>
      </c>
      <c r="D13" s="1">
        <v>170</v>
      </c>
      <c r="E13" s="43">
        <f t="shared" si="3"/>
        <v>187</v>
      </c>
      <c r="F13" s="1">
        <v>155</v>
      </c>
      <c r="G13" s="43">
        <f t="shared" si="0"/>
        <v>170.5</v>
      </c>
      <c r="H13" s="1">
        <v>150</v>
      </c>
      <c r="I13" s="43">
        <f t="shared" si="1"/>
        <v>165</v>
      </c>
      <c r="J13" s="1">
        <v>195</v>
      </c>
      <c r="K13" s="43">
        <f t="shared" si="2"/>
        <v>214.5</v>
      </c>
    </row>
    <row r="14" spans="2:11" x14ac:dyDescent="0.25">
      <c r="B14" s="1">
        <v>9</v>
      </c>
      <c r="C14" s="1" t="s">
        <v>60</v>
      </c>
      <c r="D14" s="1"/>
      <c r="E14" s="43">
        <f t="shared" si="3"/>
        <v>0</v>
      </c>
      <c r="F14" s="1"/>
      <c r="G14" s="43">
        <f t="shared" si="0"/>
        <v>0</v>
      </c>
      <c r="H14" s="1"/>
      <c r="I14" s="43">
        <f t="shared" si="1"/>
        <v>0</v>
      </c>
      <c r="J14" s="1"/>
      <c r="K14" s="43">
        <f t="shared" si="2"/>
        <v>0</v>
      </c>
    </row>
    <row r="15" spans="2:11" x14ac:dyDescent="0.25">
      <c r="B15" s="1">
        <v>10</v>
      </c>
      <c r="C15" s="1" t="s">
        <v>61</v>
      </c>
      <c r="D15" s="1">
        <v>165</v>
      </c>
      <c r="E15" s="43">
        <f t="shared" si="3"/>
        <v>181.5</v>
      </c>
      <c r="F15" s="1">
        <v>150</v>
      </c>
      <c r="G15" s="43">
        <f t="shared" si="0"/>
        <v>165</v>
      </c>
      <c r="H15" s="1">
        <v>150</v>
      </c>
      <c r="I15" s="43">
        <f t="shared" si="1"/>
        <v>165</v>
      </c>
      <c r="J15" s="1">
        <v>195</v>
      </c>
      <c r="K15" s="43">
        <f t="shared" si="2"/>
        <v>214.5</v>
      </c>
    </row>
    <row r="16" spans="2:11" x14ac:dyDescent="0.25">
      <c r="B16" s="1">
        <v>11</v>
      </c>
      <c r="C16" s="1" t="s">
        <v>62</v>
      </c>
      <c r="D16" s="1">
        <v>165</v>
      </c>
      <c r="E16" s="43">
        <f t="shared" si="3"/>
        <v>181.5</v>
      </c>
      <c r="F16" s="1">
        <v>150</v>
      </c>
      <c r="G16" s="43">
        <f t="shared" si="0"/>
        <v>165</v>
      </c>
      <c r="H16" s="1">
        <v>150</v>
      </c>
      <c r="I16" s="43">
        <f t="shared" si="1"/>
        <v>165</v>
      </c>
      <c r="J16" s="1">
        <v>195</v>
      </c>
      <c r="K16" s="43">
        <f t="shared" si="2"/>
        <v>214.5</v>
      </c>
    </row>
    <row r="17" spans="2:11" x14ac:dyDescent="0.25">
      <c r="B17" s="1">
        <v>12</v>
      </c>
      <c r="C17" s="1" t="s">
        <v>63</v>
      </c>
      <c r="D17" s="1"/>
      <c r="E17" s="43">
        <f t="shared" si="3"/>
        <v>0</v>
      </c>
      <c r="F17" s="1"/>
      <c r="G17" s="43">
        <f t="shared" si="0"/>
        <v>0</v>
      </c>
      <c r="H17" s="1"/>
      <c r="I17" s="43">
        <f t="shared" si="1"/>
        <v>0</v>
      </c>
      <c r="J17" s="1"/>
      <c r="K17" s="43">
        <f t="shared" si="2"/>
        <v>0</v>
      </c>
    </row>
    <row r="18" spans="2:11" x14ac:dyDescent="0.25">
      <c r="B18" s="1">
        <v>13</v>
      </c>
      <c r="C18" s="1" t="s">
        <v>64</v>
      </c>
      <c r="D18" s="1">
        <v>165</v>
      </c>
      <c r="E18" s="43">
        <f t="shared" si="3"/>
        <v>181.5</v>
      </c>
      <c r="F18" s="1">
        <v>150</v>
      </c>
      <c r="G18" s="43">
        <f t="shared" si="0"/>
        <v>165</v>
      </c>
      <c r="H18" s="1">
        <v>150</v>
      </c>
      <c r="I18" s="43">
        <f t="shared" si="1"/>
        <v>165</v>
      </c>
      <c r="J18" s="1">
        <v>195</v>
      </c>
      <c r="K18" s="43">
        <f t="shared" si="2"/>
        <v>214.5</v>
      </c>
    </row>
    <row r="19" spans="2:11" x14ac:dyDescent="0.25">
      <c r="B19" s="1">
        <v>14</v>
      </c>
      <c r="C19" s="1" t="s">
        <v>65</v>
      </c>
      <c r="D19" s="1">
        <v>165</v>
      </c>
      <c r="E19" s="43">
        <f t="shared" si="3"/>
        <v>181.5</v>
      </c>
      <c r="F19" s="1">
        <v>150</v>
      </c>
      <c r="G19" s="43">
        <f t="shared" si="0"/>
        <v>165</v>
      </c>
      <c r="H19" s="1">
        <v>150</v>
      </c>
      <c r="I19" s="43">
        <f t="shared" si="1"/>
        <v>165</v>
      </c>
      <c r="J19" s="1">
        <v>195</v>
      </c>
      <c r="K19" s="43">
        <f t="shared" si="2"/>
        <v>214.5</v>
      </c>
    </row>
    <row r="20" spans="2:11" x14ac:dyDescent="0.25">
      <c r="B20" s="1">
        <v>15</v>
      </c>
      <c r="C20" s="1" t="s">
        <v>66</v>
      </c>
      <c r="D20" s="42"/>
      <c r="E20" s="43">
        <f t="shared" si="3"/>
        <v>0</v>
      </c>
      <c r="F20" s="42"/>
      <c r="G20" s="43">
        <f t="shared" si="0"/>
        <v>0</v>
      </c>
      <c r="H20" s="42"/>
      <c r="I20" s="43">
        <f t="shared" si="1"/>
        <v>0</v>
      </c>
      <c r="J20" s="42"/>
      <c r="K20" s="43">
        <f t="shared" si="2"/>
        <v>0</v>
      </c>
    </row>
    <row r="21" spans="2:11" x14ac:dyDescent="0.25">
      <c r="B21" s="1">
        <v>16</v>
      </c>
      <c r="C21" s="1" t="s">
        <v>67</v>
      </c>
      <c r="D21" s="1">
        <v>170</v>
      </c>
      <c r="E21" s="43">
        <f t="shared" si="3"/>
        <v>187</v>
      </c>
      <c r="F21" s="1">
        <v>165</v>
      </c>
      <c r="G21" s="43">
        <f t="shared" si="0"/>
        <v>181.5</v>
      </c>
      <c r="H21" s="1">
        <v>155</v>
      </c>
      <c r="I21" s="43">
        <f t="shared" si="1"/>
        <v>170.5</v>
      </c>
      <c r="J21" s="1">
        <v>200</v>
      </c>
      <c r="K21" s="43">
        <f t="shared" si="2"/>
        <v>220</v>
      </c>
    </row>
    <row r="22" spans="2:11" x14ac:dyDescent="0.25">
      <c r="B22" s="1">
        <v>17</v>
      </c>
      <c r="C22" s="1" t="s">
        <v>68</v>
      </c>
      <c r="D22" s="1">
        <v>175</v>
      </c>
      <c r="E22" s="43">
        <f t="shared" si="3"/>
        <v>192.5</v>
      </c>
      <c r="F22" s="1">
        <v>170</v>
      </c>
      <c r="G22" s="43">
        <f t="shared" si="0"/>
        <v>187</v>
      </c>
      <c r="H22" s="1">
        <v>165</v>
      </c>
      <c r="I22" s="43">
        <f t="shared" si="1"/>
        <v>181.5</v>
      </c>
      <c r="J22" s="1">
        <v>205</v>
      </c>
      <c r="K22" s="43">
        <f t="shared" si="2"/>
        <v>225.5</v>
      </c>
    </row>
    <row r="23" spans="2:11" x14ac:dyDescent="0.25">
      <c r="B23" s="1">
        <v>18</v>
      </c>
      <c r="C23" s="1" t="s">
        <v>69</v>
      </c>
      <c r="D23" s="1"/>
      <c r="E23" s="43">
        <f t="shared" si="3"/>
        <v>0</v>
      </c>
      <c r="F23" s="1"/>
      <c r="G23" s="43">
        <f t="shared" si="0"/>
        <v>0</v>
      </c>
      <c r="H23" s="1"/>
      <c r="I23" s="43">
        <f t="shared" si="1"/>
        <v>0</v>
      </c>
      <c r="J23" s="1"/>
      <c r="K23" s="1"/>
    </row>
    <row r="24" spans="2:11" x14ac:dyDescent="0.25">
      <c r="B24" s="1">
        <v>19</v>
      </c>
      <c r="C24" s="1" t="s">
        <v>70</v>
      </c>
      <c r="D24" s="1">
        <v>170</v>
      </c>
      <c r="E24" s="43">
        <f t="shared" si="3"/>
        <v>187</v>
      </c>
      <c r="F24" s="1">
        <v>165</v>
      </c>
      <c r="G24" s="43">
        <f t="shared" si="0"/>
        <v>181.5</v>
      </c>
      <c r="H24" s="1">
        <v>155</v>
      </c>
      <c r="I24" s="43">
        <f t="shared" si="1"/>
        <v>170.5</v>
      </c>
      <c r="J24" s="1"/>
      <c r="K24" s="1"/>
    </row>
    <row r="25" spans="2:11" x14ac:dyDescent="0.25">
      <c r="B25" s="1">
        <v>20</v>
      </c>
      <c r="C25" s="1" t="s">
        <v>71</v>
      </c>
      <c r="D25" s="1">
        <v>175</v>
      </c>
      <c r="E25" s="43">
        <f t="shared" si="3"/>
        <v>192.5</v>
      </c>
      <c r="F25" s="1">
        <v>170</v>
      </c>
      <c r="G25" s="43">
        <f t="shared" si="0"/>
        <v>187</v>
      </c>
      <c r="H25" s="1">
        <v>165</v>
      </c>
      <c r="I25" s="43">
        <f t="shared" si="1"/>
        <v>181.5</v>
      </c>
      <c r="J25" s="1"/>
      <c r="K25" s="1"/>
    </row>
    <row r="26" spans="2:11" x14ac:dyDescent="0.25">
      <c r="B26" s="1">
        <v>21</v>
      </c>
      <c r="C26" s="1" t="s">
        <v>72</v>
      </c>
      <c r="D26" s="1">
        <v>170</v>
      </c>
      <c r="E26" s="43">
        <f t="shared" si="3"/>
        <v>187</v>
      </c>
      <c r="F26" s="1">
        <v>165</v>
      </c>
      <c r="G26" s="43">
        <f t="shared" si="0"/>
        <v>181.5</v>
      </c>
      <c r="H26" s="1">
        <v>155</v>
      </c>
      <c r="I26" s="43">
        <f t="shared" si="1"/>
        <v>170.5</v>
      </c>
      <c r="J26" s="1"/>
      <c r="K26" s="1"/>
    </row>
    <row r="27" spans="2:11" x14ac:dyDescent="0.25">
      <c r="B27" s="1">
        <v>22</v>
      </c>
      <c r="C27" s="1" t="s">
        <v>73</v>
      </c>
      <c r="D27" s="1">
        <v>175</v>
      </c>
      <c r="E27" s="43">
        <f t="shared" si="3"/>
        <v>192.5</v>
      </c>
      <c r="F27" s="1">
        <v>170</v>
      </c>
      <c r="G27" s="43">
        <f t="shared" si="0"/>
        <v>187</v>
      </c>
      <c r="H27" s="1">
        <v>165</v>
      </c>
      <c r="I27" s="43">
        <f t="shared" si="1"/>
        <v>181.5</v>
      </c>
      <c r="J27" s="1"/>
      <c r="K27" s="1"/>
    </row>
    <row r="28" spans="2:11" x14ac:dyDescent="0.25">
      <c r="B28" s="1">
        <v>23</v>
      </c>
      <c r="C28" s="1" t="s">
        <v>74</v>
      </c>
      <c r="D28" s="1">
        <v>170</v>
      </c>
      <c r="E28" s="43">
        <f t="shared" si="3"/>
        <v>187</v>
      </c>
      <c r="F28" s="1">
        <v>165</v>
      </c>
      <c r="G28" s="43">
        <f t="shared" si="0"/>
        <v>181.5</v>
      </c>
      <c r="H28" s="1">
        <v>160</v>
      </c>
      <c r="I28" s="43">
        <f t="shared" si="1"/>
        <v>176</v>
      </c>
      <c r="J28" s="1"/>
      <c r="K28" s="1"/>
    </row>
    <row r="29" spans="2:11" x14ac:dyDescent="0.25">
      <c r="B29" s="1">
        <v>24</v>
      </c>
      <c r="C29" s="1" t="s">
        <v>75</v>
      </c>
      <c r="D29" s="1">
        <v>175</v>
      </c>
      <c r="E29" s="43">
        <f t="shared" si="3"/>
        <v>192.5</v>
      </c>
      <c r="F29" s="1">
        <v>170</v>
      </c>
      <c r="G29" s="43">
        <f t="shared" si="0"/>
        <v>187</v>
      </c>
      <c r="H29" s="1">
        <v>170</v>
      </c>
      <c r="I29" s="43">
        <f t="shared" si="1"/>
        <v>187</v>
      </c>
      <c r="J29" s="1"/>
      <c r="K29" s="1"/>
    </row>
  </sheetData>
  <mergeCells count="5">
    <mergeCell ref="B3:K3"/>
    <mergeCell ref="J4:K4"/>
    <mergeCell ref="H4:I4"/>
    <mergeCell ref="F4:G4"/>
    <mergeCell ref="D4:E4"/>
  </mergeCells>
  <phoneticPr fontId="2" type="noConversion"/>
  <pageMargins left="0.11811023622047245" right="0.11811023622047245" top="0.74803149606299213" bottom="0.74803149606299213" header="0.31496062992125984" footer="0.31496062992125984"/>
  <pageSetup scale="9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70C3-05AC-4AC1-8491-4C6D35C9043C}">
  <sheetPr>
    <pageSetUpPr fitToPage="1"/>
  </sheetPr>
  <dimension ref="A1:G37"/>
  <sheetViews>
    <sheetView workbookViewId="0">
      <selection activeCell="O10" sqref="O10"/>
    </sheetView>
  </sheetViews>
  <sheetFormatPr defaultRowHeight="15" x14ac:dyDescent="0.25"/>
  <cols>
    <col min="2" max="2" width="15.5703125" customWidth="1"/>
    <col min="4" max="4" width="17" customWidth="1"/>
    <col min="5" max="5" width="13.85546875" customWidth="1"/>
    <col min="6" max="6" width="17.7109375" customWidth="1"/>
  </cols>
  <sheetData>
    <row r="1" spans="1:7" ht="30" customHeight="1" x14ac:dyDescent="0.25">
      <c r="A1" s="80" t="s">
        <v>76</v>
      </c>
      <c r="B1" s="80"/>
      <c r="C1" s="80"/>
      <c r="D1" s="80"/>
      <c r="E1" s="80"/>
      <c r="F1" s="80"/>
      <c r="G1" s="80"/>
    </row>
    <row r="2" spans="1:7" x14ac:dyDescent="0.25">
      <c r="A2" s="79" t="s">
        <v>77</v>
      </c>
      <c r="B2" s="79"/>
      <c r="C2" s="79" t="s">
        <v>78</v>
      </c>
      <c r="D2" s="79"/>
      <c r="E2" s="79" t="s">
        <v>79</v>
      </c>
      <c r="F2" s="79"/>
      <c r="G2" s="79"/>
    </row>
    <row r="3" spans="1:7" x14ac:dyDescent="0.25">
      <c r="A3" s="41" t="s">
        <v>80</v>
      </c>
      <c r="B3" s="41"/>
      <c r="C3" s="76"/>
      <c r="D3" s="77"/>
      <c r="E3" s="77"/>
      <c r="F3" s="77"/>
      <c r="G3" s="78"/>
    </row>
    <row r="4" spans="1:7" ht="19.5" customHeight="1" x14ac:dyDescent="0.25">
      <c r="A4" s="42" t="s">
        <v>81</v>
      </c>
      <c r="B4" s="42"/>
      <c r="C4" s="72"/>
      <c r="D4" s="72"/>
      <c r="E4" s="72"/>
      <c r="F4" s="72"/>
      <c r="G4" s="72"/>
    </row>
    <row r="5" spans="1:7" ht="17.25" customHeight="1" x14ac:dyDescent="0.25">
      <c r="A5" s="79" t="s">
        <v>82</v>
      </c>
      <c r="B5" s="79"/>
      <c r="C5" s="79"/>
      <c r="D5" s="79"/>
      <c r="E5" s="79"/>
      <c r="F5" s="79"/>
      <c r="G5" s="79"/>
    </row>
    <row r="6" spans="1:7" ht="21" customHeight="1" x14ac:dyDescent="0.25">
      <c r="A6" s="79" t="s">
        <v>83</v>
      </c>
      <c r="B6" s="79"/>
      <c r="C6" s="79"/>
      <c r="D6" s="79"/>
      <c r="E6" s="79"/>
      <c r="F6" s="79"/>
      <c r="G6" s="79"/>
    </row>
    <row r="7" spans="1:7" ht="17.25" customHeight="1" x14ac:dyDescent="0.25">
      <c r="A7" s="79" t="s">
        <v>84</v>
      </c>
      <c r="B7" s="79"/>
      <c r="C7" s="79"/>
      <c r="D7" s="79"/>
      <c r="E7" s="79"/>
      <c r="F7" s="79"/>
      <c r="G7" s="79"/>
    </row>
    <row r="8" spans="1:7" x14ac:dyDescent="0.25">
      <c r="A8" s="72"/>
      <c r="B8" s="72"/>
      <c r="C8" s="72"/>
      <c r="D8" s="72"/>
      <c r="E8" s="72"/>
      <c r="F8" s="72"/>
      <c r="G8" s="72"/>
    </row>
    <row r="9" spans="1:7" ht="15.75" customHeight="1" x14ac:dyDescent="0.25">
      <c r="A9" s="79" t="s">
        <v>82</v>
      </c>
      <c r="B9" s="79"/>
      <c r="C9" s="79"/>
      <c r="D9" s="79"/>
      <c r="E9" s="79"/>
      <c r="F9" s="79"/>
      <c r="G9" s="79"/>
    </row>
    <row r="10" spans="1:7" ht="18.75" customHeight="1" x14ac:dyDescent="0.25">
      <c r="A10" s="79" t="s">
        <v>83</v>
      </c>
      <c r="B10" s="79"/>
      <c r="C10" s="79"/>
      <c r="D10" s="79"/>
      <c r="E10" s="79"/>
      <c r="F10" s="79"/>
      <c r="G10" s="79"/>
    </row>
    <row r="11" spans="1:7" ht="20.25" customHeight="1" x14ac:dyDescent="0.25">
      <c r="A11" s="79" t="s">
        <v>84</v>
      </c>
      <c r="B11" s="79"/>
      <c r="C11" s="79"/>
      <c r="D11" s="79"/>
      <c r="E11" s="79"/>
      <c r="F11" s="79"/>
      <c r="G11" s="79"/>
    </row>
    <row r="12" spans="1:7" x14ac:dyDescent="0.25">
      <c r="A12" s="72"/>
      <c r="B12" s="72"/>
      <c r="C12" s="72"/>
      <c r="D12" s="72"/>
      <c r="E12" s="72"/>
      <c r="F12" s="72"/>
      <c r="G12" s="72"/>
    </row>
    <row r="13" spans="1:7" ht="25.5" customHeight="1" x14ac:dyDescent="0.25">
      <c r="A13" s="79" t="s">
        <v>82</v>
      </c>
      <c r="B13" s="79"/>
      <c r="C13" s="79"/>
      <c r="D13" s="79"/>
      <c r="E13" s="79"/>
      <c r="F13" s="79"/>
      <c r="G13" s="79"/>
    </row>
    <row r="14" spans="1:7" ht="19.5" customHeight="1" x14ac:dyDescent="0.25">
      <c r="A14" s="79" t="s">
        <v>83</v>
      </c>
      <c r="B14" s="79"/>
      <c r="C14" s="79"/>
      <c r="D14" s="79"/>
      <c r="E14" s="79"/>
      <c r="F14" s="79"/>
      <c r="G14" s="79"/>
    </row>
    <row r="15" spans="1:7" ht="21" customHeight="1" x14ac:dyDescent="0.25">
      <c r="A15" s="79" t="s">
        <v>84</v>
      </c>
      <c r="B15" s="79"/>
      <c r="C15" s="79"/>
      <c r="D15" s="79"/>
      <c r="E15" s="79"/>
      <c r="F15" s="79"/>
      <c r="G15" s="79"/>
    </row>
    <row r="16" spans="1:7" x14ac:dyDescent="0.25">
      <c r="A16" s="72"/>
      <c r="B16" s="72"/>
      <c r="C16" s="72"/>
      <c r="D16" s="72"/>
      <c r="E16" s="72"/>
      <c r="F16" s="72"/>
      <c r="G16" s="72"/>
    </row>
    <row r="17" spans="1:7" ht="21" customHeight="1" x14ac:dyDescent="0.25">
      <c r="A17" s="79" t="s">
        <v>82</v>
      </c>
      <c r="B17" s="79"/>
      <c r="C17" s="79"/>
      <c r="D17" s="79"/>
      <c r="E17" s="79"/>
      <c r="F17" s="79"/>
      <c r="G17" s="79"/>
    </row>
    <row r="18" spans="1:7" ht="19.5" customHeight="1" x14ac:dyDescent="0.25">
      <c r="A18" s="79" t="s">
        <v>83</v>
      </c>
      <c r="B18" s="79"/>
      <c r="C18" s="79"/>
      <c r="D18" s="79"/>
      <c r="E18" s="79"/>
      <c r="F18" s="79"/>
      <c r="G18" s="79"/>
    </row>
    <row r="19" spans="1:7" ht="21" customHeight="1" x14ac:dyDescent="0.25">
      <c r="A19" s="79" t="s">
        <v>84</v>
      </c>
      <c r="B19" s="79"/>
      <c r="C19" s="79"/>
      <c r="D19" s="79"/>
      <c r="E19" s="79"/>
      <c r="F19" s="79"/>
      <c r="G19" s="79"/>
    </row>
    <row r="20" spans="1:7" x14ac:dyDescent="0.25">
      <c r="A20" s="72"/>
      <c r="B20" s="72"/>
      <c r="C20" s="72"/>
      <c r="D20" s="72"/>
      <c r="E20" s="72"/>
      <c r="F20" s="72"/>
      <c r="G20" s="72"/>
    </row>
    <row r="21" spans="1:7" ht="17.25" customHeight="1" x14ac:dyDescent="0.25">
      <c r="A21" s="79" t="s">
        <v>82</v>
      </c>
      <c r="B21" s="79"/>
      <c r="C21" s="79"/>
      <c r="D21" s="79"/>
      <c r="E21" s="79"/>
      <c r="F21" s="79"/>
      <c r="G21" s="79"/>
    </row>
    <row r="22" spans="1:7" ht="18" customHeight="1" x14ac:dyDescent="0.25">
      <c r="A22" s="79" t="s">
        <v>83</v>
      </c>
      <c r="B22" s="79"/>
      <c r="C22" s="79"/>
      <c r="D22" s="79"/>
      <c r="E22" s="79"/>
      <c r="F22" s="79"/>
      <c r="G22" s="79"/>
    </row>
    <row r="23" spans="1:7" ht="19.5" customHeight="1" x14ac:dyDescent="0.25">
      <c r="A23" s="79" t="s">
        <v>84</v>
      </c>
      <c r="B23" s="79"/>
      <c r="C23" s="79"/>
      <c r="D23" s="79"/>
      <c r="E23" s="79"/>
      <c r="F23" s="79"/>
      <c r="G23" s="79"/>
    </row>
    <row r="24" spans="1:7" x14ac:dyDescent="0.25">
      <c r="A24" s="72"/>
      <c r="B24" s="72"/>
      <c r="C24" s="72"/>
      <c r="D24" s="72"/>
      <c r="E24" s="72"/>
      <c r="F24" s="72"/>
      <c r="G24" s="72"/>
    </row>
    <row r="25" spans="1:7" ht="20.25" customHeight="1" x14ac:dyDescent="0.25">
      <c r="A25" s="79" t="s">
        <v>82</v>
      </c>
      <c r="B25" s="79"/>
      <c r="C25" s="79"/>
      <c r="D25" s="79"/>
      <c r="E25" s="79"/>
      <c r="F25" s="79"/>
      <c r="G25" s="79"/>
    </row>
    <row r="26" spans="1:7" ht="19.5" customHeight="1" x14ac:dyDescent="0.25">
      <c r="A26" s="79" t="s">
        <v>83</v>
      </c>
      <c r="B26" s="79"/>
      <c r="C26" s="79"/>
      <c r="D26" s="79"/>
      <c r="E26" s="79"/>
      <c r="F26" s="79"/>
      <c r="G26" s="79"/>
    </row>
    <row r="27" spans="1:7" ht="19.5" customHeight="1" x14ac:dyDescent="0.25">
      <c r="A27" s="79" t="s">
        <v>84</v>
      </c>
      <c r="B27" s="79"/>
      <c r="C27" s="79"/>
      <c r="D27" s="79"/>
      <c r="E27" s="79"/>
      <c r="F27" s="79"/>
      <c r="G27" s="79"/>
    </row>
    <row r="28" spans="1:7" ht="19.5" customHeight="1" x14ac:dyDescent="0.25">
      <c r="A28" s="76"/>
      <c r="B28" s="77"/>
      <c r="C28" s="77"/>
      <c r="D28" s="77"/>
      <c r="E28" s="77"/>
      <c r="F28" s="77"/>
      <c r="G28" s="78"/>
    </row>
    <row r="29" spans="1:7" ht="19.5" customHeight="1" x14ac:dyDescent="0.25">
      <c r="A29" s="76"/>
      <c r="B29" s="77"/>
      <c r="C29" s="77"/>
      <c r="D29" s="77"/>
      <c r="E29" s="77"/>
      <c r="F29" s="77"/>
      <c r="G29" s="78"/>
    </row>
    <row r="30" spans="1:7" ht="19.5" customHeight="1" x14ac:dyDescent="0.25">
      <c r="A30" s="76"/>
      <c r="B30" s="77"/>
      <c r="C30" s="77"/>
      <c r="D30" s="77"/>
      <c r="E30" s="77"/>
      <c r="F30" s="77"/>
      <c r="G30" s="78"/>
    </row>
    <row r="31" spans="1:7" ht="19.5" customHeight="1" x14ac:dyDescent="0.25">
      <c r="A31" s="76"/>
      <c r="B31" s="77"/>
      <c r="C31" s="77"/>
      <c r="D31" s="77"/>
      <c r="E31" s="77"/>
      <c r="F31" s="77"/>
      <c r="G31" s="78"/>
    </row>
    <row r="32" spans="1:7" ht="19.5" customHeight="1" x14ac:dyDescent="0.25">
      <c r="A32" s="73" t="s">
        <v>85</v>
      </c>
      <c r="B32" s="74"/>
      <c r="C32" s="74"/>
      <c r="D32" s="74"/>
      <c r="E32" s="74"/>
      <c r="F32" s="74"/>
      <c r="G32" s="75"/>
    </row>
    <row r="33" spans="1:7" ht="19.5" customHeight="1" x14ac:dyDescent="0.25">
      <c r="A33" s="73" t="s">
        <v>86</v>
      </c>
      <c r="B33" s="74"/>
      <c r="C33" s="74"/>
      <c r="D33" s="74"/>
      <c r="E33" s="74"/>
      <c r="F33" s="74"/>
      <c r="G33" s="75"/>
    </row>
    <row r="34" spans="1:7" ht="19.5" customHeight="1" x14ac:dyDescent="0.25">
      <c r="A34" s="76"/>
      <c r="B34" s="77"/>
      <c r="C34" s="77"/>
      <c r="D34" s="77"/>
      <c r="E34" s="77"/>
      <c r="F34" s="77"/>
      <c r="G34" s="78"/>
    </row>
    <row r="35" spans="1:7" ht="19.5" customHeight="1" x14ac:dyDescent="0.25">
      <c r="A35" s="76"/>
      <c r="B35" s="77"/>
      <c r="C35" s="77"/>
      <c r="D35" s="77"/>
      <c r="E35" s="77"/>
      <c r="F35" s="77"/>
      <c r="G35" s="78"/>
    </row>
    <row r="36" spans="1:7" ht="19.5" customHeight="1" x14ac:dyDescent="0.25">
      <c r="A36" s="76"/>
      <c r="B36" s="77"/>
      <c r="C36" s="77"/>
      <c r="D36" s="77"/>
      <c r="E36" s="77"/>
      <c r="F36" s="77"/>
      <c r="G36" s="78"/>
    </row>
    <row r="37" spans="1:7" x14ac:dyDescent="0.25">
      <c r="A37" s="72"/>
      <c r="B37" s="72"/>
      <c r="C37" s="72"/>
      <c r="D37" s="72"/>
      <c r="E37" s="72"/>
      <c r="F37" s="72"/>
      <c r="G37" s="72"/>
    </row>
  </sheetData>
  <mergeCells count="39">
    <mergeCell ref="A1:G1"/>
    <mergeCell ref="C4:G4"/>
    <mergeCell ref="A6:G6"/>
    <mergeCell ref="A7:G7"/>
    <mergeCell ref="A5:G5"/>
    <mergeCell ref="A2:B2"/>
    <mergeCell ref="C2:D2"/>
    <mergeCell ref="E2:G2"/>
    <mergeCell ref="C3:G3"/>
    <mergeCell ref="A28:G28"/>
    <mergeCell ref="A29:G29"/>
    <mergeCell ref="A30:G30"/>
    <mergeCell ref="A31:G31"/>
    <mergeCell ref="A14:G14"/>
    <mergeCell ref="A15:G15"/>
    <mergeCell ref="A16:G16"/>
    <mergeCell ref="A17:G17"/>
    <mergeCell ref="A18:G18"/>
    <mergeCell ref="A19:G19"/>
    <mergeCell ref="A24:G24"/>
    <mergeCell ref="A25:G25"/>
    <mergeCell ref="A26:G26"/>
    <mergeCell ref="A27:G27"/>
    <mergeCell ref="A23:G23"/>
    <mergeCell ref="A8:G8"/>
    <mergeCell ref="A9:G9"/>
    <mergeCell ref="A20:G20"/>
    <mergeCell ref="A21:G21"/>
    <mergeCell ref="A22:G22"/>
    <mergeCell ref="A10:G10"/>
    <mergeCell ref="A11:G11"/>
    <mergeCell ref="A12:G12"/>
    <mergeCell ref="A13:G13"/>
    <mergeCell ref="A37:G37"/>
    <mergeCell ref="A32:G32"/>
    <mergeCell ref="A33:G33"/>
    <mergeCell ref="A34:G34"/>
    <mergeCell ref="A35:G35"/>
    <mergeCell ref="A36:G36"/>
  </mergeCells>
  <pageMargins left="0.7" right="0.7" top="0.75" bottom="0.75" header="0.3" footer="0.3"/>
  <pageSetup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5738-584E-4BD1-9602-7F4BF70BCF1C}">
  <dimension ref="A1:J109"/>
  <sheetViews>
    <sheetView tabSelected="1" topLeftCell="A55" workbookViewId="0">
      <selection activeCell="J61" sqref="J61"/>
    </sheetView>
  </sheetViews>
  <sheetFormatPr defaultRowHeight="15" x14ac:dyDescent="0.25"/>
  <cols>
    <col min="1" max="1" width="12.140625" style="2" customWidth="1"/>
    <col min="2" max="2" width="12.28515625" style="2" customWidth="1"/>
    <col min="3" max="3" width="12.28515625" style="14" customWidth="1"/>
    <col min="4" max="4" width="20.140625" style="2" customWidth="1"/>
    <col min="5" max="5" width="26.42578125" style="2" customWidth="1"/>
    <col min="6" max="6" width="16.42578125" style="2" customWidth="1"/>
    <col min="7" max="7" width="12.7109375" style="2" customWidth="1"/>
    <col min="8" max="8" width="15.28515625" style="12" customWidth="1"/>
    <col min="9" max="9" width="16.42578125" customWidth="1"/>
    <col min="10" max="10" width="11.85546875" customWidth="1"/>
  </cols>
  <sheetData>
    <row r="1" spans="1:10" x14ac:dyDescent="0.25">
      <c r="A1" s="15" t="s">
        <v>4</v>
      </c>
      <c r="B1" s="16" t="s">
        <v>5</v>
      </c>
      <c r="C1" s="21" t="s">
        <v>6</v>
      </c>
      <c r="D1" s="22" t="s">
        <v>7</v>
      </c>
      <c r="E1" s="15" t="s">
        <v>8</v>
      </c>
      <c r="F1" s="15" t="s">
        <v>9</v>
      </c>
      <c r="G1" s="15" t="s">
        <v>10</v>
      </c>
      <c r="H1" s="18" t="s">
        <v>11</v>
      </c>
      <c r="I1" s="6" t="s">
        <v>87</v>
      </c>
      <c r="J1" s="6" t="s">
        <v>88</v>
      </c>
    </row>
    <row r="2" spans="1:10" x14ac:dyDescent="0.25">
      <c r="A2" s="1" t="s">
        <v>12</v>
      </c>
      <c r="B2" s="30" t="s">
        <v>13</v>
      </c>
      <c r="C2" s="1">
        <v>75</v>
      </c>
      <c r="D2" s="52">
        <v>2903.4802445074415</v>
      </c>
      <c r="E2" s="1">
        <v>3409.7500000000005</v>
      </c>
      <c r="F2" s="52">
        <v>38.71306992676589</v>
      </c>
      <c r="G2" s="52">
        <v>88.077489242012504</v>
      </c>
      <c r="H2" s="35">
        <v>0.17436652322683338</v>
      </c>
      <c r="I2" s="6" t="s">
        <v>89</v>
      </c>
      <c r="J2" t="s">
        <v>90</v>
      </c>
    </row>
    <row r="3" spans="1:10" x14ac:dyDescent="0.25">
      <c r="A3" s="1" t="s">
        <v>14</v>
      </c>
      <c r="B3" s="30" t="s">
        <v>13</v>
      </c>
      <c r="C3" s="1">
        <v>85</v>
      </c>
      <c r="D3" s="52">
        <v>3635.545297163595</v>
      </c>
      <c r="E3" s="52">
        <v>4277.05</v>
      </c>
      <c r="F3" s="52">
        <v>42.771121143101119</v>
      </c>
      <c r="G3" s="52">
        <v>99.998547751182301</v>
      </c>
      <c r="H3" s="35">
        <v>0.17645350295508588</v>
      </c>
      <c r="I3" s="6" t="s">
        <v>89</v>
      </c>
      <c r="J3" t="s">
        <v>90</v>
      </c>
    </row>
    <row r="4" spans="1:10" x14ac:dyDescent="0.25">
      <c r="A4" s="1" t="s">
        <v>15</v>
      </c>
      <c r="B4" s="30" t="s">
        <v>13</v>
      </c>
      <c r="C4" s="32"/>
      <c r="D4" s="52"/>
      <c r="E4" s="1"/>
      <c r="F4" s="1"/>
      <c r="G4" s="52"/>
      <c r="H4" s="35"/>
      <c r="I4" s="6" t="s">
        <v>89</v>
      </c>
      <c r="J4" t="s">
        <v>90</v>
      </c>
    </row>
    <row r="5" spans="1:10" x14ac:dyDescent="0.25">
      <c r="A5" s="1" t="s">
        <v>16</v>
      </c>
      <c r="B5" s="30" t="s">
        <v>13</v>
      </c>
      <c r="C5" s="1">
        <v>155</v>
      </c>
      <c r="D5" s="52">
        <v>4468.7652242506201</v>
      </c>
      <c r="E5" s="1">
        <v>4538.1000000000004</v>
      </c>
      <c r="F5" s="52">
        <v>28.830743382262064</v>
      </c>
      <c r="G5" s="52">
        <v>157.40489032246177</v>
      </c>
      <c r="H5" s="35">
        <v>1.5515421435237209E-2</v>
      </c>
      <c r="I5" s="6" t="s">
        <v>89</v>
      </c>
      <c r="J5" t="s">
        <v>90</v>
      </c>
    </row>
    <row r="6" spans="1:10" x14ac:dyDescent="0.25">
      <c r="A6" s="1" t="s">
        <v>17</v>
      </c>
      <c r="B6" s="30" t="s">
        <v>13</v>
      </c>
      <c r="C6" s="1">
        <v>160</v>
      </c>
      <c r="D6" s="52">
        <v>19647.508912395737</v>
      </c>
      <c r="E6" s="1">
        <v>19527.43</v>
      </c>
      <c r="F6" s="52">
        <v>122.79693070247336</v>
      </c>
      <c r="G6" s="52">
        <v>159.02213425279595</v>
      </c>
      <c r="H6" s="35">
        <v>-6.1116609200253082E-3</v>
      </c>
      <c r="I6" s="6" t="s">
        <v>89</v>
      </c>
      <c r="J6" t="s">
        <v>90</v>
      </c>
    </row>
    <row r="7" spans="1:10" x14ac:dyDescent="0.25">
      <c r="A7" s="1" t="s">
        <v>18</v>
      </c>
      <c r="B7" s="30" t="s">
        <v>13</v>
      </c>
      <c r="C7" s="34"/>
      <c r="D7" s="52"/>
      <c r="E7" s="1"/>
      <c r="F7" s="1"/>
      <c r="G7" s="52"/>
      <c r="H7" s="35"/>
      <c r="I7" s="6" t="s">
        <v>89</v>
      </c>
      <c r="J7" t="s">
        <v>90</v>
      </c>
    </row>
    <row r="8" spans="1:10" x14ac:dyDescent="0.25">
      <c r="A8" s="1" t="s">
        <v>19</v>
      </c>
      <c r="B8" s="30" t="s">
        <v>13</v>
      </c>
      <c r="C8" s="1">
        <v>165</v>
      </c>
      <c r="D8" s="52">
        <v>0</v>
      </c>
      <c r="E8" s="1"/>
      <c r="F8" s="1"/>
      <c r="G8" s="52" t="e">
        <v>#DIV/0!</v>
      </c>
      <c r="H8" s="35" t="e">
        <v>#DIV/0!</v>
      </c>
      <c r="I8" s="6" t="s">
        <v>89</v>
      </c>
      <c r="J8" t="s">
        <v>90</v>
      </c>
    </row>
    <row r="9" spans="1:10" x14ac:dyDescent="0.25">
      <c r="A9" s="1" t="s">
        <v>20</v>
      </c>
      <c r="B9" s="30" t="s">
        <v>13</v>
      </c>
      <c r="C9" s="1">
        <v>170</v>
      </c>
      <c r="D9" s="52">
        <v>16540.460761741109</v>
      </c>
      <c r="E9" s="52">
        <v>15555.25</v>
      </c>
      <c r="F9" s="52">
        <v>97.296828010241825</v>
      </c>
      <c r="G9" s="52">
        <v>159.87417388738095</v>
      </c>
      <c r="H9" s="35">
        <v>-5.9563683015406189E-2</v>
      </c>
      <c r="I9" s="6" t="s">
        <v>89</v>
      </c>
      <c r="J9" t="s">
        <v>90</v>
      </c>
    </row>
    <row r="10" spans="1:10" x14ac:dyDescent="0.25">
      <c r="A10" s="1" t="s">
        <v>21</v>
      </c>
      <c r="B10" s="30" t="s">
        <v>13</v>
      </c>
      <c r="C10" s="34"/>
      <c r="D10" s="52"/>
      <c r="E10" s="1"/>
      <c r="F10" s="1"/>
      <c r="G10" s="52"/>
      <c r="H10" s="35"/>
      <c r="I10" s="6" t="s">
        <v>89</v>
      </c>
      <c r="J10" t="s">
        <v>90</v>
      </c>
    </row>
    <row r="11" spans="1:10" x14ac:dyDescent="0.25">
      <c r="A11" s="1" t="s">
        <v>22</v>
      </c>
      <c r="B11" s="30" t="s">
        <v>13</v>
      </c>
      <c r="C11" s="1"/>
      <c r="D11" s="52">
        <v>0</v>
      </c>
      <c r="E11" s="1"/>
      <c r="F11" s="1"/>
      <c r="G11" s="52" t="e">
        <v>#DIV/0!</v>
      </c>
      <c r="H11" s="35" t="e">
        <v>#DIV/0!</v>
      </c>
      <c r="I11" s="6" t="s">
        <v>89</v>
      </c>
      <c r="J11" t="s">
        <v>90</v>
      </c>
    </row>
    <row r="12" spans="1:10" x14ac:dyDescent="0.25">
      <c r="A12" s="1" t="s">
        <v>23</v>
      </c>
      <c r="B12" s="30" t="s">
        <v>13</v>
      </c>
      <c r="C12" s="1"/>
      <c r="D12" s="52">
        <v>0</v>
      </c>
      <c r="E12" s="1"/>
      <c r="F12" s="1"/>
      <c r="G12" s="52" t="e">
        <v>#DIV/0!</v>
      </c>
      <c r="H12" s="35" t="e">
        <v>#DIV/0!</v>
      </c>
      <c r="I12" s="6" t="s">
        <v>89</v>
      </c>
      <c r="J12" t="s">
        <v>90</v>
      </c>
    </row>
    <row r="13" spans="1:10" x14ac:dyDescent="0.25">
      <c r="A13" s="1" t="s">
        <v>24</v>
      </c>
      <c r="B13" s="30" t="s">
        <v>13</v>
      </c>
      <c r="C13" s="34"/>
      <c r="D13" s="52"/>
      <c r="E13" s="1"/>
      <c r="F13" s="1"/>
      <c r="G13" s="52"/>
      <c r="H13" s="35"/>
      <c r="I13" s="6" t="s">
        <v>89</v>
      </c>
      <c r="J13" t="s">
        <v>90</v>
      </c>
    </row>
    <row r="14" spans="1:10" x14ac:dyDescent="0.25">
      <c r="A14" s="1" t="s">
        <v>25</v>
      </c>
      <c r="B14" s="30" t="s">
        <v>13</v>
      </c>
      <c r="C14" s="1"/>
      <c r="D14" s="52">
        <v>0</v>
      </c>
      <c r="E14" s="1"/>
      <c r="F14" s="1"/>
      <c r="G14" s="52" t="e">
        <v>#DIV/0!</v>
      </c>
      <c r="H14" s="35" t="e">
        <v>#DIV/0!</v>
      </c>
      <c r="I14" s="6" t="s">
        <v>89</v>
      </c>
      <c r="J14" t="s">
        <v>90</v>
      </c>
    </row>
    <row r="15" spans="1:10" x14ac:dyDescent="0.25">
      <c r="A15" s="1" t="s">
        <v>26</v>
      </c>
      <c r="B15" s="30" t="s">
        <v>13</v>
      </c>
      <c r="C15" s="1"/>
      <c r="D15" s="52">
        <v>0</v>
      </c>
      <c r="E15" s="1"/>
      <c r="F15" s="1"/>
      <c r="G15" s="52" t="e">
        <v>#DIV/0!</v>
      </c>
      <c r="H15" s="35" t="e">
        <v>#DIV/0!</v>
      </c>
      <c r="I15" s="6" t="s">
        <v>89</v>
      </c>
      <c r="J15" t="s">
        <v>90</v>
      </c>
    </row>
    <row r="16" spans="1:10" x14ac:dyDescent="0.25">
      <c r="A16" s="1" t="s">
        <v>27</v>
      </c>
      <c r="B16" s="30" t="s">
        <v>13</v>
      </c>
      <c r="C16" s="34"/>
      <c r="D16" s="52"/>
      <c r="E16" s="1"/>
      <c r="F16" s="1"/>
      <c r="G16" s="52"/>
      <c r="H16" s="35"/>
      <c r="I16" s="6" t="s">
        <v>89</v>
      </c>
      <c r="J16" t="s">
        <v>90</v>
      </c>
    </row>
    <row r="17" spans="1:10" x14ac:dyDescent="0.25">
      <c r="A17" s="1" t="s">
        <v>28</v>
      </c>
      <c r="B17" s="30" t="s">
        <v>13</v>
      </c>
      <c r="C17" s="1"/>
      <c r="D17" s="52">
        <v>0</v>
      </c>
      <c r="E17" s="1"/>
      <c r="F17" s="1"/>
      <c r="G17" s="52" t="e">
        <v>#DIV/0!</v>
      </c>
      <c r="H17" s="35" t="e">
        <v>#DIV/0!</v>
      </c>
      <c r="I17" s="6" t="s">
        <v>89</v>
      </c>
      <c r="J17" t="s">
        <v>90</v>
      </c>
    </row>
    <row r="18" spans="1:10" x14ac:dyDescent="0.25">
      <c r="A18" s="1" t="s">
        <v>29</v>
      </c>
      <c r="B18" s="30" t="s">
        <v>13</v>
      </c>
      <c r="C18" s="1"/>
      <c r="D18" s="52">
        <v>0</v>
      </c>
      <c r="E18" s="1"/>
      <c r="F18" s="1"/>
      <c r="G18" s="52" t="e">
        <v>#DIV/0!</v>
      </c>
      <c r="H18" s="35" t="e">
        <v>#DIV/0!</v>
      </c>
      <c r="I18" s="6" t="s">
        <v>89</v>
      </c>
      <c r="J18" t="s">
        <v>90</v>
      </c>
    </row>
    <row r="19" spans="1:10" x14ac:dyDescent="0.25">
      <c r="A19" s="1" t="s">
        <v>30</v>
      </c>
      <c r="B19" s="30" t="s">
        <v>13</v>
      </c>
      <c r="C19" s="34"/>
      <c r="D19" s="52"/>
      <c r="E19" s="1"/>
      <c r="F19" s="1"/>
      <c r="G19" s="52"/>
      <c r="H19" s="35"/>
      <c r="I19" s="6" t="s">
        <v>89</v>
      </c>
      <c r="J19" t="s">
        <v>90</v>
      </c>
    </row>
    <row r="20" spans="1:10" x14ac:dyDescent="0.25">
      <c r="A20" s="1" t="s">
        <v>31</v>
      </c>
      <c r="B20" s="30" t="s">
        <v>13</v>
      </c>
      <c r="C20" s="1"/>
      <c r="D20" s="52">
        <v>0</v>
      </c>
      <c r="E20" s="1"/>
      <c r="F20" s="1"/>
      <c r="G20" s="52" t="e">
        <v>#DIV/0!</v>
      </c>
      <c r="H20" s="35" t="e">
        <v>#DIV/0!</v>
      </c>
      <c r="I20" s="6" t="s">
        <v>89</v>
      </c>
      <c r="J20" t="s">
        <v>90</v>
      </c>
    </row>
    <row r="21" spans="1:10" x14ac:dyDescent="0.25">
      <c r="A21" s="1" t="s">
        <v>32</v>
      </c>
      <c r="B21" s="30" t="s">
        <v>13</v>
      </c>
      <c r="C21" s="1"/>
      <c r="D21" s="52">
        <v>0</v>
      </c>
      <c r="E21" s="1"/>
      <c r="F21" s="1"/>
      <c r="G21" s="52" t="e">
        <v>#DIV/0!</v>
      </c>
      <c r="H21" s="35" t="e">
        <v>#DIV/0!</v>
      </c>
      <c r="I21" s="6" t="s">
        <v>89</v>
      </c>
      <c r="J21" t="s">
        <v>90</v>
      </c>
    </row>
    <row r="22" spans="1:10" x14ac:dyDescent="0.25">
      <c r="A22" s="1" t="s">
        <v>33</v>
      </c>
      <c r="B22" s="30" t="s">
        <v>13</v>
      </c>
      <c r="C22" s="34"/>
      <c r="D22" s="52"/>
      <c r="E22" s="1"/>
      <c r="F22" s="1"/>
      <c r="G22" s="52"/>
      <c r="H22" s="35"/>
      <c r="I22" s="6" t="s">
        <v>89</v>
      </c>
      <c r="J22" t="s">
        <v>90</v>
      </c>
    </row>
    <row r="23" spans="1:10" x14ac:dyDescent="0.25">
      <c r="A23" s="1" t="s">
        <v>34</v>
      </c>
      <c r="B23" s="30" t="s">
        <v>13</v>
      </c>
      <c r="C23" s="1"/>
      <c r="D23" s="52">
        <v>0</v>
      </c>
      <c r="E23" s="1"/>
      <c r="F23" s="1"/>
      <c r="G23" s="52" t="e">
        <v>#DIV/0!</v>
      </c>
      <c r="H23" s="35" t="e">
        <v>#DIV/0!</v>
      </c>
      <c r="I23" s="6" t="s">
        <v>89</v>
      </c>
      <c r="J23" t="s">
        <v>90</v>
      </c>
    </row>
    <row r="24" spans="1:10" x14ac:dyDescent="0.25">
      <c r="A24" s="1" t="s">
        <v>35</v>
      </c>
      <c r="B24" s="30" t="s">
        <v>13</v>
      </c>
      <c r="C24" s="1"/>
      <c r="D24" s="52">
        <v>0</v>
      </c>
      <c r="E24" s="1"/>
      <c r="F24" s="1"/>
      <c r="G24" s="52" t="e">
        <v>#DIV/0!</v>
      </c>
      <c r="H24" s="35" t="e">
        <v>#DIV/0!</v>
      </c>
      <c r="I24" s="6" t="s">
        <v>89</v>
      </c>
      <c r="J24" t="s">
        <v>90</v>
      </c>
    </row>
    <row r="25" spans="1:10" x14ac:dyDescent="0.25">
      <c r="A25" s="1" t="s">
        <v>36</v>
      </c>
      <c r="B25" s="30" t="s">
        <v>13</v>
      </c>
      <c r="C25" s="34"/>
      <c r="D25" s="52"/>
      <c r="E25" s="1"/>
      <c r="F25" s="1"/>
      <c r="G25" s="52"/>
      <c r="H25" s="35"/>
      <c r="I25" s="6" t="s">
        <v>89</v>
      </c>
      <c r="J25" t="s">
        <v>90</v>
      </c>
    </row>
    <row r="26" spans="1:10" x14ac:dyDescent="0.25">
      <c r="A26" s="1" t="s">
        <v>37</v>
      </c>
      <c r="B26" s="30" t="s">
        <v>13</v>
      </c>
      <c r="C26" s="1"/>
      <c r="D26" s="52">
        <v>0</v>
      </c>
      <c r="E26" s="1"/>
      <c r="F26" s="1"/>
      <c r="G26" s="52" t="e">
        <v>#DIV/0!</v>
      </c>
      <c r="H26" s="35" t="e">
        <v>#DIV/0!</v>
      </c>
      <c r="I26" s="6" t="s">
        <v>89</v>
      </c>
      <c r="J26" t="s">
        <v>90</v>
      </c>
    </row>
    <row r="27" spans="1:10" x14ac:dyDescent="0.25">
      <c r="A27" s="1" t="s">
        <v>38</v>
      </c>
      <c r="B27" s="30" t="s">
        <v>13</v>
      </c>
      <c r="C27" s="1"/>
      <c r="D27" s="52">
        <v>0</v>
      </c>
      <c r="E27" s="1"/>
      <c r="F27" s="1"/>
      <c r="G27" s="52" t="e">
        <v>#DIV/0!</v>
      </c>
      <c r="H27" s="35" t="e">
        <v>#DIV/0!</v>
      </c>
      <c r="I27" s="6" t="s">
        <v>89</v>
      </c>
      <c r="J27" t="s">
        <v>90</v>
      </c>
    </row>
    <row r="28" spans="1:10" x14ac:dyDescent="0.25">
      <c r="A28" s="4" t="s">
        <v>39</v>
      </c>
      <c r="B28" s="30" t="s">
        <v>13</v>
      </c>
      <c r="C28" s="46"/>
      <c r="D28" s="61"/>
      <c r="E28" s="47"/>
      <c r="F28" s="47"/>
      <c r="G28" s="61"/>
      <c r="H28" s="48"/>
      <c r="I28" s="6" t="s">
        <v>89</v>
      </c>
      <c r="J28" t="s">
        <v>90</v>
      </c>
    </row>
    <row r="29" spans="1:10" x14ac:dyDescent="0.25">
      <c r="A29" s="1" t="s">
        <v>12</v>
      </c>
      <c r="B29" s="30" t="s">
        <v>13</v>
      </c>
      <c r="C29" s="34">
        <v>75</v>
      </c>
      <c r="D29" s="1">
        <v>661.00961538461559</v>
      </c>
      <c r="E29" s="1">
        <v>687.45000000000016</v>
      </c>
      <c r="F29" s="1">
        <v>8.8134615384615405</v>
      </c>
      <c r="G29" s="1">
        <v>78</v>
      </c>
      <c r="H29" s="35">
        <v>0.04</v>
      </c>
      <c r="I29" s="6" t="s">
        <v>91</v>
      </c>
      <c r="J29" t="s">
        <v>90</v>
      </c>
    </row>
    <row r="30" spans="1:10" x14ac:dyDescent="0.25">
      <c r="A30" s="1" t="s">
        <v>14</v>
      </c>
      <c r="B30" s="30" t="s">
        <v>13</v>
      </c>
      <c r="C30" s="34">
        <v>85</v>
      </c>
      <c r="D30" s="1">
        <v>263.5</v>
      </c>
      <c r="E30" s="1">
        <v>260.3</v>
      </c>
      <c r="F30" s="1">
        <v>3.1</v>
      </c>
      <c r="G30" s="1">
        <v>83.967741935483872</v>
      </c>
      <c r="H30" s="35">
        <v>-1.2144212523719155E-2</v>
      </c>
      <c r="I30" s="6" t="s">
        <v>91</v>
      </c>
      <c r="J30" t="s">
        <v>90</v>
      </c>
    </row>
    <row r="31" spans="1:10" x14ac:dyDescent="0.25">
      <c r="A31" s="1" t="s">
        <v>15</v>
      </c>
      <c r="B31" s="30" t="s">
        <v>13</v>
      </c>
      <c r="C31" s="34"/>
      <c r="D31" s="1"/>
      <c r="E31" s="1">
        <v>395.59999999999997</v>
      </c>
      <c r="F31" s="1"/>
      <c r="G31" s="1"/>
      <c r="H31" s="35"/>
      <c r="I31" s="6" t="s">
        <v>91</v>
      </c>
      <c r="J31" t="s">
        <v>90</v>
      </c>
    </row>
    <row r="32" spans="1:10" x14ac:dyDescent="0.25">
      <c r="A32" s="1" t="s">
        <v>16</v>
      </c>
      <c r="B32" s="30" t="s">
        <v>13</v>
      </c>
      <c r="C32" s="34">
        <v>130</v>
      </c>
      <c r="D32" s="1">
        <v>1173.6624185613612</v>
      </c>
      <c r="E32" s="1">
        <v>1102.8299999999997</v>
      </c>
      <c r="F32" s="1">
        <v>9.0281724504720096</v>
      </c>
      <c r="G32" s="1">
        <v>122.15429047795179</v>
      </c>
      <c r="H32" s="35">
        <v>-6.0351611708063156E-2</v>
      </c>
      <c r="I32" s="6" t="s">
        <v>91</v>
      </c>
      <c r="J32" t="s">
        <v>90</v>
      </c>
    </row>
    <row r="33" spans="1:10" x14ac:dyDescent="0.25">
      <c r="A33" s="1" t="s">
        <v>17</v>
      </c>
      <c r="B33" s="30" t="s">
        <v>13</v>
      </c>
      <c r="C33" s="34">
        <v>140</v>
      </c>
      <c r="D33" s="1">
        <v>2062.9815092453773</v>
      </c>
      <c r="E33" s="1">
        <v>1675.25</v>
      </c>
      <c r="F33" s="1">
        <v>14.735582208895552</v>
      </c>
      <c r="G33" s="1">
        <v>113.68739804448906</v>
      </c>
      <c r="H33" s="35">
        <v>-0.18794715682507815</v>
      </c>
      <c r="I33" s="6" t="s">
        <v>91</v>
      </c>
      <c r="J33" t="s">
        <v>90</v>
      </c>
    </row>
    <row r="34" spans="1:10" x14ac:dyDescent="0.25">
      <c r="A34" s="1" t="s">
        <v>18</v>
      </c>
      <c r="B34" s="30" t="s">
        <v>13</v>
      </c>
      <c r="C34" s="34"/>
      <c r="D34" s="1"/>
      <c r="E34" s="1">
        <v>781.94999999999993</v>
      </c>
      <c r="F34" s="1"/>
      <c r="G34" s="1"/>
      <c r="H34" s="35"/>
      <c r="I34" s="6" t="s">
        <v>91</v>
      </c>
      <c r="J34" t="s">
        <v>90</v>
      </c>
    </row>
    <row r="35" spans="1:10" x14ac:dyDescent="0.25">
      <c r="A35" s="1" t="s">
        <v>19</v>
      </c>
      <c r="B35" s="30" t="s">
        <v>13</v>
      </c>
      <c r="C35" s="34">
        <v>150</v>
      </c>
      <c r="D35" s="1">
        <v>9067.6573426573432</v>
      </c>
      <c r="E35" s="1">
        <v>8699.6</v>
      </c>
      <c r="F35" s="1">
        <v>60.451048951048953</v>
      </c>
      <c r="G35" s="1">
        <v>143.91148128868068</v>
      </c>
      <c r="H35" s="35">
        <v>-4.0590124742128829E-2</v>
      </c>
      <c r="I35" s="6" t="s">
        <v>91</v>
      </c>
      <c r="J35" t="s">
        <v>90</v>
      </c>
    </row>
    <row r="36" spans="1:10" x14ac:dyDescent="0.25">
      <c r="A36" s="1" t="s">
        <v>20</v>
      </c>
      <c r="B36" s="30" t="s">
        <v>13</v>
      </c>
      <c r="C36" s="34">
        <v>150</v>
      </c>
      <c r="D36" s="1">
        <v>1020.65625</v>
      </c>
      <c r="E36" s="1">
        <v>1088.7</v>
      </c>
      <c r="F36" s="1">
        <v>6.8043750000000003</v>
      </c>
      <c r="G36" s="1">
        <v>160</v>
      </c>
      <c r="H36" s="35">
        <v>6.6666666666666666E-2</v>
      </c>
      <c r="I36" s="6" t="s">
        <v>91</v>
      </c>
      <c r="J36" t="s">
        <v>90</v>
      </c>
    </row>
    <row r="37" spans="1:10" x14ac:dyDescent="0.25">
      <c r="A37" s="1" t="s">
        <v>21</v>
      </c>
      <c r="B37" s="30" t="s">
        <v>13</v>
      </c>
      <c r="C37" s="34"/>
      <c r="D37" s="1"/>
      <c r="E37" s="1">
        <v>302.14999999999998</v>
      </c>
      <c r="F37" s="1"/>
      <c r="G37" s="1"/>
      <c r="H37" s="35"/>
      <c r="I37" s="6" t="s">
        <v>91</v>
      </c>
      <c r="J37" t="s">
        <v>90</v>
      </c>
    </row>
    <row r="38" spans="1:10" x14ac:dyDescent="0.25">
      <c r="A38" s="1" t="s">
        <v>22</v>
      </c>
      <c r="B38" s="30" t="s">
        <v>13</v>
      </c>
      <c r="C38" s="34">
        <v>150</v>
      </c>
      <c r="D38" s="1">
        <v>1640.3084415584412</v>
      </c>
      <c r="E38" s="1">
        <v>1690.7499999999998</v>
      </c>
      <c r="F38" s="1">
        <v>10.935389610389608</v>
      </c>
      <c r="G38" s="1">
        <v>154.61268964698198</v>
      </c>
      <c r="H38" s="35">
        <v>3.0751264313213178E-2</v>
      </c>
      <c r="I38" s="6" t="s">
        <v>91</v>
      </c>
      <c r="J38" t="s">
        <v>90</v>
      </c>
    </row>
    <row r="39" spans="1:10" x14ac:dyDescent="0.25">
      <c r="A39" s="1" t="s">
        <v>23</v>
      </c>
      <c r="B39" s="30" t="s">
        <v>13</v>
      </c>
      <c r="C39" s="34">
        <v>150</v>
      </c>
      <c r="D39" s="1">
        <v>6360.353002450981</v>
      </c>
      <c r="E39" s="1">
        <v>6325.7699999999995</v>
      </c>
      <c r="F39" s="1">
        <v>42.402353349673206</v>
      </c>
      <c r="G39" s="1">
        <v>149.18440841795288</v>
      </c>
      <c r="H39" s="35">
        <v>-5.4372772136474625E-3</v>
      </c>
      <c r="I39" s="6" t="s">
        <v>91</v>
      </c>
      <c r="J39" t="s">
        <v>90</v>
      </c>
    </row>
    <row r="40" spans="1:10" x14ac:dyDescent="0.25">
      <c r="A40" s="1" t="s">
        <v>24</v>
      </c>
      <c r="B40" s="30" t="s">
        <v>13</v>
      </c>
      <c r="C40" s="34"/>
      <c r="D40" s="1"/>
      <c r="E40" s="1"/>
      <c r="F40" s="1"/>
      <c r="G40" s="1"/>
      <c r="H40" s="35"/>
      <c r="I40" s="6" t="s">
        <v>91</v>
      </c>
      <c r="J40" t="s">
        <v>90</v>
      </c>
    </row>
    <row r="41" spans="1:10" x14ac:dyDescent="0.25">
      <c r="A41" s="1" t="s">
        <v>25</v>
      </c>
      <c r="B41" s="30" t="s">
        <v>13</v>
      </c>
      <c r="C41" s="34">
        <v>150</v>
      </c>
      <c r="D41" s="1">
        <v>599.85168804705233</v>
      </c>
      <c r="E41" s="1">
        <v>590.54999999999995</v>
      </c>
      <c r="F41" s="1">
        <v>3.9990112536470153</v>
      </c>
      <c r="G41" s="1">
        <v>147.67400303298237</v>
      </c>
      <c r="H41" s="35">
        <v>-1.5506646446784202E-2</v>
      </c>
      <c r="I41" s="6" t="s">
        <v>91</v>
      </c>
      <c r="J41" t="s">
        <v>90</v>
      </c>
    </row>
    <row r="42" spans="1:10" x14ac:dyDescent="0.25">
      <c r="A42" s="1" t="s">
        <v>26</v>
      </c>
      <c r="B42" s="30" t="s">
        <v>13</v>
      </c>
      <c r="C42" s="34">
        <v>150</v>
      </c>
      <c r="D42" s="1">
        <v>1781.3074172185432</v>
      </c>
      <c r="E42" s="1">
        <v>1772.83</v>
      </c>
      <c r="F42" s="1">
        <v>11.875382781456954</v>
      </c>
      <c r="G42" s="1">
        <v>149.28613524510718</v>
      </c>
      <c r="H42" s="35">
        <v>-4.7590983659521651E-3</v>
      </c>
      <c r="I42" s="6" t="s">
        <v>91</v>
      </c>
      <c r="J42" t="s">
        <v>90</v>
      </c>
    </row>
    <row r="43" spans="1:10" x14ac:dyDescent="0.25">
      <c r="A43" s="1" t="s">
        <v>27</v>
      </c>
      <c r="B43" s="30" t="s">
        <v>13</v>
      </c>
      <c r="C43" s="34"/>
      <c r="D43" s="1"/>
      <c r="E43" s="1"/>
      <c r="F43" s="1"/>
      <c r="G43" s="1"/>
      <c r="H43" s="35"/>
      <c r="I43" s="6" t="s">
        <v>91</v>
      </c>
      <c r="J43" t="s">
        <v>90</v>
      </c>
    </row>
    <row r="44" spans="1:10" x14ac:dyDescent="0.25">
      <c r="A44" s="1" t="s">
        <v>28</v>
      </c>
      <c r="B44" s="30" t="s">
        <v>13</v>
      </c>
      <c r="C44" s="34">
        <v>155</v>
      </c>
      <c r="D44" s="1">
        <v>244.125</v>
      </c>
      <c r="E44" s="1">
        <v>267.75</v>
      </c>
      <c r="F44" s="1">
        <v>1.575</v>
      </c>
      <c r="G44" s="1">
        <v>170</v>
      </c>
      <c r="H44" s="35">
        <v>9.6774193548387094E-2</v>
      </c>
      <c r="I44" s="6" t="s">
        <v>91</v>
      </c>
      <c r="J44" t="s">
        <v>90</v>
      </c>
    </row>
    <row r="45" spans="1:10" x14ac:dyDescent="0.25">
      <c r="A45" s="1" t="s">
        <v>29</v>
      </c>
      <c r="B45" s="30" t="s">
        <v>13</v>
      </c>
      <c r="C45" s="34">
        <v>165</v>
      </c>
      <c r="D45" s="1">
        <v>9127.2526026029464</v>
      </c>
      <c r="E45" s="1">
        <v>9815.5</v>
      </c>
      <c r="F45" s="1">
        <v>55.316682440017857</v>
      </c>
      <c r="G45" s="1">
        <v>177.44195000564881</v>
      </c>
      <c r="H45" s="35">
        <v>7.5405757609992768E-2</v>
      </c>
      <c r="I45" s="6" t="s">
        <v>91</v>
      </c>
      <c r="J45" t="s">
        <v>90</v>
      </c>
    </row>
    <row r="46" spans="1:10" x14ac:dyDescent="0.25">
      <c r="A46" s="1" t="s">
        <v>30</v>
      </c>
      <c r="B46" s="30" t="s">
        <v>13</v>
      </c>
      <c r="C46" s="34"/>
      <c r="D46" s="1"/>
      <c r="E46" s="1"/>
      <c r="F46" s="1"/>
      <c r="G46" s="1"/>
      <c r="H46" s="35"/>
      <c r="I46" s="6" t="s">
        <v>91</v>
      </c>
      <c r="J46" t="s">
        <v>90</v>
      </c>
    </row>
    <row r="47" spans="1:10" x14ac:dyDescent="0.25">
      <c r="A47" s="1" t="s">
        <v>31</v>
      </c>
      <c r="B47" s="30" t="s">
        <v>13</v>
      </c>
      <c r="C47" s="34"/>
      <c r="D47" s="1">
        <v>0</v>
      </c>
      <c r="E47" s="1"/>
      <c r="F47" s="1"/>
      <c r="G47" s="1" t="e">
        <v>#DIV/0!</v>
      </c>
      <c r="H47" s="35" t="e">
        <v>#DIV/0!</v>
      </c>
      <c r="I47" s="6" t="s">
        <v>91</v>
      </c>
      <c r="J47" t="s">
        <v>90</v>
      </c>
    </row>
    <row r="48" spans="1:10" x14ac:dyDescent="0.25">
      <c r="A48" s="1" t="s">
        <v>32</v>
      </c>
      <c r="B48" s="30" t="s">
        <v>13</v>
      </c>
      <c r="C48" s="34"/>
      <c r="D48" s="1">
        <v>0</v>
      </c>
      <c r="E48" s="1"/>
      <c r="F48" s="1"/>
      <c r="G48" s="1" t="e">
        <v>#DIV/0!</v>
      </c>
      <c r="H48" s="35" t="e">
        <v>#DIV/0!</v>
      </c>
      <c r="I48" s="6" t="s">
        <v>91</v>
      </c>
      <c r="J48" t="s">
        <v>90</v>
      </c>
    </row>
    <row r="49" spans="1:10" x14ac:dyDescent="0.25">
      <c r="A49" s="1" t="s">
        <v>33</v>
      </c>
      <c r="B49" s="30" t="s">
        <v>13</v>
      </c>
      <c r="C49" s="34"/>
      <c r="D49" s="1"/>
      <c r="E49" s="1"/>
      <c r="F49" s="1"/>
      <c r="G49" s="1"/>
      <c r="H49" s="35"/>
      <c r="I49" s="6" t="s">
        <v>91</v>
      </c>
      <c r="J49" t="s">
        <v>90</v>
      </c>
    </row>
    <row r="50" spans="1:10" x14ac:dyDescent="0.25">
      <c r="A50" s="1" t="s">
        <v>34</v>
      </c>
      <c r="B50" s="30" t="s">
        <v>13</v>
      </c>
      <c r="C50" s="34"/>
      <c r="D50" s="1">
        <v>0</v>
      </c>
      <c r="E50" s="1"/>
      <c r="F50" s="1"/>
      <c r="G50" s="1" t="e">
        <v>#DIV/0!</v>
      </c>
      <c r="H50" s="35" t="e">
        <v>#DIV/0!</v>
      </c>
      <c r="I50" s="6" t="s">
        <v>91</v>
      </c>
      <c r="J50" t="s">
        <v>90</v>
      </c>
    </row>
    <row r="51" spans="1:10" x14ac:dyDescent="0.25">
      <c r="A51" s="1" t="s">
        <v>35</v>
      </c>
      <c r="B51" s="30" t="s">
        <v>13</v>
      </c>
      <c r="C51" s="34"/>
      <c r="D51" s="1">
        <v>0</v>
      </c>
      <c r="E51" s="1"/>
      <c r="F51" s="1"/>
      <c r="G51" s="1" t="e">
        <v>#DIV/0!</v>
      </c>
      <c r="H51" s="35" t="e">
        <v>#DIV/0!</v>
      </c>
      <c r="I51" s="6" t="s">
        <v>91</v>
      </c>
      <c r="J51" t="s">
        <v>90</v>
      </c>
    </row>
    <row r="52" spans="1:10" x14ac:dyDescent="0.25">
      <c r="A52" s="1" t="s">
        <v>36</v>
      </c>
      <c r="B52" s="30" t="s">
        <v>13</v>
      </c>
      <c r="C52" s="34"/>
      <c r="D52" s="1"/>
      <c r="E52" s="1"/>
      <c r="F52" s="1"/>
      <c r="G52" s="1"/>
      <c r="H52" s="35"/>
      <c r="I52" s="6" t="s">
        <v>91</v>
      </c>
      <c r="J52" t="s">
        <v>90</v>
      </c>
    </row>
    <row r="53" spans="1:10" x14ac:dyDescent="0.25">
      <c r="A53" s="1" t="s">
        <v>37</v>
      </c>
      <c r="B53" s="30" t="s">
        <v>13</v>
      </c>
      <c r="C53" s="34"/>
      <c r="D53" s="1">
        <v>0</v>
      </c>
      <c r="E53" s="1"/>
      <c r="F53" s="1"/>
      <c r="G53" s="1" t="e">
        <v>#DIV/0!</v>
      </c>
      <c r="H53" s="35" t="e">
        <v>#DIV/0!</v>
      </c>
      <c r="I53" s="6" t="s">
        <v>91</v>
      </c>
      <c r="J53" t="s">
        <v>90</v>
      </c>
    </row>
    <row r="54" spans="1:10" x14ac:dyDescent="0.25">
      <c r="A54" s="1" t="s">
        <v>38</v>
      </c>
      <c r="B54" s="30" t="s">
        <v>13</v>
      </c>
      <c r="C54" s="34"/>
      <c r="D54" s="1">
        <v>0</v>
      </c>
      <c r="E54" s="1"/>
      <c r="F54" s="1"/>
      <c r="G54" s="1" t="e">
        <v>#DIV/0!</v>
      </c>
      <c r="H54" s="35" t="e">
        <v>#DIV/0!</v>
      </c>
      <c r="I54" s="6" t="s">
        <v>91</v>
      </c>
      <c r="J54" t="s">
        <v>90</v>
      </c>
    </row>
    <row r="55" spans="1:10" x14ac:dyDescent="0.25">
      <c r="A55" s="1" t="s">
        <v>39</v>
      </c>
      <c r="B55" s="30" t="s">
        <v>13</v>
      </c>
      <c r="C55" s="34"/>
      <c r="D55" s="1"/>
      <c r="E55" s="1"/>
      <c r="F55" s="1"/>
      <c r="G55" s="1"/>
      <c r="H55" s="35"/>
      <c r="I55" s="6" t="s">
        <v>91</v>
      </c>
      <c r="J55" t="s">
        <v>90</v>
      </c>
    </row>
    <row r="56" spans="1:10" x14ac:dyDescent="0.25">
      <c r="A56" s="1" t="s">
        <v>12</v>
      </c>
      <c r="B56" s="30" t="s">
        <v>13</v>
      </c>
      <c r="C56" s="1"/>
      <c r="D56" s="52">
        <v>0</v>
      </c>
      <c r="E56" s="1"/>
      <c r="F56" s="1"/>
      <c r="G56" s="52" t="e">
        <v>#DIV/0!</v>
      </c>
      <c r="H56" s="35" t="e">
        <v>#DIV/0!</v>
      </c>
      <c r="I56" s="6" t="s">
        <v>92</v>
      </c>
      <c r="J56" t="s">
        <v>90</v>
      </c>
    </row>
    <row r="57" spans="1:10" x14ac:dyDescent="0.25">
      <c r="A57" s="1" t="s">
        <v>14</v>
      </c>
      <c r="B57" s="30" t="s">
        <v>13</v>
      </c>
      <c r="C57" s="1"/>
      <c r="D57" s="52">
        <v>0</v>
      </c>
      <c r="E57" s="1"/>
      <c r="F57" s="1"/>
      <c r="G57" s="52" t="e">
        <v>#DIV/0!</v>
      </c>
      <c r="H57" s="35" t="e">
        <v>#DIV/0!</v>
      </c>
      <c r="I57" s="6" t="s">
        <v>92</v>
      </c>
      <c r="J57" t="s">
        <v>90</v>
      </c>
    </row>
    <row r="58" spans="1:10" x14ac:dyDescent="0.25">
      <c r="A58" s="1" t="s">
        <v>15</v>
      </c>
      <c r="B58" s="30" t="s">
        <v>13</v>
      </c>
      <c r="C58" s="34"/>
      <c r="D58" s="52"/>
      <c r="E58" s="1"/>
      <c r="F58" s="1"/>
      <c r="G58" s="52"/>
      <c r="H58" s="35"/>
      <c r="I58" s="6" t="s">
        <v>92</v>
      </c>
      <c r="J58" t="s">
        <v>90</v>
      </c>
    </row>
    <row r="59" spans="1:10" x14ac:dyDescent="0.25">
      <c r="A59" s="1" t="s">
        <v>16</v>
      </c>
      <c r="B59" s="30" t="s">
        <v>13</v>
      </c>
      <c r="C59" s="1">
        <v>170</v>
      </c>
      <c r="D59" s="52">
        <v>26350.92205950923</v>
      </c>
      <c r="E59" s="1">
        <v>26998.189999999988</v>
      </c>
      <c r="F59" s="52">
        <v>155.00542387946606</v>
      </c>
      <c r="G59" s="52">
        <v>174.17577607473967</v>
      </c>
      <c r="H59" s="35">
        <v>2.4563388674939252E-2</v>
      </c>
      <c r="I59" s="6" t="s">
        <v>92</v>
      </c>
      <c r="J59" t="s">
        <v>90</v>
      </c>
    </row>
    <row r="60" spans="1:10" x14ac:dyDescent="0.25">
      <c r="A60" s="1" t="s">
        <v>17</v>
      </c>
      <c r="B60" s="30" t="s">
        <v>13</v>
      </c>
      <c r="C60" s="1">
        <v>195</v>
      </c>
      <c r="D60" s="52">
        <v>19097.242074704453</v>
      </c>
      <c r="E60" s="1">
        <v>19939.68</v>
      </c>
      <c r="F60" s="52">
        <v>97.934574742074119</v>
      </c>
      <c r="G60" s="52">
        <v>203.60204812768359</v>
      </c>
      <c r="H60" s="35">
        <v>4.41130673214543E-2</v>
      </c>
      <c r="I60" s="6" t="s">
        <v>92</v>
      </c>
      <c r="J60" t="s">
        <v>90</v>
      </c>
    </row>
    <row r="61" spans="1:10" x14ac:dyDescent="0.25">
      <c r="A61" s="1" t="s">
        <v>18</v>
      </c>
      <c r="B61" s="30" t="s">
        <v>13</v>
      </c>
      <c r="C61" s="34"/>
      <c r="D61" s="52"/>
      <c r="E61" s="1"/>
      <c r="F61" s="1"/>
      <c r="G61" s="52"/>
      <c r="H61" s="35"/>
      <c r="I61" s="6" t="s">
        <v>92</v>
      </c>
      <c r="J61" t="s">
        <v>90</v>
      </c>
    </row>
    <row r="62" spans="1:10" x14ac:dyDescent="0.25">
      <c r="A62" s="1" t="s">
        <v>19</v>
      </c>
      <c r="B62" s="30" t="s">
        <v>13</v>
      </c>
      <c r="C62" s="1">
        <v>195</v>
      </c>
      <c r="D62" s="52">
        <v>709.95145631067965</v>
      </c>
      <c r="E62" s="1">
        <v>750</v>
      </c>
      <c r="F62" s="52">
        <v>3.6407766990291264</v>
      </c>
      <c r="G62" s="52">
        <v>206</v>
      </c>
      <c r="H62" s="35">
        <v>5.6410256410256411E-2</v>
      </c>
      <c r="I62" s="6" t="s">
        <v>92</v>
      </c>
      <c r="J62" t="s">
        <v>90</v>
      </c>
    </row>
    <row r="63" spans="1:10" x14ac:dyDescent="0.25">
      <c r="A63" s="1" t="s">
        <v>20</v>
      </c>
      <c r="B63" s="30" t="s">
        <v>13</v>
      </c>
      <c r="C63" s="1">
        <v>195</v>
      </c>
      <c r="D63" s="52">
        <v>11313.447564309312</v>
      </c>
      <c r="E63" s="1">
        <v>12508.599999999999</v>
      </c>
      <c r="F63" s="52">
        <v>58.017679816970833</v>
      </c>
      <c r="G63" s="52">
        <v>215.59979715598848</v>
      </c>
      <c r="H63" s="35">
        <v>0.10563998541532556</v>
      </c>
      <c r="I63" s="6" t="s">
        <v>92</v>
      </c>
      <c r="J63" t="s">
        <v>90</v>
      </c>
    </row>
    <row r="64" spans="1:10" x14ac:dyDescent="0.25">
      <c r="A64" s="1" t="s">
        <v>21</v>
      </c>
      <c r="B64" s="30" t="s">
        <v>13</v>
      </c>
      <c r="C64" s="34"/>
      <c r="D64" s="52"/>
      <c r="E64" s="1"/>
      <c r="F64" s="1"/>
      <c r="G64" s="52"/>
      <c r="H64" s="35"/>
      <c r="I64" s="6" t="s">
        <v>92</v>
      </c>
      <c r="J64" t="s">
        <v>90</v>
      </c>
    </row>
    <row r="65" spans="1:10" x14ac:dyDescent="0.25">
      <c r="A65" s="1" t="s">
        <v>22</v>
      </c>
      <c r="B65" s="30" t="s">
        <v>13</v>
      </c>
      <c r="C65" s="1"/>
      <c r="D65" s="52">
        <v>0</v>
      </c>
      <c r="E65" s="1"/>
      <c r="F65" s="1"/>
      <c r="G65" s="52" t="e">
        <v>#DIV/0!</v>
      </c>
      <c r="H65" s="35" t="e">
        <v>#DIV/0!</v>
      </c>
      <c r="I65" s="6" t="s">
        <v>92</v>
      </c>
      <c r="J65" t="s">
        <v>90</v>
      </c>
    </row>
    <row r="66" spans="1:10" x14ac:dyDescent="0.25">
      <c r="A66" s="1" t="s">
        <v>23</v>
      </c>
      <c r="B66" s="30" t="s">
        <v>13</v>
      </c>
      <c r="C66" s="1"/>
      <c r="D66" s="52">
        <v>0</v>
      </c>
      <c r="E66" s="1"/>
      <c r="F66" s="1"/>
      <c r="G66" s="52" t="e">
        <v>#DIV/0!</v>
      </c>
      <c r="H66" s="35" t="e">
        <v>#DIV/0!</v>
      </c>
      <c r="I66" s="6" t="s">
        <v>92</v>
      </c>
      <c r="J66" t="s">
        <v>90</v>
      </c>
    </row>
    <row r="67" spans="1:10" x14ac:dyDescent="0.25">
      <c r="A67" s="1" t="s">
        <v>24</v>
      </c>
      <c r="B67" s="30" t="s">
        <v>13</v>
      </c>
      <c r="C67" s="34"/>
      <c r="D67" s="52"/>
      <c r="E67" s="1"/>
      <c r="F67" s="1"/>
      <c r="G67" s="52"/>
      <c r="H67" s="35"/>
      <c r="I67" s="6" t="s">
        <v>92</v>
      </c>
      <c r="J67" t="s">
        <v>90</v>
      </c>
    </row>
    <row r="68" spans="1:10" x14ac:dyDescent="0.25">
      <c r="A68" s="1" t="s">
        <v>25</v>
      </c>
      <c r="B68" s="30" t="s">
        <v>13</v>
      </c>
      <c r="C68" s="1"/>
      <c r="D68" s="52">
        <v>0</v>
      </c>
      <c r="E68" s="1"/>
      <c r="F68" s="1"/>
      <c r="G68" s="52" t="e">
        <v>#DIV/0!</v>
      </c>
      <c r="H68" s="35" t="e">
        <v>#DIV/0!</v>
      </c>
      <c r="I68" s="6" t="s">
        <v>92</v>
      </c>
      <c r="J68" t="s">
        <v>90</v>
      </c>
    </row>
    <row r="69" spans="1:10" x14ac:dyDescent="0.25">
      <c r="A69" s="1" t="s">
        <v>26</v>
      </c>
      <c r="B69" s="30" t="s">
        <v>13</v>
      </c>
      <c r="C69" s="1"/>
      <c r="D69" s="52">
        <v>0</v>
      </c>
      <c r="E69" s="1"/>
      <c r="F69" s="1"/>
      <c r="G69" s="52" t="e">
        <v>#DIV/0!</v>
      </c>
      <c r="H69" s="35" t="e">
        <v>#DIV/0!</v>
      </c>
      <c r="I69" s="6" t="s">
        <v>92</v>
      </c>
      <c r="J69" t="s">
        <v>90</v>
      </c>
    </row>
    <row r="70" spans="1:10" x14ac:dyDescent="0.25">
      <c r="A70" s="1" t="s">
        <v>27</v>
      </c>
      <c r="B70" s="30" t="s">
        <v>13</v>
      </c>
      <c r="C70" s="34"/>
      <c r="D70" s="52"/>
      <c r="E70" s="1"/>
      <c r="F70" s="1"/>
      <c r="G70" s="52"/>
      <c r="H70" s="35"/>
      <c r="I70" s="6" t="s">
        <v>92</v>
      </c>
      <c r="J70" t="s">
        <v>90</v>
      </c>
    </row>
    <row r="71" spans="1:10" x14ac:dyDescent="0.25">
      <c r="A71" s="1" t="s">
        <v>28</v>
      </c>
      <c r="B71" s="30" t="s">
        <v>13</v>
      </c>
      <c r="C71" s="1"/>
      <c r="D71" s="52">
        <v>0</v>
      </c>
      <c r="E71" s="1"/>
      <c r="F71" s="1"/>
      <c r="G71" s="52" t="e">
        <v>#DIV/0!</v>
      </c>
      <c r="H71" s="35" t="e">
        <v>#DIV/0!</v>
      </c>
      <c r="I71" s="6" t="s">
        <v>92</v>
      </c>
      <c r="J71" t="s">
        <v>90</v>
      </c>
    </row>
    <row r="72" spans="1:10" x14ac:dyDescent="0.25">
      <c r="A72" s="1" t="s">
        <v>29</v>
      </c>
      <c r="B72" s="30" t="s">
        <v>13</v>
      </c>
      <c r="C72" s="1"/>
      <c r="D72" s="52">
        <v>0</v>
      </c>
      <c r="E72" s="1"/>
      <c r="F72" s="1"/>
      <c r="G72" s="52" t="e">
        <v>#DIV/0!</v>
      </c>
      <c r="H72" s="35" t="e">
        <v>#DIV/0!</v>
      </c>
      <c r="I72" s="6" t="s">
        <v>92</v>
      </c>
      <c r="J72" t="s">
        <v>90</v>
      </c>
    </row>
    <row r="73" spans="1:10" x14ac:dyDescent="0.25">
      <c r="A73" s="1" t="s">
        <v>30</v>
      </c>
      <c r="B73" s="30" t="s">
        <v>13</v>
      </c>
      <c r="C73" s="34"/>
      <c r="D73" s="52"/>
      <c r="E73" s="1"/>
      <c r="F73" s="1"/>
      <c r="G73" s="52"/>
      <c r="H73" s="35"/>
      <c r="I73" s="6" t="s">
        <v>92</v>
      </c>
      <c r="J73" t="s">
        <v>90</v>
      </c>
    </row>
    <row r="74" spans="1:10" x14ac:dyDescent="0.25">
      <c r="A74" s="1" t="s">
        <v>31</v>
      </c>
      <c r="B74" s="30" t="s">
        <v>13</v>
      </c>
      <c r="C74" s="34"/>
      <c r="D74" s="52">
        <v>0</v>
      </c>
      <c r="E74" s="1"/>
      <c r="F74" s="1"/>
      <c r="G74" s="52" t="e">
        <v>#DIV/0!</v>
      </c>
      <c r="H74" s="35" t="e">
        <v>#DIV/0!</v>
      </c>
      <c r="I74" s="6" t="s">
        <v>92</v>
      </c>
      <c r="J74" t="s">
        <v>90</v>
      </c>
    </row>
    <row r="75" spans="1:10" x14ac:dyDescent="0.25">
      <c r="A75" s="1" t="s">
        <v>32</v>
      </c>
      <c r="B75" s="30" t="s">
        <v>13</v>
      </c>
      <c r="C75" s="34"/>
      <c r="D75" s="52">
        <v>0</v>
      </c>
      <c r="E75" s="1"/>
      <c r="F75" s="1"/>
      <c r="G75" s="52" t="e">
        <v>#DIV/0!</v>
      </c>
      <c r="H75" s="35" t="e">
        <v>#DIV/0!</v>
      </c>
      <c r="I75" s="6" t="s">
        <v>92</v>
      </c>
      <c r="J75" t="s">
        <v>90</v>
      </c>
    </row>
    <row r="76" spans="1:10" x14ac:dyDescent="0.25">
      <c r="A76" s="1" t="s">
        <v>33</v>
      </c>
      <c r="B76" s="30" t="s">
        <v>13</v>
      </c>
      <c r="C76" s="34"/>
      <c r="D76" s="52"/>
      <c r="E76" s="1"/>
      <c r="F76" s="1"/>
      <c r="G76" s="52"/>
      <c r="H76" s="35"/>
      <c r="I76" s="6" t="s">
        <v>92</v>
      </c>
      <c r="J76" t="s">
        <v>90</v>
      </c>
    </row>
    <row r="77" spans="1:10" x14ac:dyDescent="0.25">
      <c r="A77" s="1" t="s">
        <v>34</v>
      </c>
      <c r="B77" s="30" t="s">
        <v>13</v>
      </c>
      <c r="C77" s="34"/>
      <c r="D77" s="52">
        <v>0</v>
      </c>
      <c r="E77" s="1"/>
      <c r="F77" s="1"/>
      <c r="G77" s="52"/>
      <c r="H77" s="35"/>
      <c r="I77" s="6" t="s">
        <v>92</v>
      </c>
      <c r="J77" t="s">
        <v>90</v>
      </c>
    </row>
    <row r="78" spans="1:10" x14ac:dyDescent="0.25">
      <c r="A78" s="1" t="s">
        <v>35</v>
      </c>
      <c r="B78" s="30" t="s">
        <v>13</v>
      </c>
      <c r="C78" s="34"/>
      <c r="D78" s="52">
        <v>0</v>
      </c>
      <c r="E78" s="1"/>
      <c r="F78" s="1"/>
      <c r="G78" s="52"/>
      <c r="H78" s="35"/>
      <c r="I78" s="6" t="s">
        <v>92</v>
      </c>
      <c r="J78" t="s">
        <v>90</v>
      </c>
    </row>
    <row r="79" spans="1:10" x14ac:dyDescent="0.25">
      <c r="A79" s="1" t="s">
        <v>36</v>
      </c>
      <c r="B79" s="30" t="s">
        <v>13</v>
      </c>
      <c r="C79" s="34"/>
      <c r="D79" s="52"/>
      <c r="E79" s="1"/>
      <c r="F79" s="1"/>
      <c r="G79" s="52"/>
      <c r="H79" s="35"/>
      <c r="I79" s="6" t="s">
        <v>92</v>
      </c>
      <c r="J79" t="s">
        <v>90</v>
      </c>
    </row>
    <row r="80" spans="1:10" x14ac:dyDescent="0.25">
      <c r="A80" s="1" t="s">
        <v>37</v>
      </c>
      <c r="B80" s="30" t="s">
        <v>13</v>
      </c>
      <c r="C80" s="34"/>
      <c r="D80" s="52">
        <v>0</v>
      </c>
      <c r="E80" s="1"/>
      <c r="F80" s="1"/>
      <c r="G80" s="52" t="e">
        <v>#DIV/0!</v>
      </c>
      <c r="H80" s="35" t="e">
        <v>#DIV/0!</v>
      </c>
      <c r="I80" s="6" t="s">
        <v>92</v>
      </c>
      <c r="J80" t="s">
        <v>90</v>
      </c>
    </row>
    <row r="81" spans="1:10" x14ac:dyDescent="0.25">
      <c r="A81" s="1" t="s">
        <v>38</v>
      </c>
      <c r="B81" s="30" t="s">
        <v>13</v>
      </c>
      <c r="C81" s="34"/>
      <c r="D81" s="52">
        <v>0</v>
      </c>
      <c r="E81" s="1"/>
      <c r="F81" s="1"/>
      <c r="G81" s="52" t="e">
        <v>#DIV/0!</v>
      </c>
      <c r="H81" s="35" t="e">
        <v>#DIV/0!</v>
      </c>
      <c r="I81" s="6" t="s">
        <v>92</v>
      </c>
      <c r="J81" t="s">
        <v>90</v>
      </c>
    </row>
    <row r="82" spans="1:10" x14ac:dyDescent="0.25">
      <c r="A82" s="1" t="s">
        <v>39</v>
      </c>
      <c r="B82" s="30" t="s">
        <v>13</v>
      </c>
      <c r="C82" s="46"/>
      <c r="D82" s="61"/>
      <c r="E82" s="47"/>
      <c r="F82" s="47"/>
      <c r="G82" s="61"/>
      <c r="H82" s="48"/>
      <c r="I82" s="6" t="s">
        <v>92</v>
      </c>
      <c r="J82" t="s">
        <v>90</v>
      </c>
    </row>
    <row r="83" spans="1:10" x14ac:dyDescent="0.25">
      <c r="A83" s="1" t="s">
        <v>12</v>
      </c>
      <c r="B83" s="30" t="s">
        <v>13</v>
      </c>
      <c r="C83" s="1"/>
      <c r="D83" s="52">
        <v>0</v>
      </c>
      <c r="E83" s="1"/>
      <c r="F83" s="1"/>
      <c r="G83" s="52" t="e">
        <v>#DIV/0!</v>
      </c>
      <c r="H83" s="35" t="e">
        <v>#DIV/0!</v>
      </c>
      <c r="I83" s="6" t="s">
        <v>93</v>
      </c>
      <c r="J83" t="s">
        <v>90</v>
      </c>
    </row>
    <row r="84" spans="1:10" x14ac:dyDescent="0.25">
      <c r="A84" s="1" t="s">
        <v>14</v>
      </c>
      <c r="B84" s="30" t="s">
        <v>13</v>
      </c>
      <c r="C84" s="32"/>
      <c r="D84" s="52">
        <v>0</v>
      </c>
      <c r="E84" s="1"/>
      <c r="F84" s="1"/>
      <c r="G84" s="52" t="e">
        <v>#DIV/0!</v>
      </c>
      <c r="H84" s="35" t="e">
        <v>#DIV/0!</v>
      </c>
      <c r="I84" s="6" t="s">
        <v>93</v>
      </c>
      <c r="J84" t="s">
        <v>90</v>
      </c>
    </row>
    <row r="85" spans="1:10" x14ac:dyDescent="0.25">
      <c r="A85" s="1" t="s">
        <v>15</v>
      </c>
      <c r="B85" s="30" t="s">
        <v>13</v>
      </c>
      <c r="C85" s="32"/>
      <c r="D85" s="52">
        <v>0</v>
      </c>
      <c r="E85" s="1"/>
      <c r="F85" s="1"/>
      <c r="G85" s="52" t="e">
        <v>#DIV/0!</v>
      </c>
      <c r="H85" s="35" t="e">
        <v>#DIV/0!</v>
      </c>
      <c r="I85" s="6" t="s">
        <v>93</v>
      </c>
      <c r="J85" t="s">
        <v>90</v>
      </c>
    </row>
    <row r="86" spans="1:10" x14ac:dyDescent="0.25">
      <c r="A86" s="1" t="s">
        <v>16</v>
      </c>
      <c r="B86" s="30" t="s">
        <v>13</v>
      </c>
      <c r="C86" s="32"/>
      <c r="D86" s="52">
        <v>0</v>
      </c>
      <c r="E86" s="1"/>
      <c r="F86" s="1"/>
      <c r="G86" s="52" t="e">
        <v>#DIV/0!</v>
      </c>
      <c r="H86" s="35" t="e">
        <v>#DIV/0!</v>
      </c>
      <c r="I86" s="6" t="s">
        <v>93</v>
      </c>
      <c r="J86" t="s">
        <v>90</v>
      </c>
    </row>
    <row r="87" spans="1:10" x14ac:dyDescent="0.25">
      <c r="A87" s="1" t="s">
        <v>17</v>
      </c>
      <c r="B87" s="30" t="s">
        <v>13</v>
      </c>
      <c r="C87" s="32">
        <v>140</v>
      </c>
      <c r="D87" s="52">
        <v>1452.3870967741937</v>
      </c>
      <c r="E87" s="1">
        <v>1608</v>
      </c>
      <c r="F87" s="52">
        <v>10.374193548387098</v>
      </c>
      <c r="G87" s="52">
        <v>155</v>
      </c>
      <c r="H87" s="35">
        <v>0.10714285714285714</v>
      </c>
      <c r="I87" s="6" t="s">
        <v>93</v>
      </c>
      <c r="J87" t="s">
        <v>90</v>
      </c>
    </row>
    <row r="88" spans="1:10" x14ac:dyDescent="0.25">
      <c r="A88" s="1" t="s">
        <v>18</v>
      </c>
      <c r="B88" s="30" t="s">
        <v>13</v>
      </c>
      <c r="C88" s="32"/>
      <c r="D88" s="52">
        <v>0</v>
      </c>
      <c r="E88" s="1"/>
      <c r="F88" s="1"/>
      <c r="G88" s="52" t="e">
        <v>#DIV/0!</v>
      </c>
      <c r="H88" s="35" t="e">
        <v>#DIV/0!</v>
      </c>
      <c r="I88" s="6" t="s">
        <v>93</v>
      </c>
      <c r="J88" t="s">
        <v>90</v>
      </c>
    </row>
    <row r="89" spans="1:10" x14ac:dyDescent="0.25">
      <c r="A89" s="1" t="s">
        <v>19</v>
      </c>
      <c r="B89" s="30" t="s">
        <v>13</v>
      </c>
      <c r="C89" s="32"/>
      <c r="D89" s="52">
        <v>0</v>
      </c>
      <c r="E89" s="1"/>
      <c r="F89" s="1"/>
      <c r="G89" s="52" t="e">
        <v>#DIV/0!</v>
      </c>
      <c r="H89" s="35" t="e">
        <v>#DIV/0!</v>
      </c>
      <c r="I89" s="6" t="s">
        <v>93</v>
      </c>
      <c r="J89" t="s">
        <v>90</v>
      </c>
    </row>
    <row r="90" spans="1:10" x14ac:dyDescent="0.25">
      <c r="A90" s="1" t="s">
        <v>20</v>
      </c>
      <c r="B90" s="30" t="s">
        <v>13</v>
      </c>
      <c r="C90" s="32"/>
      <c r="D90" s="52">
        <v>0</v>
      </c>
      <c r="E90" s="1"/>
      <c r="F90" s="1"/>
      <c r="G90" s="52" t="e">
        <v>#DIV/0!</v>
      </c>
      <c r="H90" s="35" t="e">
        <v>#DIV/0!</v>
      </c>
      <c r="I90" s="6" t="s">
        <v>93</v>
      </c>
      <c r="J90" t="s">
        <v>90</v>
      </c>
    </row>
    <row r="91" spans="1:10" x14ac:dyDescent="0.25">
      <c r="A91" s="1" t="s">
        <v>21</v>
      </c>
      <c r="B91" s="30" t="s">
        <v>13</v>
      </c>
      <c r="C91" s="32"/>
      <c r="D91" s="52">
        <v>0</v>
      </c>
      <c r="E91" s="1"/>
      <c r="F91" s="1"/>
      <c r="G91" s="52" t="e">
        <v>#DIV/0!</v>
      </c>
      <c r="H91" s="35" t="e">
        <v>#DIV/0!</v>
      </c>
      <c r="I91" s="6" t="s">
        <v>93</v>
      </c>
      <c r="J91" t="s">
        <v>90</v>
      </c>
    </row>
    <row r="92" spans="1:10" x14ac:dyDescent="0.25">
      <c r="A92" s="1" t="s">
        <v>22</v>
      </c>
      <c r="B92" s="30" t="s">
        <v>13</v>
      </c>
      <c r="C92" s="32">
        <v>150</v>
      </c>
      <c r="D92" s="52">
        <v>298.61111111111109</v>
      </c>
      <c r="E92" s="1">
        <v>322.5</v>
      </c>
      <c r="F92" s="52">
        <v>1.9907407407407407</v>
      </c>
      <c r="G92" s="52">
        <v>162</v>
      </c>
      <c r="H92" s="35">
        <v>0.08</v>
      </c>
      <c r="I92" s="6" t="s">
        <v>93</v>
      </c>
      <c r="J92" t="s">
        <v>90</v>
      </c>
    </row>
    <row r="93" spans="1:10" x14ac:dyDescent="0.25">
      <c r="A93" s="1" t="s">
        <v>23</v>
      </c>
      <c r="B93" s="30" t="s">
        <v>13</v>
      </c>
      <c r="C93" s="32">
        <v>150</v>
      </c>
      <c r="D93" s="52">
        <v>5026.8420896584448</v>
      </c>
      <c r="E93" s="1">
        <v>5391.5</v>
      </c>
      <c r="F93" s="52">
        <v>33.512280597722963</v>
      </c>
      <c r="G93" s="52">
        <v>160.88132182702995</v>
      </c>
      <c r="H93" s="35">
        <v>7.2542145513532996E-2</v>
      </c>
      <c r="I93" s="6" t="s">
        <v>93</v>
      </c>
      <c r="J93" t="s">
        <v>90</v>
      </c>
    </row>
    <row r="94" spans="1:10" x14ac:dyDescent="0.25">
      <c r="A94" s="1" t="s">
        <v>24</v>
      </c>
      <c r="B94" s="30" t="s">
        <v>13</v>
      </c>
      <c r="C94" s="32"/>
      <c r="D94" s="52">
        <v>0</v>
      </c>
      <c r="E94" s="1"/>
      <c r="F94" s="1"/>
      <c r="G94" s="52" t="e">
        <v>#DIV/0!</v>
      </c>
      <c r="H94" s="35" t="e">
        <v>#DIV/0!</v>
      </c>
      <c r="I94" s="6" t="s">
        <v>93</v>
      </c>
      <c r="J94" t="s">
        <v>90</v>
      </c>
    </row>
    <row r="95" spans="1:10" x14ac:dyDescent="0.25">
      <c r="A95" s="1" t="s">
        <v>25</v>
      </c>
      <c r="B95" s="30" t="s">
        <v>13</v>
      </c>
      <c r="C95" s="32"/>
      <c r="D95" s="52">
        <v>0</v>
      </c>
      <c r="E95" s="1"/>
      <c r="F95" s="1"/>
      <c r="G95" s="52" t="e">
        <v>#DIV/0!</v>
      </c>
      <c r="H95" s="35" t="e">
        <v>#DIV/0!</v>
      </c>
      <c r="I95" s="6" t="s">
        <v>93</v>
      </c>
      <c r="J95" t="s">
        <v>90</v>
      </c>
    </row>
    <row r="96" spans="1:10" x14ac:dyDescent="0.25">
      <c r="A96" s="1" t="s">
        <v>26</v>
      </c>
      <c r="B96" s="30" t="s">
        <v>13</v>
      </c>
      <c r="C96" s="32"/>
      <c r="D96" s="52">
        <v>0</v>
      </c>
      <c r="E96" s="1"/>
      <c r="F96" s="1"/>
      <c r="G96" s="52" t="e">
        <v>#DIV/0!</v>
      </c>
      <c r="H96" s="35" t="e">
        <v>#DIV/0!</v>
      </c>
      <c r="I96" s="6" t="s">
        <v>93</v>
      </c>
      <c r="J96" t="s">
        <v>90</v>
      </c>
    </row>
    <row r="97" spans="1:10" x14ac:dyDescent="0.25">
      <c r="A97" s="1" t="s">
        <v>27</v>
      </c>
      <c r="B97" s="30" t="s">
        <v>13</v>
      </c>
      <c r="C97" s="32"/>
      <c r="D97" s="52">
        <v>0</v>
      </c>
      <c r="E97" s="1"/>
      <c r="F97" s="1"/>
      <c r="G97" s="52" t="e">
        <v>#DIV/0!</v>
      </c>
      <c r="H97" s="35" t="e">
        <v>#DIV/0!</v>
      </c>
      <c r="I97" s="6" t="s">
        <v>93</v>
      </c>
      <c r="J97" t="s">
        <v>90</v>
      </c>
    </row>
    <row r="98" spans="1:10" x14ac:dyDescent="0.25">
      <c r="A98" s="1" t="s">
        <v>28</v>
      </c>
      <c r="B98" s="30" t="s">
        <v>13</v>
      </c>
      <c r="C98" s="32"/>
      <c r="D98" s="52">
        <v>0</v>
      </c>
      <c r="E98" s="1"/>
      <c r="F98" s="1"/>
      <c r="G98" s="52" t="e">
        <v>#DIV/0!</v>
      </c>
      <c r="H98" s="35" t="e">
        <v>#DIV/0!</v>
      </c>
      <c r="I98" s="6" t="s">
        <v>93</v>
      </c>
      <c r="J98" t="s">
        <v>90</v>
      </c>
    </row>
    <row r="99" spans="1:10" x14ac:dyDescent="0.25">
      <c r="A99" s="1" t="s">
        <v>29</v>
      </c>
      <c r="B99" s="30" t="s">
        <v>13</v>
      </c>
      <c r="C99" s="32"/>
      <c r="D99" s="52">
        <v>0</v>
      </c>
      <c r="E99" s="1"/>
      <c r="F99" s="1"/>
      <c r="G99" s="52" t="e">
        <v>#DIV/0!</v>
      </c>
      <c r="H99" s="35" t="e">
        <v>#DIV/0!</v>
      </c>
      <c r="I99" s="6" t="s">
        <v>93</v>
      </c>
      <c r="J99" t="s">
        <v>90</v>
      </c>
    </row>
    <row r="100" spans="1:10" x14ac:dyDescent="0.25">
      <c r="A100" s="1" t="s">
        <v>30</v>
      </c>
      <c r="B100" s="30" t="s">
        <v>13</v>
      </c>
      <c r="C100" s="32"/>
      <c r="D100" s="52">
        <v>0</v>
      </c>
      <c r="E100" s="1"/>
      <c r="F100" s="1"/>
      <c r="G100" s="52" t="e">
        <v>#DIV/0!</v>
      </c>
      <c r="H100" s="35" t="e">
        <v>#DIV/0!</v>
      </c>
      <c r="I100" s="6" t="s">
        <v>93</v>
      </c>
      <c r="J100" t="s">
        <v>90</v>
      </c>
    </row>
    <row r="101" spans="1:10" x14ac:dyDescent="0.25">
      <c r="A101" s="1" t="s">
        <v>31</v>
      </c>
      <c r="B101" s="30" t="s">
        <v>13</v>
      </c>
      <c r="C101" s="32"/>
      <c r="D101" s="52">
        <v>0</v>
      </c>
      <c r="E101" s="1"/>
      <c r="F101" s="1"/>
      <c r="G101" s="52" t="e">
        <v>#DIV/0!</v>
      </c>
      <c r="H101" s="35" t="e">
        <v>#DIV/0!</v>
      </c>
      <c r="I101" s="6" t="s">
        <v>93</v>
      </c>
      <c r="J101" t="s">
        <v>90</v>
      </c>
    </row>
    <row r="102" spans="1:10" x14ac:dyDescent="0.25">
      <c r="A102" s="1" t="s">
        <v>32</v>
      </c>
      <c r="B102" s="30" t="s">
        <v>13</v>
      </c>
      <c r="C102" s="32"/>
      <c r="D102" s="52">
        <v>0</v>
      </c>
      <c r="E102" s="1"/>
      <c r="F102" s="1"/>
      <c r="G102" s="52" t="e">
        <v>#DIV/0!</v>
      </c>
      <c r="H102" s="35" t="e">
        <v>#DIV/0!</v>
      </c>
      <c r="I102" s="6" t="s">
        <v>93</v>
      </c>
      <c r="J102" t="s">
        <v>90</v>
      </c>
    </row>
    <row r="103" spans="1:10" x14ac:dyDescent="0.25">
      <c r="A103" s="1" t="s">
        <v>33</v>
      </c>
      <c r="B103" s="30" t="s">
        <v>13</v>
      </c>
      <c r="C103" s="32"/>
      <c r="D103" s="52">
        <v>0</v>
      </c>
      <c r="E103" s="1"/>
      <c r="F103" s="1"/>
      <c r="G103" s="52" t="e">
        <v>#DIV/0!</v>
      </c>
      <c r="H103" s="35" t="e">
        <v>#DIV/0!</v>
      </c>
      <c r="I103" s="6" t="s">
        <v>93</v>
      </c>
      <c r="J103" t="s">
        <v>90</v>
      </c>
    </row>
    <row r="104" spans="1:10" x14ac:dyDescent="0.25">
      <c r="A104" s="1" t="s">
        <v>34</v>
      </c>
      <c r="B104" s="30" t="s">
        <v>13</v>
      </c>
      <c r="C104" s="32"/>
      <c r="D104" s="52">
        <v>0</v>
      </c>
      <c r="E104" s="1"/>
      <c r="F104" s="1"/>
      <c r="G104" s="52" t="e">
        <v>#DIV/0!</v>
      </c>
      <c r="H104" s="35" t="e">
        <v>#DIV/0!</v>
      </c>
      <c r="I104" s="6" t="s">
        <v>93</v>
      </c>
      <c r="J104" t="s">
        <v>90</v>
      </c>
    </row>
    <row r="105" spans="1:10" x14ac:dyDescent="0.25">
      <c r="A105" s="1" t="s">
        <v>35</v>
      </c>
      <c r="B105" s="30" t="s">
        <v>13</v>
      </c>
      <c r="C105" s="32"/>
      <c r="D105" s="52">
        <v>0</v>
      </c>
      <c r="E105" s="1"/>
      <c r="F105" s="1"/>
      <c r="G105" s="52" t="e">
        <v>#DIV/0!</v>
      </c>
      <c r="H105" s="35" t="e">
        <v>#DIV/0!</v>
      </c>
      <c r="I105" s="6" t="s">
        <v>93</v>
      </c>
      <c r="J105" t="s">
        <v>90</v>
      </c>
    </row>
    <row r="106" spans="1:10" x14ac:dyDescent="0.25">
      <c r="A106" s="1" t="s">
        <v>36</v>
      </c>
      <c r="B106" s="30" t="s">
        <v>13</v>
      </c>
      <c r="C106" s="32"/>
      <c r="D106" s="52">
        <v>0</v>
      </c>
      <c r="E106" s="1"/>
      <c r="F106" s="1"/>
      <c r="G106" s="52" t="e">
        <v>#DIV/0!</v>
      </c>
      <c r="H106" s="35" t="e">
        <v>#DIV/0!</v>
      </c>
      <c r="I106" s="6" t="s">
        <v>93</v>
      </c>
      <c r="J106" t="s">
        <v>90</v>
      </c>
    </row>
    <row r="107" spans="1:10" x14ac:dyDescent="0.25">
      <c r="A107" s="1" t="s">
        <v>37</v>
      </c>
      <c r="B107" s="30" t="s">
        <v>13</v>
      </c>
      <c r="C107" s="32"/>
      <c r="D107" s="52">
        <v>0</v>
      </c>
      <c r="E107" s="1"/>
      <c r="F107" s="1"/>
      <c r="G107" s="52" t="e">
        <v>#DIV/0!</v>
      </c>
      <c r="H107" s="35" t="e">
        <v>#DIV/0!</v>
      </c>
      <c r="I107" s="6" t="s">
        <v>93</v>
      </c>
      <c r="J107" t="s">
        <v>90</v>
      </c>
    </row>
    <row r="108" spans="1:10" x14ac:dyDescent="0.25">
      <c r="A108" s="1" t="s">
        <v>38</v>
      </c>
      <c r="B108" s="30" t="s">
        <v>13</v>
      </c>
      <c r="C108" s="32"/>
      <c r="D108" s="52">
        <v>0</v>
      </c>
      <c r="E108" s="1"/>
      <c r="F108" s="1"/>
      <c r="G108" s="52" t="e">
        <v>#DIV/0!</v>
      </c>
      <c r="H108" s="35" t="e">
        <v>#DIV/0!</v>
      </c>
      <c r="I108" s="6" t="s">
        <v>93</v>
      </c>
      <c r="J108" t="s">
        <v>90</v>
      </c>
    </row>
    <row r="109" spans="1:10" x14ac:dyDescent="0.25">
      <c r="A109" s="1" t="s">
        <v>39</v>
      </c>
      <c r="B109" s="30" t="s">
        <v>13</v>
      </c>
      <c r="C109" s="45"/>
      <c r="D109" s="52">
        <v>0</v>
      </c>
      <c r="E109" s="47"/>
      <c r="F109" s="47"/>
      <c r="G109" s="52" t="e">
        <v>#DIV/0!</v>
      </c>
      <c r="H109" s="35" t="e">
        <v>#DIV/0!</v>
      </c>
      <c r="I109" s="6" t="s">
        <v>93</v>
      </c>
      <c r="J109" t="s">
        <v>90</v>
      </c>
    </row>
  </sheetData>
  <autoFilter ref="A1:J109" xr:uid="{9D275738-584E-4BD1-9602-7F4BF70BCF1C}"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0df218-5f63-4b1b-aed8-36ec2fc7a699">
      <Terms xmlns="http://schemas.microsoft.com/office/infopath/2007/PartnerControls"/>
    </lcf76f155ced4ddcb4097134ff3c332f>
    <TaxCatchAll xmlns="7922f4a4-deb7-445d-89c2-4a76bdf9d6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9180EC2A42A34E94F6A400BE715B96" ma:contentTypeVersion="18" ma:contentTypeDescription="Create a new document." ma:contentTypeScope="" ma:versionID="af5d29db1759d4872da02b1d98af6f46">
  <xsd:schema xmlns:xsd="http://www.w3.org/2001/XMLSchema" xmlns:xs="http://www.w3.org/2001/XMLSchema" xmlns:p="http://schemas.microsoft.com/office/2006/metadata/properties" xmlns:ns2="dc0df218-5f63-4b1b-aed8-36ec2fc7a699" xmlns:ns3="7922f4a4-deb7-445d-89c2-4a76bdf9d62e" targetNamespace="http://schemas.microsoft.com/office/2006/metadata/properties" ma:root="true" ma:fieldsID="5b60febf10e5aa5a1c812767628ccb60" ns2:_="" ns3:_="">
    <xsd:import namespace="dc0df218-5f63-4b1b-aed8-36ec2fc7a699"/>
    <xsd:import namespace="7922f4a4-deb7-445d-89c2-4a76bdf9d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df218-5f63-4b1b-aed8-36ec2fc7a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fd63b6-0953-417e-816c-db565c4807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22f4a4-deb7-445d-89c2-4a76bdf9d6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48f2f22-9f10-44d2-b4f5-7bb026fcd322}" ma:internalName="TaxCatchAll" ma:showField="CatchAllData" ma:web="7922f4a4-deb7-445d-89c2-4a76bdf9d6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335420-1439-4D70-8E7C-D1EC209BB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DA28A2-8D16-4880-98F0-78A1B73EEC26}">
  <ds:schemaRefs>
    <ds:schemaRef ds:uri="http://schemas.microsoft.com/office/2006/metadata/properties"/>
    <ds:schemaRef ds:uri="http://schemas.microsoft.com/office/infopath/2007/PartnerControls"/>
    <ds:schemaRef ds:uri="dc0df218-5f63-4b1b-aed8-36ec2fc7a699"/>
    <ds:schemaRef ds:uri="7922f4a4-deb7-445d-89c2-4a76bdf9d62e"/>
  </ds:schemaRefs>
</ds:datastoreItem>
</file>

<file path=customXml/itemProps3.xml><?xml version="1.0" encoding="utf-8"?>
<ds:datastoreItem xmlns:ds="http://schemas.openxmlformats.org/officeDocument/2006/customXml" ds:itemID="{B9886425-7128-404A-9C13-1119769A8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df218-5f63-4b1b-aed8-36ec2fc7a699"/>
    <ds:schemaRef ds:uri="7922f4a4-deb7-445d-89c2-4a76bdf9d6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Sheet1</vt:lpstr>
      <vt:lpstr>Job Details</vt:lpstr>
      <vt:lpstr>september 30</vt:lpstr>
      <vt:lpstr>OUTPUT CHART</vt:lpstr>
      <vt:lpstr>RUNNING HOURS</vt:lpstr>
      <vt:lpstr>POWERBI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Suraj Dhanani</dc:creator>
  <cp:keywords/>
  <dc:description/>
  <cp:lastModifiedBy>Zanale Raquel</cp:lastModifiedBy>
  <cp:revision/>
  <dcterms:created xsi:type="dcterms:W3CDTF">2025-09-26T08:14:55Z</dcterms:created>
  <dcterms:modified xsi:type="dcterms:W3CDTF">2025-10-27T12:04:48Z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0x010100729180EC2A42A34E94F6A400BE715B96</vt:lpwstr>
  </property>
  <property fmtid="{D5CDD505-2E9C-101B-9397-08002B2CF9AE}" pid="3" name="MediaServiceImageTags">
    <vt:lpwstr/>
  </property>
</Properties>
</file>